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6.xml" ContentType="application/vnd.openxmlformats-officedocument.drawing+xml"/>
  <Override PartName="/xl/ctrlProps/ctrlProp19.xml" ContentType="application/vnd.ms-excel.controlproperties+xml"/>
  <Override PartName="/xl/ctrlProps/ctrlProp20.xml" ContentType="application/vnd.ms-excel.controlproperties+xml"/>
  <Override PartName="/xl/charts/chart9.xml" ContentType="application/vnd.openxmlformats-officedocument.drawingml.chart+xml"/>
  <Override PartName="/xl/charts/chart10.xml" ContentType="application/vnd.openxmlformats-officedocument.drawingml.chart+xml"/>
  <Override PartName="/xl/drawings/drawing7.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8.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1.xml" ContentType="application/vnd.openxmlformats-officedocument.spreadsheetml.comments+xml"/>
  <Override PartName="/xl/drawings/drawing9.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2.xml" ContentType="application/vnd.openxmlformats-officedocument.spreadsheetml.comments+xml"/>
  <Override PartName="/xl/drawings/drawing10.xml" ContentType="application/vnd.openxmlformats-officedocument.drawing+xml"/>
  <Override PartName="/xl/ctrlProps/ctrlProp28.xml" ContentType="application/vnd.ms-excel.controlproperties+xml"/>
  <Override PartName="/xl/ctrlProps/ctrlProp29.xml" ContentType="application/vnd.ms-excel.controlproperties+xml"/>
  <Override PartName="/xl/comments3.xml" ContentType="application/vnd.openxmlformats-officedocument.spreadsheetml.comments+xml"/>
  <Override PartName="/xl/drawings/drawing11.xml" ContentType="application/vnd.openxmlformats-officedocument.drawing+xml"/>
  <Override PartName="/xl/ctrlProps/ctrlProp30.xml" ContentType="application/vnd.ms-excel.controlproperties+xml"/>
  <Override PartName="/xl/ctrlProps/ctrlProp31.xml" ContentType="application/vnd.ms-excel.controlproperties+xml"/>
  <Override PartName="/xl/drawings/drawing12.xml" ContentType="application/vnd.openxmlformats-officedocument.drawing+xml"/>
  <Override PartName="/xl/ctrlProps/ctrlProp32.xml" ContentType="application/vnd.ms-excel.controlproperties+xml"/>
  <Override PartName="/xl/ctrlProps/ctrlProp33.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3.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omments7.xml" ContentType="application/vnd.openxmlformats-officedocument.spreadsheetml.comments+xml"/>
  <Override PartName="/xl/drawings/drawing14.xml" ContentType="application/vnd.openxmlformats-officedocument.drawing+xml"/>
  <Override PartName="/xl/ctrlProps/ctrlProp37.xml" ContentType="application/vnd.ms-excel.controlproperties+xml"/>
  <Override PartName="/xl/ctrlProps/ctrlProp38.xml" ContentType="application/vnd.ms-excel.controlproperties+xml"/>
  <Override PartName="/xl/drawings/drawing15.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16.xml" ContentType="application/vnd.openxmlformats-officedocument.drawing+xml"/>
  <Override PartName="/xl/ctrlProps/ctrlProp41.xml" ContentType="application/vnd.ms-excel.controlproperties+xml"/>
  <Override PartName="/xl/ctrlProps/ctrlProp42.xml" ContentType="application/vnd.ms-excel.controlproperties+xml"/>
  <Override PartName="/xl/drawings/drawing17.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18.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19.xml" ContentType="application/vnd.openxmlformats-officedocument.drawing+xml"/>
  <Override PartName="/xl/ctrlProps/ctrlProp47.xml" ContentType="application/vnd.ms-excel.controlproperties+xml"/>
  <Override PartName="/xl/ctrlProps/ctrlProp48.xml" ContentType="application/vnd.ms-excel.controlproperties+xml"/>
  <Override PartName="/xl/drawings/drawing20.xml" ContentType="application/vnd.openxmlformats-officedocument.drawing+xml"/>
  <Override PartName="/xl/ctrlProps/ctrlProp49.xml" ContentType="application/vnd.ms-excel.controlproperties+xml"/>
  <Override PartName="/xl/ctrlProps/ctrlProp50.xml" ContentType="application/vnd.ms-excel.controlproperties+xml"/>
  <Override PartName="/xl/drawings/drawing21.xml" ContentType="application/vnd.openxmlformats-officedocument.drawing+xml"/>
  <Override PartName="/xl/ctrlProps/ctrlProp51.xml" ContentType="application/vnd.ms-excel.controlproperties+xml"/>
  <Override PartName="/xl/ctrlProps/ctrlProp52.xml" ContentType="application/vnd.ms-excel.controlproperties+xml"/>
  <Override PartName="/xl/drawings/drawing22.xml" ContentType="application/vnd.openxmlformats-officedocument.drawing+xml"/>
  <Override PartName="/xl/ctrlProps/ctrlProp53.xml" ContentType="application/vnd.ms-excel.controlproperties+xml"/>
  <Override PartName="/xl/ctrlProps/ctrlProp54.xml" ContentType="application/vnd.ms-excel.controlproperties+xml"/>
  <Override PartName="/xl/drawings/drawing23.xml" ContentType="application/vnd.openxmlformats-officedocument.drawing+xml"/>
  <Override PartName="/xl/ctrlProps/ctrlProp55.xml" ContentType="application/vnd.ms-excel.controlproperties+xml"/>
  <Override PartName="/xl/ctrlProps/ctrlProp56.xml" ContentType="application/vnd.ms-excel.controlproperties+xml"/>
  <Override PartName="/xl/drawings/drawing24.xml" ContentType="application/vnd.openxmlformats-officedocument.drawing+xml"/>
  <Override PartName="/xl/ctrlProps/ctrlProp57.xml" ContentType="application/vnd.ms-excel.controlproperties+xml"/>
  <Override PartName="/xl/ctrlProps/ctrlProp58.xml" ContentType="application/vnd.ms-excel.controlproperties+xml"/>
  <Override PartName="/xl/drawings/drawing25.xml" ContentType="application/vnd.openxmlformats-officedocument.drawing+xml"/>
  <Override PartName="/xl/ctrlProps/ctrlProp59.xml" ContentType="application/vnd.ms-excel.controlproperties+xml"/>
  <Override PartName="/xl/ctrlProps/ctrlProp60.xml" ContentType="application/vnd.ms-excel.controlproperties+xml"/>
  <Override PartName="/xl/drawings/drawing26.xml" ContentType="application/vnd.openxmlformats-officedocument.drawing+xml"/>
  <Override PartName="/xl/ctrlProps/ctrlProp61.xml" ContentType="application/vnd.ms-excel.controlproperties+xml"/>
  <Override PartName="/xl/ctrlProps/ctrlProp62.xml" ContentType="application/vnd.ms-excel.controlproperties+xml"/>
  <Override PartName="/xl/drawings/drawing27.xml" ContentType="application/vnd.openxmlformats-officedocument.drawing+xml"/>
  <Override PartName="/xl/ctrlProps/ctrlProp63.xml" ContentType="application/vnd.ms-excel.controlproperties+xml"/>
  <Override PartName="/xl/ctrlProps/ctrlProp64.xml" ContentType="application/vnd.ms-excel.controlproperties+xml"/>
  <Override PartName="/xl/drawings/drawing28.xml" ContentType="application/vnd.openxmlformats-officedocument.drawing+xml"/>
  <Override PartName="/xl/ctrlProps/ctrlProp65.xml" ContentType="application/vnd.ms-excel.controlproperties+xml"/>
  <Override PartName="/xl/ctrlProps/ctrlProp66.xml" ContentType="application/vnd.ms-excel.controlproperties+xml"/>
  <Override PartName="/xl/drawings/drawing29.xml" ContentType="application/vnd.openxmlformats-officedocument.drawing+xml"/>
  <Override PartName="/xl/ctrlProps/ctrlProp67.xml" ContentType="application/vnd.ms-excel.controlproperties+xml"/>
  <Override PartName="/xl/ctrlProps/ctrlProp68.xml" ContentType="application/vnd.ms-excel.controlproperties+xml"/>
  <Override PartName="/xl/drawings/drawing30.xml" ContentType="application/vnd.openxmlformats-officedocument.drawing+xml"/>
  <Override PartName="/xl/ctrlProps/ctrlProp69.xml" ContentType="application/vnd.ms-excel.controlproperties+xml"/>
  <Override PartName="/xl/ctrlProps/ctrlProp70.xml" ContentType="application/vnd.ms-excel.controlproperties+xml"/>
  <Override PartName="/xl/drawings/drawing31.xml" ContentType="application/vnd.openxmlformats-officedocument.drawing+xml"/>
  <Override PartName="/xl/ctrlProps/ctrlProp71.xml" ContentType="application/vnd.ms-excel.controlproperties+xml"/>
  <Override PartName="/xl/ctrlProps/ctrlProp72.xml" ContentType="application/vnd.ms-excel.controlproperties+xml"/>
  <Override PartName="/xl/drawings/drawing32.xml" ContentType="application/vnd.openxmlformats-officedocument.drawing+xml"/>
  <Override PartName="/xl/ctrlProps/ctrlProp73.xml" ContentType="application/vnd.ms-excel.controlproperties+xml"/>
  <Override PartName="/xl/ctrlProps/ctrlProp74.xml" ContentType="application/vnd.ms-excel.controlproperties+xml"/>
  <Override PartName="/xl/drawings/drawing33.xml" ContentType="application/vnd.openxmlformats-officedocument.drawing+xml"/>
  <Override PartName="/xl/ctrlProps/ctrlProp75.xml" ContentType="application/vnd.ms-excel.controlproperties+xml"/>
  <Override PartName="/xl/ctrlProps/ctrlProp76.xml" ContentType="application/vnd.ms-excel.controlproperties+xml"/>
  <Override PartName="/xl/drawings/drawing34.xml" ContentType="application/vnd.openxmlformats-officedocument.drawing+xml"/>
  <Override PartName="/xl/ctrlProps/ctrlProp77.xml" ContentType="application/vnd.ms-excel.controlproperties+xml"/>
  <Override PartName="/xl/ctrlProps/ctrlProp78.xml" ContentType="application/vnd.ms-excel.controlproperties+xml"/>
  <Override PartName="/xl/drawings/drawing35.xml" ContentType="application/vnd.openxmlformats-officedocument.drawing+xml"/>
  <Override PartName="/xl/ctrlProps/ctrlProp79.xml" ContentType="application/vnd.ms-excel.controlproperties+xml"/>
  <Override PartName="/xl/ctrlProps/ctrlProp80.xml" ContentType="application/vnd.ms-excel.controlproperties+xml"/>
  <Override PartName="/xl/drawings/drawing36.xml" ContentType="application/vnd.openxmlformats-officedocument.drawing+xml"/>
  <Override PartName="/xl/ctrlProps/ctrlProp81.xml" ContentType="application/vnd.ms-excel.controlproperties+xml"/>
  <Override PartName="/xl/ctrlProps/ctrlProp82.xml" ContentType="application/vnd.ms-excel.controlproperties+xml"/>
  <Override PartName="/xl/drawings/drawing37.xml" ContentType="application/vnd.openxmlformats-officedocument.drawing+xml"/>
  <Override PartName="/xl/ctrlProps/ctrlProp83.xml" ContentType="application/vnd.ms-excel.controlproperties+xml"/>
  <Override PartName="/xl/ctrlProps/ctrlProp84.xml" ContentType="application/vnd.ms-excel.controlproperties+xml"/>
  <Override PartName="/xl/drawings/drawing38.xml" ContentType="application/vnd.openxmlformats-officedocument.drawing+xml"/>
  <Override PartName="/xl/ctrlProps/ctrlProp85.xml" ContentType="application/vnd.ms-excel.controlproperties+xml"/>
  <Override PartName="/xl/ctrlProps/ctrlProp86.xml" ContentType="application/vnd.ms-excel.controlproperties+xml"/>
  <Override PartName="/xl/drawings/drawing39.xml" ContentType="application/vnd.openxmlformats-officedocument.drawing+xml"/>
  <Override PartName="/xl/ctrlProps/ctrlProp87.xml" ContentType="application/vnd.ms-excel.controlproperties+xml"/>
  <Override PartName="/xl/ctrlProps/ctrlProp88.xml" ContentType="application/vnd.ms-excel.controlproperties+xml"/>
  <Override PartName="/xl/drawings/drawing40.xml" ContentType="application/vnd.openxmlformats-officedocument.drawing+xml"/>
  <Override PartName="/xl/ctrlProps/ctrlProp89.xml" ContentType="application/vnd.ms-excel.controlproperties+xml"/>
  <Override PartName="/xl/ctrlProps/ctrlProp90.xml" ContentType="application/vnd.ms-excel.controlproperties+xml"/>
  <Override PartName="/xl/drawings/drawing41.xml" ContentType="application/vnd.openxmlformats-officedocument.drawing+xml"/>
  <Override PartName="/xl/ctrlProps/ctrlProp91.xml" ContentType="application/vnd.ms-excel.controlproperties+xml"/>
  <Override PartName="/xl/ctrlProps/ctrlProp92.xml" ContentType="application/vnd.ms-excel.controlproperties+xml"/>
  <Override PartName="/xl/drawings/drawing42.xml" ContentType="application/vnd.openxmlformats-officedocument.drawing+xml"/>
  <Override PartName="/xl/ctrlProps/ctrlProp93.xml" ContentType="application/vnd.ms-excel.controlproperties+xml"/>
  <Override PartName="/xl/ctrlProps/ctrlProp94.xml" ContentType="application/vnd.ms-excel.controlproperties+xml"/>
  <Override PartName="/xl/drawings/drawing43.xml" ContentType="application/vnd.openxmlformats-officedocument.drawing+xml"/>
  <Override PartName="/xl/ctrlProps/ctrlProp95.xml" ContentType="application/vnd.ms-excel.controlproperties+xml"/>
  <Override PartName="/xl/ctrlProps/ctrlProp96.xml" ContentType="application/vnd.ms-excel.controlproperties+xml"/>
  <Override PartName="/xl/drawings/drawing44.xml" ContentType="application/vnd.openxmlformats-officedocument.drawing+xml"/>
  <Override PartName="/xl/ctrlProps/ctrlProp97.xml" ContentType="application/vnd.ms-excel.controlproperties+xml"/>
  <Override PartName="/xl/ctrlProps/ctrlProp98.xml" ContentType="application/vnd.ms-excel.controlproperties+xml"/>
  <Override PartName="/xl/drawings/drawing45.xml" ContentType="application/vnd.openxmlformats-officedocument.drawing+xml"/>
  <Override PartName="/xl/ctrlProps/ctrlProp99.xml" ContentType="application/vnd.ms-excel.controlproperties+xml"/>
  <Override PartName="/xl/ctrlProps/ctrlProp100.xml" ContentType="application/vnd.ms-excel.controlproperties+xml"/>
  <Override PartName="/xl/drawings/drawing46.xml" ContentType="application/vnd.openxmlformats-officedocument.drawing+xml"/>
  <Override PartName="/xl/ctrlProps/ctrlProp101.xml" ContentType="application/vnd.ms-excel.controlproperties+xml"/>
  <Override PartName="/xl/ctrlProps/ctrlProp102.xml" ContentType="application/vnd.ms-excel.controlproperties+xml"/>
  <Override PartName="/xl/drawings/drawing47.xml" ContentType="application/vnd.openxmlformats-officedocument.drawing+xml"/>
  <Override PartName="/xl/ctrlProps/ctrlProp103.xml" ContentType="application/vnd.ms-excel.controlproperties+xml"/>
  <Override PartName="/xl/ctrlProps/ctrlProp104.xml" ContentType="application/vnd.ms-excel.controlproperties+xml"/>
  <Override PartName="/xl/drawings/drawing48.xml" ContentType="application/vnd.openxmlformats-officedocument.drawing+xml"/>
  <Override PartName="/xl/ctrlProps/ctrlProp105.xml" ContentType="application/vnd.ms-excel.controlproperties+xml"/>
  <Override PartName="/xl/ctrlProps/ctrlProp106.xml" ContentType="application/vnd.ms-excel.controlproperties+xml"/>
  <Override PartName="/xl/drawings/drawing49.xml" ContentType="application/vnd.openxmlformats-officedocument.drawing+xml"/>
  <Override PartName="/xl/ctrlProps/ctrlProp107.xml" ContentType="application/vnd.ms-excel.controlproperties+xml"/>
  <Override PartName="/xl/ctrlProps/ctrlProp108.xml" ContentType="application/vnd.ms-excel.controlproperties+xml"/>
  <Override PartName="/xl/drawings/drawing50.xml" ContentType="application/vnd.openxmlformats-officedocument.drawing+xml"/>
  <Override PartName="/xl/ctrlProps/ctrlProp109.xml" ContentType="application/vnd.ms-excel.controlproperties+xml"/>
  <Override PartName="/xl/ctrlProps/ctrlProp110.xml" ContentType="application/vnd.ms-excel.controlproperties+xml"/>
  <Override PartName="/xl/drawings/drawing51.xml" ContentType="application/vnd.openxmlformats-officedocument.drawing+xml"/>
  <Override PartName="/xl/ctrlProps/ctrlProp111.xml" ContentType="application/vnd.ms-excel.controlproperties+xml"/>
  <Override PartName="/xl/ctrlProps/ctrlProp112.xml" ContentType="application/vnd.ms-excel.controlproperties+xml"/>
  <Override PartName="/xl/drawings/drawing52.xml" ContentType="application/vnd.openxmlformats-officedocument.drawing+xml"/>
  <Override PartName="/xl/ctrlProps/ctrlProp113.xml" ContentType="application/vnd.ms-excel.controlproperties+xml"/>
  <Override PartName="/xl/ctrlProps/ctrlProp114.xml" ContentType="application/vnd.ms-excel.controlproperties+xml"/>
  <Override PartName="/xl/drawings/drawing53.xml" ContentType="application/vnd.openxmlformats-officedocument.drawing+xml"/>
  <Override PartName="/xl/ctrlProps/ctrlProp115.xml" ContentType="application/vnd.ms-excel.controlproperties+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54.xml" ContentType="application/vnd.openxmlformats-officedocument.drawing+xml"/>
  <Override PartName="/xl/ctrlProps/ctrlProp116.xml" ContentType="application/vnd.ms-excel.controlproperties+xml"/>
  <Override PartName="/xl/ctrlProps/ctrlProp117.xml" ContentType="application/vnd.ms-excel.controlproperties+xml"/>
  <Override PartName="/xl/drawings/drawing55.xml" ContentType="application/vnd.openxmlformats-officedocument.drawing+xml"/>
  <Override PartName="/xl/ctrlProps/ctrlProp118.xml" ContentType="application/vnd.ms-excel.controlproperties+xml"/>
  <Override PartName="/xl/drawings/drawing56.xml" ContentType="application/vnd.openxmlformats-officedocument.drawing+xml"/>
  <Override PartName="/xl/ctrlProps/ctrlProp119.xml" ContentType="application/vnd.ms-excel.controlproperties+xml"/>
  <Override PartName="/xl/drawings/drawing57.xml" ContentType="application/vnd.openxmlformats-officedocument.drawing+xml"/>
  <Override PartName="/xl/ctrlProps/ctrlProp12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935" yWindow="1050" windowWidth="10095" windowHeight="7830" tabRatio="853" activeTab="3"/>
  </bookViews>
  <sheets>
    <sheet name="Introduktion" sheetId="12" r:id="rId1"/>
    <sheet name="Oversigt" sheetId="11" r:id="rId2"/>
    <sheet name="Referencer" sheetId="74" r:id="rId3"/>
    <sheet name="Cockpit" sheetId="82" r:id="rId4"/>
    <sheet name="ResultsOneYear" sheetId="8" r:id="rId5"/>
    <sheet name="ResultsAllYears" sheetId="178" r:id="rId6"/>
    <sheet name="A4results" sheetId="122" r:id="rId7"/>
    <sheet name="Vehicles" sheetId="3" r:id="rId8"/>
    <sheet name="Fuels" sheetId="100" r:id="rId9"/>
    <sheet name="ProcessEnergy" sheetId="108" r:id="rId10"/>
    <sheet name="Prices" sheetId="76" r:id="rId11"/>
    <sheet name="Feedstocks" sheetId="14" r:id="rId12"/>
    <sheet name="Distribution" sheetId="101" r:id="rId13"/>
    <sheet name="Supplementary" sheetId="7" r:id="rId14"/>
    <sheet name="(FORCE 1) Bio-Methanol" sheetId="142" r:id="rId15"/>
    <sheet name="(FORCE 2) ETL-Methanol" sheetId="143" r:id="rId16"/>
    <sheet name="(FORCE 3) 1G ethanol" sheetId="144" r:id="rId17"/>
    <sheet name="(FORCE 4) 2G ethanol" sheetId="145" r:id="rId18"/>
    <sheet name="(FORCE 7) 2G diesel" sheetId="148" r:id="rId19"/>
    <sheet name="(FORCE 9) Bio-DME " sheetId="150" r:id="rId20"/>
    <sheet name="(FORCE 18) Bio Jetfuel" sheetId="174" r:id="rId21"/>
    <sheet name="(FORCE 19) RME Rapeseed" sheetId="175" r:id="rId22"/>
    <sheet name="(FORCE 20) Ethanol SugarBeet" sheetId="176" r:id="rId23"/>
    <sheet name="Biogas ENS" sheetId="161" r:id="rId24"/>
    <sheet name="Diesel" sheetId="25" r:id="rId25"/>
    <sheet name="Benzin" sheetId="28" r:id="rId26"/>
    <sheet name="HFO" sheetId="159" r:id="rId27"/>
    <sheet name="Jet Fuel" sheetId="160" r:id="rId28"/>
    <sheet name="Naturgas raffinering" sheetId="29" r:id="rId29"/>
    <sheet name="brint-elektricitet" sheetId="103" r:id="rId30"/>
    <sheet name="oplade-elektricitet" sheetId="105" r:id="rId31"/>
    <sheet name="Importspor" sheetId="80" r:id="rId32"/>
    <sheet name="LNG" sheetId="173" r:id="rId33"/>
    <sheet name="tog-elektricitet" sheetId="172" r:id="rId34"/>
    <sheet name="Elektrolyse og komprimering" sheetId="38" r:id="rId35"/>
    <sheet name="Ladestation" sheetId="39" r:id="rId36"/>
    <sheet name="Ladestation Hybrid" sheetId="94" r:id="rId37"/>
    <sheet name="Naturgas komprimering" sheetId="30" r:id="rId38"/>
    <sheet name="Ingen mellem" sheetId="106" r:id="rId39"/>
    <sheet name="Std benzin motor" sheetId="23" r:id="rId40"/>
    <sheet name="Std diesel motor" sheetId="21" r:id="rId41"/>
    <sheet name="Diesel motor DME" sheetId="35" r:id="rId42"/>
    <sheet name="Tilpasset Otto motor" sheetId="31" r:id="rId43"/>
    <sheet name="Brændselscelle, brint" sheetId="191" r:id="rId44"/>
    <sheet name="Brændselscelle, brinthybrid" sheetId="33" r:id="rId45"/>
    <sheet name="Brændselscelle, methanolhybrid" sheetId="32" r:id="rId46"/>
    <sheet name="Plugin Hybrid" sheetId="90" r:id="rId47"/>
    <sheet name="Elmotor" sheetId="22" r:id="rId48"/>
    <sheet name="Lastbil" sheetId="183" r:id="rId49"/>
    <sheet name="Lastbil DME" sheetId="184" r:id="rId50"/>
    <sheet name="Lastbil RME" sheetId="185" r:id="rId51"/>
    <sheet name="Lastbil Gas" sheetId="186" r:id="rId52"/>
    <sheet name="Bus" sheetId="187" r:id="rId53"/>
    <sheet name="Bus Gas" sheetId="188" r:id="rId54"/>
    <sheet name="Bus Hybrid" sheetId="189" r:id="rId55"/>
    <sheet name="9000 TEU HFO" sheetId="179" r:id="rId56"/>
    <sheet name="9000 TEU Diesel" sheetId="180" r:id="rId57"/>
    <sheet name="9000 TEU Dual fuel" sheetId="181" r:id="rId58"/>
    <sheet name="Katamaran ferry" sheetId="182" r:id="rId59"/>
    <sheet name="SAS avg. airplane" sheetId="164" r:id="rId60"/>
    <sheet name="Diesel Lokaltog" sheetId="169" r:id="rId61"/>
    <sheet name="Gas Lokaltog" sheetId="170" r:id="rId62"/>
    <sheet name="Diesel IC-reg.tog" sheetId="168" r:id="rId63"/>
    <sheet name="El IC-reg.tog" sheetId="171" r:id="rId64"/>
    <sheet name="Sensitivity" sheetId="167" r:id="rId65"/>
    <sheet name="Log2015" sheetId="97" r:id="rId66"/>
    <sheet name="Log2020" sheetId="98" r:id="rId67"/>
    <sheet name="Log2035" sheetId="99" r:id="rId68"/>
    <sheet name="Log2050" sheetId="140" r:id="rId69"/>
    <sheet name="(FORCE 5) 1G diesel" sheetId="146" r:id="rId70"/>
    <sheet name="(FORCE 6) 1G HVO DIESEL" sheetId="147" r:id="rId71"/>
    <sheet name="(FORCE 8)  Diesel - MOGD" sheetId="149" r:id="rId72"/>
    <sheet name="(FORCE 10) SNG-gasification" sheetId="157" r:id="rId73"/>
    <sheet name="(FORCE 11) 2G Kerosene" sheetId="151" r:id="rId74"/>
    <sheet name="(FORCE 12) Torrefied wood" sheetId="152" r:id="rId75"/>
    <sheet name="(FORCE 13) Bio-Liquid" sheetId="153" r:id="rId76"/>
    <sheet name="(FORCE 14) 2G bio-ethanol" sheetId="154" r:id="rId77"/>
    <sheet name="(FORCE 15) Ethanol+Biogas" sheetId="155" r:id="rId78"/>
    <sheet name="(FORCE 16) 2G Diesel" sheetId="156" r:id="rId79"/>
    <sheet name="(FORCE 17) SNG-biogas" sheetId="158" r:id="rId80"/>
  </sheets>
  <definedNames>
    <definedName name="_Sort" localSheetId="73" hidden="1">#REF!</definedName>
    <definedName name="_Sort" localSheetId="74" hidden="1">#REF!</definedName>
    <definedName name="_Sort" localSheetId="75" hidden="1">#REF!</definedName>
    <definedName name="_Sort" localSheetId="76" hidden="1">#REF!</definedName>
    <definedName name="_Sort" localSheetId="77" hidden="1">#REF!</definedName>
    <definedName name="_Sort" localSheetId="78" hidden="1">#REF!</definedName>
    <definedName name="_Sort" localSheetId="20" hidden="1">#REF!</definedName>
    <definedName name="_Sort" localSheetId="21" hidden="1">#REF!</definedName>
    <definedName name="_Sort" localSheetId="15" hidden="1">#REF!</definedName>
    <definedName name="_Sort" localSheetId="22" hidden="1">#REF!</definedName>
    <definedName name="_Sort" localSheetId="70" hidden="1">#REF!</definedName>
    <definedName name="_Sort" localSheetId="71" hidden="1">#REF!</definedName>
    <definedName name="_Sort" localSheetId="19" hidden="1">#REF!</definedName>
    <definedName name="_Sort" localSheetId="56" hidden="1">#REF!</definedName>
    <definedName name="_Sort" localSheetId="57" hidden="1">#REF!</definedName>
    <definedName name="_Sort" localSheetId="55" hidden="1">#REF!</definedName>
    <definedName name="_Sort" localSheetId="23" hidden="1">#REF!</definedName>
    <definedName name="_Sort" localSheetId="29" hidden="1">#REF!</definedName>
    <definedName name="_Sort" localSheetId="52" hidden="1">#REF!</definedName>
    <definedName name="_Sort" localSheetId="53" hidden="1">#REF!</definedName>
    <definedName name="_Sort" localSheetId="54" hidden="1">#REF!</definedName>
    <definedName name="_Sort" localSheetId="60" hidden="1">#REF!</definedName>
    <definedName name="_Sort" localSheetId="12" hidden="1">#REF!</definedName>
    <definedName name="_Sort" localSheetId="8" hidden="1">#REF!</definedName>
    <definedName name="_Sort" localSheetId="61" hidden="1">#REF!</definedName>
    <definedName name="_Sort" localSheetId="26" hidden="1">#REF!</definedName>
    <definedName name="_Sort" localSheetId="31" hidden="1">#REF!</definedName>
    <definedName name="_Sort" localSheetId="38" hidden="1">#REF!</definedName>
    <definedName name="_Sort" localSheetId="27" hidden="1">#REF!</definedName>
    <definedName name="_Sort" localSheetId="58" hidden="1">#REF!</definedName>
    <definedName name="_Sort" localSheetId="36" hidden="1">#REF!</definedName>
    <definedName name="_Sort" localSheetId="51" hidden="1">#REF!</definedName>
    <definedName name="_Sort" localSheetId="32" hidden="1">#REF!</definedName>
    <definedName name="_Sort" localSheetId="66" hidden="1">#REF!</definedName>
    <definedName name="_Sort" localSheetId="67" hidden="1">#REF!</definedName>
    <definedName name="_Sort" localSheetId="68" hidden="1">#REF!</definedName>
    <definedName name="_Sort" localSheetId="30" hidden="1">#REF!</definedName>
    <definedName name="_Sort" localSheetId="46" hidden="1">#REF!</definedName>
    <definedName name="_Sort" localSheetId="2" hidden="1">#REF!</definedName>
    <definedName name="_Sort" localSheetId="59" hidden="1">#REF!</definedName>
    <definedName name="_Sort" localSheetId="33" hidden="1">#REF!</definedName>
    <definedName name="_Sort" hidden="1">#REF!</definedName>
    <definedName name="A4chosenYear">A4results!$AA$6</definedName>
    <definedName name="A4colActive">A4results!$X$8</definedName>
    <definedName name="A4colCount">A4results!$W$8</definedName>
    <definedName name="A4filePath">A4results!$V$11</definedName>
    <definedName name="A4firstRow">A4results!$F$4:$L$4</definedName>
    <definedName name="A4resultCol">A4results!$R$4:$R$81</definedName>
    <definedName name="A4rowActive" localSheetId="56">A4results!$X$7</definedName>
    <definedName name="A4rowActive" localSheetId="57">A4results!$X$7</definedName>
    <definedName name="A4rowActive" localSheetId="55">A4results!$X$7</definedName>
    <definedName name="A4rowActive" localSheetId="58">A4results!$X$7</definedName>
    <definedName name="A4rowActive">A4results!$X$7</definedName>
    <definedName name="A4rowCount">A4results!$W$7</definedName>
    <definedName name="A4sensitivity">A4results!$AA$7</definedName>
    <definedName name="A4yearTable">A4results!$W$15:$AC$46</definedName>
    <definedName name="BG_alt1">'Biogas ENS'!$P$202:$P$218</definedName>
    <definedName name="BG_alt2">'Biogas ENS'!$Q$202:$Q$218</definedName>
    <definedName name="BG_alt3">'Biogas ENS'!$R$202:$R$218</definedName>
    <definedName name="BG_input">'Biogas ENS'!$C$202:$C$218</definedName>
    <definedName name="BG_valg">'Biogas ENS'!$T$201</definedName>
    <definedName name="BG_vlag">'Biogas ENS'!$T$201</definedName>
    <definedName name="chosenCO2quotas">Cockpit!$B$11</definedName>
    <definedName name="ChosenLearning">Cockpit!$B$17</definedName>
    <definedName name="chosenLRME">Cockpit!$B$14</definedName>
    <definedName name="chosenLUC" localSheetId="56">Cockpit!$B$8</definedName>
    <definedName name="chosenLUC" localSheetId="57">Cockpit!$B$8</definedName>
    <definedName name="chosenLUC" localSheetId="55">Cockpit!$B$8</definedName>
    <definedName name="chosenLUC" localSheetId="58">Cockpit!$B$8</definedName>
    <definedName name="chosenLUC">Cockpit!$B$8</definedName>
    <definedName name="chosenYear" localSheetId="56">Cockpit!$B$5</definedName>
    <definedName name="chosenYear" localSheetId="57">Cockpit!$B$5</definedName>
    <definedName name="chosenYear" localSheetId="55">Cockpit!$B$5</definedName>
    <definedName name="chosenYear" localSheetId="58">Cockpit!$B$5</definedName>
    <definedName name="chosenYear">Cockpit!$B$5</definedName>
    <definedName name="dkkPerEUR" localSheetId="56">Supplementary!$C$37</definedName>
    <definedName name="dkkPerEUR" localSheetId="57">Supplementary!$C$37</definedName>
    <definedName name="dkkPerEUR" localSheetId="55">Supplementary!$C$37</definedName>
    <definedName name="dkkPerEUR" localSheetId="58">Supplementary!$C$37</definedName>
    <definedName name="dkkPerEUR">Supplementary!$C$37</definedName>
    <definedName name="dkkPerUSD" localSheetId="56">Supplementary!$C$38</definedName>
    <definedName name="dkkPerUSD" localSheetId="57">Supplementary!$C$38</definedName>
    <definedName name="dkkPerUSD" localSheetId="55">Supplementary!$C$38</definedName>
    <definedName name="dkkPerUSD" localSheetId="58">Supplementary!$C$38</definedName>
    <definedName name="dkkPerUSD">Supplementary!$C$38</definedName>
    <definedName name="følsomhedsantal">Sensitivity!$C$3</definedName>
    <definedName name="følsomhedsresultater">Sensitivity!$U$7:$AC$7</definedName>
    <definedName name="følsomhedsscenarie">Cockpit!$B$20</definedName>
    <definedName name="følsomhedstabel">Sensitivity!$U$12:$AC$31</definedName>
    <definedName name="LogResultRow2015">'Log2015'!$B$14:$DS$14</definedName>
    <definedName name="logResultRow2020">'Log2020'!$B$14:$DS$14</definedName>
    <definedName name="logResultRow2030">'Log2035'!$B$14:$DS$14</definedName>
    <definedName name="logResultRow2050">'Log2050'!$B$14:$DS$14</definedName>
    <definedName name="LogRowZero2015">'Log2015'!$B$24</definedName>
    <definedName name="logRowZero2020">'Log2020'!$B$24</definedName>
    <definedName name="logRowZero2030">'Log2035'!$B$24</definedName>
    <definedName name="logRowZero2050">'Log2050'!$B$24</definedName>
    <definedName name="naf">Supplementary!$C$36</definedName>
    <definedName name="priceYear" localSheetId="56">Supplementary!$C$40</definedName>
    <definedName name="priceYear" localSheetId="57">Supplementary!$C$40</definedName>
    <definedName name="priceYear" localSheetId="55">Supplementary!$C$40</definedName>
    <definedName name="priceYear" localSheetId="58">Supplementary!$C$40</definedName>
    <definedName name="priceYear">Supplementary!$C$40</definedName>
    <definedName name="referencer" localSheetId="2">Referencer!$B$9:$D$12</definedName>
    <definedName name="referencer">#REF!</definedName>
    <definedName name="rSØK" localSheetId="56">Supplementary!$C$35</definedName>
    <definedName name="rSØK" localSheetId="57">Supplementary!$C$35</definedName>
    <definedName name="rSØK" localSheetId="55">Supplementary!$C$35</definedName>
    <definedName name="rSØK" localSheetId="58">Supplementary!$C$35</definedName>
    <definedName name="rSØK">Supplementary!$C$35</definedName>
    <definedName name="SheetNames">GET.WORKBOOK(1)&amp;T(NOW())</definedName>
    <definedName name="TrEcPathwayNo" localSheetId="5">ResultsAllYears!$K$48</definedName>
    <definedName name="TrEcResultRow" localSheetId="5">ResultsAllYears!$L$48:$S$48</definedName>
    <definedName name="TrEcRowCtrl" localSheetId="5">ResultsAllYears!$L$47:$S$47</definedName>
    <definedName name="TrEcTableA" localSheetId="5">ResultsAllYears!$L$51:$S$82</definedName>
    <definedName name="TrEcTableActrl" localSheetId="5">ResultsAllYears!$G$51:$H$82</definedName>
    <definedName name="_xlnm.Print_Area" localSheetId="56">'9000 TEU Diesel'!$B$1:$O$61,'9000 TEU Diesel'!$B$64:$J$90</definedName>
    <definedName name="_xlnm.Print_Area" localSheetId="57">'9000 TEU Dual fuel'!$B$1:$O$61,'9000 TEU Dual fuel'!$B$64:$J$94</definedName>
    <definedName name="_xlnm.Print_Area" localSheetId="55">'9000 TEU HFO'!$B$1:$O$61,'9000 TEU HFO'!$B$64:$J$90</definedName>
    <definedName name="_xlnm.Print_Area" localSheetId="6">A4results!$C$3:$M$87</definedName>
    <definedName name="_xlnm.Print_Area" localSheetId="25">Benzin!$B$1:$N$23,Benzin!$B$26:$N$120</definedName>
    <definedName name="_xlnm.Print_Area" localSheetId="23">'Biogas ENS'!$B$1:$N$24,'Biogas ENS'!$B$26:$N$120</definedName>
    <definedName name="_xlnm.Print_Area" localSheetId="29">'brint-elektricitet'!$B$1:$N$24,'brint-elektricitet'!$B$26:$N$120</definedName>
    <definedName name="_xlnm.Print_Area" localSheetId="44">'Brændselscelle, brinthybrid'!$B$1:$O$61,'Brændselscelle, brinthybrid'!$B$64:$I$106</definedName>
    <definedName name="_xlnm.Print_Area" localSheetId="45">'Brændselscelle, methanolhybrid'!$B$1:$O$61,'Brændselscelle, methanolhybrid'!$B$64:$I$97</definedName>
    <definedName name="_xlnm.Print_Area" localSheetId="24">Diesel!$B$1:$N$23,Diesel!$B$26:$N$120</definedName>
    <definedName name="_xlnm.Print_Area" localSheetId="62">'Diesel IC-reg.tog'!$B$1:$O$62,'Diesel IC-reg.tog'!$B$64:$J$85</definedName>
    <definedName name="_xlnm.Print_Area" localSheetId="60">'Diesel Lokaltog'!$B$1:$O$61,'Diesel Lokaltog'!$B$64:$J$85</definedName>
    <definedName name="_xlnm.Print_Area" localSheetId="41">'Diesel motor DME'!$B$1:$O$61,'Diesel motor DME'!$B$64:$J$87</definedName>
    <definedName name="_xlnm.Print_Area" localSheetId="63">'El IC-reg.tog'!$B$1:$O$61,'El IC-reg.tog'!$B$64:$J$87</definedName>
    <definedName name="_xlnm.Print_Area" localSheetId="34">'Elektrolyse og komprimering'!$B$1:$N$24,'Elektrolyse og komprimering'!$B$26:$N$122,'Elektrolyse og komprimering'!$B$126:$O$146</definedName>
    <definedName name="_xlnm.Print_Area" localSheetId="47">Elmotor!$B$1:$N$61,Elmotor!$B$64:$J$98</definedName>
    <definedName name="_xlnm.Print_Area" localSheetId="61">'Gas Lokaltog'!$B$1:$O$61,'Gas Lokaltog'!$B$64:$J$85</definedName>
    <definedName name="_xlnm.Print_Area" localSheetId="26">HFO!$B$1:$N$23,HFO!$B$26:$N$120</definedName>
    <definedName name="_xlnm.Print_Area" localSheetId="31">Importspor!$B$1:$N$23,Importspor!$B$26:$N$122,Importspor!$B$138:$O$155</definedName>
    <definedName name="_xlnm.Print_Area" localSheetId="38">'Ingen mellem'!$B$1:$N$23,'Ingen mellem'!$B$26:$N$122,'Ingen mellem'!#REF!</definedName>
    <definedName name="_xlnm.Print_Area" localSheetId="0">Introduktion!$B$1:$M$35,Introduktion!$B$37:$M$69</definedName>
    <definedName name="_xlnm.Print_Area" localSheetId="27">'Jet Fuel'!$B$1:$N$23,'Jet Fuel'!$B$26:$N$120</definedName>
    <definedName name="_xlnm.Print_Area" localSheetId="58">'Katamaran ferry'!$B$1:$O$61,'Katamaran ferry'!$B$64:$J$86</definedName>
    <definedName name="_xlnm.Print_Area" localSheetId="35">Ladestation!$B$1:$N$23,Ladestation!$B$26:$N$122</definedName>
    <definedName name="_xlnm.Print_Area" localSheetId="36">'Ladestation Hybrid'!$B$1:$N$23,'Ladestation Hybrid'!$B$26:$N$122</definedName>
    <definedName name="_xlnm.Print_Area" localSheetId="48">Lastbil!$B$1:$P$61,Lastbil!$B$64:$J$81</definedName>
    <definedName name="_xlnm.Print_Area" localSheetId="49">'Lastbil DME'!$B$1:$P$61,'Lastbil DME'!$B$64:$J$81</definedName>
    <definedName name="_xlnm.Print_Area" localSheetId="51">'Lastbil Gas'!$B$1:$P$61,'Lastbil Gas'!$B$64:$J$82</definedName>
    <definedName name="_xlnm.Print_Area" localSheetId="32">LNG!$B$1:$G$24,LNG!$B$26:$G$122</definedName>
    <definedName name="_xlnm.Print_Area" localSheetId="37">'Naturgas komprimering'!$B$1:$G$24,'Naturgas komprimering'!$B$26:$G$122</definedName>
    <definedName name="_xlnm.Print_Area" localSheetId="28">'Naturgas raffinering'!$B$1:$N$24,'Naturgas raffinering'!$B$26:$N$120</definedName>
    <definedName name="_xlnm.Print_Area" localSheetId="30">'oplade-elektricitet'!$B$1:$N$24,'oplade-elektricitet'!$B$26:$N$120</definedName>
    <definedName name="_xlnm.Print_Area" localSheetId="1">Oversigt!$B$1:$L$31,Oversigt!$B$46:$L$98</definedName>
    <definedName name="_xlnm.Print_Area" localSheetId="46">'Plugin Hybrid'!$B$1:$O$61,'Plugin Hybrid'!$B$64:$J$98</definedName>
    <definedName name="_xlnm.Print_Area" localSheetId="59">'SAS avg. airplane'!$B$1:$O$61,'SAS avg. airplane'!$B$64:$J$106</definedName>
    <definedName name="_xlnm.Print_Area" localSheetId="64">Sensitivity!$A$1:$T$2</definedName>
    <definedName name="_xlnm.Print_Area" localSheetId="39">'Std benzin motor'!$B$1:$O$61,'Std benzin motor'!$B$64:$J$84</definedName>
    <definedName name="_xlnm.Print_Area" localSheetId="40">'Std diesel motor'!$B$1:$O$61,'Std diesel motor'!$B$64:$J$88</definedName>
    <definedName name="_xlnm.Print_Area" localSheetId="42">'Tilpasset Otto motor'!$B$1:$O$61,'Tilpasset Otto motor'!$B$64:$J$88</definedName>
    <definedName name="_xlnm.Print_Area" localSheetId="33">'tog-elektricitet'!$B$1:$N$24,'tog-elektricitet'!$B$26:$N$122</definedName>
  </definedNames>
  <calcPr calcId="145621"/>
</workbook>
</file>

<file path=xl/calcChain.xml><?xml version="1.0" encoding="utf-8"?>
<calcChain xmlns="http://schemas.openxmlformats.org/spreadsheetml/2006/main">
  <c r="D37" i="8" l="1"/>
  <c r="R37" i="8" s="1"/>
  <c r="I37" i="8" l="1"/>
  <c r="N37" i="8"/>
  <c r="T37" i="8"/>
  <c r="E37" i="8"/>
  <c r="K37" i="8"/>
  <c r="O37" i="8"/>
  <c r="F37" i="8"/>
  <c r="L37" i="8"/>
  <c r="P37" i="8"/>
  <c r="G37" i="8"/>
  <c r="M37" i="8"/>
  <c r="D60" i="178"/>
  <c r="D59" i="178"/>
  <c r="D58" i="178"/>
  <c r="D57" i="178"/>
  <c r="B57" i="178"/>
  <c r="D219" i="7" l="1"/>
  <c r="AP104" i="3"/>
  <c r="AP103" i="3"/>
  <c r="AP102" i="3"/>
  <c r="AP101" i="3"/>
  <c r="AP100" i="3"/>
  <c r="AP99" i="3"/>
  <c r="AP81" i="3"/>
  <c r="AP79" i="3"/>
  <c r="AP76" i="3"/>
  <c r="AP80" i="3" s="1"/>
  <c r="AP66" i="3"/>
  <c r="AP47" i="3"/>
  <c r="AP19" i="3"/>
  <c r="AP117" i="3" s="1"/>
  <c r="AP18" i="3"/>
  <c r="AL254" i="3"/>
  <c r="I91" i="22"/>
  <c r="G25" i="191"/>
  <c r="F25" i="191"/>
  <c r="F52" i="191" s="1"/>
  <c r="E25" i="191"/>
  <c r="D25" i="191"/>
  <c r="G23" i="191"/>
  <c r="F23" i="191"/>
  <c r="E23" i="191"/>
  <c r="E24" i="191"/>
  <c r="G89" i="191"/>
  <c r="F89" i="191"/>
  <c r="E89" i="191"/>
  <c r="D89" i="191"/>
  <c r="G88" i="191"/>
  <c r="G80" i="191" s="1"/>
  <c r="G38" i="191" s="1"/>
  <c r="F88" i="191"/>
  <c r="E88" i="191"/>
  <c r="E80" i="191" s="1"/>
  <c r="E38" i="191" s="1"/>
  <c r="D88" i="191"/>
  <c r="I83" i="191"/>
  <c r="G82" i="191"/>
  <c r="F82" i="191"/>
  <c r="F80" i="191" s="1"/>
  <c r="F38" i="191" s="1"/>
  <c r="E82" i="191"/>
  <c r="D82" i="191"/>
  <c r="D80" i="191" s="1"/>
  <c r="D38" i="191" s="1"/>
  <c r="I81" i="191"/>
  <c r="G78" i="191"/>
  <c r="F78" i="191"/>
  <c r="E78" i="191"/>
  <c r="G77" i="191"/>
  <c r="F77" i="191"/>
  <c r="E77" i="191"/>
  <c r="D77" i="191"/>
  <c r="G75" i="191"/>
  <c r="F75" i="191"/>
  <c r="E75" i="191"/>
  <c r="D75" i="191"/>
  <c r="D70" i="191"/>
  <c r="D68" i="191"/>
  <c r="D67" i="191"/>
  <c r="E67" i="191" s="1"/>
  <c r="E52" i="191"/>
  <c r="E51" i="191"/>
  <c r="E50" i="191"/>
  <c r="E49" i="191"/>
  <c r="E48" i="191"/>
  <c r="I38" i="191"/>
  <c r="H36" i="191"/>
  <c r="H34" i="191"/>
  <c r="H33" i="191"/>
  <c r="H32" i="191"/>
  <c r="H31" i="191"/>
  <c r="I27" i="191"/>
  <c r="G26" i="191"/>
  <c r="F26" i="191"/>
  <c r="E26" i="191"/>
  <c r="L26" i="191" s="1"/>
  <c r="G52" i="191"/>
  <c r="D23" i="191"/>
  <c r="S2" i="191"/>
  <c r="AL234" i="3"/>
  <c r="AP77" i="3" l="1"/>
  <c r="AP118" i="3"/>
  <c r="AP78" i="3"/>
  <c r="AP115" i="3"/>
  <c r="AP150" i="3" s="1"/>
  <c r="AP119" i="3"/>
  <c r="AP116" i="3"/>
  <c r="AP120" i="3"/>
  <c r="F49" i="191"/>
  <c r="F51" i="191"/>
  <c r="F48" i="191"/>
  <c r="F50" i="191"/>
  <c r="D24" i="191"/>
  <c r="D52" i="191"/>
  <c r="D51" i="191"/>
  <c r="D50" i="191"/>
  <c r="D49" i="191"/>
  <c r="D48" i="191"/>
  <c r="E74" i="191"/>
  <c r="E41" i="191" s="1"/>
  <c r="E73" i="191"/>
  <c r="E28" i="191" s="1"/>
  <c r="F67" i="191"/>
  <c r="F24" i="191"/>
  <c r="G24" i="191"/>
  <c r="G48" i="191"/>
  <c r="G49" i="191"/>
  <c r="G50" i="191"/>
  <c r="G51" i="191"/>
  <c r="D73" i="191"/>
  <c r="D28" i="191" s="1"/>
  <c r="D74" i="191"/>
  <c r="D41" i="191" s="1"/>
  <c r="G67" i="191" l="1"/>
  <c r="F74" i="191"/>
  <c r="F41" i="191" s="1"/>
  <c r="F73" i="191"/>
  <c r="F28" i="191" s="1"/>
  <c r="G74" i="191" l="1"/>
  <c r="G41" i="191" s="1"/>
  <c r="G73" i="191"/>
  <c r="G28" i="191" s="1"/>
  <c r="I90" i="182" l="1"/>
  <c r="I73" i="182"/>
  <c r="I70" i="182"/>
  <c r="E16" i="3" l="1"/>
  <c r="E15" i="3"/>
  <c r="E14" i="3"/>
  <c r="E13" i="3"/>
  <c r="AO104" i="3" l="1"/>
  <c r="AO103" i="3"/>
  <c r="AO102" i="3"/>
  <c r="AO101" i="3"/>
  <c r="AO100" i="3"/>
  <c r="AO99" i="3"/>
  <c r="AO76" i="3"/>
  <c r="AO80" i="3" s="1"/>
  <c r="AO66" i="3"/>
  <c r="AO47" i="3"/>
  <c r="AO19" i="3"/>
  <c r="AO117" i="3" s="1"/>
  <c r="AO18" i="3"/>
  <c r="AO79" i="3" l="1"/>
  <c r="AO120" i="3"/>
  <c r="AO116" i="3"/>
  <c r="AO77" i="3"/>
  <c r="AO81" i="3"/>
  <c r="AO118" i="3"/>
  <c r="AO78" i="3"/>
  <c r="AO115" i="3"/>
  <c r="AO150" i="3" s="1"/>
  <c r="AO119" i="3"/>
  <c r="O41" i="22"/>
  <c r="F88" i="188" l="1"/>
  <c r="G88" i="188" s="1"/>
  <c r="E88" i="188"/>
  <c r="D88" i="188"/>
  <c r="F88" i="186"/>
  <c r="G88" i="186" s="1"/>
  <c r="E88" i="186"/>
  <c r="D88" i="186"/>
  <c r="D78" i="186" s="1"/>
  <c r="S2" i="189"/>
  <c r="D23" i="189"/>
  <c r="E23" i="189"/>
  <c r="F23" i="189"/>
  <c r="G23" i="189"/>
  <c r="D24" i="189"/>
  <c r="E24" i="189"/>
  <c r="F24" i="189"/>
  <c r="G24" i="189"/>
  <c r="H31" i="189"/>
  <c r="H32" i="189"/>
  <c r="H33" i="189"/>
  <c r="H34" i="189"/>
  <c r="H36" i="189"/>
  <c r="F69" i="189"/>
  <c r="N70" i="189"/>
  <c r="S2" i="188"/>
  <c r="H31" i="188"/>
  <c r="H32" i="188"/>
  <c r="H33" i="188"/>
  <c r="H34" i="188"/>
  <c r="H36" i="188"/>
  <c r="D70" i="188"/>
  <c r="E70" i="188"/>
  <c r="F70" i="188"/>
  <c r="G70" i="188"/>
  <c r="D71" i="188"/>
  <c r="D76" i="188" s="1"/>
  <c r="S2" i="187"/>
  <c r="E23" i="187"/>
  <c r="F23" i="187"/>
  <c r="F24" i="187" s="1"/>
  <c r="G23" i="187"/>
  <c r="E24" i="187"/>
  <c r="G24" i="187"/>
  <c r="H31" i="187"/>
  <c r="H32" i="187"/>
  <c r="H33" i="187"/>
  <c r="H34" i="187"/>
  <c r="H36" i="187"/>
  <c r="V68" i="187"/>
  <c r="W68" i="187"/>
  <c r="X68" i="187"/>
  <c r="D69" i="187"/>
  <c r="D69" i="189" s="1"/>
  <c r="E69" i="187"/>
  <c r="V79" i="187" s="1"/>
  <c r="F69" i="187"/>
  <c r="G69" i="187"/>
  <c r="G69" i="189" s="1"/>
  <c r="D70" i="187"/>
  <c r="D70" i="189" s="1"/>
  <c r="D71" i="187"/>
  <c r="D23" i="187" s="1"/>
  <c r="V72" i="187"/>
  <c r="W72" i="187"/>
  <c r="X72" i="187"/>
  <c r="V73" i="187"/>
  <c r="W73" i="187"/>
  <c r="X73" i="187"/>
  <c r="V78" i="187"/>
  <c r="W78" i="187"/>
  <c r="X78" i="187"/>
  <c r="V82" i="187"/>
  <c r="X82" i="187"/>
  <c r="V83" i="187"/>
  <c r="W83" i="187"/>
  <c r="X83" i="187"/>
  <c r="V84" i="187"/>
  <c r="W84" i="187"/>
  <c r="X84" i="187"/>
  <c r="V85" i="187"/>
  <c r="W85" i="187"/>
  <c r="X85" i="187"/>
  <c r="S2" i="186"/>
  <c r="H31" i="186"/>
  <c r="H32" i="186"/>
  <c r="H33" i="186"/>
  <c r="H34" i="186"/>
  <c r="H36" i="186"/>
  <c r="D70" i="186"/>
  <c r="E70" i="186"/>
  <c r="F70" i="186"/>
  <c r="G70" i="186"/>
  <c r="D71" i="186"/>
  <c r="D76" i="186" s="1"/>
  <c r="F72" i="186"/>
  <c r="F23" i="186" s="1"/>
  <c r="F24" i="186" s="1"/>
  <c r="G72" i="186"/>
  <c r="G23" i="186" s="1"/>
  <c r="G24" i="186" s="1"/>
  <c r="S2" i="185"/>
  <c r="D23" i="185"/>
  <c r="E23" i="185"/>
  <c r="F23" i="185"/>
  <c r="G23" i="185"/>
  <c r="D24" i="185"/>
  <c r="E24" i="185"/>
  <c r="F24" i="185"/>
  <c r="G24" i="185"/>
  <c r="H31" i="185"/>
  <c r="H32" i="185"/>
  <c r="H33" i="185"/>
  <c r="H34" i="185"/>
  <c r="H36" i="185"/>
  <c r="D68" i="185"/>
  <c r="E68" i="185"/>
  <c r="F68" i="185"/>
  <c r="G68" i="185"/>
  <c r="D69" i="185"/>
  <c r="F69" i="185"/>
  <c r="S2" i="184"/>
  <c r="D23" i="184"/>
  <c r="E23" i="184"/>
  <c r="E24" i="184" s="1"/>
  <c r="F23" i="184"/>
  <c r="F24" i="184" s="1"/>
  <c r="D24" i="184"/>
  <c r="H31" i="184"/>
  <c r="H32" i="184"/>
  <c r="H33" i="184"/>
  <c r="H34" i="184"/>
  <c r="H36" i="184"/>
  <c r="D68" i="184"/>
  <c r="E68" i="184"/>
  <c r="F68" i="184"/>
  <c r="G68" i="184"/>
  <c r="F69" i="184"/>
  <c r="G69" i="184"/>
  <c r="G71" i="184"/>
  <c r="G23" i="184" s="1"/>
  <c r="G24" i="184" s="1"/>
  <c r="S2" i="183"/>
  <c r="D23" i="183"/>
  <c r="E23" i="183"/>
  <c r="F23" i="183"/>
  <c r="G23" i="183"/>
  <c r="D24" i="183"/>
  <c r="E24" i="183"/>
  <c r="F24" i="183"/>
  <c r="G24" i="183"/>
  <c r="H31" i="183"/>
  <c r="H32" i="183"/>
  <c r="H33" i="183"/>
  <c r="H34" i="183"/>
  <c r="H36" i="183"/>
  <c r="D69" i="183"/>
  <c r="D69" i="184" s="1"/>
  <c r="E69" i="183"/>
  <c r="E69" i="184" s="1"/>
  <c r="F69" i="183"/>
  <c r="G69" i="183"/>
  <c r="G69" i="185" s="1"/>
  <c r="D70" i="183"/>
  <c r="E69" i="189" l="1"/>
  <c r="E69" i="185"/>
  <c r="F70" i="183"/>
  <c r="V71" i="187"/>
  <c r="D78" i="188"/>
  <c r="V80" i="187"/>
  <c r="F70" i="187"/>
  <c r="F70" i="189"/>
  <c r="D25" i="188"/>
  <c r="D24" i="187"/>
  <c r="E70" i="187"/>
  <c r="V69" i="187"/>
  <c r="V70" i="187" s="1"/>
  <c r="D25" i="186"/>
  <c r="E70" i="183"/>
  <c r="E70" i="189" l="1"/>
  <c r="V81" i="187"/>
  <c r="G70" i="187"/>
  <c r="G70" i="183"/>
  <c r="G70" i="189" l="1"/>
  <c r="W79" i="187" l="1"/>
  <c r="W80" i="187" s="1"/>
  <c r="W69" i="187"/>
  <c r="W70" i="187" s="1"/>
  <c r="W71" i="187" l="1"/>
  <c r="X71" i="187" l="1"/>
  <c r="X79" i="187"/>
  <c r="X80" i="187" s="1"/>
  <c r="X69" i="187"/>
  <c r="X70" i="187" s="1"/>
  <c r="X81" i="187" l="1"/>
  <c r="G78" i="179" l="1"/>
  <c r="F78" i="179"/>
  <c r="E78" i="179"/>
  <c r="D78" i="179"/>
  <c r="S2" i="182" l="1"/>
  <c r="D69" i="182"/>
  <c r="E69" i="182"/>
  <c r="F69" i="182"/>
  <c r="G69" i="182"/>
  <c r="E72" i="182"/>
  <c r="F72" i="182"/>
  <c r="G72" i="182"/>
  <c r="D75" i="182"/>
  <c r="E75" i="182"/>
  <c r="F75" i="182"/>
  <c r="G75" i="182"/>
  <c r="D80" i="182"/>
  <c r="D25" i="182" s="1"/>
  <c r="E80" i="182"/>
  <c r="E25" i="182" s="1"/>
  <c r="F80" i="182"/>
  <c r="F25" i="182" s="1"/>
  <c r="G80" i="182"/>
  <c r="G25" i="182" s="1"/>
  <c r="D82" i="182"/>
  <c r="E82" i="182"/>
  <c r="F82" i="182"/>
  <c r="G82" i="182"/>
  <c r="D83" i="182"/>
  <c r="D48" i="182" s="1"/>
  <c r="D56" i="182" s="1"/>
  <c r="E83" i="182"/>
  <c r="E48" i="182" s="1"/>
  <c r="E56" i="182" s="1"/>
  <c r="F83" i="182"/>
  <c r="F48" i="182" s="1"/>
  <c r="F56" i="182" s="1"/>
  <c r="G83" i="182"/>
  <c r="G48" i="182" s="1"/>
  <c r="G56" i="182" s="1"/>
  <c r="D84" i="182"/>
  <c r="D49" i="182" s="1"/>
  <c r="D57" i="182" s="1"/>
  <c r="E84" i="182"/>
  <c r="E49" i="182" s="1"/>
  <c r="E57" i="182" s="1"/>
  <c r="F84" i="182"/>
  <c r="F49" i="182" s="1"/>
  <c r="F57" i="182" s="1"/>
  <c r="G84" i="182"/>
  <c r="G49" i="182" s="1"/>
  <c r="G57" i="182" s="1"/>
  <c r="E95" i="182"/>
  <c r="E85" i="182" s="1"/>
  <c r="E50" i="182" s="1"/>
  <c r="E58" i="182" s="1"/>
  <c r="G95" i="182"/>
  <c r="G85" i="182" s="1"/>
  <c r="G50" i="182" s="1"/>
  <c r="G58" i="182" s="1"/>
  <c r="D96" i="182"/>
  <c r="D86" i="182" s="1"/>
  <c r="D51" i="182" s="1"/>
  <c r="D59" i="182" s="1"/>
  <c r="E96" i="182"/>
  <c r="E86" i="182" s="1"/>
  <c r="E51" i="182" s="1"/>
  <c r="E59" i="182" s="1"/>
  <c r="F96" i="182"/>
  <c r="F86" i="182" s="1"/>
  <c r="F51" i="182" s="1"/>
  <c r="F59" i="182" s="1"/>
  <c r="G96" i="182"/>
  <c r="G86" i="182" s="1"/>
  <c r="G51" i="182" s="1"/>
  <c r="G59" i="182" s="1"/>
  <c r="E97" i="182"/>
  <c r="E87" i="182" s="1"/>
  <c r="E52" i="182" s="1"/>
  <c r="E60" i="182" s="1"/>
  <c r="G97" i="182"/>
  <c r="G87" i="182" s="1"/>
  <c r="G52" i="182" s="1"/>
  <c r="G60" i="182" s="1"/>
  <c r="S2" i="181"/>
  <c r="D50" i="181"/>
  <c r="D58" i="181" s="1"/>
  <c r="E69" i="181"/>
  <c r="D70" i="181"/>
  <c r="E70" i="181"/>
  <c r="F70" i="181"/>
  <c r="G70" i="181"/>
  <c r="D72" i="181"/>
  <c r="D69" i="181" s="1"/>
  <c r="E72" i="181"/>
  <c r="F72" i="181"/>
  <c r="F69" i="181" s="1"/>
  <c r="G72" i="181"/>
  <c r="G69" i="181" s="1"/>
  <c r="E76" i="181"/>
  <c r="F76" i="181"/>
  <c r="G76" i="181"/>
  <c r="D83" i="181"/>
  <c r="E83" i="181"/>
  <c r="F83" i="181"/>
  <c r="G83" i="181"/>
  <c r="D88" i="181"/>
  <c r="D25" i="181" s="1"/>
  <c r="E88" i="181"/>
  <c r="E101" i="181" s="1"/>
  <c r="E91" i="181" s="1"/>
  <c r="E48" i="181" s="1"/>
  <c r="E56" i="181" s="1"/>
  <c r="F88" i="181"/>
  <c r="F101" i="181" s="1"/>
  <c r="F91" i="181" s="1"/>
  <c r="F48" i="181" s="1"/>
  <c r="F56" i="181" s="1"/>
  <c r="G88" i="181"/>
  <c r="G25" i="181" s="1"/>
  <c r="D90" i="181"/>
  <c r="E90" i="181"/>
  <c r="F90" i="181"/>
  <c r="G90" i="181"/>
  <c r="D92" i="181"/>
  <c r="D49" i="181" s="1"/>
  <c r="D57" i="181" s="1"/>
  <c r="E92" i="181"/>
  <c r="E49" i="181" s="1"/>
  <c r="E57" i="181" s="1"/>
  <c r="F92" i="181"/>
  <c r="F49" i="181" s="1"/>
  <c r="F57" i="181" s="1"/>
  <c r="G92" i="181"/>
  <c r="G49" i="181" s="1"/>
  <c r="G57" i="181" s="1"/>
  <c r="D93" i="181"/>
  <c r="E93" i="181"/>
  <c r="E50" i="181" s="1"/>
  <c r="E58" i="181" s="1"/>
  <c r="F93" i="181"/>
  <c r="F50" i="181" s="1"/>
  <c r="F58" i="181" s="1"/>
  <c r="G93" i="181"/>
  <c r="G50" i="181" s="1"/>
  <c r="G58" i="181" s="1"/>
  <c r="D95" i="181"/>
  <c r="D52" i="181" s="1"/>
  <c r="D60" i="181" s="1"/>
  <c r="E95" i="181"/>
  <c r="F95" i="181"/>
  <c r="F52" i="181" s="1"/>
  <c r="F60" i="181" s="1"/>
  <c r="G95" i="181"/>
  <c r="D101" i="181"/>
  <c r="D91" i="181" s="1"/>
  <c r="D48" i="181" s="1"/>
  <c r="D56" i="181" s="1"/>
  <c r="D104" i="181"/>
  <c r="D94" i="181" s="1"/>
  <c r="D51" i="181" s="1"/>
  <c r="D59" i="181" s="1"/>
  <c r="E104" i="181"/>
  <c r="E94" i="181" s="1"/>
  <c r="E51" i="181" s="1"/>
  <c r="E59" i="181" s="1"/>
  <c r="F104" i="181"/>
  <c r="F94" i="181" s="1"/>
  <c r="F51" i="181" s="1"/>
  <c r="F59" i="181" s="1"/>
  <c r="G104" i="181"/>
  <c r="G94" i="181" s="1"/>
  <c r="G51" i="181" s="1"/>
  <c r="G59" i="181" s="1"/>
  <c r="S2" i="180"/>
  <c r="G49" i="180"/>
  <c r="G57" i="180" s="1"/>
  <c r="D72" i="180"/>
  <c r="D69" i="180" s="1"/>
  <c r="E72" i="180"/>
  <c r="E69" i="180" s="1"/>
  <c r="F72" i="180"/>
  <c r="F69" i="180" s="1"/>
  <c r="G72" i="180"/>
  <c r="G73" i="180" s="1"/>
  <c r="D73" i="180"/>
  <c r="E73" i="180"/>
  <c r="E76" i="180"/>
  <c r="F76" i="180"/>
  <c r="G76" i="180"/>
  <c r="D79" i="180"/>
  <c r="E79" i="180"/>
  <c r="F79" i="180"/>
  <c r="G79" i="180"/>
  <c r="D84" i="180"/>
  <c r="D25" i="180" s="1"/>
  <c r="E84" i="180"/>
  <c r="E25" i="180" s="1"/>
  <c r="F84" i="180"/>
  <c r="F25" i="180" s="1"/>
  <c r="G84" i="180"/>
  <c r="G25" i="180" s="1"/>
  <c r="D86" i="180"/>
  <c r="E86" i="180"/>
  <c r="F86" i="180"/>
  <c r="G86" i="180"/>
  <c r="D87" i="180"/>
  <c r="D48" i="180" s="1"/>
  <c r="D56" i="180" s="1"/>
  <c r="E87" i="180"/>
  <c r="E48" i="180" s="1"/>
  <c r="E56" i="180" s="1"/>
  <c r="F87" i="180"/>
  <c r="F48" i="180" s="1"/>
  <c r="F56" i="180" s="1"/>
  <c r="G87" i="180"/>
  <c r="G48" i="180" s="1"/>
  <c r="G56" i="180" s="1"/>
  <c r="D88" i="180"/>
  <c r="D49" i="180" s="1"/>
  <c r="D57" i="180" s="1"/>
  <c r="E88" i="180"/>
  <c r="E49" i="180" s="1"/>
  <c r="E57" i="180" s="1"/>
  <c r="F88" i="180"/>
  <c r="F49" i="180" s="1"/>
  <c r="F57" i="180" s="1"/>
  <c r="G88" i="180"/>
  <c r="E89" i="180"/>
  <c r="E50" i="180" s="1"/>
  <c r="E58" i="180" s="1"/>
  <c r="D90" i="180"/>
  <c r="E90" i="180"/>
  <c r="F90" i="180"/>
  <c r="F51" i="180" s="1"/>
  <c r="F59" i="180" s="1"/>
  <c r="G90" i="180"/>
  <c r="G51" i="180" s="1"/>
  <c r="G59" i="180" s="1"/>
  <c r="D99" i="180"/>
  <c r="D95" i="182" s="1"/>
  <c r="D85" i="182" s="1"/>
  <c r="D50" i="182" s="1"/>
  <c r="D58" i="182" s="1"/>
  <c r="E99" i="180"/>
  <c r="F99" i="180"/>
  <c r="F89" i="180" s="1"/>
  <c r="F50" i="180" s="1"/>
  <c r="F58" i="180" s="1"/>
  <c r="G99" i="180"/>
  <c r="G89" i="180" s="1"/>
  <c r="D101" i="180"/>
  <c r="D97" i="182" s="1"/>
  <c r="D87" i="182" s="1"/>
  <c r="D52" i="182" s="1"/>
  <c r="D60" i="182" s="1"/>
  <c r="E101" i="180"/>
  <c r="E91" i="180" s="1"/>
  <c r="F101" i="180"/>
  <c r="F91" i="180" s="1"/>
  <c r="F52" i="180" s="1"/>
  <c r="F60" i="180" s="1"/>
  <c r="G101" i="180"/>
  <c r="G91" i="180" s="1"/>
  <c r="S2" i="179"/>
  <c r="G48" i="179"/>
  <c r="G49" i="179"/>
  <c r="G57" i="179" s="1"/>
  <c r="G50" i="179"/>
  <c r="G51" i="179"/>
  <c r="G59" i="179" s="1"/>
  <c r="G52" i="179"/>
  <c r="G56" i="179"/>
  <c r="G58" i="179"/>
  <c r="G60" i="179"/>
  <c r="O67" i="179"/>
  <c r="E69" i="179"/>
  <c r="D72" i="179"/>
  <c r="D69" i="179" s="1"/>
  <c r="E72" i="179"/>
  <c r="E73" i="179" s="1"/>
  <c r="F72" i="179"/>
  <c r="F69" i="179" s="1"/>
  <c r="G72" i="179"/>
  <c r="G69" i="179" s="1"/>
  <c r="F73" i="179"/>
  <c r="E76" i="179"/>
  <c r="F76" i="179"/>
  <c r="G76" i="179"/>
  <c r="D79" i="179"/>
  <c r="E79" i="179"/>
  <c r="F79" i="179"/>
  <c r="G79" i="179"/>
  <c r="D80" i="179"/>
  <c r="E80" i="179"/>
  <c r="E81" i="179" s="1"/>
  <c r="E23" i="179" s="1"/>
  <c r="F80" i="179"/>
  <c r="F81" i="179" s="1"/>
  <c r="F23" i="179" s="1"/>
  <c r="G80" i="179"/>
  <c r="G81" i="179" s="1"/>
  <c r="G23" i="179" s="1"/>
  <c r="D81" i="179"/>
  <c r="D23" i="179" s="1"/>
  <c r="D84" i="179"/>
  <c r="D25" i="179" s="1"/>
  <c r="E84" i="179"/>
  <c r="F84" i="179"/>
  <c r="F25" i="179" s="1"/>
  <c r="G84" i="179"/>
  <c r="G25" i="179" s="1"/>
  <c r="D86" i="179"/>
  <c r="E86" i="179"/>
  <c r="F86" i="179"/>
  <c r="G86" i="179"/>
  <c r="D87" i="179"/>
  <c r="D48" i="179" s="1"/>
  <c r="D56" i="179" s="1"/>
  <c r="E87" i="179"/>
  <c r="E48" i="179" s="1"/>
  <c r="E56" i="179" s="1"/>
  <c r="F87" i="179"/>
  <c r="F48" i="179" s="1"/>
  <c r="F56" i="179" s="1"/>
  <c r="G87" i="179"/>
  <c r="D88" i="179"/>
  <c r="D49" i="179" s="1"/>
  <c r="D57" i="179" s="1"/>
  <c r="E88" i="179"/>
  <c r="E49" i="179" s="1"/>
  <c r="E57" i="179" s="1"/>
  <c r="F88" i="179"/>
  <c r="F49" i="179" s="1"/>
  <c r="F57" i="179" s="1"/>
  <c r="G88" i="179"/>
  <c r="D89" i="179"/>
  <c r="D50" i="179" s="1"/>
  <c r="D58" i="179" s="1"/>
  <c r="E89" i="179"/>
  <c r="E50" i="179" s="1"/>
  <c r="E58" i="179" s="1"/>
  <c r="F89" i="179"/>
  <c r="F50" i="179" s="1"/>
  <c r="F58" i="179" s="1"/>
  <c r="G89" i="179"/>
  <c r="D90" i="179"/>
  <c r="D51" i="179" s="1"/>
  <c r="D59" i="179" s="1"/>
  <c r="E90" i="179"/>
  <c r="E51" i="179" s="1"/>
  <c r="E59" i="179" s="1"/>
  <c r="F90" i="179"/>
  <c r="F51" i="179" s="1"/>
  <c r="F59" i="179" s="1"/>
  <c r="G90" i="179"/>
  <c r="D91" i="179"/>
  <c r="D52" i="179" s="1"/>
  <c r="D60" i="179" s="1"/>
  <c r="E91" i="179"/>
  <c r="E52" i="179" s="1"/>
  <c r="E60" i="179" s="1"/>
  <c r="F91" i="179"/>
  <c r="F52" i="179" s="1"/>
  <c r="F60" i="179" s="1"/>
  <c r="G91" i="179"/>
  <c r="E51" i="180" l="1"/>
  <c r="E59" i="180" s="1"/>
  <c r="G69" i="180"/>
  <c r="G73" i="179"/>
  <c r="G52" i="180"/>
  <c r="G60" i="180" s="1"/>
  <c r="G50" i="180"/>
  <c r="G58" i="180" s="1"/>
  <c r="D91" i="180"/>
  <c r="D52" i="180" s="1"/>
  <c r="D60" i="180" s="1"/>
  <c r="D51" i="180"/>
  <c r="D59" i="180" s="1"/>
  <c r="E52" i="181"/>
  <c r="E60" i="181" s="1"/>
  <c r="F73" i="181"/>
  <c r="D73" i="181"/>
  <c r="F97" i="182"/>
  <c r="F87" i="182" s="1"/>
  <c r="F52" i="182" s="1"/>
  <c r="F60" i="182" s="1"/>
  <c r="F95" i="182"/>
  <c r="F85" i="182" s="1"/>
  <c r="F50" i="182" s="1"/>
  <c r="F58" i="182" s="1"/>
  <c r="E83" i="179"/>
  <c r="E52" i="180"/>
  <c r="E60" i="180" s="1"/>
  <c r="D89" i="180"/>
  <c r="D50" i="180" s="1"/>
  <c r="D58" i="180" s="1"/>
  <c r="G52" i="181"/>
  <c r="G60" i="181" s="1"/>
  <c r="D67" i="179"/>
  <c r="O68" i="179" s="1"/>
  <c r="D24" i="179"/>
  <c r="E79" i="182"/>
  <c r="F79" i="182"/>
  <c r="G79" i="182"/>
  <c r="E25" i="181"/>
  <c r="G73" i="181"/>
  <c r="F25" i="181"/>
  <c r="G101" i="181"/>
  <c r="G91" i="181" s="1"/>
  <c r="G48" i="181" s="1"/>
  <c r="G56" i="181" s="1"/>
  <c r="E73" i="181"/>
  <c r="F73" i="180"/>
  <c r="G24" i="179"/>
  <c r="G67" i="179"/>
  <c r="F67" i="179"/>
  <c r="F24" i="179"/>
  <c r="E67" i="179"/>
  <c r="E24" i="179"/>
  <c r="F83" i="179"/>
  <c r="D73" i="179"/>
  <c r="E25" i="179"/>
  <c r="G83" i="179"/>
  <c r="F39" i="179" l="1"/>
  <c r="D39" i="179"/>
  <c r="E39" i="179"/>
  <c r="G39" i="179" l="1"/>
  <c r="O75" i="179" l="1"/>
  <c r="O76" i="179" s="1"/>
  <c r="O77" i="179" s="1"/>
  <c r="O78" i="179" s="1"/>
  <c r="X142" i="7" l="1"/>
  <c r="W142" i="7"/>
  <c r="V142" i="7"/>
  <c r="U142" i="7"/>
  <c r="X141" i="7"/>
  <c r="W141" i="7"/>
  <c r="V141" i="7"/>
  <c r="U141" i="7"/>
  <c r="T141" i="7" s="1"/>
  <c r="X140" i="7"/>
  <c r="W140" i="7"/>
  <c r="V140" i="7"/>
  <c r="U140" i="7"/>
  <c r="T140" i="7" s="1"/>
  <c r="P142" i="7"/>
  <c r="O142" i="7"/>
  <c r="N142" i="7"/>
  <c r="M142" i="7"/>
  <c r="P141" i="7"/>
  <c r="O141" i="7"/>
  <c r="N141" i="7"/>
  <c r="M141" i="7"/>
  <c r="P140" i="7"/>
  <c r="O140" i="7"/>
  <c r="N140" i="7"/>
  <c r="M140" i="7"/>
  <c r="T142" i="7" l="1"/>
  <c r="L140" i="7"/>
  <c r="L141" i="7"/>
  <c r="L142" i="7"/>
  <c r="C218" i="161" l="1"/>
  <c r="C217" i="161"/>
  <c r="C216" i="161"/>
  <c r="C215" i="161"/>
  <c r="C214" i="161"/>
  <c r="C213" i="161"/>
  <c r="C212" i="161"/>
  <c r="C211" i="161"/>
  <c r="C210" i="161"/>
  <c r="C209" i="161"/>
  <c r="C208" i="161"/>
  <c r="C207" i="161"/>
  <c r="C206" i="161"/>
  <c r="C205" i="161"/>
  <c r="C204" i="161"/>
  <c r="C203" i="161"/>
  <c r="C202" i="161"/>
  <c r="N206" i="161" l="1"/>
  <c r="D131" i="172" l="1"/>
  <c r="E131" i="172" s="1"/>
  <c r="F131" i="172" s="1"/>
  <c r="G131" i="172" s="1"/>
  <c r="D80" i="171"/>
  <c r="AK253" i="3" l="1"/>
  <c r="AK252" i="3"/>
  <c r="AK251" i="3"/>
  <c r="AK250" i="3"/>
  <c r="AK249" i="3"/>
  <c r="AK248" i="3"/>
  <c r="AK247" i="3"/>
  <c r="AK246" i="3"/>
  <c r="AK245" i="3"/>
  <c r="AK244" i="3"/>
  <c r="AK243" i="3"/>
  <c r="AK242" i="3"/>
  <c r="AK241" i="3"/>
  <c r="AK240" i="3"/>
  <c r="AK239" i="3"/>
  <c r="AK238" i="3"/>
  <c r="AK237" i="3"/>
  <c r="AK236" i="3"/>
  <c r="AK235" i="3"/>
  <c r="AK234" i="3"/>
  <c r="AK233" i="3"/>
  <c r="AK232" i="3"/>
  <c r="AK231" i="3"/>
  <c r="AK230" i="3"/>
  <c r="AK104" i="3"/>
  <c r="AK103" i="3"/>
  <c r="AK102" i="3"/>
  <c r="AK101" i="3"/>
  <c r="AK100" i="3"/>
  <c r="AK99" i="3"/>
  <c r="AK76" i="3"/>
  <c r="AK81" i="3" s="1"/>
  <c r="AK66" i="3"/>
  <c r="AK47" i="3"/>
  <c r="AK19" i="3"/>
  <c r="AK118" i="3" s="1"/>
  <c r="AK18" i="3"/>
  <c r="AI104" i="3"/>
  <c r="AI103" i="3"/>
  <c r="AI102" i="3"/>
  <c r="AI101" i="3"/>
  <c r="AI100" i="3"/>
  <c r="AI99" i="3"/>
  <c r="AI76" i="3"/>
  <c r="AI81" i="3" s="1"/>
  <c r="AI66" i="3"/>
  <c r="AI47" i="3"/>
  <c r="AI19" i="3"/>
  <c r="AI118" i="3" s="1"/>
  <c r="AI18" i="3"/>
  <c r="AK116" i="3" l="1"/>
  <c r="AI79" i="3"/>
  <c r="AI117" i="3"/>
  <c r="AK79" i="3"/>
  <c r="AK117" i="3"/>
  <c r="AI120" i="3"/>
  <c r="AK120" i="3"/>
  <c r="AI116" i="3"/>
  <c r="AK78" i="3"/>
  <c r="AK115" i="3"/>
  <c r="AK150" i="3" s="1"/>
  <c r="AK119" i="3"/>
  <c r="AK80" i="3"/>
  <c r="AK77" i="3"/>
  <c r="AI80" i="3"/>
  <c r="AI78" i="3"/>
  <c r="AI115" i="3"/>
  <c r="AI150" i="3" s="1"/>
  <c r="AI119" i="3"/>
  <c r="AI77" i="3"/>
  <c r="AH104" i="3"/>
  <c r="AH103" i="3"/>
  <c r="AH102" i="3"/>
  <c r="AH101" i="3"/>
  <c r="AH100" i="3"/>
  <c r="AH99" i="3"/>
  <c r="AH76" i="3"/>
  <c r="AH81" i="3" s="1"/>
  <c r="AH66" i="3"/>
  <c r="AH47" i="3"/>
  <c r="AH19" i="3"/>
  <c r="AH118" i="3" s="1"/>
  <c r="AH18" i="3"/>
  <c r="Q38" i="90"/>
  <c r="Q39" i="90"/>
  <c r="P38" i="90"/>
  <c r="P39" i="90"/>
  <c r="O38" i="90"/>
  <c r="O39" i="90"/>
  <c r="AH79" i="3" l="1"/>
  <c r="AH117" i="3"/>
  <c r="AH120" i="3"/>
  <c r="AH116" i="3"/>
  <c r="AH80" i="3"/>
  <c r="AH78" i="3"/>
  <c r="AH115" i="3"/>
  <c r="AH150" i="3" s="1"/>
  <c r="AH119" i="3"/>
  <c r="AH77" i="3"/>
  <c r="C165" i="14"/>
  <c r="F26" i="76"/>
  <c r="E26" i="76"/>
  <c r="D26" i="76"/>
  <c r="C12" i="108" l="1"/>
  <c r="C100" i="108"/>
  <c r="AA48" i="108" l="1"/>
  <c r="S54" i="108"/>
  <c r="S53" i="108"/>
  <c r="S52" i="108"/>
  <c r="S51" i="108"/>
  <c r="S50" i="108"/>
  <c r="S49" i="108"/>
  <c r="S48" i="108"/>
  <c r="S47" i="108"/>
  <c r="S46" i="108"/>
  <c r="S45" i="108"/>
  <c r="S44" i="108"/>
  <c r="S43" i="108"/>
  <c r="S42" i="108"/>
  <c r="S41" i="108"/>
  <c r="S40" i="108"/>
  <c r="S39" i="108"/>
  <c r="S38" i="108"/>
  <c r="S37" i="108"/>
  <c r="S36" i="108"/>
  <c r="S35" i="108"/>
  <c r="AE53" i="108" l="1"/>
  <c r="T48" i="108" s="1"/>
  <c r="AA52" i="108"/>
  <c r="AA51" i="108"/>
  <c r="AA54" i="108" s="1"/>
  <c r="T54" i="108" l="1"/>
  <c r="T52" i="108"/>
  <c r="T51" i="108"/>
  <c r="D54" i="146"/>
  <c r="E54" i="146" s="1"/>
  <c r="F54" i="146" s="1"/>
  <c r="G54" i="146" s="1"/>
  <c r="D70" i="175"/>
  <c r="D114" i="175" s="1"/>
  <c r="L50" i="108"/>
  <c r="L49" i="108"/>
  <c r="L48" i="108"/>
  <c r="Y48" i="108" s="1"/>
  <c r="L47" i="108"/>
  <c r="L46" i="108"/>
  <c r="L45" i="108"/>
  <c r="L44" i="108"/>
  <c r="L43" i="108"/>
  <c r="L42" i="108"/>
  <c r="D50" i="175"/>
  <c r="F50" i="175" s="1"/>
  <c r="G49" i="146"/>
  <c r="F49" i="146"/>
  <c r="D49" i="146"/>
  <c r="E49" i="146" s="1"/>
  <c r="B150" i="100"/>
  <c r="B149" i="100"/>
  <c r="B148" i="100"/>
  <c r="B147" i="100"/>
  <c r="B146" i="100"/>
  <c r="B145" i="100"/>
  <c r="B144" i="100"/>
  <c r="B143" i="100"/>
  <c r="B142" i="100"/>
  <c r="B141" i="100"/>
  <c r="B140" i="100"/>
  <c r="B139" i="100"/>
  <c r="B138" i="100"/>
  <c r="A150" i="100"/>
  <c r="A149" i="100"/>
  <c r="A148" i="100"/>
  <c r="A147" i="100"/>
  <c r="A146" i="100"/>
  <c r="A145" i="100"/>
  <c r="A144" i="100"/>
  <c r="A143" i="100"/>
  <c r="A142" i="100"/>
  <c r="A141" i="100"/>
  <c r="A140" i="100"/>
  <c r="A139" i="100"/>
  <c r="A138" i="100"/>
  <c r="AL147" i="100"/>
  <c r="AK147" i="100"/>
  <c r="AJ147" i="100"/>
  <c r="AI147" i="100"/>
  <c r="AH147" i="100"/>
  <c r="AG147" i="100"/>
  <c r="AF147" i="100"/>
  <c r="AE147" i="100"/>
  <c r="AD147" i="100"/>
  <c r="AC147" i="100"/>
  <c r="AB147" i="100"/>
  <c r="AA147" i="100"/>
  <c r="Z147" i="100"/>
  <c r="D147" i="100"/>
  <c r="AL146" i="100"/>
  <c r="AK146" i="100"/>
  <c r="AJ146" i="100"/>
  <c r="AI146" i="100"/>
  <c r="AH146" i="100"/>
  <c r="AG146" i="100"/>
  <c r="AF146" i="100"/>
  <c r="AE146" i="100"/>
  <c r="AD146" i="100"/>
  <c r="AC146" i="100"/>
  <c r="AB146" i="100"/>
  <c r="AA146" i="100"/>
  <c r="Z146" i="100"/>
  <c r="D146" i="100"/>
  <c r="AL145" i="100"/>
  <c r="AK145" i="100"/>
  <c r="AJ145" i="100"/>
  <c r="AI145" i="100"/>
  <c r="AH145" i="100"/>
  <c r="AG145" i="100"/>
  <c r="AF145" i="100"/>
  <c r="AE145" i="100"/>
  <c r="AD145" i="100"/>
  <c r="AC145" i="100"/>
  <c r="AB145" i="100"/>
  <c r="AA145" i="100"/>
  <c r="Z145" i="100"/>
  <c r="D145" i="100"/>
  <c r="AL144" i="100"/>
  <c r="AK144" i="100"/>
  <c r="AJ144" i="100"/>
  <c r="AI144" i="100"/>
  <c r="AH144" i="100"/>
  <c r="AG144" i="100"/>
  <c r="AF144" i="100"/>
  <c r="AE144" i="100"/>
  <c r="AD144" i="100"/>
  <c r="AC144" i="100"/>
  <c r="AB144" i="100"/>
  <c r="AA144" i="100"/>
  <c r="Z144" i="100"/>
  <c r="D144" i="100"/>
  <c r="AL143" i="100"/>
  <c r="AK143" i="100"/>
  <c r="AJ143" i="100"/>
  <c r="AI143" i="100"/>
  <c r="AH143" i="100"/>
  <c r="AG143" i="100"/>
  <c r="AF143" i="100"/>
  <c r="AE143" i="100"/>
  <c r="AD143" i="100"/>
  <c r="AC143" i="100"/>
  <c r="AB143" i="100"/>
  <c r="AA143" i="100"/>
  <c r="Z143" i="100"/>
  <c r="D143" i="100"/>
  <c r="AL142" i="100"/>
  <c r="AK142" i="100"/>
  <c r="AJ142" i="100"/>
  <c r="AI142" i="100"/>
  <c r="AH142" i="100"/>
  <c r="AG142" i="100"/>
  <c r="AF142" i="100"/>
  <c r="AE142" i="100"/>
  <c r="AD142" i="100"/>
  <c r="AC142" i="100"/>
  <c r="AB142" i="100"/>
  <c r="AA142" i="100"/>
  <c r="Z142" i="100"/>
  <c r="D142" i="100"/>
  <c r="AL141" i="100"/>
  <c r="AK141" i="100"/>
  <c r="AJ141" i="100"/>
  <c r="AI141" i="100"/>
  <c r="AH141" i="100"/>
  <c r="AG141" i="100"/>
  <c r="AF141" i="100"/>
  <c r="AE141" i="100"/>
  <c r="AD141" i="100"/>
  <c r="AC141" i="100"/>
  <c r="AB141" i="100"/>
  <c r="AA141" i="100"/>
  <c r="Z141" i="100"/>
  <c r="D141" i="100"/>
  <c r="AL140" i="100"/>
  <c r="AK140" i="100"/>
  <c r="AJ140" i="100"/>
  <c r="AI140" i="100"/>
  <c r="AH140" i="100"/>
  <c r="AG140" i="100"/>
  <c r="AF140" i="100"/>
  <c r="AE140" i="100"/>
  <c r="AD140" i="100"/>
  <c r="AC140" i="100"/>
  <c r="AB140" i="100"/>
  <c r="AA140" i="100"/>
  <c r="Z140" i="100"/>
  <c r="D140" i="100"/>
  <c r="AL139" i="100"/>
  <c r="AK139" i="100"/>
  <c r="AJ139" i="100"/>
  <c r="AI139" i="100"/>
  <c r="AH139" i="100"/>
  <c r="AG139" i="100"/>
  <c r="AF139" i="100"/>
  <c r="AE139" i="100"/>
  <c r="AD139" i="100"/>
  <c r="AC139" i="100"/>
  <c r="AB139" i="100"/>
  <c r="AA139" i="100"/>
  <c r="Z139" i="100"/>
  <c r="D139" i="100"/>
  <c r="AL138" i="100"/>
  <c r="AK138" i="100"/>
  <c r="AJ138" i="100"/>
  <c r="AI138" i="100"/>
  <c r="AH138" i="100"/>
  <c r="AG138" i="100"/>
  <c r="AF138" i="100"/>
  <c r="AE138" i="100"/>
  <c r="AD138" i="100"/>
  <c r="AC138" i="100"/>
  <c r="AB138" i="100"/>
  <c r="AA138" i="100"/>
  <c r="Z138" i="100"/>
  <c r="D138" i="100"/>
  <c r="B78" i="103"/>
  <c r="B77" i="103"/>
  <c r="B76" i="103"/>
  <c r="B75" i="103"/>
  <c r="B74" i="103"/>
  <c r="B73" i="103"/>
  <c r="B72" i="103"/>
  <c r="B71" i="103"/>
  <c r="B70" i="103"/>
  <c r="B69" i="103"/>
  <c r="B68" i="103"/>
  <c r="B67" i="103"/>
  <c r="B66" i="103"/>
  <c r="B65" i="103"/>
  <c r="B64" i="103"/>
  <c r="B63" i="103"/>
  <c r="B62" i="103"/>
  <c r="B61" i="103"/>
  <c r="B60" i="103"/>
  <c r="B78" i="105"/>
  <c r="B77" i="105"/>
  <c r="B76" i="105"/>
  <c r="B75" i="105"/>
  <c r="B74" i="105"/>
  <c r="B73" i="105"/>
  <c r="B72" i="105"/>
  <c r="B71" i="105"/>
  <c r="B70" i="105"/>
  <c r="B69" i="105"/>
  <c r="B68" i="105"/>
  <c r="B67" i="105"/>
  <c r="B66" i="105"/>
  <c r="B65" i="105"/>
  <c r="B64" i="105"/>
  <c r="B63" i="105"/>
  <c r="B62" i="105"/>
  <c r="B61" i="105"/>
  <c r="B60" i="105"/>
  <c r="B78" i="172"/>
  <c r="B77" i="172"/>
  <c r="B76" i="172"/>
  <c r="B75" i="172"/>
  <c r="B74" i="172"/>
  <c r="B73" i="172"/>
  <c r="B72" i="172"/>
  <c r="B71" i="172"/>
  <c r="B70" i="172"/>
  <c r="B69" i="172"/>
  <c r="B68" i="172"/>
  <c r="B67" i="172"/>
  <c r="B66" i="172"/>
  <c r="B65" i="172"/>
  <c r="B64" i="172"/>
  <c r="B63" i="172"/>
  <c r="B62" i="172"/>
  <c r="B61" i="172"/>
  <c r="B60" i="172"/>
  <c r="B78" i="38"/>
  <c r="B77" i="38"/>
  <c r="B76" i="38"/>
  <c r="B75" i="38"/>
  <c r="B74" i="38"/>
  <c r="B73" i="38"/>
  <c r="B72" i="38"/>
  <c r="B71" i="38"/>
  <c r="B70" i="38"/>
  <c r="B69" i="38"/>
  <c r="B68" i="38"/>
  <c r="B67" i="38"/>
  <c r="B66" i="38"/>
  <c r="B65" i="38"/>
  <c r="B64" i="38"/>
  <c r="B63" i="38"/>
  <c r="B62" i="38"/>
  <c r="B61" i="38"/>
  <c r="B60" i="38"/>
  <c r="B78" i="39"/>
  <c r="B77" i="39"/>
  <c r="B76" i="39"/>
  <c r="B75" i="39"/>
  <c r="B74" i="39"/>
  <c r="B73" i="39"/>
  <c r="B72" i="39"/>
  <c r="B71" i="39"/>
  <c r="B70" i="39"/>
  <c r="B69" i="39"/>
  <c r="B68" i="39"/>
  <c r="B67" i="39"/>
  <c r="B66" i="39"/>
  <c r="B65" i="39"/>
  <c r="B64" i="39"/>
  <c r="B63" i="39"/>
  <c r="B62" i="39"/>
  <c r="B61" i="39"/>
  <c r="B60" i="39"/>
  <c r="B78" i="94"/>
  <c r="B77" i="94"/>
  <c r="B76" i="94"/>
  <c r="B75" i="94"/>
  <c r="B74" i="94"/>
  <c r="B73" i="94"/>
  <c r="B72" i="94"/>
  <c r="B71" i="94"/>
  <c r="B70" i="94"/>
  <c r="B69" i="94"/>
  <c r="B68" i="94"/>
  <c r="B67" i="94"/>
  <c r="B66" i="94"/>
  <c r="B65" i="94"/>
  <c r="B64" i="94"/>
  <c r="B63" i="94"/>
  <c r="B62" i="94"/>
  <c r="B61" i="94"/>
  <c r="B60" i="94"/>
  <c r="B78" i="142"/>
  <c r="B77" i="142"/>
  <c r="B76" i="142"/>
  <c r="B75" i="142"/>
  <c r="B74" i="142"/>
  <c r="B73" i="142"/>
  <c r="B72" i="142"/>
  <c r="B71" i="142"/>
  <c r="B70" i="142"/>
  <c r="B69" i="142"/>
  <c r="B68" i="142"/>
  <c r="B67" i="142"/>
  <c r="B66" i="142"/>
  <c r="B65" i="142"/>
  <c r="B64" i="142"/>
  <c r="B63" i="142"/>
  <c r="B62" i="142"/>
  <c r="B61" i="142"/>
  <c r="B60" i="142"/>
  <c r="B78" i="143"/>
  <c r="B77" i="143"/>
  <c r="B76" i="143"/>
  <c r="B75" i="143"/>
  <c r="B74" i="143"/>
  <c r="B73" i="143"/>
  <c r="B72" i="143"/>
  <c r="B71" i="143"/>
  <c r="B70" i="143"/>
  <c r="B69" i="143"/>
  <c r="B68" i="143"/>
  <c r="B67" i="143"/>
  <c r="B66" i="143"/>
  <c r="B65" i="143"/>
  <c r="B64" i="143"/>
  <c r="B63" i="143"/>
  <c r="B62" i="143"/>
  <c r="B61" i="143"/>
  <c r="B60" i="143"/>
  <c r="B78" i="144"/>
  <c r="B77" i="144"/>
  <c r="B76" i="144"/>
  <c r="B75" i="144"/>
  <c r="B74" i="144"/>
  <c r="B73" i="144"/>
  <c r="B72" i="144"/>
  <c r="B71" i="144"/>
  <c r="B70" i="144"/>
  <c r="B69" i="144"/>
  <c r="B68" i="144"/>
  <c r="B67" i="144"/>
  <c r="B66" i="144"/>
  <c r="B65" i="144"/>
  <c r="B64" i="144"/>
  <c r="B63" i="144"/>
  <c r="B62" i="144"/>
  <c r="B61" i="144"/>
  <c r="B60" i="144"/>
  <c r="B78" i="145"/>
  <c r="B77" i="145"/>
  <c r="B76" i="145"/>
  <c r="B75" i="145"/>
  <c r="B74" i="145"/>
  <c r="B73" i="145"/>
  <c r="B72" i="145"/>
  <c r="B71" i="145"/>
  <c r="B70" i="145"/>
  <c r="B69" i="145"/>
  <c r="B68" i="145"/>
  <c r="B67" i="145"/>
  <c r="B66" i="145"/>
  <c r="B65" i="145"/>
  <c r="B64" i="145"/>
  <c r="B63" i="145"/>
  <c r="B62" i="145"/>
  <c r="B61" i="145"/>
  <c r="B60" i="145"/>
  <c r="B78" i="148"/>
  <c r="B77" i="148"/>
  <c r="B76" i="148"/>
  <c r="B75" i="148"/>
  <c r="B74" i="148"/>
  <c r="B73" i="148"/>
  <c r="B72" i="148"/>
  <c r="B71" i="148"/>
  <c r="B70" i="148"/>
  <c r="B69" i="148"/>
  <c r="B68" i="148"/>
  <c r="B67" i="148"/>
  <c r="B66" i="148"/>
  <c r="B65" i="148"/>
  <c r="B64" i="148"/>
  <c r="B63" i="148"/>
  <c r="B62" i="148"/>
  <c r="B61" i="148"/>
  <c r="B60" i="148"/>
  <c r="B78" i="150"/>
  <c r="B77" i="150"/>
  <c r="B76" i="150"/>
  <c r="B75" i="150"/>
  <c r="B74" i="150"/>
  <c r="B73" i="150"/>
  <c r="B72" i="150"/>
  <c r="B71" i="150"/>
  <c r="B70" i="150"/>
  <c r="B69" i="150"/>
  <c r="B68" i="150"/>
  <c r="B67" i="150"/>
  <c r="B66" i="150"/>
  <c r="B65" i="150"/>
  <c r="B64" i="150"/>
  <c r="B63" i="150"/>
  <c r="B62" i="150"/>
  <c r="B61" i="150"/>
  <c r="B60" i="150"/>
  <c r="B78" i="174"/>
  <c r="B77" i="174"/>
  <c r="B76" i="174"/>
  <c r="B75" i="174"/>
  <c r="B74" i="174"/>
  <c r="B73" i="174"/>
  <c r="B72" i="174"/>
  <c r="B71" i="174"/>
  <c r="B70" i="174"/>
  <c r="B69" i="174"/>
  <c r="B68" i="174"/>
  <c r="B67" i="174"/>
  <c r="B66" i="174"/>
  <c r="B65" i="174"/>
  <c r="B64" i="174"/>
  <c r="B63" i="174"/>
  <c r="B62" i="174"/>
  <c r="B61" i="174"/>
  <c r="B60" i="174"/>
  <c r="B78" i="175"/>
  <c r="B77" i="175"/>
  <c r="B76" i="175"/>
  <c r="B75" i="175"/>
  <c r="B74" i="175"/>
  <c r="B73" i="175"/>
  <c r="B72" i="175"/>
  <c r="B71" i="175"/>
  <c r="B70" i="175"/>
  <c r="B69" i="175"/>
  <c r="B68" i="175"/>
  <c r="B67" i="175"/>
  <c r="B66" i="175"/>
  <c r="B65" i="175"/>
  <c r="B64" i="175"/>
  <c r="B63" i="175"/>
  <c r="B62" i="175"/>
  <c r="B61" i="175"/>
  <c r="B60" i="175"/>
  <c r="B78" i="176"/>
  <c r="B77" i="176"/>
  <c r="B76" i="176"/>
  <c r="B75" i="176"/>
  <c r="B74" i="176"/>
  <c r="B73" i="176"/>
  <c r="B72" i="176"/>
  <c r="B71" i="176"/>
  <c r="B70" i="176"/>
  <c r="B69" i="176"/>
  <c r="B68" i="176"/>
  <c r="B67" i="176"/>
  <c r="B66" i="176"/>
  <c r="B65" i="176"/>
  <c r="B64" i="176"/>
  <c r="B63" i="176"/>
  <c r="B62" i="176"/>
  <c r="B61" i="176"/>
  <c r="B60" i="176"/>
  <c r="B78" i="161"/>
  <c r="B77" i="161"/>
  <c r="B76" i="161"/>
  <c r="B75" i="161"/>
  <c r="B74" i="161"/>
  <c r="B73" i="161"/>
  <c r="B72" i="161"/>
  <c r="B71" i="161"/>
  <c r="B70" i="161"/>
  <c r="B69" i="161"/>
  <c r="B68" i="161"/>
  <c r="B67" i="161"/>
  <c r="B66" i="161"/>
  <c r="B65" i="161"/>
  <c r="B64" i="161"/>
  <c r="B63" i="161"/>
  <c r="B62" i="161"/>
  <c r="B61" i="161"/>
  <c r="B60" i="161"/>
  <c r="B78" i="25"/>
  <c r="B77" i="25"/>
  <c r="B76" i="25"/>
  <c r="B75" i="25"/>
  <c r="B74" i="25"/>
  <c r="B73" i="25"/>
  <c r="B72" i="25"/>
  <c r="B71" i="25"/>
  <c r="B70" i="25"/>
  <c r="B69" i="25"/>
  <c r="B68" i="25"/>
  <c r="B67" i="25"/>
  <c r="B66" i="25"/>
  <c r="B65" i="25"/>
  <c r="B64" i="25"/>
  <c r="B63" i="25"/>
  <c r="B62" i="25"/>
  <c r="B61" i="25"/>
  <c r="B60" i="25"/>
  <c r="B78" i="28"/>
  <c r="B77" i="28"/>
  <c r="B76" i="28"/>
  <c r="B75" i="28"/>
  <c r="B74" i="28"/>
  <c r="B73" i="28"/>
  <c r="B72" i="28"/>
  <c r="B71" i="28"/>
  <c r="B70" i="28"/>
  <c r="B69" i="28"/>
  <c r="B68" i="28"/>
  <c r="B67" i="28"/>
  <c r="B66" i="28"/>
  <c r="B65" i="28"/>
  <c r="B64" i="28"/>
  <c r="B63" i="28"/>
  <c r="B62" i="28"/>
  <c r="B61" i="28"/>
  <c r="B60" i="28"/>
  <c r="B78" i="159"/>
  <c r="B77" i="159"/>
  <c r="B76" i="159"/>
  <c r="B75" i="159"/>
  <c r="B74" i="159"/>
  <c r="B73" i="159"/>
  <c r="B72" i="159"/>
  <c r="B71" i="159"/>
  <c r="B70" i="159"/>
  <c r="B69" i="159"/>
  <c r="B68" i="159"/>
  <c r="B67" i="159"/>
  <c r="B66" i="159"/>
  <c r="B65" i="159"/>
  <c r="B64" i="159"/>
  <c r="B63" i="159"/>
  <c r="B62" i="159"/>
  <c r="B61" i="159"/>
  <c r="B60" i="159"/>
  <c r="B78" i="160"/>
  <c r="B77" i="160"/>
  <c r="B76" i="160"/>
  <c r="B75" i="160"/>
  <c r="B74" i="160"/>
  <c r="B73" i="160"/>
  <c r="B72" i="160"/>
  <c r="B71" i="160"/>
  <c r="B70" i="160"/>
  <c r="B69" i="160"/>
  <c r="B68" i="160"/>
  <c r="B67" i="160"/>
  <c r="B66" i="160"/>
  <c r="B65" i="160"/>
  <c r="B64" i="160"/>
  <c r="B63" i="160"/>
  <c r="B62" i="160"/>
  <c r="B61" i="160"/>
  <c r="B60" i="160"/>
  <c r="B78" i="29"/>
  <c r="B77" i="29"/>
  <c r="B76" i="29"/>
  <c r="B75" i="29"/>
  <c r="B74" i="29"/>
  <c r="B73" i="29"/>
  <c r="B72" i="29"/>
  <c r="B71" i="29"/>
  <c r="B70" i="29"/>
  <c r="B69" i="29"/>
  <c r="B68" i="29"/>
  <c r="B67" i="29"/>
  <c r="B66" i="29"/>
  <c r="B65" i="29"/>
  <c r="B64" i="29"/>
  <c r="B63" i="29"/>
  <c r="B62" i="29"/>
  <c r="B61" i="29"/>
  <c r="B60" i="29"/>
  <c r="B78" i="80"/>
  <c r="B77" i="80"/>
  <c r="B76" i="80"/>
  <c r="B75" i="80"/>
  <c r="B74" i="80"/>
  <c r="B73" i="80"/>
  <c r="B72" i="80"/>
  <c r="B71" i="80"/>
  <c r="B70" i="80"/>
  <c r="B69" i="80"/>
  <c r="B68" i="80"/>
  <c r="B67" i="80"/>
  <c r="B66" i="80"/>
  <c r="B65" i="80"/>
  <c r="B64" i="80"/>
  <c r="B63" i="80"/>
  <c r="B62" i="80"/>
  <c r="B61" i="80"/>
  <c r="B60" i="80"/>
  <c r="B78" i="173"/>
  <c r="B77" i="173"/>
  <c r="B76" i="173"/>
  <c r="B75" i="173"/>
  <c r="B74" i="173"/>
  <c r="B73" i="173"/>
  <c r="B72" i="173"/>
  <c r="B71" i="173"/>
  <c r="B70" i="173"/>
  <c r="B69" i="173"/>
  <c r="B68" i="173"/>
  <c r="B67" i="173"/>
  <c r="B66" i="173"/>
  <c r="B65" i="173"/>
  <c r="B64" i="173"/>
  <c r="B63" i="173"/>
  <c r="B62" i="173"/>
  <c r="B61" i="173"/>
  <c r="B60" i="173"/>
  <c r="B78" i="30"/>
  <c r="B77" i="30"/>
  <c r="B76" i="30"/>
  <c r="B75" i="30"/>
  <c r="B74" i="30"/>
  <c r="B73" i="30"/>
  <c r="B72" i="30"/>
  <c r="B71" i="30"/>
  <c r="B70" i="30"/>
  <c r="B69" i="30"/>
  <c r="B68" i="30"/>
  <c r="B67" i="30"/>
  <c r="B66" i="30"/>
  <c r="B65" i="30"/>
  <c r="B64" i="30"/>
  <c r="B63" i="30"/>
  <c r="B62" i="30"/>
  <c r="B61" i="30"/>
  <c r="B60" i="30"/>
  <c r="B78" i="106"/>
  <c r="B77" i="106"/>
  <c r="B76" i="106"/>
  <c r="B75" i="106"/>
  <c r="B74" i="106"/>
  <c r="B73" i="106"/>
  <c r="B72" i="106"/>
  <c r="B71" i="106"/>
  <c r="B70" i="106"/>
  <c r="B69" i="106"/>
  <c r="B68" i="106"/>
  <c r="B67" i="106"/>
  <c r="B66" i="106"/>
  <c r="B65" i="106"/>
  <c r="B64" i="106"/>
  <c r="B63" i="106"/>
  <c r="B62" i="106"/>
  <c r="B61" i="106"/>
  <c r="B60" i="106"/>
  <c r="B59" i="103"/>
  <c r="B59" i="105"/>
  <c r="B59" i="172"/>
  <c r="B59" i="38"/>
  <c r="B59" i="39"/>
  <c r="B59" i="94"/>
  <c r="B59" i="142"/>
  <c r="B59" i="143"/>
  <c r="B59" i="144"/>
  <c r="B59" i="145"/>
  <c r="B59" i="148"/>
  <c r="B59" i="150"/>
  <c r="B59" i="174"/>
  <c r="B59" i="175"/>
  <c r="B59" i="176"/>
  <c r="B59" i="161"/>
  <c r="B59" i="25"/>
  <c r="B59" i="28"/>
  <c r="B59" i="159"/>
  <c r="B59" i="160"/>
  <c r="B59" i="29"/>
  <c r="B59" i="80"/>
  <c r="B59" i="173"/>
  <c r="B59" i="30"/>
  <c r="B59" i="106"/>
  <c r="B77" i="146"/>
  <c r="B76" i="146"/>
  <c r="B75" i="146"/>
  <c r="B74" i="146"/>
  <c r="B73" i="146"/>
  <c r="B72" i="146"/>
  <c r="B71" i="146"/>
  <c r="B70" i="146"/>
  <c r="B69" i="146"/>
  <c r="B68" i="146"/>
  <c r="B67" i="146"/>
  <c r="B66" i="146"/>
  <c r="B65" i="146"/>
  <c r="B64" i="146"/>
  <c r="B63" i="146"/>
  <c r="B62" i="146"/>
  <c r="B61" i="146"/>
  <c r="B60" i="146"/>
  <c r="B59" i="146"/>
  <c r="B77" i="147"/>
  <c r="B76" i="147"/>
  <c r="B75" i="147"/>
  <c r="B74" i="147"/>
  <c r="B73" i="147"/>
  <c r="B72" i="147"/>
  <c r="B71" i="147"/>
  <c r="B70" i="147"/>
  <c r="B69" i="147"/>
  <c r="B68" i="147"/>
  <c r="B67" i="147"/>
  <c r="B66" i="147"/>
  <c r="B65" i="147"/>
  <c r="B64" i="147"/>
  <c r="B63" i="147"/>
  <c r="B62" i="147"/>
  <c r="B61" i="147"/>
  <c r="B60" i="147"/>
  <c r="B59" i="147"/>
  <c r="B77" i="149"/>
  <c r="B76" i="149"/>
  <c r="B75" i="149"/>
  <c r="B74" i="149"/>
  <c r="B73" i="149"/>
  <c r="B72" i="149"/>
  <c r="B71" i="149"/>
  <c r="B70" i="149"/>
  <c r="B69" i="149"/>
  <c r="B68" i="149"/>
  <c r="B67" i="149"/>
  <c r="B66" i="149"/>
  <c r="B65" i="149"/>
  <c r="B64" i="149"/>
  <c r="B63" i="149"/>
  <c r="B62" i="149"/>
  <c r="B61" i="149"/>
  <c r="B60" i="149"/>
  <c r="B59" i="149"/>
  <c r="B77" i="157"/>
  <c r="B76" i="157"/>
  <c r="B75" i="157"/>
  <c r="B74" i="157"/>
  <c r="B73" i="157"/>
  <c r="B72" i="157"/>
  <c r="B71" i="157"/>
  <c r="B70" i="157"/>
  <c r="B69" i="157"/>
  <c r="B68" i="157"/>
  <c r="B67" i="157"/>
  <c r="B66" i="157"/>
  <c r="B65" i="157"/>
  <c r="B64" i="157"/>
  <c r="B63" i="157"/>
  <c r="B62" i="157"/>
  <c r="B61" i="157"/>
  <c r="B60" i="157"/>
  <c r="B59" i="157"/>
  <c r="B77" i="151"/>
  <c r="B76" i="151"/>
  <c r="B75" i="151"/>
  <c r="B74" i="151"/>
  <c r="B73" i="151"/>
  <c r="B72" i="151"/>
  <c r="B71" i="151"/>
  <c r="B70" i="151"/>
  <c r="B69" i="151"/>
  <c r="B68" i="151"/>
  <c r="B67" i="151"/>
  <c r="B66" i="151"/>
  <c r="B65" i="151"/>
  <c r="B64" i="151"/>
  <c r="B63" i="151"/>
  <c r="B62" i="151"/>
  <c r="B61" i="151"/>
  <c r="B60" i="151"/>
  <c r="B59" i="151"/>
  <c r="B77" i="152"/>
  <c r="B76" i="152"/>
  <c r="B75" i="152"/>
  <c r="B74" i="152"/>
  <c r="B73" i="152"/>
  <c r="B72" i="152"/>
  <c r="B71" i="152"/>
  <c r="B70" i="152"/>
  <c r="B69" i="152"/>
  <c r="B68" i="152"/>
  <c r="B67" i="152"/>
  <c r="B66" i="152"/>
  <c r="B65" i="152"/>
  <c r="B64" i="152"/>
  <c r="B63" i="152"/>
  <c r="B62" i="152"/>
  <c r="B61" i="152"/>
  <c r="B60" i="152"/>
  <c r="B59" i="152"/>
  <c r="B77" i="153"/>
  <c r="B76" i="153"/>
  <c r="B75" i="153"/>
  <c r="B74" i="153"/>
  <c r="B73" i="153"/>
  <c r="B72" i="153"/>
  <c r="B71" i="153"/>
  <c r="B70" i="153"/>
  <c r="B69" i="153"/>
  <c r="B68" i="153"/>
  <c r="B67" i="153"/>
  <c r="B66" i="153"/>
  <c r="B65" i="153"/>
  <c r="B64" i="153"/>
  <c r="B63" i="153"/>
  <c r="B62" i="153"/>
  <c r="B61" i="153"/>
  <c r="B60" i="153"/>
  <c r="B59" i="153"/>
  <c r="B77" i="154"/>
  <c r="B76" i="154"/>
  <c r="B75" i="154"/>
  <c r="B74" i="154"/>
  <c r="B73" i="154"/>
  <c r="B72" i="154"/>
  <c r="B71" i="154"/>
  <c r="B70" i="154"/>
  <c r="B69" i="154"/>
  <c r="B68" i="154"/>
  <c r="B67" i="154"/>
  <c r="B66" i="154"/>
  <c r="B65" i="154"/>
  <c r="B64" i="154"/>
  <c r="B63" i="154"/>
  <c r="B62" i="154"/>
  <c r="B61" i="154"/>
  <c r="B60" i="154"/>
  <c r="B59" i="154"/>
  <c r="B77" i="155"/>
  <c r="B76" i="155"/>
  <c r="B75" i="155"/>
  <c r="B74" i="155"/>
  <c r="B73" i="155"/>
  <c r="B72" i="155"/>
  <c r="B71" i="155"/>
  <c r="B70" i="155"/>
  <c r="B69" i="155"/>
  <c r="B68" i="155"/>
  <c r="B67" i="155"/>
  <c r="B66" i="155"/>
  <c r="B65" i="155"/>
  <c r="B64" i="155"/>
  <c r="B63" i="155"/>
  <c r="B62" i="155"/>
  <c r="B61" i="155"/>
  <c r="B60" i="155"/>
  <c r="B59" i="155"/>
  <c r="B77" i="156"/>
  <c r="B76" i="156"/>
  <c r="B75" i="156"/>
  <c r="B74" i="156"/>
  <c r="B73" i="156"/>
  <c r="B72" i="156"/>
  <c r="B71" i="156"/>
  <c r="B70" i="156"/>
  <c r="B69" i="156"/>
  <c r="B68" i="156"/>
  <c r="B67" i="156"/>
  <c r="B66" i="156"/>
  <c r="B65" i="156"/>
  <c r="B64" i="156"/>
  <c r="B63" i="156"/>
  <c r="B62" i="156"/>
  <c r="B61" i="156"/>
  <c r="B60" i="156"/>
  <c r="B59" i="156"/>
  <c r="B77" i="158"/>
  <c r="B76" i="158"/>
  <c r="B75" i="158"/>
  <c r="B74" i="158"/>
  <c r="B73" i="158"/>
  <c r="B72" i="158"/>
  <c r="B71" i="158"/>
  <c r="B70" i="158"/>
  <c r="B69" i="158"/>
  <c r="B68" i="158"/>
  <c r="B67" i="158"/>
  <c r="B66" i="158"/>
  <c r="B65" i="158"/>
  <c r="B64" i="158"/>
  <c r="B63" i="158"/>
  <c r="B62" i="158"/>
  <c r="B61" i="158"/>
  <c r="B60" i="158"/>
  <c r="B59" i="158"/>
  <c r="B58" i="146"/>
  <c r="B58" i="147"/>
  <c r="B58" i="149"/>
  <c r="B58" i="157"/>
  <c r="B58" i="151"/>
  <c r="B58" i="152"/>
  <c r="B58" i="153"/>
  <c r="B58" i="154"/>
  <c r="B58" i="155"/>
  <c r="B58" i="156"/>
  <c r="B58" i="158"/>
  <c r="B51" i="146"/>
  <c r="B50" i="146"/>
  <c r="B49" i="146"/>
  <c r="B48" i="146"/>
  <c r="B47" i="146"/>
  <c r="B46" i="146"/>
  <c r="B45" i="146"/>
  <c r="B44" i="146"/>
  <c r="B51" i="147"/>
  <c r="B50" i="147"/>
  <c r="B49" i="147"/>
  <c r="B48" i="147"/>
  <c r="B47" i="147"/>
  <c r="B46" i="147"/>
  <c r="B45" i="147"/>
  <c r="B44" i="147"/>
  <c r="B51" i="149"/>
  <c r="B50" i="149"/>
  <c r="B49" i="149"/>
  <c r="B48" i="149"/>
  <c r="B47" i="149"/>
  <c r="B46" i="149"/>
  <c r="B45" i="149"/>
  <c r="B44" i="149"/>
  <c r="B51" i="157"/>
  <c r="B50" i="157"/>
  <c r="B49" i="157"/>
  <c r="B48" i="157"/>
  <c r="B47" i="157"/>
  <c r="B46" i="157"/>
  <c r="B45" i="157"/>
  <c r="B44" i="157"/>
  <c r="B51" i="151"/>
  <c r="B50" i="151"/>
  <c r="B49" i="151"/>
  <c r="B48" i="151"/>
  <c r="B47" i="151"/>
  <c r="B46" i="151"/>
  <c r="B45" i="151"/>
  <c r="B44" i="151"/>
  <c r="B51" i="152"/>
  <c r="B50" i="152"/>
  <c r="B49" i="152"/>
  <c r="B48" i="152"/>
  <c r="B47" i="152"/>
  <c r="B46" i="152"/>
  <c r="B45" i="152"/>
  <c r="B44" i="152"/>
  <c r="B51" i="153"/>
  <c r="B50" i="153"/>
  <c r="B49" i="153"/>
  <c r="B48" i="153"/>
  <c r="B47" i="153"/>
  <c r="B46" i="153"/>
  <c r="B45" i="153"/>
  <c r="B44" i="153"/>
  <c r="B51" i="154"/>
  <c r="B50" i="154"/>
  <c r="B49" i="154"/>
  <c r="B48" i="154"/>
  <c r="B47" i="154"/>
  <c r="B46" i="154"/>
  <c r="B45" i="154"/>
  <c r="B44" i="154"/>
  <c r="B51" i="155"/>
  <c r="B50" i="155"/>
  <c r="B49" i="155"/>
  <c r="B48" i="155"/>
  <c r="B47" i="155"/>
  <c r="B46" i="155"/>
  <c r="B45" i="155"/>
  <c r="B44" i="155"/>
  <c r="B51" i="156"/>
  <c r="B50" i="156"/>
  <c r="B49" i="156"/>
  <c r="B48" i="156"/>
  <c r="B47" i="156"/>
  <c r="B46" i="156"/>
  <c r="B45" i="156"/>
  <c r="B44" i="156"/>
  <c r="B51" i="158"/>
  <c r="B50" i="158"/>
  <c r="B49" i="158"/>
  <c r="B48" i="158"/>
  <c r="B47" i="158"/>
  <c r="B46" i="158"/>
  <c r="B45" i="158"/>
  <c r="B44" i="158"/>
  <c r="B52" i="28"/>
  <c r="B51" i="28"/>
  <c r="B50" i="28"/>
  <c r="B49" i="28"/>
  <c r="B48" i="28"/>
  <c r="B47" i="28"/>
  <c r="B46" i="28"/>
  <c r="B45" i="28"/>
  <c r="B44" i="28"/>
  <c r="B52" i="159"/>
  <c r="B51" i="159"/>
  <c r="B50" i="159"/>
  <c r="B49" i="159"/>
  <c r="B48" i="159"/>
  <c r="B47" i="159"/>
  <c r="B46" i="159"/>
  <c r="B45" i="159"/>
  <c r="B44" i="159"/>
  <c r="B52" i="160"/>
  <c r="B51" i="160"/>
  <c r="B50" i="160"/>
  <c r="B49" i="160"/>
  <c r="B48" i="160"/>
  <c r="B47" i="160"/>
  <c r="B46" i="160"/>
  <c r="B45" i="160"/>
  <c r="B44" i="160"/>
  <c r="B52" i="29"/>
  <c r="B51" i="29"/>
  <c r="B50" i="29"/>
  <c r="B49" i="29"/>
  <c r="B48" i="29"/>
  <c r="B47" i="29"/>
  <c r="B46" i="29"/>
  <c r="B45" i="29"/>
  <c r="B44" i="29"/>
  <c r="B52" i="80"/>
  <c r="B51" i="80"/>
  <c r="B50" i="80"/>
  <c r="B49" i="80"/>
  <c r="B48" i="80"/>
  <c r="B47" i="80"/>
  <c r="B46" i="80"/>
  <c r="B45" i="80"/>
  <c r="B44" i="80"/>
  <c r="B52" i="173"/>
  <c r="B51" i="173"/>
  <c r="B50" i="173"/>
  <c r="B49" i="173"/>
  <c r="B48" i="173"/>
  <c r="B47" i="173"/>
  <c r="B46" i="173"/>
  <c r="B45" i="173"/>
  <c r="B44" i="173"/>
  <c r="B52" i="30"/>
  <c r="B51" i="30"/>
  <c r="B50" i="30"/>
  <c r="B49" i="30"/>
  <c r="B48" i="30"/>
  <c r="B47" i="30"/>
  <c r="B46" i="30"/>
  <c r="B45" i="30"/>
  <c r="B44" i="30"/>
  <c r="B52" i="106"/>
  <c r="B51" i="106"/>
  <c r="B50" i="106"/>
  <c r="B49" i="106"/>
  <c r="B48" i="106"/>
  <c r="B47" i="106"/>
  <c r="B46" i="106"/>
  <c r="B45" i="106"/>
  <c r="B44" i="106"/>
  <c r="B52" i="25"/>
  <c r="B51" i="25"/>
  <c r="B50" i="25"/>
  <c r="B49" i="25"/>
  <c r="B48" i="25"/>
  <c r="B47" i="25"/>
  <c r="B46" i="25"/>
  <c r="B45" i="25"/>
  <c r="B44" i="25"/>
  <c r="B56" i="103"/>
  <c r="B55" i="103"/>
  <c r="B54" i="103"/>
  <c r="B53" i="103"/>
  <c r="B52" i="103"/>
  <c r="B51" i="103"/>
  <c r="B50" i="103"/>
  <c r="B49" i="103"/>
  <c r="B48" i="103"/>
  <c r="B47" i="103"/>
  <c r="B46" i="103"/>
  <c r="B45" i="103"/>
  <c r="B44" i="103"/>
  <c r="B56" i="105"/>
  <c r="B55" i="105"/>
  <c r="B54" i="105"/>
  <c r="B53" i="105"/>
  <c r="B52" i="105"/>
  <c r="B51" i="105"/>
  <c r="B50" i="105"/>
  <c r="B49" i="105"/>
  <c r="B48" i="105"/>
  <c r="B47" i="105"/>
  <c r="B46" i="105"/>
  <c r="B45" i="105"/>
  <c r="B44" i="105"/>
  <c r="B56" i="172"/>
  <c r="B55" i="172"/>
  <c r="B54" i="172"/>
  <c r="B53" i="172"/>
  <c r="B52" i="172"/>
  <c r="B51" i="172"/>
  <c r="B50" i="172"/>
  <c r="B49" i="172"/>
  <c r="B48" i="172"/>
  <c r="B47" i="172"/>
  <c r="B46" i="172"/>
  <c r="B45" i="172"/>
  <c r="B44" i="172"/>
  <c r="B56" i="38"/>
  <c r="B55" i="38"/>
  <c r="B54" i="38"/>
  <c r="B53" i="38"/>
  <c r="B52" i="38"/>
  <c r="B51" i="38"/>
  <c r="B50" i="38"/>
  <c r="B49" i="38"/>
  <c r="B48" i="38"/>
  <c r="B47" i="38"/>
  <c r="B46" i="38"/>
  <c r="B45" i="38"/>
  <c r="B44" i="38"/>
  <c r="B56" i="39"/>
  <c r="B55" i="39"/>
  <c r="B54" i="39"/>
  <c r="B53" i="39"/>
  <c r="B52" i="39"/>
  <c r="B51" i="39"/>
  <c r="B50" i="39"/>
  <c r="B49" i="39"/>
  <c r="B48" i="39"/>
  <c r="B47" i="39"/>
  <c r="B46" i="39"/>
  <c r="B45" i="39"/>
  <c r="B44" i="39"/>
  <c r="B56" i="94"/>
  <c r="B55" i="94"/>
  <c r="B54" i="94"/>
  <c r="B53" i="94"/>
  <c r="B52" i="94"/>
  <c r="B51" i="94"/>
  <c r="B50" i="94"/>
  <c r="B49" i="94"/>
  <c r="B48" i="94"/>
  <c r="B47" i="94"/>
  <c r="B46" i="94"/>
  <c r="B45" i="94"/>
  <c r="B44" i="94"/>
  <c r="B56" i="142"/>
  <c r="B55" i="142"/>
  <c r="B54" i="142"/>
  <c r="B53" i="142"/>
  <c r="B52" i="142"/>
  <c r="B51" i="142"/>
  <c r="B50" i="142"/>
  <c r="B49" i="142"/>
  <c r="B48" i="142"/>
  <c r="B47" i="142"/>
  <c r="B46" i="142"/>
  <c r="B45" i="142"/>
  <c r="B44" i="142"/>
  <c r="B56" i="143"/>
  <c r="B55" i="143"/>
  <c r="B54" i="143"/>
  <c r="B53" i="143"/>
  <c r="B52" i="143"/>
  <c r="B51" i="143"/>
  <c r="B50" i="143"/>
  <c r="B49" i="143"/>
  <c r="B48" i="143"/>
  <c r="B47" i="143"/>
  <c r="B46" i="143"/>
  <c r="B45" i="143"/>
  <c r="B44" i="143"/>
  <c r="B56" i="144"/>
  <c r="B55" i="144"/>
  <c r="B54" i="144"/>
  <c r="B53" i="144"/>
  <c r="B52" i="144"/>
  <c r="B51" i="144"/>
  <c r="B50" i="144"/>
  <c r="B49" i="144"/>
  <c r="B48" i="144"/>
  <c r="B47" i="144"/>
  <c r="B46" i="144"/>
  <c r="B45" i="144"/>
  <c r="B44" i="144"/>
  <c r="B56" i="145"/>
  <c r="B55" i="145"/>
  <c r="B54" i="145"/>
  <c r="B53" i="145"/>
  <c r="B52" i="145"/>
  <c r="B51" i="145"/>
  <c r="B50" i="145"/>
  <c r="B49" i="145"/>
  <c r="B48" i="145"/>
  <c r="B47" i="145"/>
  <c r="B46" i="145"/>
  <c r="B45" i="145"/>
  <c r="B44" i="145"/>
  <c r="B56" i="148"/>
  <c r="B55" i="148"/>
  <c r="B54" i="148"/>
  <c r="B53" i="148"/>
  <c r="B52" i="148"/>
  <c r="B51" i="148"/>
  <c r="B50" i="148"/>
  <c r="B49" i="148"/>
  <c r="B48" i="148"/>
  <c r="B47" i="148"/>
  <c r="B46" i="148"/>
  <c r="B45" i="148"/>
  <c r="B44" i="148"/>
  <c r="B56" i="150"/>
  <c r="B55" i="150"/>
  <c r="B54" i="150"/>
  <c r="B53" i="150"/>
  <c r="B52" i="150"/>
  <c r="B51" i="150"/>
  <c r="B50" i="150"/>
  <c r="B49" i="150"/>
  <c r="B48" i="150"/>
  <c r="B47" i="150"/>
  <c r="B46" i="150"/>
  <c r="B45" i="150"/>
  <c r="B44" i="150"/>
  <c r="B56" i="174"/>
  <c r="B55" i="174"/>
  <c r="B54" i="174"/>
  <c r="B53" i="174"/>
  <c r="B52" i="174"/>
  <c r="B51" i="174"/>
  <c r="B50" i="174"/>
  <c r="B49" i="174"/>
  <c r="B48" i="174"/>
  <c r="B47" i="174"/>
  <c r="B46" i="174"/>
  <c r="B45" i="174"/>
  <c r="B44" i="174"/>
  <c r="B56" i="175"/>
  <c r="B55" i="175"/>
  <c r="B54" i="175"/>
  <c r="B53" i="175"/>
  <c r="B52" i="175"/>
  <c r="B51" i="175"/>
  <c r="B50" i="175"/>
  <c r="B49" i="175"/>
  <c r="B48" i="175"/>
  <c r="B47" i="175"/>
  <c r="B46" i="175"/>
  <c r="B45" i="175"/>
  <c r="B44" i="175"/>
  <c r="B56" i="176"/>
  <c r="B55" i="176"/>
  <c r="B54" i="176"/>
  <c r="B53" i="176"/>
  <c r="B52" i="176"/>
  <c r="B51" i="176"/>
  <c r="B50" i="176"/>
  <c r="B49" i="176"/>
  <c r="B48" i="176"/>
  <c r="B47" i="176"/>
  <c r="B46" i="176"/>
  <c r="B45" i="176"/>
  <c r="B44" i="176"/>
  <c r="B56" i="161"/>
  <c r="B55" i="161"/>
  <c r="B54" i="161"/>
  <c r="B53" i="161"/>
  <c r="B52" i="161"/>
  <c r="B51" i="161"/>
  <c r="B50" i="161"/>
  <c r="B49" i="161"/>
  <c r="B48" i="161"/>
  <c r="B47" i="161"/>
  <c r="B46" i="161"/>
  <c r="B45" i="161"/>
  <c r="B44" i="161"/>
  <c r="AK256" i="100"/>
  <c r="AJ256" i="100"/>
  <c r="AI256" i="100"/>
  <c r="AH256" i="100"/>
  <c r="AG256" i="100"/>
  <c r="AF256" i="100"/>
  <c r="AB256" i="100"/>
  <c r="AA256" i="100"/>
  <c r="Z256" i="100"/>
  <c r="Y256" i="100"/>
  <c r="X256" i="100"/>
  <c r="W256" i="100"/>
  <c r="Q256" i="100"/>
  <c r="P256" i="100"/>
  <c r="N256" i="100"/>
  <c r="M256" i="100"/>
  <c r="L256" i="100"/>
  <c r="I256" i="100"/>
  <c r="H256" i="100"/>
  <c r="G256" i="100"/>
  <c r="F256" i="100"/>
  <c r="AK255" i="100"/>
  <c r="AJ255" i="100"/>
  <c r="AI255" i="100"/>
  <c r="AH255" i="100"/>
  <c r="AG255" i="100"/>
  <c r="AF255" i="100"/>
  <c r="AB255" i="100"/>
  <c r="AA255" i="100"/>
  <c r="Z255" i="100"/>
  <c r="Y255" i="100"/>
  <c r="X255" i="100"/>
  <c r="W255" i="100"/>
  <c r="Q255" i="100"/>
  <c r="P255" i="100"/>
  <c r="N255" i="100"/>
  <c r="M255" i="100"/>
  <c r="L255" i="100"/>
  <c r="I255" i="100"/>
  <c r="H255" i="100"/>
  <c r="G255" i="100"/>
  <c r="F255" i="100"/>
  <c r="AK254" i="100"/>
  <c r="AJ254" i="100"/>
  <c r="AI254" i="100"/>
  <c r="AH254" i="100"/>
  <c r="AG254" i="100"/>
  <c r="AF254" i="100"/>
  <c r="AB254" i="100"/>
  <c r="AA254" i="100"/>
  <c r="Z254" i="100"/>
  <c r="Y254" i="100"/>
  <c r="X254" i="100"/>
  <c r="W254" i="100"/>
  <c r="Q254" i="100"/>
  <c r="P254" i="100"/>
  <c r="N254" i="100"/>
  <c r="M254" i="100"/>
  <c r="L254" i="100"/>
  <c r="I254" i="100"/>
  <c r="H254" i="100"/>
  <c r="G254" i="100"/>
  <c r="F254" i="100"/>
  <c r="AK253" i="100"/>
  <c r="AJ253" i="100"/>
  <c r="AI253" i="100"/>
  <c r="AH253" i="100"/>
  <c r="AG253" i="100"/>
  <c r="AF253" i="100"/>
  <c r="AB253" i="100"/>
  <c r="AA253" i="100"/>
  <c r="Z253" i="100"/>
  <c r="Y253" i="100"/>
  <c r="X253" i="100"/>
  <c r="W253" i="100"/>
  <c r="Q253" i="100"/>
  <c r="P253" i="100"/>
  <c r="N253" i="100"/>
  <c r="M253" i="100"/>
  <c r="L253" i="100"/>
  <c r="I253" i="100"/>
  <c r="H253" i="100"/>
  <c r="G253" i="100"/>
  <c r="F253" i="100"/>
  <c r="AK252" i="100"/>
  <c r="AJ252" i="100"/>
  <c r="AI252" i="100"/>
  <c r="AH252" i="100"/>
  <c r="AG252" i="100"/>
  <c r="AF252" i="100"/>
  <c r="AB252" i="100"/>
  <c r="AA252" i="100"/>
  <c r="Z252" i="100"/>
  <c r="Y252" i="100"/>
  <c r="X252" i="100"/>
  <c r="W252" i="100"/>
  <c r="Q252" i="100"/>
  <c r="P252" i="100"/>
  <c r="N252" i="100"/>
  <c r="M252" i="100"/>
  <c r="L252" i="100"/>
  <c r="I252" i="100"/>
  <c r="H252" i="100"/>
  <c r="G252" i="100"/>
  <c r="F252" i="100"/>
  <c r="AK251" i="100"/>
  <c r="AJ251" i="100"/>
  <c r="AI251" i="100"/>
  <c r="AH251" i="100"/>
  <c r="AG251" i="100"/>
  <c r="AF251" i="100"/>
  <c r="AB251" i="100"/>
  <c r="AA251" i="100"/>
  <c r="Z251" i="100"/>
  <c r="Y251" i="100"/>
  <c r="X251" i="100"/>
  <c r="W251" i="100"/>
  <c r="Q251" i="100"/>
  <c r="P251" i="100"/>
  <c r="N251" i="100"/>
  <c r="M251" i="100"/>
  <c r="L251" i="100"/>
  <c r="I251" i="100"/>
  <c r="H251" i="100"/>
  <c r="G251" i="100"/>
  <c r="F251" i="100"/>
  <c r="AK250" i="100"/>
  <c r="AJ250" i="100"/>
  <c r="AI250" i="100"/>
  <c r="AH250" i="100"/>
  <c r="AG250" i="100"/>
  <c r="AF250" i="100"/>
  <c r="AB250" i="100"/>
  <c r="AA250" i="100"/>
  <c r="Z250" i="100"/>
  <c r="Y250" i="100"/>
  <c r="X250" i="100"/>
  <c r="W250" i="100"/>
  <c r="Q250" i="100"/>
  <c r="P250" i="100"/>
  <c r="N250" i="100"/>
  <c r="M250" i="100"/>
  <c r="L250" i="100"/>
  <c r="I250" i="100"/>
  <c r="H250" i="100"/>
  <c r="G250" i="100"/>
  <c r="F250" i="100"/>
  <c r="AK249" i="100"/>
  <c r="AJ249" i="100"/>
  <c r="AI249" i="100"/>
  <c r="AH249" i="100"/>
  <c r="AG249" i="100"/>
  <c r="AF249" i="100"/>
  <c r="AB249" i="100"/>
  <c r="AA249" i="100"/>
  <c r="Z249" i="100"/>
  <c r="Y249" i="100"/>
  <c r="X249" i="100"/>
  <c r="W249" i="100"/>
  <c r="Q249" i="100"/>
  <c r="P249" i="100"/>
  <c r="N249" i="100"/>
  <c r="M249" i="100"/>
  <c r="L249" i="100"/>
  <c r="I249" i="100"/>
  <c r="H249" i="100"/>
  <c r="G249" i="100"/>
  <c r="F249" i="100"/>
  <c r="AK248" i="100"/>
  <c r="AJ248" i="100"/>
  <c r="AI248" i="100"/>
  <c r="AH248" i="100"/>
  <c r="AG248" i="100"/>
  <c r="AF248" i="100"/>
  <c r="AB248" i="100"/>
  <c r="AA248" i="100"/>
  <c r="Z248" i="100"/>
  <c r="Y248" i="100"/>
  <c r="X248" i="100"/>
  <c r="W248" i="100"/>
  <c r="Q248" i="100"/>
  <c r="P248" i="100"/>
  <c r="N248" i="100"/>
  <c r="M248" i="100"/>
  <c r="L248" i="100"/>
  <c r="I248" i="100"/>
  <c r="H248" i="100"/>
  <c r="G248" i="100"/>
  <c r="F248" i="100"/>
  <c r="B255" i="100"/>
  <c r="A255" i="100"/>
  <c r="B254" i="100"/>
  <c r="A254" i="100"/>
  <c r="B253" i="100"/>
  <c r="A253" i="100"/>
  <c r="B252" i="100"/>
  <c r="A252" i="100"/>
  <c r="B251" i="100"/>
  <c r="A251" i="100"/>
  <c r="B250" i="100"/>
  <c r="A250" i="100"/>
  <c r="B249" i="100"/>
  <c r="A249" i="100"/>
  <c r="B248" i="100"/>
  <c r="A248" i="100"/>
  <c r="D256" i="100"/>
  <c r="D255" i="100"/>
  <c r="D254" i="100"/>
  <c r="D253" i="100"/>
  <c r="D252" i="100"/>
  <c r="D251" i="100"/>
  <c r="D250" i="100"/>
  <c r="D249" i="100"/>
  <c r="D248" i="100"/>
  <c r="D247" i="100"/>
  <c r="D246" i="100"/>
  <c r="D245" i="100"/>
  <c r="D244" i="100"/>
  <c r="D243" i="100"/>
  <c r="D242" i="100"/>
  <c r="D241" i="100"/>
  <c r="D240" i="100"/>
  <c r="D239" i="100"/>
  <c r="D238" i="100"/>
  <c r="D237" i="100"/>
  <c r="AL118" i="100"/>
  <c r="AK118" i="100"/>
  <c r="AJ118" i="100"/>
  <c r="AI118" i="100"/>
  <c r="AH118" i="100"/>
  <c r="AG118" i="100"/>
  <c r="AF118" i="100"/>
  <c r="AE118" i="100"/>
  <c r="AD118" i="100"/>
  <c r="AC118" i="100"/>
  <c r="AB118" i="100"/>
  <c r="AA118" i="100"/>
  <c r="Z118" i="100"/>
  <c r="AL117" i="100"/>
  <c r="AK117" i="100"/>
  <c r="AJ117" i="100"/>
  <c r="AI117" i="100"/>
  <c r="AH117" i="100"/>
  <c r="AG117" i="100"/>
  <c r="AF117" i="100"/>
  <c r="AE117" i="100"/>
  <c r="AD117" i="100"/>
  <c r="AC117" i="100"/>
  <c r="AB117" i="100"/>
  <c r="AA117" i="100"/>
  <c r="Z117" i="100"/>
  <c r="AL116" i="100"/>
  <c r="AK116" i="100"/>
  <c r="AJ116" i="100"/>
  <c r="AI116" i="100"/>
  <c r="AH116" i="100"/>
  <c r="AG116" i="100"/>
  <c r="AF116" i="100"/>
  <c r="AE116" i="100"/>
  <c r="AD116" i="100"/>
  <c r="AC116" i="100"/>
  <c r="AB116" i="100"/>
  <c r="AA116" i="100"/>
  <c r="Z116" i="100"/>
  <c r="AL115" i="100"/>
  <c r="AK115" i="100"/>
  <c r="AJ115" i="100"/>
  <c r="AI115" i="100"/>
  <c r="AH115" i="100"/>
  <c r="AG115" i="100"/>
  <c r="AF115" i="100"/>
  <c r="AE115" i="100"/>
  <c r="AD115" i="100"/>
  <c r="AC115" i="100"/>
  <c r="AB115" i="100"/>
  <c r="AA115" i="100"/>
  <c r="Z115" i="100"/>
  <c r="AL114" i="100"/>
  <c r="AK114" i="100"/>
  <c r="AJ114" i="100"/>
  <c r="AI114" i="100"/>
  <c r="AH114" i="100"/>
  <c r="AG114" i="100"/>
  <c r="AF114" i="100"/>
  <c r="AE114" i="100"/>
  <c r="AD114" i="100"/>
  <c r="AC114" i="100"/>
  <c r="AB114" i="100"/>
  <c r="AA114" i="100"/>
  <c r="Z114" i="100"/>
  <c r="AL113" i="100"/>
  <c r="AK113" i="100"/>
  <c r="AJ113" i="100"/>
  <c r="AI113" i="100"/>
  <c r="AH113" i="100"/>
  <c r="AG113" i="100"/>
  <c r="AF113" i="100"/>
  <c r="AE113" i="100"/>
  <c r="AD113" i="100"/>
  <c r="AC113" i="100"/>
  <c r="AB113" i="100"/>
  <c r="AA113" i="100"/>
  <c r="Z113" i="100"/>
  <c r="AL112" i="100"/>
  <c r="AK112" i="100"/>
  <c r="AJ112" i="100"/>
  <c r="AI112" i="100"/>
  <c r="AH112" i="100"/>
  <c r="AG112" i="100"/>
  <c r="AF112" i="100"/>
  <c r="AE112" i="100"/>
  <c r="AD112" i="100"/>
  <c r="AC112" i="100"/>
  <c r="AB112" i="100"/>
  <c r="AA112" i="100"/>
  <c r="Z112" i="100"/>
  <c r="AL111" i="100"/>
  <c r="AK111" i="100"/>
  <c r="AJ111" i="100"/>
  <c r="AI111" i="100"/>
  <c r="AH111" i="100"/>
  <c r="AG111" i="100"/>
  <c r="AF111" i="100"/>
  <c r="AE111" i="100"/>
  <c r="AD111" i="100"/>
  <c r="AC111" i="100"/>
  <c r="AB111" i="100"/>
  <c r="AA111" i="100"/>
  <c r="Z111" i="100"/>
  <c r="B118" i="100"/>
  <c r="A118" i="100"/>
  <c r="B117" i="100"/>
  <c r="A117" i="100"/>
  <c r="B116" i="100"/>
  <c r="A116" i="100"/>
  <c r="B115" i="100"/>
  <c r="A115" i="100"/>
  <c r="B114" i="100"/>
  <c r="A114" i="100"/>
  <c r="B113" i="100"/>
  <c r="A113" i="100"/>
  <c r="B112" i="100"/>
  <c r="A112" i="100"/>
  <c r="B111" i="100"/>
  <c r="A111" i="100"/>
  <c r="D119" i="100"/>
  <c r="D118" i="100"/>
  <c r="D117" i="100"/>
  <c r="D116" i="100"/>
  <c r="D115" i="100"/>
  <c r="D114" i="100"/>
  <c r="D113" i="100"/>
  <c r="D112" i="100"/>
  <c r="D111" i="100"/>
  <c r="D110" i="100"/>
  <c r="D109" i="100"/>
  <c r="D108" i="100"/>
  <c r="D107" i="100"/>
  <c r="D106" i="100"/>
  <c r="D105" i="100"/>
  <c r="D104" i="100"/>
  <c r="D103" i="100"/>
  <c r="D102" i="100"/>
  <c r="D101" i="100"/>
  <c r="D100" i="100"/>
  <c r="D196" i="14"/>
  <c r="E196" i="14"/>
  <c r="F196" i="14"/>
  <c r="G196" i="14"/>
  <c r="D197" i="14"/>
  <c r="E197" i="14"/>
  <c r="F197" i="14"/>
  <c r="G197" i="14"/>
  <c r="D195" i="14"/>
  <c r="E195" i="14"/>
  <c r="E70" i="175" l="1"/>
  <c r="E114" i="175" s="1"/>
  <c r="F70" i="175"/>
  <c r="F114" i="175" s="1"/>
  <c r="G70" i="175"/>
  <c r="G114" i="175" s="1"/>
  <c r="G50" i="175"/>
  <c r="E50" i="175"/>
  <c r="D185" i="158"/>
  <c r="C184" i="158"/>
  <c r="D186" i="158" s="1"/>
  <c r="C152" i="158" s="1"/>
  <c r="D43" i="158" s="1"/>
  <c r="D102" i="158"/>
  <c r="E102" i="158" s="1"/>
  <c r="D99" i="158"/>
  <c r="G99" i="158" s="1"/>
  <c r="H96" i="158"/>
  <c r="H95" i="158"/>
  <c r="H94" i="158"/>
  <c r="H93" i="158"/>
  <c r="H92" i="158"/>
  <c r="H91" i="158"/>
  <c r="H90" i="158"/>
  <c r="D88" i="158"/>
  <c r="D85" i="158"/>
  <c r="G85" i="158" s="1"/>
  <c r="G82" i="158"/>
  <c r="F82" i="158"/>
  <c r="E82" i="158"/>
  <c r="D58" i="158"/>
  <c r="E58" i="158" s="1"/>
  <c r="F58" i="158" s="1"/>
  <c r="G58" i="158" s="1"/>
  <c r="B55" i="158"/>
  <c r="B54" i="158"/>
  <c r="B53" i="158"/>
  <c r="B52" i="158"/>
  <c r="B43" i="158"/>
  <c r="B42" i="158"/>
  <c r="B41" i="158"/>
  <c r="B40" i="158"/>
  <c r="B39" i="158"/>
  <c r="B38" i="158"/>
  <c r="B37" i="158"/>
  <c r="D34" i="158"/>
  <c r="D33" i="158"/>
  <c r="E33" i="158" s="1"/>
  <c r="D32" i="158"/>
  <c r="D31" i="158"/>
  <c r="E31" i="158" s="1"/>
  <c r="S2" i="158"/>
  <c r="D187" i="156"/>
  <c r="D39" i="156" s="1"/>
  <c r="E39" i="156" s="1"/>
  <c r="F39" i="156" s="1"/>
  <c r="G39" i="156" s="1"/>
  <c r="D186" i="156"/>
  <c r="D38" i="156" s="1"/>
  <c r="D185" i="156"/>
  <c r="C184" i="156"/>
  <c r="D67" i="156" s="1"/>
  <c r="D83" i="156" s="1"/>
  <c r="D102" i="156"/>
  <c r="G102" i="156" s="1"/>
  <c r="D99" i="156"/>
  <c r="E99" i="156" s="1"/>
  <c r="H96" i="156"/>
  <c r="H95" i="156"/>
  <c r="H94" i="156"/>
  <c r="H93" i="156"/>
  <c r="H92" i="156"/>
  <c r="H91" i="156"/>
  <c r="H90" i="156"/>
  <c r="D88" i="156"/>
  <c r="D85" i="156"/>
  <c r="G82" i="156"/>
  <c r="F82" i="156"/>
  <c r="E82" i="156"/>
  <c r="B55" i="156"/>
  <c r="B54" i="156"/>
  <c r="B53" i="156"/>
  <c r="B52" i="156"/>
  <c r="B43" i="156"/>
  <c r="B42" i="156"/>
  <c r="B41" i="156"/>
  <c r="B40" i="156"/>
  <c r="B39" i="156"/>
  <c r="B38" i="156"/>
  <c r="B37" i="156"/>
  <c r="D34" i="156"/>
  <c r="G34" i="156" s="1"/>
  <c r="D33" i="156"/>
  <c r="F33" i="156" s="1"/>
  <c r="D32" i="156"/>
  <c r="G32" i="156" s="1"/>
  <c r="D31" i="156"/>
  <c r="S2" i="156"/>
  <c r="B1" i="156"/>
  <c r="D188" i="155"/>
  <c r="D41" i="155" s="1"/>
  <c r="D187" i="155"/>
  <c r="C186" i="155"/>
  <c r="C185" i="155"/>
  <c r="D65" i="155" s="1"/>
  <c r="C184" i="155"/>
  <c r="D102" i="155"/>
  <c r="D99" i="155"/>
  <c r="G99" i="155" s="1"/>
  <c r="H96" i="155"/>
  <c r="H95" i="155"/>
  <c r="H94" i="155"/>
  <c r="H93" i="155"/>
  <c r="H92" i="155"/>
  <c r="H91" i="155"/>
  <c r="H90" i="155"/>
  <c r="D88" i="155"/>
  <c r="F88" i="155" s="1"/>
  <c r="D85" i="155"/>
  <c r="G82" i="155"/>
  <c r="F82" i="155"/>
  <c r="E82" i="155"/>
  <c r="D58" i="155"/>
  <c r="B55" i="155"/>
  <c r="B54" i="155"/>
  <c r="B53" i="155"/>
  <c r="B52" i="155"/>
  <c r="B43" i="155"/>
  <c r="B42" i="155"/>
  <c r="B41" i="155"/>
  <c r="B40" i="155"/>
  <c r="B39" i="155"/>
  <c r="B38" i="155"/>
  <c r="B37" i="155"/>
  <c r="D34" i="155"/>
  <c r="G34" i="155" s="1"/>
  <c r="D33" i="155"/>
  <c r="D32" i="155"/>
  <c r="G32" i="155" s="1"/>
  <c r="D31" i="155"/>
  <c r="E31" i="155" s="1"/>
  <c r="S2" i="155"/>
  <c r="B1" i="155"/>
  <c r="D189" i="154"/>
  <c r="D42" i="154" s="1"/>
  <c r="E42" i="154" s="1"/>
  <c r="F42" i="154" s="1"/>
  <c r="G42" i="154" s="1"/>
  <c r="D188" i="154"/>
  <c r="D52" i="154" s="1"/>
  <c r="E52" i="154" s="1"/>
  <c r="F52" i="154" s="1"/>
  <c r="G52" i="154" s="1"/>
  <c r="D187" i="154"/>
  <c r="D41" i="154" s="1"/>
  <c r="D186" i="154"/>
  <c r="C185" i="154"/>
  <c r="D60" i="154" s="1"/>
  <c r="C184" i="154"/>
  <c r="D102" i="154"/>
  <c r="E102" i="154" s="1"/>
  <c r="D99" i="154"/>
  <c r="E99" i="154" s="1"/>
  <c r="H96" i="154"/>
  <c r="H95" i="154"/>
  <c r="H94" i="154"/>
  <c r="H93" i="154"/>
  <c r="H92" i="154"/>
  <c r="H91" i="154"/>
  <c r="H90" i="154"/>
  <c r="D88" i="154"/>
  <c r="F88" i="154" s="1"/>
  <c r="D85" i="154"/>
  <c r="G82" i="154"/>
  <c r="F82" i="154"/>
  <c r="E82" i="154"/>
  <c r="D58" i="154"/>
  <c r="B55" i="154"/>
  <c r="B54" i="154"/>
  <c r="B53" i="154"/>
  <c r="B52" i="154"/>
  <c r="B43" i="154"/>
  <c r="B42" i="154"/>
  <c r="B41" i="154"/>
  <c r="B40" i="154"/>
  <c r="B39" i="154"/>
  <c r="B38" i="154"/>
  <c r="B37" i="154"/>
  <c r="D34" i="154"/>
  <c r="F34" i="154" s="1"/>
  <c r="D33" i="154"/>
  <c r="D32" i="154"/>
  <c r="F32" i="154" s="1"/>
  <c r="D31" i="154"/>
  <c r="S2" i="154"/>
  <c r="B1" i="154"/>
  <c r="D187" i="153"/>
  <c r="D37" i="153" s="1"/>
  <c r="E37" i="153" s="1"/>
  <c r="D186" i="153"/>
  <c r="C185" i="153"/>
  <c r="D60" i="153" s="1"/>
  <c r="C184" i="153"/>
  <c r="D102" i="153"/>
  <c r="D99" i="153"/>
  <c r="F99" i="153" s="1"/>
  <c r="H96" i="153"/>
  <c r="H95" i="153"/>
  <c r="H94" i="153"/>
  <c r="H93" i="153"/>
  <c r="H92" i="153"/>
  <c r="H91" i="153"/>
  <c r="H90" i="153"/>
  <c r="D88" i="153"/>
  <c r="G85" i="153"/>
  <c r="D85" i="153"/>
  <c r="F85" i="153" s="1"/>
  <c r="G82" i="153"/>
  <c r="F82" i="153"/>
  <c r="E82" i="153"/>
  <c r="B55" i="153"/>
  <c r="B54" i="153"/>
  <c r="B53" i="153"/>
  <c r="B52" i="153"/>
  <c r="B43" i="153"/>
  <c r="B42" i="153"/>
  <c r="B41" i="153"/>
  <c r="B40" i="153"/>
  <c r="B39" i="153"/>
  <c r="B38" i="153"/>
  <c r="B37" i="153"/>
  <c r="D34" i="153"/>
  <c r="D33" i="153"/>
  <c r="F33" i="153" s="1"/>
  <c r="D32" i="153"/>
  <c r="S2" i="153"/>
  <c r="B1" i="153"/>
  <c r="C152" i="152"/>
  <c r="D43" i="152" s="1"/>
  <c r="D102" i="152"/>
  <c r="G102" i="152" s="1"/>
  <c r="D99" i="152"/>
  <c r="F99" i="152" s="1"/>
  <c r="H96" i="152"/>
  <c r="H95" i="152"/>
  <c r="H94" i="152"/>
  <c r="H93" i="152"/>
  <c r="H92" i="152"/>
  <c r="H91" i="152"/>
  <c r="H90" i="152"/>
  <c r="D88" i="152"/>
  <c r="G88" i="152" s="1"/>
  <c r="D85" i="152"/>
  <c r="E85" i="152" s="1"/>
  <c r="G82" i="152"/>
  <c r="F82" i="152"/>
  <c r="E82" i="152"/>
  <c r="D58" i="152"/>
  <c r="D83" i="152" s="1"/>
  <c r="B55" i="152"/>
  <c r="B54" i="152"/>
  <c r="B53" i="152"/>
  <c r="B52" i="152"/>
  <c r="B43" i="152"/>
  <c r="B42" i="152"/>
  <c r="B41" i="152"/>
  <c r="B40" i="152"/>
  <c r="B39" i="152"/>
  <c r="B38" i="152"/>
  <c r="B37" i="152"/>
  <c r="D34" i="152"/>
  <c r="G34" i="152" s="1"/>
  <c r="D33" i="152"/>
  <c r="G33" i="152" s="1"/>
  <c r="D32" i="152"/>
  <c r="G32" i="152" s="1"/>
  <c r="D31" i="152"/>
  <c r="G31" i="152" s="1"/>
  <c r="S2" i="152"/>
  <c r="B1" i="152"/>
  <c r="C152" i="151"/>
  <c r="D102" i="151"/>
  <c r="D99" i="151"/>
  <c r="H96" i="151"/>
  <c r="H95" i="151"/>
  <c r="H94" i="151"/>
  <c r="H93" i="151"/>
  <c r="H92" i="151"/>
  <c r="H91" i="151"/>
  <c r="H90" i="151"/>
  <c r="D88" i="151"/>
  <c r="D85" i="151"/>
  <c r="D83" i="151"/>
  <c r="E83" i="151" s="1"/>
  <c r="G82" i="151"/>
  <c r="F82" i="151"/>
  <c r="E82" i="151"/>
  <c r="B55" i="151"/>
  <c r="B54" i="151"/>
  <c r="B53" i="151"/>
  <c r="B52" i="151"/>
  <c r="D43" i="151"/>
  <c r="G43" i="151" s="1"/>
  <c r="B43" i="151"/>
  <c r="B42" i="151"/>
  <c r="B41" i="151"/>
  <c r="B40" i="151"/>
  <c r="D39" i="151"/>
  <c r="G39" i="151" s="1"/>
  <c r="B39" i="151"/>
  <c r="D38" i="151"/>
  <c r="E38" i="151" s="1"/>
  <c r="B38" i="151"/>
  <c r="B37" i="151"/>
  <c r="D34" i="151"/>
  <c r="G34" i="151" s="1"/>
  <c r="D33" i="151"/>
  <c r="G33" i="151" s="1"/>
  <c r="D32" i="151"/>
  <c r="G32" i="151" s="1"/>
  <c r="D31" i="151"/>
  <c r="G31" i="151" s="1"/>
  <c r="S2" i="151"/>
  <c r="B1" i="151"/>
  <c r="D188" i="157"/>
  <c r="D186" i="157"/>
  <c r="C185" i="157"/>
  <c r="C184" i="157"/>
  <c r="D102" i="157"/>
  <c r="G102" i="157" s="1"/>
  <c r="D99" i="157"/>
  <c r="H96" i="157"/>
  <c r="H95" i="157"/>
  <c r="H94" i="157"/>
  <c r="H93" i="157"/>
  <c r="H92" i="157"/>
  <c r="H91" i="157"/>
  <c r="H90" i="157"/>
  <c r="D88" i="157"/>
  <c r="D85" i="157"/>
  <c r="G82" i="157"/>
  <c r="F82" i="157"/>
  <c r="E82" i="157"/>
  <c r="D77" i="157"/>
  <c r="D58" i="157"/>
  <c r="B55" i="157"/>
  <c r="B54" i="157"/>
  <c r="B53" i="157"/>
  <c r="B52" i="157"/>
  <c r="B43" i="157"/>
  <c r="B42" i="157"/>
  <c r="B41" i="157"/>
  <c r="B40" i="157"/>
  <c r="B39" i="157"/>
  <c r="B38" i="157"/>
  <c r="B37" i="157"/>
  <c r="D34" i="157"/>
  <c r="E34" i="157" s="1"/>
  <c r="D33" i="157"/>
  <c r="G33" i="157" s="1"/>
  <c r="D32" i="157"/>
  <c r="G32" i="157" s="1"/>
  <c r="D31" i="157"/>
  <c r="G31" i="157" s="1"/>
  <c r="S2" i="157"/>
  <c r="D190" i="149"/>
  <c r="D189" i="149"/>
  <c r="D38" i="149" s="1"/>
  <c r="E38" i="149" s="1"/>
  <c r="F38" i="149" s="1"/>
  <c r="G38" i="149" s="1"/>
  <c r="D188" i="149"/>
  <c r="C187" i="149"/>
  <c r="D60" i="149" s="1"/>
  <c r="C186" i="149"/>
  <c r="D58" i="149" s="1"/>
  <c r="C185" i="149"/>
  <c r="D77" i="149" s="1"/>
  <c r="C184" i="149"/>
  <c r="D102" i="149"/>
  <c r="D99" i="149"/>
  <c r="G99" i="149" s="1"/>
  <c r="H96" i="149"/>
  <c r="H95" i="149"/>
  <c r="H94" i="149"/>
  <c r="H93" i="149"/>
  <c r="H92" i="149"/>
  <c r="H91" i="149"/>
  <c r="H90" i="149"/>
  <c r="D88" i="149"/>
  <c r="E88" i="149" s="1"/>
  <c r="D85" i="149"/>
  <c r="F85" i="149" s="1"/>
  <c r="G82" i="149"/>
  <c r="F82" i="149"/>
  <c r="E82" i="149"/>
  <c r="B55" i="149"/>
  <c r="B54" i="149"/>
  <c r="B53" i="149"/>
  <c r="B52" i="149"/>
  <c r="B43" i="149"/>
  <c r="B42" i="149"/>
  <c r="B41" i="149"/>
  <c r="B40" i="149"/>
  <c r="B39" i="149"/>
  <c r="B38" i="149"/>
  <c r="B37" i="149"/>
  <c r="D34" i="149"/>
  <c r="G34" i="149" s="1"/>
  <c r="D33" i="149"/>
  <c r="G33" i="149" s="1"/>
  <c r="D32" i="149"/>
  <c r="G32" i="149" s="1"/>
  <c r="D31" i="149"/>
  <c r="G31" i="149" s="1"/>
  <c r="S2" i="149"/>
  <c r="B1" i="149"/>
  <c r="D188" i="147"/>
  <c r="D43" i="147" s="1"/>
  <c r="D187" i="147"/>
  <c r="E40" i="147" s="1"/>
  <c r="D186" i="147"/>
  <c r="D185" i="147"/>
  <c r="C184" i="147"/>
  <c r="D189" i="147" s="1"/>
  <c r="C152" i="147" s="1"/>
  <c r="D102" i="147"/>
  <c r="E102" i="147" s="1"/>
  <c r="D99" i="147"/>
  <c r="H96" i="147"/>
  <c r="H95" i="147"/>
  <c r="H94" i="147"/>
  <c r="H93" i="147"/>
  <c r="H92" i="147"/>
  <c r="H91" i="147"/>
  <c r="H90" i="147"/>
  <c r="D88" i="147"/>
  <c r="D85" i="147"/>
  <c r="F85" i="147" s="1"/>
  <c r="G82" i="147"/>
  <c r="F82" i="147"/>
  <c r="E82" i="147"/>
  <c r="B55" i="147"/>
  <c r="B54" i="147"/>
  <c r="B53" i="147"/>
  <c r="B52" i="147"/>
  <c r="B43" i="147"/>
  <c r="B42" i="147"/>
  <c r="B41" i="147"/>
  <c r="G40" i="147"/>
  <c r="F40" i="147"/>
  <c r="B40" i="147"/>
  <c r="B39" i="147"/>
  <c r="B38" i="147"/>
  <c r="B37" i="147"/>
  <c r="D34" i="147"/>
  <c r="D33" i="147"/>
  <c r="D32" i="147"/>
  <c r="E32" i="147" s="1"/>
  <c r="D31" i="147"/>
  <c r="S2" i="147"/>
  <c r="B1" i="147"/>
  <c r="D102" i="146"/>
  <c r="G102" i="146" s="1"/>
  <c r="D99" i="146"/>
  <c r="H96" i="146"/>
  <c r="H95" i="146"/>
  <c r="H94" i="146"/>
  <c r="H93" i="146"/>
  <c r="H92" i="146"/>
  <c r="H91" i="146"/>
  <c r="H90" i="146"/>
  <c r="D88" i="146"/>
  <c r="D85" i="146"/>
  <c r="E85" i="146" s="1"/>
  <c r="G82" i="146"/>
  <c r="F82" i="146"/>
  <c r="E82" i="146"/>
  <c r="D77" i="146"/>
  <c r="G77" i="146" s="1"/>
  <c r="D60" i="146"/>
  <c r="D58" i="146"/>
  <c r="B55" i="146"/>
  <c r="B54" i="146"/>
  <c r="B53" i="146"/>
  <c r="B52" i="146"/>
  <c r="B43" i="146"/>
  <c r="B42" i="146"/>
  <c r="B41" i="146"/>
  <c r="B40" i="146"/>
  <c r="B39" i="146"/>
  <c r="B38" i="146"/>
  <c r="B37" i="146"/>
  <c r="D34" i="146"/>
  <c r="G34" i="146" s="1"/>
  <c r="D33" i="146"/>
  <c r="D32" i="146"/>
  <c r="G32" i="146" s="1"/>
  <c r="D31" i="146"/>
  <c r="G31" i="146" s="1"/>
  <c r="S2" i="146"/>
  <c r="D180" i="143"/>
  <c r="C153" i="143"/>
  <c r="D43" i="143" s="1"/>
  <c r="D103" i="143"/>
  <c r="E103" i="143" s="1"/>
  <c r="D100" i="143"/>
  <c r="E100" i="143" s="1"/>
  <c r="H97" i="143"/>
  <c r="H96" i="143"/>
  <c r="H95" i="143"/>
  <c r="H94" i="143"/>
  <c r="H93" i="143"/>
  <c r="H92" i="143"/>
  <c r="H91" i="143"/>
  <c r="D89" i="143"/>
  <c r="G89" i="143" s="1"/>
  <c r="G84" i="143"/>
  <c r="F84" i="143"/>
  <c r="E84" i="143"/>
  <c r="D86" i="143"/>
  <c r="D78" i="143"/>
  <c r="B43" i="143"/>
  <c r="B42" i="143"/>
  <c r="B41" i="143"/>
  <c r="B40" i="143"/>
  <c r="B39" i="143"/>
  <c r="B38" i="143"/>
  <c r="B37" i="143"/>
  <c r="D34" i="143"/>
  <c r="D33" i="143"/>
  <c r="F33" i="143" s="1"/>
  <c r="D32" i="143"/>
  <c r="S2" i="143"/>
  <c r="B1" i="143"/>
  <c r="G58" i="171"/>
  <c r="F58" i="171"/>
  <c r="E58" i="171"/>
  <c r="D58" i="171"/>
  <c r="G57" i="171"/>
  <c r="F57" i="171"/>
  <c r="E57" i="171"/>
  <c r="D57" i="171"/>
  <c r="G56" i="171"/>
  <c r="F56" i="171"/>
  <c r="E56" i="171"/>
  <c r="D56" i="171"/>
  <c r="G52" i="171"/>
  <c r="G60" i="171" s="1"/>
  <c r="F52" i="171"/>
  <c r="F60" i="171" s="1"/>
  <c r="E52" i="171"/>
  <c r="E60" i="171" s="1"/>
  <c r="D52" i="171"/>
  <c r="D60" i="171" s="1"/>
  <c r="G51" i="171"/>
  <c r="G59" i="171" s="1"/>
  <c r="F51" i="171"/>
  <c r="F59" i="171" s="1"/>
  <c r="E51" i="171"/>
  <c r="E59" i="171" s="1"/>
  <c r="D51" i="171"/>
  <c r="D59" i="171" s="1"/>
  <c r="H36" i="171"/>
  <c r="H34" i="171"/>
  <c r="H33" i="171"/>
  <c r="H32" i="171"/>
  <c r="H31" i="171"/>
  <c r="D25" i="171"/>
  <c r="E84" i="170"/>
  <c r="E52" i="170" s="1"/>
  <c r="E60" i="170" s="1"/>
  <c r="G83" i="170"/>
  <c r="E83" i="170"/>
  <c r="F83" i="170" s="1"/>
  <c r="E82" i="170"/>
  <c r="F82" i="170" s="1"/>
  <c r="G82" i="170" s="1"/>
  <c r="E81" i="170"/>
  <c r="F81" i="170" s="1"/>
  <c r="G81" i="170" s="1"/>
  <c r="D79" i="170"/>
  <c r="E79" i="170" s="1"/>
  <c r="G79" i="170" s="1"/>
  <c r="G78" i="170"/>
  <c r="N72" i="170"/>
  <c r="Q72" i="170" s="1"/>
  <c r="Q70" i="170"/>
  <c r="N70" i="170"/>
  <c r="D78" i="170" s="1"/>
  <c r="E78" i="170" s="1"/>
  <c r="F78" i="170" s="1"/>
  <c r="F67" i="170"/>
  <c r="F71" i="170" s="1"/>
  <c r="F41" i="170" s="1"/>
  <c r="E67" i="170"/>
  <c r="D67" i="170"/>
  <c r="D59" i="170"/>
  <c r="G58" i="170"/>
  <c r="F58" i="170"/>
  <c r="E58" i="170"/>
  <c r="D58" i="170"/>
  <c r="G57" i="170"/>
  <c r="F57" i="170"/>
  <c r="E57" i="170"/>
  <c r="D57" i="170"/>
  <c r="G56" i="170"/>
  <c r="F56" i="170"/>
  <c r="E56" i="170"/>
  <c r="D56" i="170"/>
  <c r="D52" i="170"/>
  <c r="D60" i="170" s="1"/>
  <c r="G51" i="170"/>
  <c r="G59" i="170" s="1"/>
  <c r="F51" i="170"/>
  <c r="F59" i="170" s="1"/>
  <c r="E51" i="170"/>
  <c r="E59" i="170" s="1"/>
  <c r="D51" i="170"/>
  <c r="H36" i="170"/>
  <c r="H34" i="170"/>
  <c r="H33" i="170"/>
  <c r="H32" i="170"/>
  <c r="H31" i="170"/>
  <c r="F25" i="170"/>
  <c r="E25" i="170"/>
  <c r="D25" i="170"/>
  <c r="G24" i="170"/>
  <c r="F24" i="170"/>
  <c r="E24" i="170"/>
  <c r="D24" i="170"/>
  <c r="F84" i="169"/>
  <c r="F52" i="169" s="1"/>
  <c r="F60" i="169" s="1"/>
  <c r="E84" i="169"/>
  <c r="E52" i="169" s="1"/>
  <c r="E60" i="169" s="1"/>
  <c r="E83" i="169"/>
  <c r="F83" i="169" s="1"/>
  <c r="G83" i="169" s="1"/>
  <c r="E82" i="169"/>
  <c r="F82" i="169" s="1"/>
  <c r="G82" i="169" s="1"/>
  <c r="E81" i="169"/>
  <c r="F81" i="169" s="1"/>
  <c r="G81" i="169" s="1"/>
  <c r="N72" i="169"/>
  <c r="D79" i="169" s="1"/>
  <c r="E79" i="169" s="1"/>
  <c r="N70" i="169"/>
  <c r="D78" i="169" s="1"/>
  <c r="E78" i="169" s="1"/>
  <c r="G78" i="169" s="1"/>
  <c r="D67" i="169"/>
  <c r="D59" i="169"/>
  <c r="G58" i="169"/>
  <c r="F58" i="169"/>
  <c r="E58" i="169"/>
  <c r="D58" i="169"/>
  <c r="G57" i="169"/>
  <c r="F57" i="169"/>
  <c r="E57" i="169"/>
  <c r="D57" i="169"/>
  <c r="G56" i="169"/>
  <c r="F56" i="169"/>
  <c r="E56" i="169"/>
  <c r="D56" i="169"/>
  <c r="D52" i="169"/>
  <c r="D60" i="169" s="1"/>
  <c r="G51" i="169"/>
  <c r="G59" i="169" s="1"/>
  <c r="E51" i="169"/>
  <c r="E59" i="169" s="1"/>
  <c r="D51" i="169"/>
  <c r="H36" i="169"/>
  <c r="H34" i="169"/>
  <c r="H33" i="169"/>
  <c r="H32" i="169"/>
  <c r="H31" i="169"/>
  <c r="G24" i="169"/>
  <c r="F24" i="169"/>
  <c r="E24" i="169"/>
  <c r="D24" i="169"/>
  <c r="E84" i="168"/>
  <c r="F84" i="168" s="1"/>
  <c r="F83" i="168"/>
  <c r="F51" i="168" s="1"/>
  <c r="F59" i="168" s="1"/>
  <c r="E83" i="168"/>
  <c r="F82" i="168"/>
  <c r="G82" i="168" s="1"/>
  <c r="E82" i="168"/>
  <c r="F81" i="168"/>
  <c r="G81" i="168" s="1"/>
  <c r="E81" i="168"/>
  <c r="N75" i="168"/>
  <c r="N74" i="168"/>
  <c r="D79" i="168" s="1"/>
  <c r="E79" i="168" s="1"/>
  <c r="N72" i="168"/>
  <c r="D78" i="168" s="1"/>
  <c r="E59" i="168"/>
  <c r="G58" i="168"/>
  <c r="F58" i="168"/>
  <c r="E58" i="168"/>
  <c r="D58" i="168"/>
  <c r="G57" i="168"/>
  <c r="F57" i="168"/>
  <c r="E57" i="168"/>
  <c r="D57" i="168"/>
  <c r="G56" i="168"/>
  <c r="F56" i="168"/>
  <c r="E56" i="168"/>
  <c r="D56" i="168"/>
  <c r="E52" i="168"/>
  <c r="E60" i="168" s="1"/>
  <c r="D52" i="168"/>
  <c r="D60" i="168" s="1"/>
  <c r="E51" i="168"/>
  <c r="D51" i="168"/>
  <c r="D59" i="168" s="1"/>
  <c r="H36" i="168"/>
  <c r="H34" i="168"/>
  <c r="H33" i="168"/>
  <c r="H32" i="168"/>
  <c r="H31" i="168"/>
  <c r="G24" i="168"/>
  <c r="F24" i="168"/>
  <c r="E24" i="168"/>
  <c r="D24" i="168"/>
  <c r="F78" i="164"/>
  <c r="F86" i="164" s="1"/>
  <c r="F87" i="164" s="1"/>
  <c r="G77" i="164"/>
  <c r="F77" i="164"/>
  <c r="E77" i="164"/>
  <c r="E70" i="164" s="1"/>
  <c r="D77" i="164"/>
  <c r="D70" i="164" s="1"/>
  <c r="G70" i="164"/>
  <c r="F70" i="164"/>
  <c r="F79" i="164" s="1"/>
  <c r="F80" i="164" s="1"/>
  <c r="F81" i="164" s="1"/>
  <c r="H36" i="164"/>
  <c r="H34" i="164"/>
  <c r="H33" i="164"/>
  <c r="H32" i="164"/>
  <c r="H31" i="164"/>
  <c r="S2" i="164"/>
  <c r="D89" i="22"/>
  <c r="G82" i="22"/>
  <c r="F82" i="22"/>
  <c r="E82" i="22"/>
  <c r="D82" i="22"/>
  <c r="G79" i="22"/>
  <c r="G77" i="22" s="1"/>
  <c r="F79" i="22"/>
  <c r="F77" i="22" s="1"/>
  <c r="E79" i="22"/>
  <c r="E77" i="22" s="1"/>
  <c r="D79" i="22"/>
  <c r="D77" i="22" s="1"/>
  <c r="D70" i="22"/>
  <c r="Q52" i="22"/>
  <c r="P52" i="22"/>
  <c r="O52" i="22"/>
  <c r="D52" i="22"/>
  <c r="D51" i="22"/>
  <c r="D59" i="191" s="1"/>
  <c r="D50" i="22"/>
  <c r="D49" i="22"/>
  <c r="D57" i="33" s="1"/>
  <c r="D48" i="22"/>
  <c r="D56" i="33" s="1"/>
  <c r="Q40" i="22"/>
  <c r="Q41" i="22" s="1"/>
  <c r="Q43" i="22" s="1"/>
  <c r="G38" i="22" s="1"/>
  <c r="P40" i="22"/>
  <c r="P41" i="22" s="1"/>
  <c r="P43" i="22" s="1"/>
  <c r="F38" i="22" s="1"/>
  <c r="O40" i="22"/>
  <c r="O43" i="22" s="1"/>
  <c r="E38" i="22" s="1"/>
  <c r="N40" i="22"/>
  <c r="N41" i="22" s="1"/>
  <c r="N43" i="22" s="1"/>
  <c r="D38" i="22" s="1"/>
  <c r="H36" i="22"/>
  <c r="H34" i="22"/>
  <c r="H33" i="22"/>
  <c r="H32" i="22"/>
  <c r="H31" i="22"/>
  <c r="G25" i="22"/>
  <c r="F25" i="22"/>
  <c r="E25" i="22"/>
  <c r="D25" i="22"/>
  <c r="G91" i="90"/>
  <c r="F91" i="90"/>
  <c r="E91" i="90"/>
  <c r="G90" i="90"/>
  <c r="F90" i="90"/>
  <c r="E90" i="90"/>
  <c r="G83" i="90"/>
  <c r="G82" i="90" s="1"/>
  <c r="F83" i="90"/>
  <c r="F82" i="90" s="1"/>
  <c r="E83" i="90"/>
  <c r="E82" i="90" s="1"/>
  <c r="D83" i="90"/>
  <c r="D82" i="90" s="1"/>
  <c r="T80" i="90"/>
  <c r="G79" i="90"/>
  <c r="F79" i="90"/>
  <c r="E79" i="90"/>
  <c r="E77" i="90" s="1"/>
  <c r="D79" i="90"/>
  <c r="D77" i="90" s="1"/>
  <c r="G77" i="90"/>
  <c r="F77" i="90"/>
  <c r="R75" i="90"/>
  <c r="Q75" i="90"/>
  <c r="R74" i="90"/>
  <c r="S74" i="90" s="1"/>
  <c r="Q74" i="90"/>
  <c r="S73" i="90"/>
  <c r="R73" i="90"/>
  <c r="Q73" i="90"/>
  <c r="R72" i="90"/>
  <c r="Q72" i="90"/>
  <c r="R70" i="90"/>
  <c r="S70" i="90" s="1"/>
  <c r="Q70" i="90"/>
  <c r="D70" i="90"/>
  <c r="R69" i="90"/>
  <c r="Q69" i="90"/>
  <c r="L69" i="90"/>
  <c r="S68" i="90"/>
  <c r="R68" i="90"/>
  <c r="Q68" i="90"/>
  <c r="G50" i="90"/>
  <c r="G58" i="90" s="1"/>
  <c r="E49" i="90"/>
  <c r="E57" i="90" s="1"/>
  <c r="D49" i="90"/>
  <c r="D57" i="90" s="1"/>
  <c r="Q40" i="90"/>
  <c r="Q41" i="90" s="1"/>
  <c r="Q43" i="90" s="1"/>
  <c r="G38" i="90" s="1"/>
  <c r="P40" i="90"/>
  <c r="P41" i="90" s="1"/>
  <c r="P43" i="90" s="1"/>
  <c r="F38" i="90" s="1"/>
  <c r="O40" i="90"/>
  <c r="O41" i="90" s="1"/>
  <c r="O43" i="90" s="1"/>
  <c r="E38" i="90" s="1"/>
  <c r="N40" i="90"/>
  <c r="N41" i="90" s="1"/>
  <c r="N43" i="90" s="1"/>
  <c r="D38" i="90" s="1"/>
  <c r="H36" i="90"/>
  <c r="H34" i="90"/>
  <c r="H33" i="90"/>
  <c r="H32" i="90"/>
  <c r="H31" i="90"/>
  <c r="G26" i="90"/>
  <c r="F26" i="90"/>
  <c r="E26" i="90"/>
  <c r="D26" i="90"/>
  <c r="O25" i="90"/>
  <c r="G25" i="90"/>
  <c r="G51" i="90" s="1"/>
  <c r="G59" i="90" s="1"/>
  <c r="F25" i="90"/>
  <c r="F51" i="90" s="1"/>
  <c r="F59" i="90" s="1"/>
  <c r="E25" i="90"/>
  <c r="D25" i="90"/>
  <c r="V80" i="90" s="1"/>
  <c r="S2" i="90"/>
  <c r="G89" i="32"/>
  <c r="G88" i="32" s="1"/>
  <c r="F89" i="32"/>
  <c r="F88" i="32" s="1"/>
  <c r="E89" i="32"/>
  <c r="E88" i="32" s="1"/>
  <c r="D89" i="32"/>
  <c r="D88" i="32" s="1"/>
  <c r="G87" i="32"/>
  <c r="G85" i="32" s="1"/>
  <c r="F87" i="32"/>
  <c r="F85" i="32" s="1"/>
  <c r="E87" i="32"/>
  <c r="D87" i="32"/>
  <c r="D85" i="32" s="1"/>
  <c r="E85" i="32"/>
  <c r="G83" i="32"/>
  <c r="G82" i="32" s="1"/>
  <c r="F83" i="32"/>
  <c r="F82" i="32" s="1"/>
  <c r="F80" i="32" s="1"/>
  <c r="F38" i="32" s="1"/>
  <c r="E83" i="32"/>
  <c r="E82" i="32" s="1"/>
  <c r="D83" i="32"/>
  <c r="D82" i="32" s="1"/>
  <c r="G77" i="32"/>
  <c r="G75" i="32" s="1"/>
  <c r="F77" i="32"/>
  <c r="F75" i="32" s="1"/>
  <c r="E77" i="32"/>
  <c r="E75" i="32" s="1"/>
  <c r="D77" i="32"/>
  <c r="D75" i="32" s="1"/>
  <c r="D70" i="32"/>
  <c r="D58" i="32"/>
  <c r="H36" i="32"/>
  <c r="H34" i="32"/>
  <c r="H33" i="32"/>
  <c r="H32" i="32"/>
  <c r="H31" i="32"/>
  <c r="L23" i="32"/>
  <c r="G23" i="32"/>
  <c r="F23" i="32"/>
  <c r="E23" i="32"/>
  <c r="S2" i="32"/>
  <c r="G89" i="33"/>
  <c r="G88" i="33" s="1"/>
  <c r="F89" i="33"/>
  <c r="F88" i="33" s="1"/>
  <c r="E89" i="33"/>
  <c r="E88" i="33" s="1"/>
  <c r="D89" i="33"/>
  <c r="D88" i="33" s="1"/>
  <c r="G82" i="33"/>
  <c r="F82" i="33"/>
  <c r="E82" i="33"/>
  <c r="D82" i="33"/>
  <c r="D80" i="33" s="1"/>
  <c r="D38" i="33" s="1"/>
  <c r="G78" i="33"/>
  <c r="F78" i="33"/>
  <c r="E78" i="33"/>
  <c r="G77" i="33"/>
  <c r="F77" i="33"/>
  <c r="E77" i="33"/>
  <c r="E75" i="33" s="1"/>
  <c r="D77" i="33"/>
  <c r="D75" i="33" s="1"/>
  <c r="G75" i="33"/>
  <c r="F75" i="33"/>
  <c r="D70" i="33"/>
  <c r="D58" i="33"/>
  <c r="E52" i="33"/>
  <c r="E51" i="33"/>
  <c r="E50" i="33"/>
  <c r="E49" i="33"/>
  <c r="E48" i="33"/>
  <c r="H36" i="33"/>
  <c r="H34" i="33"/>
  <c r="H33" i="33"/>
  <c r="H32" i="33"/>
  <c r="H31" i="33"/>
  <c r="G26" i="33"/>
  <c r="F26" i="33"/>
  <c r="E26" i="33"/>
  <c r="L26" i="33" s="1"/>
  <c r="F25" i="33"/>
  <c r="F50" i="33" s="1"/>
  <c r="S2" i="33"/>
  <c r="G83" i="31"/>
  <c r="F83" i="31"/>
  <c r="E83" i="31"/>
  <c r="E48" i="31" s="1"/>
  <c r="D83" i="31"/>
  <c r="D48" i="31" s="1"/>
  <c r="D56" i="31" s="1"/>
  <c r="D70" i="31"/>
  <c r="E56" i="31"/>
  <c r="E52" i="31"/>
  <c r="E60" i="31" s="1"/>
  <c r="D52" i="31"/>
  <c r="D60" i="31" s="1"/>
  <c r="E51" i="31"/>
  <c r="E59" i="31" s="1"/>
  <c r="D51" i="31"/>
  <c r="D59" i="31" s="1"/>
  <c r="E50" i="31"/>
  <c r="E58" i="31" s="1"/>
  <c r="D50" i="31"/>
  <c r="D58" i="31" s="1"/>
  <c r="E49" i="31"/>
  <c r="E57" i="31" s="1"/>
  <c r="D49" i="31"/>
  <c r="D57" i="31" s="1"/>
  <c r="H36" i="31"/>
  <c r="H34" i="31"/>
  <c r="H33" i="31"/>
  <c r="H32" i="31"/>
  <c r="H31" i="31"/>
  <c r="F25" i="31"/>
  <c r="G25" i="31" s="1"/>
  <c r="G52" i="31" s="1"/>
  <c r="G60" i="31" s="1"/>
  <c r="S2" i="31"/>
  <c r="D70" i="35"/>
  <c r="E60" i="35"/>
  <c r="D56" i="35"/>
  <c r="E52" i="35"/>
  <c r="D52" i="35"/>
  <c r="D60" i="35" s="1"/>
  <c r="F51" i="35"/>
  <c r="F59" i="35" s="1"/>
  <c r="E51" i="35"/>
  <c r="E59" i="35" s="1"/>
  <c r="D51" i="35"/>
  <c r="D59" i="35" s="1"/>
  <c r="E50" i="35"/>
  <c r="E58" i="35" s="1"/>
  <c r="D50" i="35"/>
  <c r="D58" i="35" s="1"/>
  <c r="E49" i="35"/>
  <c r="E57" i="35" s="1"/>
  <c r="D49" i="35"/>
  <c r="D57" i="35" s="1"/>
  <c r="E48" i="35"/>
  <c r="E56" i="35" s="1"/>
  <c r="D48" i="35"/>
  <c r="H36" i="35"/>
  <c r="H34" i="35"/>
  <c r="H33" i="35"/>
  <c r="H32" i="35"/>
  <c r="H31" i="35"/>
  <c r="F25" i="35"/>
  <c r="F52" i="35" s="1"/>
  <c r="F60" i="35" s="1"/>
  <c r="D23" i="35"/>
  <c r="E23" i="35" s="1"/>
  <c r="E24" i="35" s="1"/>
  <c r="S2" i="35"/>
  <c r="D70" i="21"/>
  <c r="E52" i="21"/>
  <c r="E60" i="21" s="1"/>
  <c r="D52" i="21"/>
  <c r="D60" i="21" s="1"/>
  <c r="E51" i="21"/>
  <c r="E59" i="21" s="1"/>
  <c r="D51" i="21"/>
  <c r="D59" i="21" s="1"/>
  <c r="E50" i="21"/>
  <c r="E58" i="21" s="1"/>
  <c r="D50" i="21"/>
  <c r="D58" i="21" s="1"/>
  <c r="E49" i="21"/>
  <c r="E57" i="21" s="1"/>
  <c r="D49" i="21"/>
  <c r="D57" i="21" s="1"/>
  <c r="E48" i="21"/>
  <c r="E56" i="21" s="1"/>
  <c r="D48" i="21"/>
  <c r="D56" i="21" s="1"/>
  <c r="H36" i="21"/>
  <c r="H34" i="21"/>
  <c r="H33" i="21"/>
  <c r="H32" i="21"/>
  <c r="H31" i="21"/>
  <c r="F25" i="21"/>
  <c r="F52" i="21" s="1"/>
  <c r="F60" i="21" s="1"/>
  <c r="D24" i="21"/>
  <c r="G23" i="21"/>
  <c r="G24" i="21" s="1"/>
  <c r="F23" i="21"/>
  <c r="F24" i="21" s="1"/>
  <c r="E23" i="21"/>
  <c r="E24" i="21" s="1"/>
  <c r="S2" i="21"/>
  <c r="D67" i="23"/>
  <c r="D68" i="32" s="1"/>
  <c r="E52" i="23"/>
  <c r="E60" i="23" s="1"/>
  <c r="D52" i="23"/>
  <c r="D60" i="23" s="1"/>
  <c r="E51" i="23"/>
  <c r="E59" i="23" s="1"/>
  <c r="D51" i="23"/>
  <c r="D59" i="23" s="1"/>
  <c r="E50" i="23"/>
  <c r="E58" i="23" s="1"/>
  <c r="D50" i="23"/>
  <c r="D58" i="23" s="1"/>
  <c r="E49" i="23"/>
  <c r="E57" i="23" s="1"/>
  <c r="D49" i="23"/>
  <c r="D57" i="23" s="1"/>
  <c r="E48" i="23"/>
  <c r="E56" i="23" s="1"/>
  <c r="D48" i="23"/>
  <c r="D56" i="23" s="1"/>
  <c r="H36" i="23"/>
  <c r="H34" i="23"/>
  <c r="H33" i="23"/>
  <c r="H32" i="23"/>
  <c r="H31" i="23"/>
  <c r="F24" i="23"/>
  <c r="D24" i="23"/>
  <c r="G23" i="23"/>
  <c r="G24" i="23" s="1"/>
  <c r="F23" i="23"/>
  <c r="S2" i="23"/>
  <c r="H97" i="106"/>
  <c r="H96" i="106"/>
  <c r="H95" i="106"/>
  <c r="H94" i="106"/>
  <c r="H93" i="106"/>
  <c r="H92" i="106"/>
  <c r="H91" i="106"/>
  <c r="B56" i="106"/>
  <c r="B55" i="106"/>
  <c r="B54" i="106"/>
  <c r="B53" i="106"/>
  <c r="B43" i="106"/>
  <c r="B42" i="106"/>
  <c r="B41" i="106"/>
  <c r="B40" i="106"/>
  <c r="B39" i="106"/>
  <c r="B38" i="106"/>
  <c r="B37" i="106"/>
  <c r="H97" i="30"/>
  <c r="H96" i="30"/>
  <c r="H95" i="30"/>
  <c r="H94" i="30"/>
  <c r="H93" i="30"/>
  <c r="H92" i="30"/>
  <c r="H91" i="30"/>
  <c r="G86" i="30"/>
  <c r="F86" i="30"/>
  <c r="E86" i="30"/>
  <c r="D86" i="30"/>
  <c r="B56" i="30"/>
  <c r="B55" i="30"/>
  <c r="B54" i="30"/>
  <c r="B53" i="30"/>
  <c r="B43" i="30"/>
  <c r="B42" i="30"/>
  <c r="B41" i="30"/>
  <c r="B40" i="30"/>
  <c r="B39" i="30"/>
  <c r="B38" i="30"/>
  <c r="B37" i="30"/>
  <c r="G32" i="30"/>
  <c r="F32" i="30"/>
  <c r="E32" i="30"/>
  <c r="D32" i="30"/>
  <c r="G129" i="173"/>
  <c r="G128" i="173" s="1"/>
  <c r="G102" i="173" s="1"/>
  <c r="F129" i="173"/>
  <c r="F128" i="173" s="1"/>
  <c r="E129" i="173"/>
  <c r="E128" i="173" s="1"/>
  <c r="E102" i="173" s="1"/>
  <c r="D129" i="173"/>
  <c r="D128" i="173" s="1"/>
  <c r="H97" i="173"/>
  <c r="H96" i="173"/>
  <c r="H95" i="173"/>
  <c r="H94" i="173"/>
  <c r="H93" i="173"/>
  <c r="H92" i="173"/>
  <c r="H91" i="173"/>
  <c r="E87" i="173"/>
  <c r="G86" i="173"/>
  <c r="F86" i="173"/>
  <c r="F88" i="173" s="1"/>
  <c r="E86" i="173"/>
  <c r="E88" i="173" s="1"/>
  <c r="D86" i="173"/>
  <c r="D88" i="173" s="1"/>
  <c r="B56" i="173"/>
  <c r="B55" i="173"/>
  <c r="B54" i="173"/>
  <c r="B53" i="173"/>
  <c r="B43" i="173"/>
  <c r="B42" i="173"/>
  <c r="B41" i="173"/>
  <c r="B40" i="173"/>
  <c r="B39" i="173"/>
  <c r="B38" i="173"/>
  <c r="B37" i="173"/>
  <c r="H97" i="80"/>
  <c r="H96" i="80"/>
  <c r="H95" i="80"/>
  <c r="H94" i="80"/>
  <c r="H93" i="80"/>
  <c r="H92" i="80"/>
  <c r="H91" i="80"/>
  <c r="G86" i="80"/>
  <c r="F86" i="80"/>
  <c r="E86" i="80"/>
  <c r="D86" i="80"/>
  <c r="B56" i="80"/>
  <c r="B55" i="80"/>
  <c r="B54" i="80"/>
  <c r="B53" i="80"/>
  <c r="B43" i="80"/>
  <c r="B42" i="80"/>
  <c r="B41" i="80"/>
  <c r="B40" i="80"/>
  <c r="B39" i="80"/>
  <c r="B38" i="80"/>
  <c r="B37" i="80"/>
  <c r="E104" i="94"/>
  <c r="H97" i="94"/>
  <c r="H96" i="94"/>
  <c r="H95" i="94"/>
  <c r="H94" i="94"/>
  <c r="H93" i="94"/>
  <c r="H92" i="94"/>
  <c r="H91" i="94"/>
  <c r="G89" i="94"/>
  <c r="F89" i="94"/>
  <c r="E89" i="94"/>
  <c r="D89" i="94"/>
  <c r="G86" i="94"/>
  <c r="G87" i="94" s="1"/>
  <c r="F86" i="94"/>
  <c r="F87" i="94" s="1"/>
  <c r="E86" i="94"/>
  <c r="E87" i="94" s="1"/>
  <c r="D86" i="94"/>
  <c r="B43" i="94"/>
  <c r="B42" i="94"/>
  <c r="B41" i="94"/>
  <c r="B40" i="94"/>
  <c r="B39" i="94"/>
  <c r="B38" i="94"/>
  <c r="B37" i="94"/>
  <c r="H97" i="39"/>
  <c r="H96" i="39"/>
  <c r="H95" i="39"/>
  <c r="H94" i="39"/>
  <c r="H93" i="39"/>
  <c r="H92" i="39"/>
  <c r="H91" i="39"/>
  <c r="F89" i="39"/>
  <c r="E89" i="39"/>
  <c r="D89" i="39"/>
  <c r="F86" i="39"/>
  <c r="F87" i="39" s="1"/>
  <c r="E86" i="39"/>
  <c r="E87" i="39" s="1"/>
  <c r="D86" i="39"/>
  <c r="D88" i="39" s="1"/>
  <c r="B43" i="39"/>
  <c r="B42" i="39"/>
  <c r="B41" i="39"/>
  <c r="B40" i="39"/>
  <c r="B39" i="39"/>
  <c r="B38" i="39"/>
  <c r="B37" i="39"/>
  <c r="G31" i="39"/>
  <c r="G86" i="39" s="1"/>
  <c r="I138" i="38"/>
  <c r="F85" i="38" s="1"/>
  <c r="I137" i="38"/>
  <c r="I136" i="38"/>
  <c r="Q134" i="38"/>
  <c r="M134" i="38"/>
  <c r="I134" i="38"/>
  <c r="Q132" i="38"/>
  <c r="M132" i="38"/>
  <c r="I132" i="38"/>
  <c r="Q131" i="38"/>
  <c r="M131" i="38"/>
  <c r="I131" i="38"/>
  <c r="Q130" i="38"/>
  <c r="M130" i="38"/>
  <c r="I130" i="38"/>
  <c r="Q129" i="38"/>
  <c r="M129" i="38"/>
  <c r="I129" i="38"/>
  <c r="H97" i="38"/>
  <c r="H96" i="38"/>
  <c r="H95" i="38"/>
  <c r="H94" i="38"/>
  <c r="H93" i="38"/>
  <c r="H92" i="38"/>
  <c r="H91" i="38"/>
  <c r="B43" i="38"/>
  <c r="B42" i="38"/>
  <c r="B41" i="38"/>
  <c r="B40" i="38"/>
  <c r="B39" i="38"/>
  <c r="B38" i="38"/>
  <c r="B37" i="38"/>
  <c r="G32" i="38"/>
  <c r="F32" i="38"/>
  <c r="E32" i="38"/>
  <c r="D32" i="38"/>
  <c r="G132" i="172"/>
  <c r="G33" i="172" s="1"/>
  <c r="F132" i="172"/>
  <c r="F33" i="172" s="1"/>
  <c r="E132" i="172"/>
  <c r="E33" i="172" s="1"/>
  <c r="E102" i="172" s="1"/>
  <c r="D132" i="172"/>
  <c r="D33" i="172" s="1"/>
  <c r="H97" i="172"/>
  <c r="H96" i="172"/>
  <c r="H95" i="172"/>
  <c r="H94" i="172"/>
  <c r="H93" i="172"/>
  <c r="H92" i="172"/>
  <c r="H91" i="172"/>
  <c r="G86" i="172"/>
  <c r="F86" i="172"/>
  <c r="E86" i="172"/>
  <c r="D86" i="172"/>
  <c r="G83" i="172"/>
  <c r="G87" i="172" s="1"/>
  <c r="F83" i="172"/>
  <c r="E83" i="172"/>
  <c r="D83" i="172"/>
  <c r="B43" i="172"/>
  <c r="B42" i="172"/>
  <c r="B41" i="172"/>
  <c r="B40" i="172"/>
  <c r="B39" i="172"/>
  <c r="B38" i="172"/>
  <c r="B37" i="172"/>
  <c r="G101" i="29"/>
  <c r="F101" i="29"/>
  <c r="E101" i="29"/>
  <c r="D101" i="29"/>
  <c r="H97" i="29"/>
  <c r="H96" i="29"/>
  <c r="H95" i="29"/>
  <c r="H94" i="29"/>
  <c r="H93" i="29"/>
  <c r="H92" i="29"/>
  <c r="H91" i="29"/>
  <c r="G88" i="29"/>
  <c r="F88" i="29"/>
  <c r="E88" i="29"/>
  <c r="D88" i="29"/>
  <c r="G87" i="29"/>
  <c r="F87" i="29"/>
  <c r="E87" i="29"/>
  <c r="D87" i="29"/>
  <c r="B56" i="29"/>
  <c r="B55" i="29"/>
  <c r="B54" i="29"/>
  <c r="B53" i="29"/>
  <c r="B43" i="29"/>
  <c r="B42" i="29"/>
  <c r="B41" i="29"/>
  <c r="B40" i="29"/>
  <c r="B39" i="29"/>
  <c r="B38" i="29"/>
  <c r="B37" i="29"/>
  <c r="G32" i="29"/>
  <c r="F32" i="29"/>
  <c r="E32" i="29"/>
  <c r="D32" i="29"/>
  <c r="C185" i="160"/>
  <c r="B185" i="160"/>
  <c r="C184" i="160"/>
  <c r="B184" i="160"/>
  <c r="C183" i="160"/>
  <c r="B183" i="160"/>
  <c r="C182" i="160"/>
  <c r="B182" i="160"/>
  <c r="B181" i="160"/>
  <c r="C179" i="160"/>
  <c r="B179" i="160"/>
  <c r="B178" i="160"/>
  <c r="J176" i="160"/>
  <c r="C176" i="160"/>
  <c r="B176" i="160"/>
  <c r="J175" i="160"/>
  <c r="C175" i="160"/>
  <c r="B175" i="160"/>
  <c r="J174" i="160"/>
  <c r="C174" i="160"/>
  <c r="B174" i="160"/>
  <c r="J173" i="160"/>
  <c r="C173" i="160"/>
  <c r="B173" i="160"/>
  <c r="J172" i="160"/>
  <c r="C172" i="160"/>
  <c r="B172" i="160"/>
  <c r="B171" i="160"/>
  <c r="C169" i="160"/>
  <c r="B169" i="160"/>
  <c r="C168" i="160"/>
  <c r="B168" i="160"/>
  <c r="C167" i="160"/>
  <c r="B167" i="160"/>
  <c r="C166" i="160"/>
  <c r="B166" i="160"/>
  <c r="C165" i="160"/>
  <c r="B165" i="160"/>
  <c r="B164" i="160"/>
  <c r="C162" i="160"/>
  <c r="B162" i="160"/>
  <c r="C161" i="160"/>
  <c r="B161" i="160"/>
  <c r="C160" i="160"/>
  <c r="B160" i="160"/>
  <c r="C159" i="160"/>
  <c r="B159" i="160"/>
  <c r="C158" i="160"/>
  <c r="B158" i="160"/>
  <c r="C157" i="160"/>
  <c r="B157" i="160"/>
  <c r="B156" i="160"/>
  <c r="J154" i="160"/>
  <c r="D154" i="160"/>
  <c r="C154" i="160"/>
  <c r="B154" i="160"/>
  <c r="J153" i="160"/>
  <c r="D153" i="160"/>
  <c r="C153" i="160"/>
  <c r="B153" i="160"/>
  <c r="J152" i="160"/>
  <c r="D152" i="160"/>
  <c r="C152" i="160"/>
  <c r="B152" i="160"/>
  <c r="J151" i="160"/>
  <c r="D151" i="160"/>
  <c r="C151" i="160"/>
  <c r="B151" i="160"/>
  <c r="J150" i="160"/>
  <c r="D150" i="160"/>
  <c r="C150" i="160"/>
  <c r="B150" i="160"/>
  <c r="J149" i="160"/>
  <c r="D149" i="160"/>
  <c r="C149" i="160"/>
  <c r="B149" i="160"/>
  <c r="B148" i="160"/>
  <c r="C146" i="160"/>
  <c r="B146" i="160"/>
  <c r="J145" i="160"/>
  <c r="D145" i="160"/>
  <c r="C145" i="160"/>
  <c r="B145" i="160"/>
  <c r="J144" i="160"/>
  <c r="D144" i="160"/>
  <c r="C144" i="160"/>
  <c r="B144" i="160"/>
  <c r="B143" i="160"/>
  <c r="C141" i="160"/>
  <c r="B141" i="160"/>
  <c r="C140" i="160"/>
  <c r="B140" i="160"/>
  <c r="C139" i="160"/>
  <c r="B139" i="160"/>
  <c r="J138" i="160"/>
  <c r="C138" i="160"/>
  <c r="B138" i="160"/>
  <c r="C137" i="160"/>
  <c r="B137" i="160"/>
  <c r="C136" i="160"/>
  <c r="B136" i="160"/>
  <c r="J135" i="160"/>
  <c r="D135" i="160"/>
  <c r="C135" i="160"/>
  <c r="B135" i="160"/>
  <c r="J134" i="160"/>
  <c r="D134" i="160"/>
  <c r="C134" i="160"/>
  <c r="B134" i="160"/>
  <c r="J133" i="160"/>
  <c r="E133" i="160"/>
  <c r="D133" i="160"/>
  <c r="C133" i="160"/>
  <c r="B133" i="160"/>
  <c r="J132" i="160"/>
  <c r="D132" i="160"/>
  <c r="C132" i="160"/>
  <c r="B132" i="160"/>
  <c r="B131" i="160"/>
  <c r="H97" i="160"/>
  <c r="H96" i="160"/>
  <c r="H95" i="160"/>
  <c r="H94" i="160"/>
  <c r="H93" i="160"/>
  <c r="H92" i="160"/>
  <c r="H91" i="160"/>
  <c r="B56" i="160"/>
  <c r="B55" i="160"/>
  <c r="B54" i="160"/>
  <c r="B53" i="160"/>
  <c r="B43" i="160"/>
  <c r="B42" i="160"/>
  <c r="B41" i="160"/>
  <c r="B40" i="160"/>
  <c r="B39" i="160"/>
  <c r="B38" i="160"/>
  <c r="B37" i="160"/>
  <c r="G32" i="160"/>
  <c r="F32" i="160"/>
  <c r="E32" i="160"/>
  <c r="D32" i="160"/>
  <c r="C185" i="159"/>
  <c r="B185" i="159"/>
  <c r="C184" i="159"/>
  <c r="B184" i="159"/>
  <c r="C183" i="159"/>
  <c r="B183" i="159"/>
  <c r="C182" i="159"/>
  <c r="B182" i="159"/>
  <c r="B181" i="159"/>
  <c r="C179" i="159"/>
  <c r="B179" i="159"/>
  <c r="B178" i="159"/>
  <c r="J176" i="159"/>
  <c r="C176" i="159"/>
  <c r="B176" i="159"/>
  <c r="J175" i="159"/>
  <c r="C175" i="159"/>
  <c r="B175" i="159"/>
  <c r="J174" i="159"/>
  <c r="C174" i="159"/>
  <c r="B174" i="159"/>
  <c r="J173" i="159"/>
  <c r="C173" i="159"/>
  <c r="B173" i="159"/>
  <c r="J172" i="159"/>
  <c r="C172" i="159"/>
  <c r="B172" i="159"/>
  <c r="B171" i="159"/>
  <c r="L169" i="159"/>
  <c r="C169" i="159"/>
  <c r="B169" i="159"/>
  <c r="C168" i="159"/>
  <c r="B168" i="159"/>
  <c r="C167" i="159"/>
  <c r="B167" i="159"/>
  <c r="C166" i="159"/>
  <c r="B166" i="159"/>
  <c r="C165" i="159"/>
  <c r="B165" i="159"/>
  <c r="B164" i="159"/>
  <c r="C162" i="159"/>
  <c r="B162" i="159"/>
  <c r="C161" i="159"/>
  <c r="B161" i="159"/>
  <c r="C160" i="159"/>
  <c r="B160" i="159"/>
  <c r="C159" i="159"/>
  <c r="B159" i="159"/>
  <c r="C158" i="159"/>
  <c r="B158" i="159"/>
  <c r="C157" i="159"/>
  <c r="B157" i="159"/>
  <c r="B156" i="159"/>
  <c r="J154" i="159"/>
  <c r="D154" i="159"/>
  <c r="C154" i="159"/>
  <c r="B154" i="159"/>
  <c r="J153" i="159"/>
  <c r="D153" i="159"/>
  <c r="C153" i="159"/>
  <c r="B153" i="159"/>
  <c r="J152" i="159"/>
  <c r="D152" i="159"/>
  <c r="C152" i="159"/>
  <c r="B152" i="159"/>
  <c r="J151" i="159"/>
  <c r="D151" i="159"/>
  <c r="C151" i="159"/>
  <c r="B151" i="159"/>
  <c r="J150" i="159"/>
  <c r="D150" i="159"/>
  <c r="C150" i="159"/>
  <c r="B150" i="159"/>
  <c r="J149" i="159"/>
  <c r="D149" i="159"/>
  <c r="C149" i="159"/>
  <c r="B149" i="159"/>
  <c r="B148" i="159"/>
  <c r="C146" i="159"/>
  <c r="B146" i="159"/>
  <c r="J145" i="159"/>
  <c r="D145" i="159"/>
  <c r="C145" i="159"/>
  <c r="B145" i="159"/>
  <c r="J144" i="159"/>
  <c r="D144" i="159"/>
  <c r="C144" i="159"/>
  <c r="B144" i="159"/>
  <c r="B143" i="159"/>
  <c r="C141" i="159"/>
  <c r="B141" i="159"/>
  <c r="C140" i="159"/>
  <c r="B140" i="159"/>
  <c r="C139" i="159"/>
  <c r="B139" i="159"/>
  <c r="J138" i="159"/>
  <c r="C138" i="159"/>
  <c r="B138" i="159"/>
  <c r="C137" i="159"/>
  <c r="B137" i="159"/>
  <c r="C136" i="159"/>
  <c r="B136" i="159"/>
  <c r="J135" i="159"/>
  <c r="D135" i="159"/>
  <c r="C135" i="159"/>
  <c r="B135" i="159"/>
  <c r="J134" i="159"/>
  <c r="D134" i="159"/>
  <c r="C134" i="159"/>
  <c r="B134" i="159"/>
  <c r="J133" i="159"/>
  <c r="E133" i="159"/>
  <c r="D133" i="159"/>
  <c r="C133" i="159"/>
  <c r="B133" i="159"/>
  <c r="J132" i="159"/>
  <c r="D132" i="159"/>
  <c r="C132" i="159"/>
  <c r="B132" i="159"/>
  <c r="B131" i="159"/>
  <c r="H97" i="159"/>
  <c r="H96" i="159"/>
  <c r="H95" i="159"/>
  <c r="H94" i="159"/>
  <c r="H93" i="159"/>
  <c r="H92" i="159"/>
  <c r="H91" i="159"/>
  <c r="B56" i="159"/>
  <c r="B55" i="159"/>
  <c r="B54" i="159"/>
  <c r="B53" i="159"/>
  <c r="B43" i="159"/>
  <c r="B42" i="159"/>
  <c r="B41" i="159"/>
  <c r="B40" i="159"/>
  <c r="B39" i="159"/>
  <c r="B38" i="159"/>
  <c r="B37" i="159"/>
  <c r="G32" i="159"/>
  <c r="F32" i="159"/>
  <c r="E32" i="159"/>
  <c r="D32" i="159"/>
  <c r="C185" i="28"/>
  <c r="B185" i="28"/>
  <c r="C184" i="28"/>
  <c r="B184" i="28"/>
  <c r="C183" i="28"/>
  <c r="B183" i="28"/>
  <c r="C182" i="28"/>
  <c r="B182" i="28"/>
  <c r="B181" i="28"/>
  <c r="C179" i="28"/>
  <c r="B179" i="28"/>
  <c r="B178" i="28"/>
  <c r="J176" i="28"/>
  <c r="C176" i="28"/>
  <c r="B176" i="28"/>
  <c r="J175" i="28"/>
  <c r="C175" i="28"/>
  <c r="B175" i="28"/>
  <c r="J174" i="28"/>
  <c r="C174" i="28"/>
  <c r="B174" i="28"/>
  <c r="J173" i="28"/>
  <c r="C173" i="28"/>
  <c r="B173" i="28"/>
  <c r="J172" i="28"/>
  <c r="C172" i="28"/>
  <c r="B172" i="28"/>
  <c r="B171" i="28"/>
  <c r="C169" i="28"/>
  <c r="B169" i="28"/>
  <c r="C168" i="28"/>
  <c r="B168" i="28"/>
  <c r="C167" i="28"/>
  <c r="B167" i="28"/>
  <c r="C166" i="28"/>
  <c r="B166" i="28"/>
  <c r="C165" i="28"/>
  <c r="B165" i="28"/>
  <c r="B164" i="28"/>
  <c r="C162" i="28"/>
  <c r="B162" i="28"/>
  <c r="C161" i="28"/>
  <c r="B161" i="28"/>
  <c r="C160" i="28"/>
  <c r="B160" i="28"/>
  <c r="C159" i="28"/>
  <c r="B159" i="28"/>
  <c r="C158" i="28"/>
  <c r="B158" i="28"/>
  <c r="C157" i="28"/>
  <c r="B157" i="28"/>
  <c r="B156" i="28"/>
  <c r="J154" i="28"/>
  <c r="D154" i="28"/>
  <c r="C154" i="28"/>
  <c r="B154" i="28"/>
  <c r="J153" i="28"/>
  <c r="E153" i="28"/>
  <c r="D153" i="28"/>
  <c r="C153" i="28"/>
  <c r="B153" i="28"/>
  <c r="J152" i="28"/>
  <c r="D152" i="28"/>
  <c r="C152" i="28"/>
  <c r="B152" i="28"/>
  <c r="J151" i="28"/>
  <c r="D151" i="28"/>
  <c r="C151" i="28"/>
  <c r="B151" i="28"/>
  <c r="J150" i="28"/>
  <c r="D150" i="28"/>
  <c r="C150" i="28"/>
  <c r="B150" i="28"/>
  <c r="J149" i="28"/>
  <c r="D149" i="28"/>
  <c r="C149" i="28"/>
  <c r="B149" i="28"/>
  <c r="B148" i="28"/>
  <c r="C146" i="28"/>
  <c r="B146" i="28"/>
  <c r="J145" i="28"/>
  <c r="D145" i="28"/>
  <c r="C145" i="28"/>
  <c r="B145" i="28"/>
  <c r="J144" i="28"/>
  <c r="D144" i="28"/>
  <c r="C144" i="28"/>
  <c r="B144" i="28"/>
  <c r="B143" i="28"/>
  <c r="C141" i="28"/>
  <c r="B141" i="28"/>
  <c r="C140" i="28"/>
  <c r="B140" i="28"/>
  <c r="C139" i="28"/>
  <c r="B139" i="28"/>
  <c r="J138" i="28"/>
  <c r="C138" i="28"/>
  <c r="B138" i="28"/>
  <c r="C137" i="28"/>
  <c r="B137" i="28"/>
  <c r="C136" i="28"/>
  <c r="B136" i="28"/>
  <c r="J135" i="28"/>
  <c r="D135" i="28"/>
  <c r="C135" i="28"/>
  <c r="B135" i="28"/>
  <c r="J134" i="28"/>
  <c r="D134" i="28"/>
  <c r="C134" i="28"/>
  <c r="B134" i="28"/>
  <c r="J133" i="28"/>
  <c r="D133" i="28"/>
  <c r="C133" i="28"/>
  <c r="B133" i="28"/>
  <c r="J132" i="28"/>
  <c r="D132" i="28"/>
  <c r="C132" i="28"/>
  <c r="B132" i="28"/>
  <c r="B131" i="28"/>
  <c r="H97" i="28"/>
  <c r="H96" i="28"/>
  <c r="H95" i="28"/>
  <c r="H94" i="28"/>
  <c r="H93" i="28"/>
  <c r="H92" i="28"/>
  <c r="H91" i="28"/>
  <c r="B56" i="28"/>
  <c r="B55" i="28"/>
  <c r="B54" i="28"/>
  <c r="B53" i="28"/>
  <c r="B43" i="28"/>
  <c r="B42" i="28"/>
  <c r="B41" i="28"/>
  <c r="B40" i="28"/>
  <c r="B39" i="28"/>
  <c r="B38" i="28"/>
  <c r="B37" i="28"/>
  <c r="G32" i="28"/>
  <c r="F32" i="28"/>
  <c r="E32" i="28"/>
  <c r="D32" i="28"/>
  <c r="E154" i="25"/>
  <c r="E154" i="28" s="1"/>
  <c r="E153" i="25"/>
  <c r="E153" i="160" s="1"/>
  <c r="E152" i="25"/>
  <c r="E151" i="25"/>
  <c r="E151" i="159" s="1"/>
  <c r="E150" i="25"/>
  <c r="E150" i="160" s="1"/>
  <c r="E149" i="25"/>
  <c r="E149" i="28" s="1"/>
  <c r="D146" i="25"/>
  <c r="D146" i="160" s="1"/>
  <c r="E145" i="25"/>
  <c r="E145" i="28" s="1"/>
  <c r="E144" i="25"/>
  <c r="D136" i="25"/>
  <c r="D136" i="159" s="1"/>
  <c r="E135" i="25"/>
  <c r="E135" i="28" s="1"/>
  <c r="E134" i="25"/>
  <c r="E133" i="25"/>
  <c r="E133" i="28" s="1"/>
  <c r="E132" i="25"/>
  <c r="E132" i="28" s="1"/>
  <c r="H97" i="25"/>
  <c r="H96" i="25"/>
  <c r="H95" i="25"/>
  <c r="H94" i="25"/>
  <c r="H93" i="25"/>
  <c r="H92" i="25"/>
  <c r="H91" i="25"/>
  <c r="B56" i="25"/>
  <c r="B55" i="25"/>
  <c r="B54" i="25"/>
  <c r="B53" i="25"/>
  <c r="B43" i="25"/>
  <c r="B42" i="25"/>
  <c r="B41" i="25"/>
  <c r="B40" i="25"/>
  <c r="B39" i="25"/>
  <c r="B38" i="25"/>
  <c r="B37" i="25"/>
  <c r="G32" i="25"/>
  <c r="F32" i="25"/>
  <c r="E32" i="25"/>
  <c r="D32" i="25"/>
  <c r="H97" i="105"/>
  <c r="H96" i="105"/>
  <c r="H95" i="105"/>
  <c r="H94" i="105"/>
  <c r="H93" i="105"/>
  <c r="H92" i="105"/>
  <c r="H91" i="105"/>
  <c r="B43" i="105"/>
  <c r="B42" i="105"/>
  <c r="B41" i="105"/>
  <c r="B40" i="105"/>
  <c r="B39" i="105"/>
  <c r="B38" i="105"/>
  <c r="B37" i="105"/>
  <c r="H97" i="103"/>
  <c r="H96" i="103"/>
  <c r="H95" i="103"/>
  <c r="H94" i="103"/>
  <c r="H93" i="103"/>
  <c r="H92" i="103"/>
  <c r="H91" i="103"/>
  <c r="G83" i="103"/>
  <c r="F83" i="103"/>
  <c r="E83" i="103"/>
  <c r="B43" i="103"/>
  <c r="B42" i="103"/>
  <c r="B41" i="103"/>
  <c r="B40" i="103"/>
  <c r="B39" i="103"/>
  <c r="B38" i="103"/>
  <c r="B37" i="103"/>
  <c r="R219" i="161"/>
  <c r="Q219" i="161"/>
  <c r="P219" i="161"/>
  <c r="N219" i="161"/>
  <c r="M219" i="161"/>
  <c r="L219" i="161"/>
  <c r="K219" i="161"/>
  <c r="G149" i="14" s="1"/>
  <c r="H139" i="14" s="1"/>
  <c r="E218" i="161"/>
  <c r="D218" i="161" s="1"/>
  <c r="E217" i="161"/>
  <c r="D217" i="161" s="1"/>
  <c r="E216" i="161"/>
  <c r="D216" i="161" s="1"/>
  <c r="E215" i="161"/>
  <c r="D215" i="161" s="1"/>
  <c r="E214" i="161"/>
  <c r="D214" i="161" s="1"/>
  <c r="E213" i="161"/>
  <c r="D213" i="161" s="1"/>
  <c r="E212" i="161"/>
  <c r="D212" i="161" s="1"/>
  <c r="E211" i="161"/>
  <c r="D211" i="161" s="1"/>
  <c r="E210" i="161"/>
  <c r="D210" i="161" s="1"/>
  <c r="E209" i="161"/>
  <c r="D209" i="161" s="1"/>
  <c r="E208" i="161"/>
  <c r="D208" i="161" s="1"/>
  <c r="E207" i="161"/>
  <c r="D207" i="161" s="1"/>
  <c r="E206" i="161"/>
  <c r="D206" i="161" s="1"/>
  <c r="E205" i="161"/>
  <c r="D205" i="161" s="1"/>
  <c r="E204" i="161"/>
  <c r="D204" i="161" s="1"/>
  <c r="E203" i="161"/>
  <c r="D203" i="161"/>
  <c r="E202" i="161"/>
  <c r="D202" i="161" s="1"/>
  <c r="D184" i="161"/>
  <c r="J214" i="161" s="1"/>
  <c r="D183" i="161"/>
  <c r="D182" i="161"/>
  <c r="D174" i="161"/>
  <c r="G161" i="161"/>
  <c r="F161" i="161"/>
  <c r="E161" i="161"/>
  <c r="D161" i="161"/>
  <c r="G140" i="161"/>
  <c r="F140" i="161"/>
  <c r="E140" i="161"/>
  <c r="D140" i="161"/>
  <c r="G135" i="161"/>
  <c r="F135" i="161"/>
  <c r="E135" i="161"/>
  <c r="D135" i="161"/>
  <c r="H97" i="161"/>
  <c r="H96" i="161"/>
  <c r="H95" i="161"/>
  <c r="H94" i="161"/>
  <c r="H93" i="161"/>
  <c r="H92" i="161"/>
  <c r="H91" i="161"/>
  <c r="G61" i="161"/>
  <c r="F61" i="161"/>
  <c r="E61" i="161"/>
  <c r="D61" i="161"/>
  <c r="E60" i="161"/>
  <c r="B43" i="161"/>
  <c r="B42" i="161"/>
  <c r="B41" i="161"/>
  <c r="B40" i="161"/>
  <c r="B39" i="161"/>
  <c r="B38" i="161"/>
  <c r="B37" i="161"/>
  <c r="G32" i="161"/>
  <c r="F32" i="161"/>
  <c r="E32" i="161"/>
  <c r="D32" i="161"/>
  <c r="D188" i="176"/>
  <c r="D187" i="176"/>
  <c r="C186" i="176"/>
  <c r="D189" i="176" s="1"/>
  <c r="D103" i="176"/>
  <c r="E103" i="176" s="1"/>
  <c r="D100" i="176"/>
  <c r="G100" i="176" s="1"/>
  <c r="H97" i="176"/>
  <c r="H96" i="176"/>
  <c r="H95" i="176"/>
  <c r="H94" i="176"/>
  <c r="H93" i="176"/>
  <c r="H92" i="176"/>
  <c r="H91" i="176"/>
  <c r="D89" i="176"/>
  <c r="D86" i="176"/>
  <c r="G86" i="176" s="1"/>
  <c r="G83" i="176"/>
  <c r="F83" i="176"/>
  <c r="E83" i="176"/>
  <c r="D59" i="176"/>
  <c r="D84" i="176" s="1"/>
  <c r="F84" i="176" s="1"/>
  <c r="E53" i="176"/>
  <c r="F53" i="176" s="1"/>
  <c r="G53" i="176" s="1"/>
  <c r="D53" i="176"/>
  <c r="B43" i="176"/>
  <c r="B42" i="176"/>
  <c r="B41" i="176"/>
  <c r="B40" i="176"/>
  <c r="B39" i="176"/>
  <c r="B38" i="176"/>
  <c r="B37" i="176"/>
  <c r="D34" i="176"/>
  <c r="F34" i="176" s="1"/>
  <c r="D33" i="176"/>
  <c r="G33" i="176" s="1"/>
  <c r="D32" i="176"/>
  <c r="D31" i="176"/>
  <c r="G31" i="176" s="1"/>
  <c r="S2" i="176"/>
  <c r="D129" i="175"/>
  <c r="D132" i="175" s="1"/>
  <c r="D103" i="175"/>
  <c r="D100" i="175"/>
  <c r="E100" i="175" s="1"/>
  <c r="H97" i="175"/>
  <c r="H96" i="175"/>
  <c r="H95" i="175"/>
  <c r="H94" i="175"/>
  <c r="H93" i="175"/>
  <c r="H92" i="175"/>
  <c r="H91" i="175"/>
  <c r="D89" i="175"/>
  <c r="F89" i="175" s="1"/>
  <c r="D86" i="175"/>
  <c r="G86" i="175" s="1"/>
  <c r="G83" i="175"/>
  <c r="F83" i="175"/>
  <c r="E83" i="175"/>
  <c r="D78" i="175"/>
  <c r="D61" i="175"/>
  <c r="D59" i="175"/>
  <c r="E59" i="175" s="1"/>
  <c r="D54" i="175"/>
  <c r="D85" i="175" s="1"/>
  <c r="B43" i="175"/>
  <c r="B42" i="175"/>
  <c r="B41" i="175"/>
  <c r="B40" i="175"/>
  <c r="B39" i="175"/>
  <c r="B38" i="175"/>
  <c r="B37" i="175"/>
  <c r="D34" i="175"/>
  <c r="D33" i="175"/>
  <c r="G33" i="175" s="1"/>
  <c r="G32" i="175"/>
  <c r="F32" i="175"/>
  <c r="D32" i="175"/>
  <c r="E32" i="175" s="1"/>
  <c r="D31" i="175"/>
  <c r="S2" i="175"/>
  <c r="D189" i="174"/>
  <c r="D40" i="174" s="1"/>
  <c r="G40" i="174" s="1"/>
  <c r="D188" i="174"/>
  <c r="D187" i="174"/>
  <c r="D38" i="174" s="1"/>
  <c r="E38" i="174" s="1"/>
  <c r="F38" i="174" s="1"/>
  <c r="G38" i="174" s="1"/>
  <c r="D186" i="174"/>
  <c r="D86" i="174" s="1"/>
  <c r="F86" i="174" s="1"/>
  <c r="K167" i="174"/>
  <c r="K166" i="174"/>
  <c r="M165" i="174"/>
  <c r="K165" i="174"/>
  <c r="M164" i="174"/>
  <c r="N164" i="174" s="1"/>
  <c r="K164" i="174"/>
  <c r="D103" i="174"/>
  <c r="E103" i="174" s="1"/>
  <c r="D100" i="174"/>
  <c r="F100" i="174" s="1"/>
  <c r="H97" i="174"/>
  <c r="H96" i="174"/>
  <c r="H95" i="174"/>
  <c r="H94" i="174"/>
  <c r="H93" i="174"/>
  <c r="H92" i="174"/>
  <c r="H91" i="174"/>
  <c r="G84" i="174"/>
  <c r="F84" i="174"/>
  <c r="E84" i="174"/>
  <c r="G83" i="174"/>
  <c r="F83" i="174"/>
  <c r="E83" i="174"/>
  <c r="B43" i="174"/>
  <c r="B42" i="174"/>
  <c r="B41" i="174"/>
  <c r="B40" i="174"/>
  <c r="B39" i="174"/>
  <c r="B38" i="174"/>
  <c r="B37" i="174"/>
  <c r="D34" i="174"/>
  <c r="F34" i="174" s="1"/>
  <c r="D33" i="174"/>
  <c r="D32" i="174"/>
  <c r="G32" i="174" s="1"/>
  <c r="D31" i="174"/>
  <c r="G31" i="174" s="1"/>
  <c r="S2" i="174"/>
  <c r="C153" i="150"/>
  <c r="D43" i="150" s="1"/>
  <c r="D85" i="150" s="1"/>
  <c r="E85" i="150" s="1"/>
  <c r="D103" i="150"/>
  <c r="D100" i="150"/>
  <c r="H97" i="150"/>
  <c r="H96" i="150"/>
  <c r="H95" i="150"/>
  <c r="H94" i="150"/>
  <c r="H93" i="150"/>
  <c r="H92" i="150"/>
  <c r="H91" i="150"/>
  <c r="D89" i="150"/>
  <c r="E89" i="150" s="1"/>
  <c r="D86" i="150"/>
  <c r="D84" i="150"/>
  <c r="F84" i="150" s="1"/>
  <c r="G83" i="150"/>
  <c r="F83" i="150"/>
  <c r="E83" i="150"/>
  <c r="B43" i="150"/>
  <c r="B42" i="150"/>
  <c r="B41" i="150"/>
  <c r="B40" i="150"/>
  <c r="B39" i="150"/>
  <c r="B38" i="150"/>
  <c r="B37" i="150"/>
  <c r="D34" i="150"/>
  <c r="D33" i="150"/>
  <c r="E33" i="150" s="1"/>
  <c r="D32" i="150"/>
  <c r="D31" i="150"/>
  <c r="G31" i="150" s="1"/>
  <c r="S2" i="150"/>
  <c r="B1" i="150"/>
  <c r="C152" i="148"/>
  <c r="D43" i="148" s="1"/>
  <c r="D103" i="148"/>
  <c r="G103" i="148" s="1"/>
  <c r="D100" i="148"/>
  <c r="G100" i="148" s="1"/>
  <c r="H97" i="148"/>
  <c r="H96" i="148"/>
  <c r="H95" i="148"/>
  <c r="H94" i="148"/>
  <c r="H93" i="148"/>
  <c r="H92" i="148"/>
  <c r="H91" i="148"/>
  <c r="D89" i="148"/>
  <c r="E86" i="148"/>
  <c r="D86" i="148"/>
  <c r="G86" i="148" s="1"/>
  <c r="G84" i="148"/>
  <c r="F84" i="148"/>
  <c r="E84" i="148"/>
  <c r="G83" i="148"/>
  <c r="F83" i="148"/>
  <c r="E83" i="148"/>
  <c r="B43" i="148"/>
  <c r="B42" i="148"/>
  <c r="B41" i="148"/>
  <c r="D40" i="148"/>
  <c r="F40" i="148" s="1"/>
  <c r="B40" i="148"/>
  <c r="B39" i="148"/>
  <c r="F38" i="148"/>
  <c r="D38" i="148"/>
  <c r="G38" i="148" s="1"/>
  <c r="B38" i="148"/>
  <c r="B37" i="148"/>
  <c r="D34" i="148"/>
  <c r="D33" i="148"/>
  <c r="F33" i="148" s="1"/>
  <c r="D32" i="148"/>
  <c r="D31" i="148"/>
  <c r="E31" i="148" s="1"/>
  <c r="S2" i="148"/>
  <c r="D180" i="145"/>
  <c r="C152" i="145"/>
  <c r="D43" i="145" s="1"/>
  <c r="E43" i="145" s="1"/>
  <c r="D103" i="145"/>
  <c r="D100" i="145"/>
  <c r="G100" i="145" s="1"/>
  <c r="H97" i="145"/>
  <c r="H96" i="145"/>
  <c r="H95" i="145"/>
  <c r="H94" i="145"/>
  <c r="H93" i="145"/>
  <c r="H92" i="145"/>
  <c r="H91" i="145"/>
  <c r="D89" i="145"/>
  <c r="E89" i="145" s="1"/>
  <c r="D86" i="145"/>
  <c r="D85" i="145"/>
  <c r="D87" i="145" s="1"/>
  <c r="G84" i="145"/>
  <c r="F84" i="145"/>
  <c r="E84" i="145"/>
  <c r="G83" i="145"/>
  <c r="F83" i="145"/>
  <c r="E83" i="145"/>
  <c r="B43" i="145"/>
  <c r="B42" i="145"/>
  <c r="B41" i="145"/>
  <c r="G40" i="145"/>
  <c r="F40" i="145"/>
  <c r="E40" i="145"/>
  <c r="B40" i="145"/>
  <c r="B39" i="145"/>
  <c r="B38" i="145"/>
  <c r="B37" i="145"/>
  <c r="D34" i="145"/>
  <c r="E34" i="145" s="1"/>
  <c r="D33" i="145"/>
  <c r="G33" i="145" s="1"/>
  <c r="D32" i="145"/>
  <c r="D31" i="145"/>
  <c r="G31" i="145" s="1"/>
  <c r="S2" i="145"/>
  <c r="D188" i="144"/>
  <c r="D187" i="144"/>
  <c r="C186" i="144"/>
  <c r="C185" i="144"/>
  <c r="D180" i="144"/>
  <c r="D103" i="144"/>
  <c r="G103" i="144" s="1"/>
  <c r="D100" i="144"/>
  <c r="G100" i="144" s="1"/>
  <c r="H97" i="144"/>
  <c r="H96" i="144"/>
  <c r="H95" i="144"/>
  <c r="H94" i="144"/>
  <c r="H93" i="144"/>
  <c r="H92" i="144"/>
  <c r="H91" i="144"/>
  <c r="D89" i="144"/>
  <c r="G89" i="144" s="1"/>
  <c r="D86" i="144"/>
  <c r="G86" i="144" s="1"/>
  <c r="G83" i="144"/>
  <c r="F83" i="144"/>
  <c r="E83" i="144"/>
  <c r="D61" i="144"/>
  <c r="G61" i="144" s="1"/>
  <c r="D59" i="144"/>
  <c r="D56" i="144"/>
  <c r="E56" i="144" s="1"/>
  <c r="F56" i="144" s="1"/>
  <c r="G56" i="144" s="1"/>
  <c r="B43" i="144"/>
  <c r="B42" i="144"/>
  <c r="B41" i="144"/>
  <c r="B40" i="144"/>
  <c r="B39" i="144"/>
  <c r="B38" i="144"/>
  <c r="B37" i="144"/>
  <c r="D34" i="144"/>
  <c r="G34" i="144" s="1"/>
  <c r="D33" i="144"/>
  <c r="F33" i="144" s="1"/>
  <c r="D32" i="144"/>
  <c r="D31" i="144"/>
  <c r="S2" i="144"/>
  <c r="D180" i="142"/>
  <c r="C153" i="142"/>
  <c r="D43" i="142" s="1"/>
  <c r="D103" i="142"/>
  <c r="E103" i="142" s="1"/>
  <c r="D100" i="142"/>
  <c r="H97" i="142"/>
  <c r="H96" i="142"/>
  <c r="H95" i="142"/>
  <c r="H94" i="142"/>
  <c r="H93" i="142"/>
  <c r="H92" i="142"/>
  <c r="H91" i="142"/>
  <c r="D89" i="142"/>
  <c r="D86" i="142"/>
  <c r="G86" i="142" s="1"/>
  <c r="G84" i="142"/>
  <c r="F84" i="142"/>
  <c r="E84" i="142"/>
  <c r="G83" i="142"/>
  <c r="F83" i="142"/>
  <c r="E83" i="142"/>
  <c r="B43" i="142"/>
  <c r="B42" i="142"/>
  <c r="B41" i="142"/>
  <c r="B40" i="142"/>
  <c r="B39" i="142"/>
  <c r="B38" i="142"/>
  <c r="B37" i="142"/>
  <c r="D34" i="142"/>
  <c r="F34" i="142" s="1"/>
  <c r="Q33" i="142"/>
  <c r="D33" i="142"/>
  <c r="E33" i="142" s="1"/>
  <c r="D32" i="142"/>
  <c r="D31" i="142"/>
  <c r="Q34" i="142" s="1"/>
  <c r="P35" i="142" s="1"/>
  <c r="S2" i="142"/>
  <c r="F258" i="7"/>
  <c r="E258" i="7"/>
  <c r="D258" i="7"/>
  <c r="C258" i="7"/>
  <c r="F251" i="7"/>
  <c r="E251" i="7"/>
  <c r="D251" i="7"/>
  <c r="C251" i="7"/>
  <c r="F244" i="7"/>
  <c r="E244" i="7"/>
  <c r="D244" i="7"/>
  <c r="C244" i="7"/>
  <c r="F241" i="7"/>
  <c r="G109" i="153" s="1"/>
  <c r="G110" i="153" s="1"/>
  <c r="E241" i="7"/>
  <c r="F109" i="158" s="1"/>
  <c r="F110" i="158" s="1"/>
  <c r="D241" i="7"/>
  <c r="E109" i="155" s="1"/>
  <c r="E110" i="155" s="1"/>
  <c r="C241" i="7"/>
  <c r="D109" i="155" s="1"/>
  <c r="D110" i="155" s="1"/>
  <c r="F240" i="7"/>
  <c r="G109" i="149" s="1"/>
  <c r="G110" i="149" s="1"/>
  <c r="E240" i="7"/>
  <c r="F109" i="146" s="1"/>
  <c r="F110" i="146" s="1"/>
  <c r="D240" i="7"/>
  <c r="E109" i="154" s="1"/>
  <c r="E110" i="154" s="1"/>
  <c r="C240" i="7"/>
  <c r="D110" i="176" s="1"/>
  <c r="D111" i="176" s="1"/>
  <c r="F239" i="7"/>
  <c r="G110" i="144" s="1"/>
  <c r="G111" i="144" s="1"/>
  <c r="E239" i="7"/>
  <c r="F110" i="144" s="1"/>
  <c r="F111" i="144" s="1"/>
  <c r="D239" i="7"/>
  <c r="E110" i="144" s="1"/>
  <c r="E111" i="144" s="1"/>
  <c r="C239" i="7"/>
  <c r="D109" i="152" s="1"/>
  <c r="D110" i="152" s="1"/>
  <c r="F238" i="7"/>
  <c r="E238" i="7"/>
  <c r="D238" i="7"/>
  <c r="C238" i="7"/>
  <c r="F237" i="7"/>
  <c r="E237" i="7"/>
  <c r="D237" i="7"/>
  <c r="C237" i="7"/>
  <c r="D231" i="7"/>
  <c r="B231" i="7"/>
  <c r="D230" i="7"/>
  <c r="B230" i="7"/>
  <c r="D229" i="7"/>
  <c r="B229" i="7"/>
  <c r="D228" i="7"/>
  <c r="B228" i="7"/>
  <c r="D227" i="7"/>
  <c r="B227" i="7"/>
  <c r="D226" i="7"/>
  <c r="B226" i="7"/>
  <c r="D225" i="7"/>
  <c r="B225" i="7"/>
  <c r="D224" i="7"/>
  <c r="B224" i="7"/>
  <c r="D223" i="7"/>
  <c r="B223" i="7"/>
  <c r="D222" i="7"/>
  <c r="B222" i="7"/>
  <c r="D221" i="7"/>
  <c r="B221" i="7"/>
  <c r="D220" i="7"/>
  <c r="B220" i="7"/>
  <c r="D218" i="7"/>
  <c r="B218" i="7"/>
  <c r="D217" i="7"/>
  <c r="B217" i="7"/>
  <c r="D216" i="7"/>
  <c r="B216" i="7"/>
  <c r="D215" i="7"/>
  <c r="B215" i="7"/>
  <c r="D214" i="7"/>
  <c r="B214" i="7"/>
  <c r="D213" i="7"/>
  <c r="B213" i="7"/>
  <c r="D212" i="7"/>
  <c r="B212" i="7"/>
  <c r="D211" i="7"/>
  <c r="B211" i="7"/>
  <c r="D210" i="7"/>
  <c r="B210" i="7"/>
  <c r="D209" i="7"/>
  <c r="B209" i="7"/>
  <c r="D208" i="7"/>
  <c r="B208" i="7"/>
  <c r="D207" i="7"/>
  <c r="B207" i="7"/>
  <c r="AP209" i="3" s="1"/>
  <c r="AP219" i="3" s="1"/>
  <c r="D187" i="7"/>
  <c r="C187" i="7"/>
  <c r="C188" i="7" s="1"/>
  <c r="D186" i="7"/>
  <c r="C186" i="7"/>
  <c r="D185" i="7"/>
  <c r="C185" i="7"/>
  <c r="F175" i="7"/>
  <c r="E175" i="7"/>
  <c r="F174" i="7"/>
  <c r="E174" i="7"/>
  <c r="F173" i="7"/>
  <c r="E173" i="7"/>
  <c r="F172" i="7"/>
  <c r="D130" i="175" s="1"/>
  <c r="D133" i="175" s="1"/>
  <c r="E172" i="7"/>
  <c r="F169" i="7"/>
  <c r="F168" i="7"/>
  <c r="E168" i="7"/>
  <c r="F167" i="7"/>
  <c r="E167" i="7"/>
  <c r="F166" i="7"/>
  <c r="G166" i="7" s="1"/>
  <c r="E166" i="7"/>
  <c r="F165" i="7"/>
  <c r="E165" i="7"/>
  <c r="G165" i="7" s="1"/>
  <c r="F164" i="7"/>
  <c r="E164" i="7"/>
  <c r="G164" i="7" s="1"/>
  <c r="R44" i="101" s="1"/>
  <c r="F163" i="7"/>
  <c r="E163" i="7"/>
  <c r="F162" i="7"/>
  <c r="E162" i="7"/>
  <c r="G162" i="7" s="1"/>
  <c r="F161" i="7"/>
  <c r="E161" i="7"/>
  <c r="F160" i="7"/>
  <c r="E160" i="7"/>
  <c r="F159" i="7"/>
  <c r="G159" i="7" s="1"/>
  <c r="O22" i="101" s="1"/>
  <c r="F158" i="7"/>
  <c r="E158" i="7"/>
  <c r="I146" i="7"/>
  <c r="H305" i="100" s="1"/>
  <c r="H146" i="7"/>
  <c r="G146" i="7"/>
  <c r="J305" i="100" s="1"/>
  <c r="AI107" i="3" s="1"/>
  <c r="F146" i="7"/>
  <c r="E146" i="7"/>
  <c r="D146" i="7"/>
  <c r="AC140" i="7"/>
  <c r="H142" i="7" s="1"/>
  <c r="AC139" i="7"/>
  <c r="H141" i="7" s="1"/>
  <c r="AC138" i="7"/>
  <c r="G140" i="7" s="1"/>
  <c r="F119" i="7"/>
  <c r="C119" i="7"/>
  <c r="F118" i="7"/>
  <c r="F117" i="7"/>
  <c r="C114" i="7"/>
  <c r="C110" i="7"/>
  <c r="C103" i="7"/>
  <c r="C102" i="7"/>
  <c r="Q85" i="7"/>
  <c r="P85" i="7"/>
  <c r="S84" i="7"/>
  <c r="R84" i="7"/>
  <c r="Q84" i="7"/>
  <c r="P84" i="7"/>
  <c r="K84" i="7"/>
  <c r="S83" i="7"/>
  <c r="R83" i="7"/>
  <c r="Q83" i="7"/>
  <c r="P83" i="7"/>
  <c r="K83" i="7"/>
  <c r="AH82" i="7"/>
  <c r="AG82" i="7"/>
  <c r="AF82" i="7"/>
  <c r="AB82" i="7"/>
  <c r="AA82" i="7"/>
  <c r="Z82" i="7"/>
  <c r="S82" i="7"/>
  <c r="R82" i="7"/>
  <c r="Q82" i="7"/>
  <c r="P82" i="7"/>
  <c r="K82" i="7"/>
  <c r="AH81" i="7"/>
  <c r="AG81" i="7"/>
  <c r="AF81" i="7"/>
  <c r="AB81" i="7"/>
  <c r="AA81" i="7"/>
  <c r="Z81" i="7"/>
  <c r="S81" i="7"/>
  <c r="R81" i="7"/>
  <c r="Q81" i="7"/>
  <c r="P81" i="7"/>
  <c r="K81" i="7"/>
  <c r="AH80" i="7"/>
  <c r="AG80" i="7"/>
  <c r="AF80" i="7"/>
  <c r="AB80" i="7"/>
  <c r="AA80" i="7"/>
  <c r="Z80" i="7"/>
  <c r="S80" i="7"/>
  <c r="R80" i="7"/>
  <c r="Q80" i="7"/>
  <c r="P80" i="7"/>
  <c r="P86" i="7" s="1"/>
  <c r="K80" i="7"/>
  <c r="AH79" i="7"/>
  <c r="AG79" i="7"/>
  <c r="AF79" i="7"/>
  <c r="AB79" i="7"/>
  <c r="AA79" i="7"/>
  <c r="Z79" i="7"/>
  <c r="K79" i="7"/>
  <c r="AH78" i="7"/>
  <c r="AG78" i="7"/>
  <c r="AF78" i="7"/>
  <c r="AB78" i="7"/>
  <c r="AA78" i="7"/>
  <c r="Z78" i="7"/>
  <c r="K78" i="7"/>
  <c r="AH77" i="7"/>
  <c r="AG77" i="7"/>
  <c r="AF77" i="7"/>
  <c r="AB77" i="7"/>
  <c r="AA77" i="7"/>
  <c r="Z77" i="7"/>
  <c r="K77" i="7"/>
  <c r="K76" i="7"/>
  <c r="K75" i="7"/>
  <c r="K74" i="7"/>
  <c r="K73" i="7"/>
  <c r="N72" i="7"/>
  <c r="K72" i="7"/>
  <c r="K71" i="7"/>
  <c r="N70" i="7"/>
  <c r="K70" i="7"/>
  <c r="K69" i="7"/>
  <c r="K68" i="7"/>
  <c r="K67" i="7"/>
  <c r="K66" i="7"/>
  <c r="K65" i="7"/>
  <c r="K64" i="7"/>
  <c r="K63" i="7"/>
  <c r="C52" i="7"/>
  <c r="E50" i="7"/>
  <c r="C50" i="7"/>
  <c r="G60" i="161" s="1"/>
  <c r="I29" i="7"/>
  <c r="I28" i="7"/>
  <c r="I27" i="7"/>
  <c r="L12" i="7"/>
  <c r="E4" i="8" s="1"/>
  <c r="R43" i="101"/>
  <c r="Q43" i="101"/>
  <c r="P43" i="101"/>
  <c r="K31" i="101"/>
  <c r="J31" i="101"/>
  <c r="I31" i="101"/>
  <c r="H31" i="101"/>
  <c r="G31" i="101"/>
  <c r="F31" i="101"/>
  <c r="J30" i="101"/>
  <c r="I30" i="101"/>
  <c r="H30" i="101"/>
  <c r="G30" i="101"/>
  <c r="F30" i="101"/>
  <c r="K29" i="101"/>
  <c r="J29" i="101"/>
  <c r="I29" i="101"/>
  <c r="H29" i="101"/>
  <c r="G29" i="101"/>
  <c r="F29" i="101"/>
  <c r="X27" i="101"/>
  <c r="Q27" i="101"/>
  <c r="D27" i="101"/>
  <c r="B27" i="101"/>
  <c r="X26" i="101"/>
  <c r="Q26" i="101"/>
  <c r="D26" i="101"/>
  <c r="B26" i="101"/>
  <c r="X25" i="101"/>
  <c r="Q25" i="101"/>
  <c r="D25" i="101"/>
  <c r="B25" i="101"/>
  <c r="X24" i="101"/>
  <c r="Q24" i="101"/>
  <c r="D24" i="101"/>
  <c r="B24" i="101"/>
  <c r="X23" i="101"/>
  <c r="Q23" i="101"/>
  <c r="W23" i="101" s="1"/>
  <c r="D23" i="101"/>
  <c r="B23" i="101"/>
  <c r="X22" i="101"/>
  <c r="D22" i="101"/>
  <c r="B22" i="101"/>
  <c r="X21" i="101"/>
  <c r="D21" i="101"/>
  <c r="B21" i="101"/>
  <c r="X20" i="101"/>
  <c r="D20" i="101"/>
  <c r="B20" i="101"/>
  <c r="X19" i="101"/>
  <c r="D19" i="101"/>
  <c r="B19" i="101"/>
  <c r="X18" i="101"/>
  <c r="D18" i="101"/>
  <c r="B18" i="101"/>
  <c r="X17" i="101"/>
  <c r="Q17" i="101"/>
  <c r="D17" i="101"/>
  <c r="B17" i="101"/>
  <c r="X16" i="101"/>
  <c r="Q16" i="101"/>
  <c r="D16" i="101"/>
  <c r="B16" i="101"/>
  <c r="X15" i="101"/>
  <c r="D15" i="101"/>
  <c r="B15" i="101"/>
  <c r="X14" i="101"/>
  <c r="Q14" i="101"/>
  <c r="D14" i="101"/>
  <c r="B14" i="101"/>
  <c r="X13" i="101"/>
  <c r="D13" i="101"/>
  <c r="B13" i="101"/>
  <c r="X12" i="101"/>
  <c r="D12" i="101"/>
  <c r="B12" i="101"/>
  <c r="X11" i="101"/>
  <c r="D11" i="101"/>
  <c r="B11" i="101"/>
  <c r="AF293" i="100" s="1"/>
  <c r="X10" i="101"/>
  <c r="D10" i="101"/>
  <c r="B10" i="101"/>
  <c r="X9" i="101"/>
  <c r="D9" i="101"/>
  <c r="B9" i="101"/>
  <c r="X8" i="101"/>
  <c r="Q8" i="101"/>
  <c r="W8" i="101" s="1"/>
  <c r="D8" i="101"/>
  <c r="B8" i="101"/>
  <c r="G204" i="14"/>
  <c r="F204" i="14"/>
  <c r="E204" i="14"/>
  <c r="D204" i="14"/>
  <c r="G203" i="14"/>
  <c r="I129" i="14" s="1"/>
  <c r="F203" i="14"/>
  <c r="H129" i="14" s="1"/>
  <c r="E203" i="14"/>
  <c r="G129" i="14" s="1"/>
  <c r="D203" i="14"/>
  <c r="F129" i="14" s="1"/>
  <c r="G202" i="14"/>
  <c r="F202" i="14"/>
  <c r="E202" i="14"/>
  <c r="D202" i="14"/>
  <c r="H104" i="14"/>
  <c r="I104" i="14"/>
  <c r="H173" i="14"/>
  <c r="H174" i="14" s="1"/>
  <c r="G173" i="14"/>
  <c r="G174" i="14" s="1"/>
  <c r="F173" i="14"/>
  <c r="F174" i="14" s="1"/>
  <c r="E173" i="14"/>
  <c r="D173" i="14" s="1"/>
  <c r="I108" i="14" s="1"/>
  <c r="F164" i="14"/>
  <c r="E164" i="14"/>
  <c r="D164" i="14"/>
  <c r="C164" i="14"/>
  <c r="I154" i="14"/>
  <c r="I148" i="14"/>
  <c r="H148" i="14"/>
  <c r="I131" i="14" s="1"/>
  <c r="P52" i="108" s="1"/>
  <c r="G148" i="14"/>
  <c r="H131" i="14" s="1"/>
  <c r="O52" i="108" s="1"/>
  <c r="F148" i="14"/>
  <c r="G131" i="14" s="1"/>
  <c r="N52" i="108" s="1"/>
  <c r="E148" i="14"/>
  <c r="F131" i="14" s="1"/>
  <c r="M52" i="108" s="1"/>
  <c r="J142" i="14"/>
  <c r="I142" i="14"/>
  <c r="P48" i="108" s="1"/>
  <c r="H142" i="14"/>
  <c r="O48" i="108" s="1"/>
  <c r="G142" i="14"/>
  <c r="N48" i="108" s="1"/>
  <c r="F142" i="14"/>
  <c r="M48" i="108" s="1"/>
  <c r="J139" i="14"/>
  <c r="J138" i="14"/>
  <c r="J137" i="14"/>
  <c r="J136" i="14"/>
  <c r="J135" i="14"/>
  <c r="I134" i="14"/>
  <c r="H134" i="14"/>
  <c r="G134" i="14"/>
  <c r="F134" i="14"/>
  <c r="I133" i="14"/>
  <c r="H133" i="14"/>
  <c r="G133" i="14"/>
  <c r="F133" i="14"/>
  <c r="J132" i="14"/>
  <c r="H132" i="14"/>
  <c r="G132" i="14"/>
  <c r="F132" i="14"/>
  <c r="J130" i="14"/>
  <c r="J131" i="14" s="1"/>
  <c r="I130" i="14"/>
  <c r="H130" i="14"/>
  <c r="G130" i="14"/>
  <c r="F130" i="14"/>
  <c r="J127" i="14"/>
  <c r="I127" i="14"/>
  <c r="H127" i="14"/>
  <c r="G127" i="14"/>
  <c r="F127" i="14"/>
  <c r="K116" i="14"/>
  <c r="J116" i="14"/>
  <c r="I116" i="14"/>
  <c r="H116" i="14"/>
  <c r="D116" i="14"/>
  <c r="O23" i="14" s="1"/>
  <c r="K115" i="14"/>
  <c r="J115" i="14"/>
  <c r="I115" i="14"/>
  <c r="H115" i="14"/>
  <c r="D115" i="14"/>
  <c r="O22" i="14" s="1"/>
  <c r="D114" i="14"/>
  <c r="O21" i="14" s="1"/>
  <c r="D113" i="14"/>
  <c r="O20" i="14" s="1"/>
  <c r="D112" i="14"/>
  <c r="O19" i="14" s="1"/>
  <c r="D111" i="14"/>
  <c r="O18" i="14" s="1"/>
  <c r="AG110" i="14"/>
  <c r="K105" i="14" s="1"/>
  <c r="D110" i="14"/>
  <c r="O17" i="14" s="1"/>
  <c r="AG108" i="14"/>
  <c r="D107" i="14"/>
  <c r="O14" i="14" s="1"/>
  <c r="D106" i="14"/>
  <c r="AG105" i="14"/>
  <c r="J103" i="14" s="1"/>
  <c r="J105" i="14"/>
  <c r="I105" i="14"/>
  <c r="H105" i="14"/>
  <c r="D105" i="14"/>
  <c r="O13" i="14" s="1"/>
  <c r="D104" i="14"/>
  <c r="O12" i="14" s="1"/>
  <c r="D103" i="14"/>
  <c r="O11" i="14" s="1"/>
  <c r="I102" i="14"/>
  <c r="I103" i="14" s="1"/>
  <c r="H102" i="14"/>
  <c r="H103" i="14" s="1"/>
  <c r="D102" i="14"/>
  <c r="O10" i="14" s="1"/>
  <c r="D98" i="14"/>
  <c r="J23" i="14" s="1"/>
  <c r="H97" i="14"/>
  <c r="G97" i="14"/>
  <c r="F97" i="14"/>
  <c r="E97" i="14"/>
  <c r="D97" i="14" s="1"/>
  <c r="J22" i="14" s="1"/>
  <c r="H96" i="14"/>
  <c r="G96" i="14"/>
  <c r="F96" i="14"/>
  <c r="E96" i="14"/>
  <c r="D95" i="14"/>
  <c r="J20" i="14" s="1"/>
  <c r="D94" i="14"/>
  <c r="J19" i="14" s="1"/>
  <c r="H91" i="14"/>
  <c r="G91" i="14"/>
  <c r="F91" i="14"/>
  <c r="E91" i="14"/>
  <c r="D91" i="14" s="1"/>
  <c r="J16" i="14" s="1"/>
  <c r="D90" i="14"/>
  <c r="J15" i="14" s="1"/>
  <c r="D89" i="14"/>
  <c r="J14" i="14" s="1"/>
  <c r="D87" i="14"/>
  <c r="D86" i="14"/>
  <c r="J12" i="14" s="1"/>
  <c r="D85" i="14"/>
  <c r="J11" i="14" s="1"/>
  <c r="D84" i="14"/>
  <c r="D80" i="14"/>
  <c r="G23" i="14" s="1"/>
  <c r="D79" i="14"/>
  <c r="G22" i="14" s="1"/>
  <c r="D78" i="14"/>
  <c r="G21" i="14" s="1"/>
  <c r="D77" i="14"/>
  <c r="G20" i="14" s="1"/>
  <c r="D76" i="14"/>
  <c r="G19" i="14" s="1"/>
  <c r="E75" i="14"/>
  <c r="E74" i="14"/>
  <c r="D74" i="14" s="1"/>
  <c r="H73" i="14"/>
  <c r="G73" i="14"/>
  <c r="F73" i="14"/>
  <c r="E73" i="14"/>
  <c r="D73" i="14" s="1"/>
  <c r="D72" i="14"/>
  <c r="G15" i="14" s="1"/>
  <c r="D71" i="14"/>
  <c r="D69" i="14"/>
  <c r="G13" i="14" s="1"/>
  <c r="D68" i="14"/>
  <c r="D67" i="14"/>
  <c r="G11" i="14" s="1"/>
  <c r="D66" i="14"/>
  <c r="G10" i="14" s="1"/>
  <c r="J50" i="14"/>
  <c r="E59" i="14" s="1"/>
  <c r="L20" i="14" s="1"/>
  <c r="I50" i="14"/>
  <c r="J49" i="14"/>
  <c r="I49" i="14"/>
  <c r="J48" i="14"/>
  <c r="E51" i="14" s="1"/>
  <c r="L13" i="14" s="1"/>
  <c r="I48" i="14"/>
  <c r="D42" i="14"/>
  <c r="D23" i="14" s="1"/>
  <c r="D41" i="14"/>
  <c r="D35" i="14"/>
  <c r="D16" i="14" s="1"/>
  <c r="D33" i="14"/>
  <c r="D14" i="14" s="1"/>
  <c r="D21" i="14"/>
  <c r="D20" i="14"/>
  <c r="E124" i="160" s="1"/>
  <c r="D19" i="14"/>
  <c r="D18" i="14"/>
  <c r="D32" i="105" s="1"/>
  <c r="D17" i="14"/>
  <c r="D32" i="103" s="1"/>
  <c r="D15" i="14"/>
  <c r="D13" i="14"/>
  <c r="D12" i="14"/>
  <c r="D11" i="14"/>
  <c r="D10" i="14"/>
  <c r="G27" i="76"/>
  <c r="G25" i="76"/>
  <c r="G24" i="76"/>
  <c r="D23" i="76"/>
  <c r="D22" i="76"/>
  <c r="G21" i="76"/>
  <c r="G20" i="76"/>
  <c r="G19" i="76"/>
  <c r="G18" i="76"/>
  <c r="G17" i="76"/>
  <c r="G16" i="76"/>
  <c r="G15" i="76"/>
  <c r="G14" i="76"/>
  <c r="G13" i="76"/>
  <c r="G12" i="76"/>
  <c r="F11" i="76"/>
  <c r="G11" i="76" s="1"/>
  <c r="E11" i="76"/>
  <c r="G10" i="76"/>
  <c r="G9" i="76"/>
  <c r="G8" i="76"/>
  <c r="F7" i="76"/>
  <c r="E7" i="76"/>
  <c r="F6" i="76"/>
  <c r="E6" i="76"/>
  <c r="G5" i="76"/>
  <c r="H125" i="108"/>
  <c r="H130" i="108" s="1"/>
  <c r="A125" i="108"/>
  <c r="F125" i="108" s="1"/>
  <c r="F126" i="108" s="1"/>
  <c r="F131" i="108" s="1"/>
  <c r="H124" i="108"/>
  <c r="H129" i="108" s="1"/>
  <c r="H7" i="108" s="1"/>
  <c r="H41" i="108" s="1"/>
  <c r="A124" i="108"/>
  <c r="E124" i="108" s="1"/>
  <c r="E129" i="108" s="1"/>
  <c r="H123" i="108"/>
  <c r="H128" i="108" s="1"/>
  <c r="A123" i="108"/>
  <c r="D123" i="108" s="1"/>
  <c r="D128" i="108" s="1"/>
  <c r="H111" i="108"/>
  <c r="H112" i="108" s="1"/>
  <c r="H117" i="108" s="1"/>
  <c r="A111" i="108"/>
  <c r="G111" i="108" s="1"/>
  <c r="G116" i="108" s="1"/>
  <c r="H110" i="108"/>
  <c r="H115" i="108" s="1"/>
  <c r="A110" i="108"/>
  <c r="G110" i="108" s="1"/>
  <c r="G115" i="108" s="1"/>
  <c r="H109" i="108"/>
  <c r="H114" i="108" s="1"/>
  <c r="A109" i="108"/>
  <c r="F109" i="108" s="1"/>
  <c r="F114" i="108" s="1"/>
  <c r="M104" i="108"/>
  <c r="H103" i="108"/>
  <c r="F103" i="108"/>
  <c r="H102" i="108"/>
  <c r="G102" i="108"/>
  <c r="F102" i="108"/>
  <c r="E102" i="108"/>
  <c r="D102" i="108"/>
  <c r="C102" i="108"/>
  <c r="H101" i="108"/>
  <c r="G101" i="108"/>
  <c r="F101" i="108"/>
  <c r="E101" i="108"/>
  <c r="D101" i="108"/>
  <c r="C101" i="108"/>
  <c r="E95" i="108"/>
  <c r="D95" i="108"/>
  <c r="C95" i="108"/>
  <c r="M90" i="108"/>
  <c r="M89" i="108"/>
  <c r="Q73" i="108"/>
  <c r="P73" i="108"/>
  <c r="O73" i="108"/>
  <c r="N73" i="108"/>
  <c r="Q72" i="108"/>
  <c r="P72" i="108"/>
  <c r="O72" i="108"/>
  <c r="N72" i="108"/>
  <c r="Q71" i="108"/>
  <c r="P71" i="108"/>
  <c r="O71" i="108"/>
  <c r="N71" i="108"/>
  <c r="Q70" i="108"/>
  <c r="P70" i="108"/>
  <c r="O70" i="108"/>
  <c r="N70" i="108"/>
  <c r="Q66" i="108"/>
  <c r="P66" i="108"/>
  <c r="O66" i="108"/>
  <c r="N66" i="108"/>
  <c r="H66" i="108"/>
  <c r="G66" i="108"/>
  <c r="F66" i="108"/>
  <c r="E66" i="108"/>
  <c r="D66" i="108"/>
  <c r="C66" i="108"/>
  <c r="Q65" i="108"/>
  <c r="P65" i="108"/>
  <c r="O65" i="108"/>
  <c r="N65" i="108"/>
  <c r="Q64" i="108"/>
  <c r="P64" i="108"/>
  <c r="O64" i="108"/>
  <c r="N64" i="108"/>
  <c r="Q63" i="108"/>
  <c r="P63" i="108"/>
  <c r="O63" i="108"/>
  <c r="N63" i="108"/>
  <c r="L54" i="108"/>
  <c r="Y54" i="108" s="1"/>
  <c r="L53" i="108"/>
  <c r="Y53" i="108" s="1"/>
  <c r="L52" i="108"/>
  <c r="Y52" i="108" s="1"/>
  <c r="L51" i="108"/>
  <c r="Y51" i="108" s="1"/>
  <c r="L41" i="108"/>
  <c r="L40" i="108"/>
  <c r="L39" i="108"/>
  <c r="L38" i="108"/>
  <c r="L37" i="108"/>
  <c r="L36" i="108"/>
  <c r="C36" i="108"/>
  <c r="L35" i="108"/>
  <c r="C35" i="108"/>
  <c r="P34" i="108"/>
  <c r="O34" i="108"/>
  <c r="N34" i="108"/>
  <c r="M34" i="108"/>
  <c r="H13" i="108"/>
  <c r="G13" i="108"/>
  <c r="F13" i="108"/>
  <c r="E13" i="108"/>
  <c r="D13" i="108"/>
  <c r="C13" i="108"/>
  <c r="H11" i="108"/>
  <c r="H69" i="108" s="1"/>
  <c r="G11" i="108"/>
  <c r="G70" i="108" s="1"/>
  <c r="F11" i="108"/>
  <c r="F69" i="108" s="1"/>
  <c r="E11" i="108"/>
  <c r="E69" i="108" s="1"/>
  <c r="D11" i="108"/>
  <c r="D69" i="108" s="1"/>
  <c r="C11" i="108"/>
  <c r="C68" i="108" s="1"/>
  <c r="H10" i="108"/>
  <c r="H63" i="108" s="1"/>
  <c r="G10" i="108"/>
  <c r="G63" i="108" s="1"/>
  <c r="F10" i="108"/>
  <c r="F63" i="108" s="1"/>
  <c r="E10" i="108"/>
  <c r="E63" i="108" s="1"/>
  <c r="D10" i="108"/>
  <c r="D63" i="108" s="1"/>
  <c r="C10" i="108"/>
  <c r="C63" i="108" s="1"/>
  <c r="H9" i="108"/>
  <c r="G9" i="108"/>
  <c r="F9" i="108"/>
  <c r="E9" i="108"/>
  <c r="D9" i="108"/>
  <c r="C9" i="108"/>
  <c r="AL253" i="3"/>
  <c r="T253" i="3"/>
  <c r="AL252" i="3"/>
  <c r="T252" i="3"/>
  <c r="AL251" i="3"/>
  <c r="T251" i="3"/>
  <c r="AL250" i="3"/>
  <c r="T250" i="3"/>
  <c r="AL249" i="3"/>
  <c r="T249" i="3"/>
  <c r="R249" i="3"/>
  <c r="AL248" i="3"/>
  <c r="T248" i="3"/>
  <c r="R248" i="3"/>
  <c r="AL247" i="3"/>
  <c r="T247" i="3"/>
  <c r="R247" i="3"/>
  <c r="AL246" i="3"/>
  <c r="T246" i="3"/>
  <c r="R246" i="3"/>
  <c r="AL245" i="3"/>
  <c r="T245" i="3"/>
  <c r="R245" i="3"/>
  <c r="AL244" i="3"/>
  <c r="T244" i="3"/>
  <c r="R244" i="3"/>
  <c r="D244" i="3"/>
  <c r="AL243" i="3"/>
  <c r="T243" i="3"/>
  <c r="R243" i="3"/>
  <c r="D243" i="3"/>
  <c r="AL242" i="3"/>
  <c r="T242" i="3"/>
  <c r="R242" i="3"/>
  <c r="D242" i="3"/>
  <c r="AL241" i="3"/>
  <c r="T241" i="3"/>
  <c r="R241" i="3"/>
  <c r="D241" i="3"/>
  <c r="AL240" i="3"/>
  <c r="T240" i="3"/>
  <c r="R240" i="3"/>
  <c r="O240" i="3"/>
  <c r="D240" i="3"/>
  <c r="AL239" i="3"/>
  <c r="T239" i="3"/>
  <c r="R239" i="3"/>
  <c r="O239" i="3"/>
  <c r="D239" i="3"/>
  <c r="AL238" i="3"/>
  <c r="AF238" i="3"/>
  <c r="T238" i="3"/>
  <c r="R238" i="3"/>
  <c r="O238" i="3"/>
  <c r="D238" i="3"/>
  <c r="AL237" i="3"/>
  <c r="AF237" i="3"/>
  <c r="T237" i="3"/>
  <c r="R237" i="3"/>
  <c r="O237" i="3"/>
  <c r="D237" i="3"/>
  <c r="AL236" i="3"/>
  <c r="AF236" i="3"/>
  <c r="T236" i="3"/>
  <c r="R236" i="3"/>
  <c r="O236" i="3"/>
  <c r="D236" i="3"/>
  <c r="AL235" i="3"/>
  <c r="AF235" i="3"/>
  <c r="T235" i="3"/>
  <c r="R235" i="3"/>
  <c r="O235" i="3"/>
  <c r="D235" i="3"/>
  <c r="AF234" i="3"/>
  <c r="T234" i="3"/>
  <c r="R234" i="3"/>
  <c r="O234" i="3"/>
  <c r="D234" i="3"/>
  <c r="AL233" i="3"/>
  <c r="AF233" i="3"/>
  <c r="T233" i="3"/>
  <c r="R233" i="3"/>
  <c r="O233" i="3"/>
  <c r="F233" i="3"/>
  <c r="D233" i="3"/>
  <c r="AL232" i="3"/>
  <c r="AF232" i="3"/>
  <c r="T232" i="3"/>
  <c r="R232" i="3"/>
  <c r="O232" i="3"/>
  <c r="F232" i="3"/>
  <c r="D232" i="3"/>
  <c r="AL231" i="3"/>
  <c r="AF231" i="3"/>
  <c r="T231" i="3"/>
  <c r="R231" i="3"/>
  <c r="O231" i="3"/>
  <c r="F231" i="3"/>
  <c r="D231" i="3"/>
  <c r="AL230" i="3"/>
  <c r="AF230" i="3"/>
  <c r="T230" i="3"/>
  <c r="R230" i="3"/>
  <c r="O230" i="3"/>
  <c r="F230" i="3"/>
  <c r="D230" i="3"/>
  <c r="R229" i="3"/>
  <c r="O229" i="3"/>
  <c r="F229" i="3"/>
  <c r="D229" i="3"/>
  <c r="AG209" i="3"/>
  <c r="AG219" i="3" s="1"/>
  <c r="Y209" i="3"/>
  <c r="Y219" i="3" s="1"/>
  <c r="Q209" i="3"/>
  <c r="Q219" i="3" s="1"/>
  <c r="I209" i="3"/>
  <c r="I219" i="3" s="1"/>
  <c r="G209" i="3"/>
  <c r="G219" i="3" s="1"/>
  <c r="B179" i="3"/>
  <c r="A179" i="3"/>
  <c r="B169" i="3"/>
  <c r="A169" i="3"/>
  <c r="B168" i="3"/>
  <c r="A168" i="3"/>
  <c r="B137" i="3"/>
  <c r="A137" i="3"/>
  <c r="B136" i="3"/>
  <c r="A136" i="3"/>
  <c r="B135" i="3"/>
  <c r="A135" i="3"/>
  <c r="B134" i="3"/>
  <c r="A134" i="3"/>
  <c r="B133" i="3"/>
  <c r="A133" i="3"/>
  <c r="B132" i="3"/>
  <c r="A132" i="3"/>
  <c r="B128" i="3"/>
  <c r="A128" i="3"/>
  <c r="B127" i="3"/>
  <c r="A127" i="3"/>
  <c r="B126" i="3"/>
  <c r="A126" i="3"/>
  <c r="B125" i="3"/>
  <c r="A125" i="3"/>
  <c r="B124" i="3"/>
  <c r="A124" i="3"/>
  <c r="B123" i="3"/>
  <c r="A123" i="3"/>
  <c r="AN104" i="3"/>
  <c r="AM104" i="3"/>
  <c r="AL104" i="3"/>
  <c r="AJ104" i="3"/>
  <c r="AG104" i="3"/>
  <c r="AE104" i="3"/>
  <c r="AD104" i="3"/>
  <c r="AC104" i="3"/>
  <c r="AB104" i="3"/>
  <c r="AA104" i="3"/>
  <c r="Y104" i="3"/>
  <c r="X104" i="3"/>
  <c r="W104" i="3"/>
  <c r="V104" i="3"/>
  <c r="U104" i="3"/>
  <c r="T104" i="3"/>
  <c r="R104" i="3"/>
  <c r="O104" i="3"/>
  <c r="N104" i="3"/>
  <c r="M104" i="3"/>
  <c r="L104" i="3"/>
  <c r="K104" i="3"/>
  <c r="G104" i="3"/>
  <c r="F104" i="3"/>
  <c r="AN103" i="3"/>
  <c r="AM103" i="3"/>
  <c r="AL103" i="3"/>
  <c r="AJ103" i="3"/>
  <c r="AG103" i="3"/>
  <c r="AE103" i="3"/>
  <c r="AD103" i="3"/>
  <c r="AC103" i="3"/>
  <c r="AB103" i="3"/>
  <c r="AA103" i="3"/>
  <c r="Y103" i="3"/>
  <c r="X103" i="3"/>
  <c r="W103" i="3"/>
  <c r="V103" i="3"/>
  <c r="U103" i="3"/>
  <c r="T103" i="3"/>
  <c r="R103" i="3"/>
  <c r="O103" i="3"/>
  <c r="N103" i="3"/>
  <c r="M103" i="3"/>
  <c r="L103" i="3"/>
  <c r="K103" i="3"/>
  <c r="G103" i="3"/>
  <c r="F103" i="3"/>
  <c r="AN102" i="3"/>
  <c r="AM102" i="3"/>
  <c r="AL102" i="3"/>
  <c r="AJ102" i="3"/>
  <c r="AG102" i="3"/>
  <c r="AE102" i="3"/>
  <c r="AD102" i="3"/>
  <c r="AC102" i="3"/>
  <c r="AB102" i="3"/>
  <c r="AA102" i="3"/>
  <c r="Y102" i="3"/>
  <c r="X102" i="3"/>
  <c r="W102" i="3"/>
  <c r="V102" i="3"/>
  <c r="U102" i="3"/>
  <c r="T102" i="3"/>
  <c r="R102" i="3"/>
  <c r="O102" i="3"/>
  <c r="N102" i="3"/>
  <c r="M102" i="3"/>
  <c r="L102" i="3"/>
  <c r="K102" i="3"/>
  <c r="G102" i="3"/>
  <c r="F102" i="3"/>
  <c r="AN101" i="3"/>
  <c r="AM101" i="3"/>
  <c r="AL101" i="3"/>
  <c r="AJ101" i="3"/>
  <c r="AG101" i="3"/>
  <c r="AE101" i="3"/>
  <c r="AD101" i="3"/>
  <c r="AC101" i="3"/>
  <c r="AB101" i="3"/>
  <c r="AA101" i="3"/>
  <c r="Y101" i="3"/>
  <c r="X101" i="3"/>
  <c r="W101" i="3"/>
  <c r="V101" i="3"/>
  <c r="U101" i="3"/>
  <c r="T101" i="3"/>
  <c r="R101" i="3"/>
  <c r="O101" i="3"/>
  <c r="N101" i="3"/>
  <c r="M101" i="3"/>
  <c r="L101" i="3"/>
  <c r="K101" i="3"/>
  <c r="G101" i="3"/>
  <c r="F101" i="3"/>
  <c r="AN100" i="3"/>
  <c r="AM100" i="3"/>
  <c r="AL100" i="3"/>
  <c r="AJ100" i="3"/>
  <c r="AG100" i="3"/>
  <c r="AE100" i="3"/>
  <c r="AD100" i="3"/>
  <c r="AC100" i="3"/>
  <c r="AB100" i="3"/>
  <c r="AA100" i="3"/>
  <c r="Y100" i="3"/>
  <c r="X100" i="3"/>
  <c r="W100" i="3"/>
  <c r="V100" i="3"/>
  <c r="U100" i="3"/>
  <c r="T100" i="3"/>
  <c r="R100" i="3"/>
  <c r="O100" i="3"/>
  <c r="N100" i="3"/>
  <c r="M100" i="3"/>
  <c r="L100" i="3"/>
  <c r="K100" i="3"/>
  <c r="G100" i="3"/>
  <c r="F100" i="3"/>
  <c r="AN99" i="3"/>
  <c r="AM99" i="3"/>
  <c r="AL99" i="3"/>
  <c r="AJ99" i="3"/>
  <c r="AG99" i="3"/>
  <c r="AE99" i="3"/>
  <c r="AD99" i="3"/>
  <c r="AC99" i="3"/>
  <c r="AB99" i="3"/>
  <c r="AA99" i="3"/>
  <c r="Y99" i="3"/>
  <c r="X99" i="3"/>
  <c r="W99" i="3"/>
  <c r="V99" i="3"/>
  <c r="U99" i="3"/>
  <c r="T99" i="3"/>
  <c r="R99" i="3"/>
  <c r="O99" i="3"/>
  <c r="N99" i="3"/>
  <c r="M99" i="3"/>
  <c r="L99" i="3"/>
  <c r="K99" i="3"/>
  <c r="G99" i="3"/>
  <c r="F99" i="3"/>
  <c r="B82" i="3"/>
  <c r="A82" i="3"/>
  <c r="D81" i="3"/>
  <c r="D80" i="3"/>
  <c r="D79" i="3"/>
  <c r="D78" i="3"/>
  <c r="D77" i="3"/>
  <c r="AN76" i="3"/>
  <c r="AN81" i="3" s="1"/>
  <c r="AM76" i="3"/>
  <c r="AM78" i="3" s="1"/>
  <c r="AL76" i="3"/>
  <c r="AL80" i="3" s="1"/>
  <c r="AJ76" i="3"/>
  <c r="AJ81" i="3" s="1"/>
  <c r="AG76" i="3"/>
  <c r="AG78" i="3" s="1"/>
  <c r="AF76" i="3"/>
  <c r="AE76" i="3"/>
  <c r="AE79" i="3" s="1"/>
  <c r="AD76" i="3"/>
  <c r="AC76" i="3"/>
  <c r="AC81" i="3" s="1"/>
  <c r="AB76" i="3"/>
  <c r="AB79" i="3" s="1"/>
  <c r="AA76" i="3"/>
  <c r="AA78" i="3" s="1"/>
  <c r="Z76" i="3"/>
  <c r="Y76" i="3"/>
  <c r="Y79" i="3" s="1"/>
  <c r="X76" i="3"/>
  <c r="X81" i="3" s="1"/>
  <c r="W76" i="3"/>
  <c r="W79" i="3" s="1"/>
  <c r="V76" i="3"/>
  <c r="U76" i="3"/>
  <c r="U80" i="3" s="1"/>
  <c r="T76" i="3"/>
  <c r="T79" i="3" s="1"/>
  <c r="S76" i="3"/>
  <c r="R76" i="3"/>
  <c r="R80" i="3" s="1"/>
  <c r="Q76" i="3"/>
  <c r="P76" i="3"/>
  <c r="O76" i="3"/>
  <c r="O80" i="3" s="1"/>
  <c r="N76" i="3"/>
  <c r="N79" i="3" s="1"/>
  <c r="M76" i="3"/>
  <c r="M80" i="3" s="1"/>
  <c r="L76" i="3"/>
  <c r="L77" i="3" s="1"/>
  <c r="K76" i="3"/>
  <c r="J76" i="3"/>
  <c r="I76" i="3"/>
  <c r="H76" i="3"/>
  <c r="G76" i="3"/>
  <c r="G79" i="3" s="1"/>
  <c r="F76" i="3"/>
  <c r="B72" i="3"/>
  <c r="A72" i="3"/>
  <c r="D71" i="3"/>
  <c r="D53" i="122" s="1"/>
  <c r="D70" i="3"/>
  <c r="D52" i="122" s="1"/>
  <c r="D69" i="3"/>
  <c r="D51" i="122" s="1"/>
  <c r="D68" i="3"/>
  <c r="D50" i="122" s="1"/>
  <c r="D67" i="3"/>
  <c r="D49" i="122" s="1"/>
  <c r="AN66" i="3"/>
  <c r="AM66" i="3"/>
  <c r="AL66" i="3"/>
  <c r="AJ66" i="3"/>
  <c r="AG66" i="3"/>
  <c r="AF66" i="3"/>
  <c r="AE66" i="3"/>
  <c r="AD66" i="3"/>
  <c r="AC66" i="3"/>
  <c r="AB66" i="3"/>
  <c r="AA66" i="3"/>
  <c r="Z66" i="3"/>
  <c r="Y66" i="3"/>
  <c r="X66" i="3"/>
  <c r="W66" i="3"/>
  <c r="V66" i="3"/>
  <c r="U66" i="3"/>
  <c r="T66" i="3"/>
  <c r="S66" i="3"/>
  <c r="R66" i="3"/>
  <c r="Q66" i="3"/>
  <c r="P66" i="3"/>
  <c r="O66" i="3"/>
  <c r="N66" i="3"/>
  <c r="M66" i="3"/>
  <c r="L66" i="3"/>
  <c r="K66" i="3"/>
  <c r="J66" i="3"/>
  <c r="I66" i="3"/>
  <c r="H66" i="3"/>
  <c r="G66" i="3"/>
  <c r="F66" i="3"/>
  <c r="AN47" i="3"/>
  <c r="AM47" i="3"/>
  <c r="AL47" i="3"/>
  <c r="AJ47" i="3"/>
  <c r="AG47" i="3"/>
  <c r="AE47" i="3"/>
  <c r="AD47" i="3"/>
  <c r="AC47" i="3"/>
  <c r="AB47" i="3"/>
  <c r="AA47" i="3"/>
  <c r="Y47" i="3"/>
  <c r="X47" i="3"/>
  <c r="W47" i="3"/>
  <c r="V47" i="3"/>
  <c r="U47" i="3"/>
  <c r="T47" i="3"/>
  <c r="R47" i="3"/>
  <c r="O47" i="3"/>
  <c r="N47" i="3"/>
  <c r="M47" i="3"/>
  <c r="L47" i="3"/>
  <c r="K47" i="3"/>
  <c r="G47" i="3"/>
  <c r="F47" i="3"/>
  <c r="B39" i="3"/>
  <c r="A39" i="3"/>
  <c r="B38" i="3"/>
  <c r="A38" i="3"/>
  <c r="B37" i="3"/>
  <c r="A37" i="3"/>
  <c r="B35" i="3"/>
  <c r="A35" i="3"/>
  <c r="B34" i="3"/>
  <c r="A34" i="3"/>
  <c r="B33" i="3"/>
  <c r="A33" i="3"/>
  <c r="B32" i="3"/>
  <c r="A32" i="3"/>
  <c r="AN19" i="3"/>
  <c r="AN115" i="3" s="1"/>
  <c r="AM19" i="3"/>
  <c r="AM119" i="3" s="1"/>
  <c r="AL19" i="3"/>
  <c r="AL119" i="3" s="1"/>
  <c r="AJ19" i="3"/>
  <c r="AJ116" i="3" s="1"/>
  <c r="AG19" i="3"/>
  <c r="AG119" i="3" s="1"/>
  <c r="AF19" i="3"/>
  <c r="AE19" i="3"/>
  <c r="AE117" i="3" s="1"/>
  <c r="AD19" i="3"/>
  <c r="AD115" i="3" s="1"/>
  <c r="AC19" i="3"/>
  <c r="AC117" i="3" s="1"/>
  <c r="AB19" i="3"/>
  <c r="AB116" i="3" s="1"/>
  <c r="AA19" i="3"/>
  <c r="AA115" i="3" s="1"/>
  <c r="Z19" i="3"/>
  <c r="Y19" i="3"/>
  <c r="Y116" i="3" s="1"/>
  <c r="X19" i="3"/>
  <c r="X115" i="3" s="1"/>
  <c r="W19" i="3"/>
  <c r="W119" i="3" s="1"/>
  <c r="V19" i="3"/>
  <c r="V120" i="3" s="1"/>
  <c r="U19" i="3"/>
  <c r="U118" i="3" s="1"/>
  <c r="T19" i="3"/>
  <c r="T116" i="3" s="1"/>
  <c r="S19" i="3"/>
  <c r="R19" i="3"/>
  <c r="R120" i="3" s="1"/>
  <c r="Q19" i="3"/>
  <c r="P19" i="3"/>
  <c r="O19" i="3"/>
  <c r="O120" i="3" s="1"/>
  <c r="N19" i="3"/>
  <c r="N117" i="3" s="1"/>
  <c r="M19" i="3"/>
  <c r="M117" i="3" s="1"/>
  <c r="L19" i="3"/>
  <c r="L116" i="3" s="1"/>
  <c r="K19" i="3"/>
  <c r="K118" i="3" s="1"/>
  <c r="J19" i="3"/>
  <c r="I19" i="3"/>
  <c r="H19" i="3"/>
  <c r="G19" i="3"/>
  <c r="G119" i="3" s="1"/>
  <c r="F19" i="3"/>
  <c r="AN18" i="3"/>
  <c r="AM18" i="3"/>
  <c r="AL18" i="3"/>
  <c r="AJ18" i="3"/>
  <c r="AG18" i="3"/>
  <c r="AF18" i="3"/>
  <c r="AE18" i="3"/>
  <c r="AD18" i="3"/>
  <c r="AC18" i="3"/>
  <c r="AB18" i="3"/>
  <c r="AA18" i="3"/>
  <c r="Z18" i="3"/>
  <c r="Y18" i="3"/>
  <c r="X18" i="3"/>
  <c r="W18" i="3"/>
  <c r="V18" i="3"/>
  <c r="U18" i="3"/>
  <c r="T18" i="3"/>
  <c r="S18" i="3"/>
  <c r="R18" i="3"/>
  <c r="Q18" i="3"/>
  <c r="P18" i="3"/>
  <c r="O18" i="3"/>
  <c r="N18" i="3"/>
  <c r="M18" i="3"/>
  <c r="L18" i="3"/>
  <c r="K18" i="3"/>
  <c r="J18" i="3"/>
  <c r="I18" i="3"/>
  <c r="H18" i="3"/>
  <c r="G18" i="3"/>
  <c r="F18" i="3"/>
  <c r="S346" i="100"/>
  <c r="S345" i="100"/>
  <c r="S344" i="100"/>
  <c r="S343" i="100"/>
  <c r="S342" i="100"/>
  <c r="S341" i="100"/>
  <c r="S340" i="100"/>
  <c r="S339" i="100"/>
  <c r="N339" i="100"/>
  <c r="S338" i="100"/>
  <c r="N338" i="100"/>
  <c r="S337" i="100"/>
  <c r="N337" i="100"/>
  <c r="S336" i="100"/>
  <c r="N336" i="100"/>
  <c r="S335" i="100"/>
  <c r="N335" i="100"/>
  <c r="S334" i="100"/>
  <c r="N334" i="100"/>
  <c r="D334" i="100"/>
  <c r="S333" i="100"/>
  <c r="N333" i="100"/>
  <c r="D333" i="100"/>
  <c r="S332" i="100"/>
  <c r="N332" i="100"/>
  <c r="D332" i="100"/>
  <c r="S331" i="100"/>
  <c r="N331" i="100"/>
  <c r="D331" i="100"/>
  <c r="S330" i="100"/>
  <c r="N330" i="100"/>
  <c r="D330" i="100"/>
  <c r="S329" i="100"/>
  <c r="N329" i="100"/>
  <c r="D329" i="100"/>
  <c r="S328" i="100"/>
  <c r="Q328" i="100"/>
  <c r="N328" i="100"/>
  <c r="D328" i="100"/>
  <c r="AB327" i="100"/>
  <c r="S327" i="100"/>
  <c r="Q327" i="100"/>
  <c r="N327" i="100"/>
  <c r="D327" i="100"/>
  <c r="AB326" i="100"/>
  <c r="S326" i="100"/>
  <c r="Q326" i="100"/>
  <c r="N326" i="100"/>
  <c r="D326" i="100"/>
  <c r="AB325" i="100"/>
  <c r="S325" i="100"/>
  <c r="Q325" i="100"/>
  <c r="N325" i="100"/>
  <c r="D325" i="100"/>
  <c r="AB324" i="100"/>
  <c r="S324" i="100"/>
  <c r="Q324" i="100"/>
  <c r="N324" i="100"/>
  <c r="AB323" i="100"/>
  <c r="S323" i="100"/>
  <c r="Q323" i="100"/>
  <c r="N323" i="100"/>
  <c r="F323" i="100"/>
  <c r="D323" i="100"/>
  <c r="AB322" i="100"/>
  <c r="S322" i="100"/>
  <c r="Q322" i="100"/>
  <c r="N322" i="100"/>
  <c r="D322" i="100"/>
  <c r="AB321" i="100"/>
  <c r="S321" i="100"/>
  <c r="Q321" i="100"/>
  <c r="N321" i="100"/>
  <c r="F321" i="100"/>
  <c r="D321" i="100"/>
  <c r="AB320" i="100"/>
  <c r="S320" i="100"/>
  <c r="Q320" i="100"/>
  <c r="N320" i="100"/>
  <c r="F320" i="100"/>
  <c r="D320" i="100"/>
  <c r="AB319" i="100"/>
  <c r="S319" i="100"/>
  <c r="Q319" i="100"/>
  <c r="N319" i="100"/>
  <c r="F319" i="100"/>
  <c r="D319" i="100"/>
  <c r="Q318" i="100"/>
  <c r="N318" i="100"/>
  <c r="F318" i="100"/>
  <c r="D318" i="100"/>
  <c r="AL310" i="100"/>
  <c r="AK310" i="100"/>
  <c r="AJ310" i="100"/>
  <c r="AI310" i="100"/>
  <c r="AH310" i="100"/>
  <c r="AG310" i="100"/>
  <c r="AF310" i="100"/>
  <c r="AE310" i="100"/>
  <c r="AD310" i="100"/>
  <c r="AC310" i="100"/>
  <c r="AB310" i="100"/>
  <c r="AA310" i="100"/>
  <c r="Z310" i="100"/>
  <c r="Y310" i="100"/>
  <c r="X310" i="100"/>
  <c r="AH112" i="3" s="1"/>
  <c r="W310" i="100"/>
  <c r="V310" i="100"/>
  <c r="U310" i="100"/>
  <c r="T310" i="100"/>
  <c r="S310" i="100"/>
  <c r="AP112" i="3" s="1"/>
  <c r="R310" i="100"/>
  <c r="Q310" i="100"/>
  <c r="P310" i="100"/>
  <c r="AO112" i="3" s="1"/>
  <c r="O310" i="100"/>
  <c r="N310" i="100"/>
  <c r="M310" i="100"/>
  <c r="L310" i="100"/>
  <c r="K310" i="100"/>
  <c r="J310" i="100"/>
  <c r="AI112" i="3" s="1"/>
  <c r="I310" i="100"/>
  <c r="H310" i="100"/>
  <c r="G310" i="100"/>
  <c r="F310" i="100"/>
  <c r="AK112" i="3" s="1"/>
  <c r="AL309" i="100"/>
  <c r="AK309" i="100"/>
  <c r="AJ309" i="100"/>
  <c r="AI309" i="100"/>
  <c r="AH309" i="100"/>
  <c r="AG309" i="100"/>
  <c r="AF309" i="100"/>
  <c r="AE309" i="100"/>
  <c r="AD309" i="100"/>
  <c r="AC309" i="100"/>
  <c r="AB309" i="100"/>
  <c r="AA309" i="100"/>
  <c r="Z309" i="100"/>
  <c r="Y309" i="100"/>
  <c r="X309" i="100"/>
  <c r="AH111" i="3" s="1"/>
  <c r="W309" i="100"/>
  <c r="V309" i="100"/>
  <c r="U309" i="100"/>
  <c r="T309" i="100"/>
  <c r="S309" i="100"/>
  <c r="AP111" i="3" s="1"/>
  <c r="R309" i="100"/>
  <c r="Q309" i="100"/>
  <c r="P309" i="100"/>
  <c r="AO111" i="3" s="1"/>
  <c r="O309" i="100"/>
  <c r="N309" i="100"/>
  <c r="M309" i="100"/>
  <c r="L309" i="100"/>
  <c r="K309" i="100"/>
  <c r="J309" i="100"/>
  <c r="AI111" i="3" s="1"/>
  <c r="I309" i="100"/>
  <c r="H309" i="100"/>
  <c r="G309" i="100"/>
  <c r="F309" i="100"/>
  <c r="AK111" i="3" s="1"/>
  <c r="AL308" i="100"/>
  <c r="AK308" i="100"/>
  <c r="AJ308" i="100"/>
  <c r="AI308" i="100"/>
  <c r="AH308" i="100"/>
  <c r="AG308" i="100"/>
  <c r="AF308" i="100"/>
  <c r="AE308" i="100"/>
  <c r="AD308" i="100"/>
  <c r="AC308" i="100"/>
  <c r="AB308" i="100"/>
  <c r="AA308" i="100"/>
  <c r="Z308" i="100"/>
  <c r="Y308" i="100"/>
  <c r="X308" i="100"/>
  <c r="AH110" i="3" s="1"/>
  <c r="W308" i="100"/>
  <c r="V308" i="100"/>
  <c r="U308" i="100"/>
  <c r="T308" i="100"/>
  <c r="S308" i="100"/>
  <c r="AP110" i="3" s="1"/>
  <c r="R308" i="100"/>
  <c r="Q308" i="100"/>
  <c r="P308" i="100"/>
  <c r="AO110" i="3" s="1"/>
  <c r="O308" i="100"/>
  <c r="N308" i="100"/>
  <c r="M308" i="100"/>
  <c r="L308" i="100"/>
  <c r="K308" i="100"/>
  <c r="J308" i="100"/>
  <c r="AI110" i="3" s="1"/>
  <c r="I308" i="100"/>
  <c r="H308" i="100"/>
  <c r="G308" i="100"/>
  <c r="AL307" i="100"/>
  <c r="AK307" i="100"/>
  <c r="AJ307" i="100"/>
  <c r="AI307" i="100"/>
  <c r="AH307" i="100"/>
  <c r="AG307" i="100"/>
  <c r="AF307" i="100"/>
  <c r="AE307" i="100"/>
  <c r="AD307" i="100"/>
  <c r="AC307" i="100"/>
  <c r="AB307" i="100"/>
  <c r="AA307" i="100"/>
  <c r="Z307" i="100"/>
  <c r="Y307" i="100"/>
  <c r="X307" i="100"/>
  <c r="AH109" i="3" s="1"/>
  <c r="W307" i="100"/>
  <c r="V307" i="100"/>
  <c r="U307" i="100"/>
  <c r="T307" i="100"/>
  <c r="S307" i="100"/>
  <c r="AP109" i="3" s="1"/>
  <c r="R307" i="100"/>
  <c r="Q307" i="100"/>
  <c r="P307" i="100"/>
  <c r="AO109" i="3" s="1"/>
  <c r="O307" i="100"/>
  <c r="N307" i="100"/>
  <c r="M307" i="100"/>
  <c r="L307" i="100"/>
  <c r="K307" i="100"/>
  <c r="J307" i="100"/>
  <c r="AI109" i="3" s="1"/>
  <c r="I307" i="100"/>
  <c r="H307" i="100"/>
  <c r="G307" i="100"/>
  <c r="F307" i="100"/>
  <c r="AK109" i="3" s="1"/>
  <c r="AL306" i="100"/>
  <c r="AK306" i="100"/>
  <c r="AJ306" i="100"/>
  <c r="AI306" i="100"/>
  <c r="AH306" i="100"/>
  <c r="AG306" i="100"/>
  <c r="AF306" i="100"/>
  <c r="AE306" i="100"/>
  <c r="AD306" i="100"/>
  <c r="AC306" i="100"/>
  <c r="AB306" i="100"/>
  <c r="AA306" i="100"/>
  <c r="Z306" i="100"/>
  <c r="Y306" i="100"/>
  <c r="X306" i="100"/>
  <c r="AH108" i="3" s="1"/>
  <c r="W306" i="100"/>
  <c r="V306" i="100"/>
  <c r="U306" i="100"/>
  <c r="T306" i="100"/>
  <c r="S306" i="100"/>
  <c r="AP108" i="3" s="1"/>
  <c r="R306" i="100"/>
  <c r="Q306" i="100"/>
  <c r="P306" i="100"/>
  <c r="AO108" i="3" s="1"/>
  <c r="O306" i="100"/>
  <c r="N306" i="100"/>
  <c r="M306" i="100"/>
  <c r="L306" i="100"/>
  <c r="K306" i="100"/>
  <c r="J306" i="100"/>
  <c r="AI108" i="3" s="1"/>
  <c r="I306" i="100"/>
  <c r="H306" i="100"/>
  <c r="G306" i="100"/>
  <c r="F306" i="100"/>
  <c r="AK108" i="3" s="1"/>
  <c r="AL305" i="100"/>
  <c r="AK305" i="100"/>
  <c r="AJ305" i="100"/>
  <c r="AI305" i="100"/>
  <c r="AH305" i="100"/>
  <c r="AG305" i="100"/>
  <c r="AF305" i="100"/>
  <c r="AE305" i="100"/>
  <c r="AD305" i="100"/>
  <c r="AC305" i="100"/>
  <c r="AB305" i="100"/>
  <c r="AA305" i="100"/>
  <c r="Z305" i="100"/>
  <c r="Y305" i="100"/>
  <c r="X305" i="100"/>
  <c r="AH107" i="3" s="1"/>
  <c r="W305" i="100"/>
  <c r="V305" i="100"/>
  <c r="U305" i="100"/>
  <c r="T305" i="100"/>
  <c r="S305" i="100"/>
  <c r="AP107" i="3" s="1"/>
  <c r="R305" i="100"/>
  <c r="Q305" i="100"/>
  <c r="P305" i="100"/>
  <c r="AO107" i="3" s="1"/>
  <c r="AO159" i="3" s="1"/>
  <c r="O305" i="100"/>
  <c r="N305" i="100"/>
  <c r="M305" i="100"/>
  <c r="L305" i="100"/>
  <c r="K305" i="100"/>
  <c r="I305" i="100"/>
  <c r="G305" i="100"/>
  <c r="F305" i="100"/>
  <c r="AK107" i="3" s="1"/>
  <c r="AI293" i="100"/>
  <c r="AK290" i="100"/>
  <c r="Z288" i="100"/>
  <c r="B256" i="100"/>
  <c r="A256" i="100"/>
  <c r="AK247" i="100"/>
  <c r="AJ247" i="100"/>
  <c r="AI247" i="100"/>
  <c r="AH247" i="100"/>
  <c r="AG247" i="100"/>
  <c r="AF247" i="100"/>
  <c r="AB247" i="100"/>
  <c r="AA247" i="100"/>
  <c r="Z247" i="100"/>
  <c r="Y247" i="100"/>
  <c r="X247" i="100"/>
  <c r="W247" i="100"/>
  <c r="Q247" i="100"/>
  <c r="P247" i="100"/>
  <c r="N247" i="100"/>
  <c r="M247" i="100"/>
  <c r="L247" i="100"/>
  <c r="I247" i="100"/>
  <c r="H247" i="100"/>
  <c r="G247" i="100"/>
  <c r="F247" i="100"/>
  <c r="B247" i="100"/>
  <c r="A247" i="100"/>
  <c r="AK246" i="100"/>
  <c r="AJ246" i="100"/>
  <c r="AI246" i="100"/>
  <c r="AH246" i="100"/>
  <c r="AG246" i="100"/>
  <c r="AF246" i="100"/>
  <c r="AB246" i="100"/>
  <c r="AA246" i="100"/>
  <c r="Z246" i="100"/>
  <c r="Y246" i="100"/>
  <c r="X246" i="100"/>
  <c r="W246" i="100"/>
  <c r="Q246" i="100"/>
  <c r="P246" i="100"/>
  <c r="N246" i="100"/>
  <c r="M246" i="100"/>
  <c r="L246" i="100"/>
  <c r="I246" i="100"/>
  <c r="H246" i="100"/>
  <c r="G246" i="100"/>
  <c r="F246" i="100"/>
  <c r="B246" i="100"/>
  <c r="A246" i="100"/>
  <c r="AK245" i="100"/>
  <c r="AJ245" i="100"/>
  <c r="AI245" i="100"/>
  <c r="AH245" i="100"/>
  <c r="AG245" i="100"/>
  <c r="AF245" i="100"/>
  <c r="AB245" i="100"/>
  <c r="AA245" i="100"/>
  <c r="Z245" i="100"/>
  <c r="Y245" i="100"/>
  <c r="X245" i="100"/>
  <c r="W245" i="100"/>
  <c r="Q245" i="100"/>
  <c r="P245" i="100"/>
  <c r="N245" i="100"/>
  <c r="M245" i="100"/>
  <c r="L245" i="100"/>
  <c r="I245" i="100"/>
  <c r="H245" i="100"/>
  <c r="G245" i="100"/>
  <c r="F245" i="100"/>
  <c r="B245" i="100"/>
  <c r="A245" i="100"/>
  <c r="AK244" i="100"/>
  <c r="AJ244" i="100"/>
  <c r="AI244" i="100"/>
  <c r="AH244" i="100"/>
  <c r="AG244" i="100"/>
  <c r="AF244" i="100"/>
  <c r="AB244" i="100"/>
  <c r="AA244" i="100"/>
  <c r="Z244" i="100"/>
  <c r="Y244" i="100"/>
  <c r="X244" i="100"/>
  <c r="W244" i="100"/>
  <c r="Q244" i="100"/>
  <c r="P244" i="100"/>
  <c r="N244" i="100"/>
  <c r="M244" i="100"/>
  <c r="L244" i="100"/>
  <c r="I244" i="100"/>
  <c r="H244" i="100"/>
  <c r="G244" i="100"/>
  <c r="F244" i="100"/>
  <c r="B244" i="100"/>
  <c r="A244" i="100"/>
  <c r="AK243" i="100"/>
  <c r="AJ243" i="100"/>
  <c r="AI243" i="100"/>
  <c r="AH243" i="100"/>
  <c r="AG243" i="100"/>
  <c r="AF243" i="100"/>
  <c r="AB243" i="100"/>
  <c r="AA243" i="100"/>
  <c r="Z243" i="100"/>
  <c r="Y243" i="100"/>
  <c r="X243" i="100"/>
  <c r="W243" i="100"/>
  <c r="Q243" i="100"/>
  <c r="P243" i="100"/>
  <c r="N243" i="100"/>
  <c r="M243" i="100"/>
  <c r="L243" i="100"/>
  <c r="I243" i="100"/>
  <c r="H243" i="100"/>
  <c r="G243" i="100"/>
  <c r="F243" i="100"/>
  <c r="B243" i="100"/>
  <c r="A243" i="100"/>
  <c r="AK242" i="100"/>
  <c r="AJ242" i="100"/>
  <c r="AI242" i="100"/>
  <c r="AH242" i="100"/>
  <c r="AG242" i="100"/>
  <c r="AF242" i="100"/>
  <c r="AB242" i="100"/>
  <c r="AA242" i="100"/>
  <c r="Z242" i="100"/>
  <c r="Y242" i="100"/>
  <c r="X242" i="100"/>
  <c r="W242" i="100"/>
  <c r="Q242" i="100"/>
  <c r="P242" i="100"/>
  <c r="N242" i="100"/>
  <c r="M242" i="100"/>
  <c r="L242" i="100"/>
  <c r="I242" i="100"/>
  <c r="H242" i="100"/>
  <c r="G242" i="100"/>
  <c r="F242" i="100"/>
  <c r="B242" i="100"/>
  <c r="A242" i="100"/>
  <c r="AK241" i="100"/>
  <c r="AJ241" i="100"/>
  <c r="AI241" i="100"/>
  <c r="AH241" i="100"/>
  <c r="AG241" i="100"/>
  <c r="AF241" i="100"/>
  <c r="AB241" i="100"/>
  <c r="AA241" i="100"/>
  <c r="Z241" i="100"/>
  <c r="Y241" i="100"/>
  <c r="X241" i="100"/>
  <c r="W241" i="100"/>
  <c r="Q241" i="100"/>
  <c r="P241" i="100"/>
  <c r="N241" i="100"/>
  <c r="M241" i="100"/>
  <c r="L241" i="100"/>
  <c r="I241" i="100"/>
  <c r="H241" i="100"/>
  <c r="G241" i="100"/>
  <c r="F241" i="100"/>
  <c r="B241" i="100"/>
  <c r="A241" i="100"/>
  <c r="AK240" i="100"/>
  <c r="AJ240" i="100"/>
  <c r="AI240" i="100"/>
  <c r="AH240" i="100"/>
  <c r="AG240" i="100"/>
  <c r="AF240" i="100"/>
  <c r="AB240" i="100"/>
  <c r="AA240" i="100"/>
  <c r="Z240" i="100"/>
  <c r="Y240" i="100"/>
  <c r="X240" i="100"/>
  <c r="W240" i="100"/>
  <c r="Q240" i="100"/>
  <c r="P240" i="100"/>
  <c r="N240" i="100"/>
  <c r="M240" i="100"/>
  <c r="L240" i="100"/>
  <c r="I240" i="100"/>
  <c r="H240" i="100"/>
  <c r="G240" i="100"/>
  <c r="F240" i="100"/>
  <c r="B240" i="100"/>
  <c r="A240" i="100"/>
  <c r="AK239" i="100"/>
  <c r="AJ239" i="100"/>
  <c r="AI239" i="100"/>
  <c r="AH239" i="100"/>
  <c r="AG239" i="100"/>
  <c r="AF239" i="100"/>
  <c r="AB239" i="100"/>
  <c r="AA239" i="100"/>
  <c r="Z239" i="100"/>
  <c r="Y239" i="100"/>
  <c r="X239" i="100"/>
  <c r="W239" i="100"/>
  <c r="Q239" i="100"/>
  <c r="P239" i="100"/>
  <c r="N239" i="100"/>
  <c r="M239" i="100"/>
  <c r="L239" i="100"/>
  <c r="I239" i="100"/>
  <c r="H239" i="100"/>
  <c r="G239" i="100"/>
  <c r="F239" i="100"/>
  <c r="B239" i="100"/>
  <c r="A239" i="100"/>
  <c r="AK238" i="100"/>
  <c r="AK33" i="100" s="1"/>
  <c r="AJ238" i="100"/>
  <c r="AJ33" i="100" s="1"/>
  <c r="AI238" i="100"/>
  <c r="AI33" i="100" s="1"/>
  <c r="AH238" i="100"/>
  <c r="AH33" i="100" s="1"/>
  <c r="AG238" i="100"/>
  <c r="AG33" i="100" s="1"/>
  <c r="AF238" i="100"/>
  <c r="AF33" i="100" s="1"/>
  <c r="AB238" i="100"/>
  <c r="AB33" i="100" s="1"/>
  <c r="AA238" i="100"/>
  <c r="AA33" i="100" s="1"/>
  <c r="Z238" i="100"/>
  <c r="Z33" i="100" s="1"/>
  <c r="Y238" i="100"/>
  <c r="Y33" i="100" s="1"/>
  <c r="X238" i="100"/>
  <c r="X33" i="100" s="1"/>
  <c r="W238" i="100"/>
  <c r="Q238" i="100"/>
  <c r="Q33" i="100" s="1"/>
  <c r="P238" i="100"/>
  <c r="P33" i="100" s="1"/>
  <c r="N238" i="100"/>
  <c r="N33" i="100" s="1"/>
  <c r="M238" i="100"/>
  <c r="M33" i="100" s="1"/>
  <c r="L238" i="100"/>
  <c r="L33" i="100" s="1"/>
  <c r="I238" i="100"/>
  <c r="I33" i="100" s="1"/>
  <c r="H238" i="100"/>
  <c r="H33" i="100" s="1"/>
  <c r="G238" i="100"/>
  <c r="G33" i="100" s="1"/>
  <c r="F238" i="100"/>
  <c r="F33" i="100" s="1"/>
  <c r="B238" i="100"/>
  <c r="A238" i="100"/>
  <c r="AK237" i="100"/>
  <c r="AJ237" i="100"/>
  <c r="AI237" i="100"/>
  <c r="AH237" i="100"/>
  <c r="AG237" i="100"/>
  <c r="AF237" i="100"/>
  <c r="AB237" i="100"/>
  <c r="AA237" i="100"/>
  <c r="Z237" i="100"/>
  <c r="Y237" i="100"/>
  <c r="X237" i="100"/>
  <c r="W237" i="100"/>
  <c r="Q237" i="100"/>
  <c r="P237" i="100"/>
  <c r="N237" i="100"/>
  <c r="M237" i="100"/>
  <c r="L237" i="100"/>
  <c r="I237" i="100"/>
  <c r="H237" i="100"/>
  <c r="G237" i="100"/>
  <c r="F237" i="100"/>
  <c r="B237" i="100"/>
  <c r="A237" i="100"/>
  <c r="AK230" i="100"/>
  <c r="AK30" i="100" s="1"/>
  <c r="AJ230" i="100"/>
  <c r="AJ30" i="100" s="1"/>
  <c r="AI230" i="100"/>
  <c r="AI30" i="100" s="1"/>
  <c r="AH230" i="100"/>
  <c r="AH30" i="100" s="1"/>
  <c r="AG230" i="100"/>
  <c r="AG30" i="100" s="1"/>
  <c r="AF230" i="100"/>
  <c r="AF30" i="100" s="1"/>
  <c r="AB230" i="100"/>
  <c r="AB30" i="100" s="1"/>
  <c r="AA230" i="100"/>
  <c r="AA30" i="100" s="1"/>
  <c r="Z230" i="100"/>
  <c r="Z30" i="100" s="1"/>
  <c r="Y230" i="100"/>
  <c r="Y30" i="100" s="1"/>
  <c r="X230" i="100"/>
  <c r="X30" i="100" s="1"/>
  <c r="W230" i="100"/>
  <c r="W30" i="100" s="1"/>
  <c r="Q230" i="100"/>
  <c r="Q30" i="100" s="1"/>
  <c r="P230" i="100"/>
  <c r="P30" i="100" s="1"/>
  <c r="N230" i="100"/>
  <c r="N30" i="100" s="1"/>
  <c r="M230" i="100"/>
  <c r="M30" i="100" s="1"/>
  <c r="L230" i="100"/>
  <c r="L30" i="100" s="1"/>
  <c r="I230" i="100"/>
  <c r="I30" i="100" s="1"/>
  <c r="H230" i="100"/>
  <c r="H30" i="100" s="1"/>
  <c r="G230" i="100"/>
  <c r="G30" i="100" s="1"/>
  <c r="F230" i="100"/>
  <c r="F30" i="100" s="1"/>
  <c r="B230" i="100"/>
  <c r="A230" i="100"/>
  <c r="M227" i="100"/>
  <c r="L227" i="100"/>
  <c r="I227" i="100"/>
  <c r="H227" i="100"/>
  <c r="G227" i="100"/>
  <c r="F227" i="100"/>
  <c r="R81" i="122" s="1"/>
  <c r="B226" i="100"/>
  <c r="A226" i="100"/>
  <c r="B225" i="100"/>
  <c r="A225" i="100"/>
  <c r="AK224" i="100"/>
  <c r="AK227" i="100" s="1"/>
  <c r="AJ224" i="100"/>
  <c r="AJ227" i="100" s="1"/>
  <c r="AI224" i="100"/>
  <c r="AI227" i="100" s="1"/>
  <c r="AH224" i="100"/>
  <c r="AH227" i="100" s="1"/>
  <c r="AG224" i="100"/>
  <c r="AG227" i="100" s="1"/>
  <c r="AF224" i="100"/>
  <c r="AF227" i="100" s="1"/>
  <c r="AB224" i="100"/>
  <c r="AB227" i="100" s="1"/>
  <c r="AA224" i="100"/>
  <c r="AA227" i="100" s="1"/>
  <c r="Z224" i="100"/>
  <c r="Z227" i="100" s="1"/>
  <c r="Y224" i="100"/>
  <c r="Y227" i="100" s="1"/>
  <c r="X224" i="100"/>
  <c r="X227" i="100" s="1"/>
  <c r="W224" i="100"/>
  <c r="W227" i="100" s="1"/>
  <c r="Q224" i="100"/>
  <c r="Q227" i="100" s="1"/>
  <c r="P224" i="100"/>
  <c r="P227" i="100" s="1"/>
  <c r="N224" i="100"/>
  <c r="N227" i="100" s="1"/>
  <c r="M224" i="100"/>
  <c r="L224" i="100"/>
  <c r="I224" i="100"/>
  <c r="H224" i="100"/>
  <c r="G224" i="100"/>
  <c r="F224" i="100"/>
  <c r="B224" i="100"/>
  <c r="A224" i="100"/>
  <c r="AK209" i="100"/>
  <c r="AA207" i="100"/>
  <c r="AH204" i="100"/>
  <c r="AL191" i="100"/>
  <c r="AK191" i="100"/>
  <c r="AJ191" i="100"/>
  <c r="AI191" i="100"/>
  <c r="AH191" i="100"/>
  <c r="AG191" i="100"/>
  <c r="AF191" i="100"/>
  <c r="AE191" i="100"/>
  <c r="AD191" i="100"/>
  <c r="AC191" i="100"/>
  <c r="AB191" i="100"/>
  <c r="AA191" i="100"/>
  <c r="Z191" i="100"/>
  <c r="X191" i="100"/>
  <c r="P191" i="100"/>
  <c r="N191" i="100"/>
  <c r="L191" i="100"/>
  <c r="H191" i="100"/>
  <c r="G191" i="100"/>
  <c r="AL167" i="100"/>
  <c r="AK167" i="100"/>
  <c r="AJ167" i="100"/>
  <c r="AI167" i="100"/>
  <c r="AH167" i="100"/>
  <c r="AG167" i="100"/>
  <c r="AF167" i="100"/>
  <c r="AE167" i="100"/>
  <c r="AD167" i="100"/>
  <c r="AC167" i="100"/>
  <c r="AB167" i="100"/>
  <c r="AA167" i="100"/>
  <c r="Z167" i="100"/>
  <c r="B167" i="100"/>
  <c r="A167" i="100"/>
  <c r="AL166" i="100"/>
  <c r="AK166" i="100"/>
  <c r="AJ166" i="100"/>
  <c r="AI166" i="100"/>
  <c r="AH166" i="100"/>
  <c r="AG166" i="100"/>
  <c r="AF166" i="100"/>
  <c r="AE166" i="100"/>
  <c r="AD166" i="100"/>
  <c r="AC166" i="100"/>
  <c r="AB166" i="100"/>
  <c r="AA166" i="100"/>
  <c r="Z166" i="100"/>
  <c r="B166" i="100"/>
  <c r="A166" i="100"/>
  <c r="AL165" i="100"/>
  <c r="AK165" i="100"/>
  <c r="AJ165" i="100"/>
  <c r="AI165" i="100"/>
  <c r="AH165" i="100"/>
  <c r="AG165" i="100"/>
  <c r="AF165" i="100"/>
  <c r="AE165" i="100"/>
  <c r="AD165" i="100"/>
  <c r="AC165" i="100"/>
  <c r="AB165" i="100"/>
  <c r="AA165" i="100"/>
  <c r="Z165" i="100"/>
  <c r="B165" i="100"/>
  <c r="A165" i="100"/>
  <c r="AL164" i="100"/>
  <c r="AK164" i="100"/>
  <c r="AJ164" i="100"/>
  <c r="AI164" i="100"/>
  <c r="AH164" i="100"/>
  <c r="AG164" i="100"/>
  <c r="AF164" i="100"/>
  <c r="AE164" i="100"/>
  <c r="AD164" i="100"/>
  <c r="AC164" i="100"/>
  <c r="AB164" i="100"/>
  <c r="AA164" i="100"/>
  <c r="Z164" i="100"/>
  <c r="B164" i="100"/>
  <c r="A164" i="100"/>
  <c r="AL163" i="100"/>
  <c r="AK163" i="100"/>
  <c r="AJ163" i="100"/>
  <c r="AI163" i="100"/>
  <c r="AH163" i="100"/>
  <c r="AG163" i="100"/>
  <c r="AF163" i="100"/>
  <c r="AE163" i="100"/>
  <c r="AD163" i="100"/>
  <c r="AC163" i="100"/>
  <c r="AB163" i="100"/>
  <c r="AA163" i="100"/>
  <c r="Z163" i="100"/>
  <c r="B163" i="100"/>
  <c r="A163" i="100"/>
  <c r="AL162" i="100"/>
  <c r="AK162" i="100"/>
  <c r="AJ162" i="100"/>
  <c r="AI162" i="100"/>
  <c r="AH162" i="100"/>
  <c r="AG162" i="100"/>
  <c r="AF162" i="100"/>
  <c r="AE162" i="100"/>
  <c r="AD162" i="100"/>
  <c r="AC162" i="100"/>
  <c r="AB162" i="100"/>
  <c r="AA162" i="100"/>
  <c r="Z162" i="100"/>
  <c r="B162" i="100"/>
  <c r="A162" i="100"/>
  <c r="D159" i="100"/>
  <c r="D158" i="100"/>
  <c r="D157" i="100"/>
  <c r="D156" i="100"/>
  <c r="D155" i="100"/>
  <c r="D154" i="100"/>
  <c r="AL150" i="100"/>
  <c r="AK150" i="100"/>
  <c r="AJ150" i="100"/>
  <c r="AI150" i="100"/>
  <c r="AH150" i="100"/>
  <c r="AG150" i="100"/>
  <c r="AF150" i="100"/>
  <c r="AE150" i="100"/>
  <c r="AD150" i="100"/>
  <c r="AC150" i="100"/>
  <c r="AB150" i="100"/>
  <c r="AA150" i="100"/>
  <c r="Z150" i="100"/>
  <c r="D150" i="100"/>
  <c r="AL149" i="100"/>
  <c r="AK149" i="100"/>
  <c r="AJ149" i="100"/>
  <c r="AI149" i="100"/>
  <c r="AH149" i="100"/>
  <c r="AG149" i="100"/>
  <c r="AF149" i="100"/>
  <c r="AE149" i="100"/>
  <c r="AD149" i="100"/>
  <c r="AC149" i="100"/>
  <c r="AB149" i="100"/>
  <c r="AA149" i="100"/>
  <c r="Z149" i="100"/>
  <c r="D149" i="100"/>
  <c r="AL148" i="100"/>
  <c r="AK148" i="100"/>
  <c r="AJ148" i="100"/>
  <c r="AI148" i="100"/>
  <c r="AH148" i="100"/>
  <c r="AG148" i="100"/>
  <c r="AF148" i="100"/>
  <c r="AE148" i="100"/>
  <c r="AD148" i="100"/>
  <c r="AC148" i="100"/>
  <c r="AB148" i="100"/>
  <c r="AA148" i="100"/>
  <c r="Z148" i="100"/>
  <c r="D148" i="100"/>
  <c r="AL137" i="100"/>
  <c r="AK137" i="100"/>
  <c r="AJ137" i="100"/>
  <c r="AI137" i="100"/>
  <c r="AH137" i="100"/>
  <c r="AG137" i="100"/>
  <c r="AF137" i="100"/>
  <c r="AE137" i="100"/>
  <c r="AD137" i="100"/>
  <c r="AC137" i="100"/>
  <c r="AB137" i="100"/>
  <c r="AA137" i="100"/>
  <c r="Z137" i="100"/>
  <c r="D137" i="100"/>
  <c r="B137" i="100"/>
  <c r="A137" i="100"/>
  <c r="AL136" i="100"/>
  <c r="AK136" i="100"/>
  <c r="AJ136" i="100"/>
  <c r="AI136" i="100"/>
  <c r="AH136" i="100"/>
  <c r="AG136" i="100"/>
  <c r="AF136" i="100"/>
  <c r="AE136" i="100"/>
  <c r="AD136" i="100"/>
  <c r="AC136" i="100"/>
  <c r="AB136" i="100"/>
  <c r="AA136" i="100"/>
  <c r="Z136" i="100"/>
  <c r="D136" i="100"/>
  <c r="B136" i="100"/>
  <c r="A136" i="100"/>
  <c r="AL135" i="100"/>
  <c r="AK135" i="100"/>
  <c r="AJ135" i="100"/>
  <c r="AI135" i="100"/>
  <c r="AH135" i="100"/>
  <c r="AG135" i="100"/>
  <c r="AF135" i="100"/>
  <c r="AE135" i="100"/>
  <c r="AD135" i="100"/>
  <c r="AC135" i="100"/>
  <c r="AB135" i="100"/>
  <c r="AA135" i="100"/>
  <c r="Z135" i="100"/>
  <c r="D135" i="100"/>
  <c r="B135" i="100"/>
  <c r="A135" i="100"/>
  <c r="AL134" i="100"/>
  <c r="AK134" i="100"/>
  <c r="AJ134" i="100"/>
  <c r="AI134" i="100"/>
  <c r="AH134" i="100"/>
  <c r="AG134" i="100"/>
  <c r="AF134" i="100"/>
  <c r="AE134" i="100"/>
  <c r="AD134" i="100"/>
  <c r="AC134" i="100"/>
  <c r="AB134" i="100"/>
  <c r="AA134" i="100"/>
  <c r="Z134" i="100"/>
  <c r="D134" i="100"/>
  <c r="B134" i="100"/>
  <c r="A134" i="100"/>
  <c r="AL133" i="100"/>
  <c r="AK133" i="100"/>
  <c r="AJ133" i="100"/>
  <c r="AI133" i="100"/>
  <c r="AH133" i="100"/>
  <c r="AG133" i="100"/>
  <c r="AF133" i="100"/>
  <c r="AE133" i="100"/>
  <c r="AD133" i="100"/>
  <c r="AC133" i="100"/>
  <c r="AB133" i="100"/>
  <c r="AA133" i="100"/>
  <c r="Z133" i="100"/>
  <c r="D133" i="100"/>
  <c r="B133" i="100"/>
  <c r="A133" i="100"/>
  <c r="AL132" i="100"/>
  <c r="AK132" i="100"/>
  <c r="AJ132" i="100"/>
  <c r="AI132" i="100"/>
  <c r="AH132" i="100"/>
  <c r="AG132" i="100"/>
  <c r="AF132" i="100"/>
  <c r="AE132" i="100"/>
  <c r="AD132" i="100"/>
  <c r="AC132" i="100"/>
  <c r="AB132" i="100"/>
  <c r="AA132" i="100"/>
  <c r="Z132" i="100"/>
  <c r="D132" i="100"/>
  <c r="B132" i="100"/>
  <c r="A132" i="100"/>
  <c r="AL131" i="100"/>
  <c r="AK131" i="100"/>
  <c r="AJ131" i="100"/>
  <c r="AI131" i="100"/>
  <c r="AH131" i="100"/>
  <c r="AG131" i="100"/>
  <c r="AF131" i="100"/>
  <c r="AE131" i="100"/>
  <c r="AD131" i="100"/>
  <c r="AC131" i="100"/>
  <c r="AB131" i="100"/>
  <c r="AA131" i="100"/>
  <c r="Z131" i="100"/>
  <c r="D131" i="100"/>
  <c r="B131" i="100"/>
  <c r="A131" i="100"/>
  <c r="D128" i="100"/>
  <c r="D127" i="100"/>
  <c r="D126" i="100"/>
  <c r="D125" i="100"/>
  <c r="D124" i="100"/>
  <c r="D123" i="100"/>
  <c r="AL119" i="100"/>
  <c r="AK119" i="100"/>
  <c r="AJ119" i="100"/>
  <c r="AI119" i="100"/>
  <c r="AH119" i="100"/>
  <c r="AG119" i="100"/>
  <c r="AF119" i="100"/>
  <c r="AE119" i="100"/>
  <c r="AD119" i="100"/>
  <c r="AC119" i="100"/>
  <c r="AB119" i="100"/>
  <c r="AA119" i="100"/>
  <c r="Z119" i="100"/>
  <c r="B119" i="100"/>
  <c r="A119" i="100"/>
  <c r="AL110" i="100"/>
  <c r="AK110" i="100"/>
  <c r="AJ110" i="100"/>
  <c r="AI110" i="100"/>
  <c r="AH110" i="100"/>
  <c r="AG110" i="100"/>
  <c r="AF110" i="100"/>
  <c r="AE110" i="100"/>
  <c r="AD110" i="100"/>
  <c r="AC110" i="100"/>
  <c r="AB110" i="100"/>
  <c r="AA110" i="100"/>
  <c r="Z110" i="100"/>
  <c r="B110" i="100"/>
  <c r="A110" i="100"/>
  <c r="AL109" i="100"/>
  <c r="AK109" i="100"/>
  <c r="AJ109" i="100"/>
  <c r="AI109" i="100"/>
  <c r="AH109" i="100"/>
  <c r="AG109" i="100"/>
  <c r="AF109" i="100"/>
  <c r="AE109" i="100"/>
  <c r="AD109" i="100"/>
  <c r="AC109" i="100"/>
  <c r="AB109" i="100"/>
  <c r="AA109" i="100"/>
  <c r="Z109" i="100"/>
  <c r="B109" i="100"/>
  <c r="A109" i="100"/>
  <c r="AL108" i="100"/>
  <c r="AK108" i="100"/>
  <c r="AJ108" i="100"/>
  <c r="AI108" i="100"/>
  <c r="AH108" i="100"/>
  <c r="AG108" i="100"/>
  <c r="AF108" i="100"/>
  <c r="AE108" i="100"/>
  <c r="AD108" i="100"/>
  <c r="AC108" i="100"/>
  <c r="AB108" i="100"/>
  <c r="AA108" i="100"/>
  <c r="Z108" i="100"/>
  <c r="B108" i="100"/>
  <c r="A108" i="100"/>
  <c r="AL107" i="100"/>
  <c r="AK107" i="100"/>
  <c r="AJ107" i="100"/>
  <c r="AI107" i="100"/>
  <c r="AH107" i="100"/>
  <c r="AG107" i="100"/>
  <c r="AF107" i="100"/>
  <c r="AE107" i="100"/>
  <c r="AD107" i="100"/>
  <c r="AC107" i="100"/>
  <c r="AB107" i="100"/>
  <c r="AA107" i="100"/>
  <c r="Z107" i="100"/>
  <c r="B107" i="100"/>
  <c r="A107" i="100"/>
  <c r="AL106" i="100"/>
  <c r="AK106" i="100"/>
  <c r="AJ106" i="100"/>
  <c r="AI106" i="100"/>
  <c r="AH106" i="100"/>
  <c r="AG106" i="100"/>
  <c r="AF106" i="100"/>
  <c r="AE106" i="100"/>
  <c r="AD106" i="100"/>
  <c r="AC106" i="100"/>
  <c r="AB106" i="100"/>
  <c r="AA106" i="100"/>
  <c r="Z106" i="100"/>
  <c r="B106" i="100"/>
  <c r="A106" i="100"/>
  <c r="AL105" i="100"/>
  <c r="AK105" i="100"/>
  <c r="AJ105" i="100"/>
  <c r="AI105" i="100"/>
  <c r="AH105" i="100"/>
  <c r="AG105" i="100"/>
  <c r="AF105" i="100"/>
  <c r="AE105" i="100"/>
  <c r="AD105" i="100"/>
  <c r="AC105" i="100"/>
  <c r="AB105" i="100"/>
  <c r="AA105" i="100"/>
  <c r="Z105" i="100"/>
  <c r="B105" i="100"/>
  <c r="A105" i="100"/>
  <c r="AL104" i="100"/>
  <c r="AK104" i="100"/>
  <c r="AJ104" i="100"/>
  <c r="AI104" i="100"/>
  <c r="AH104" i="100"/>
  <c r="AG104" i="100"/>
  <c r="AF104" i="100"/>
  <c r="AE104" i="100"/>
  <c r="AD104" i="100"/>
  <c r="AC104" i="100"/>
  <c r="AB104" i="100"/>
  <c r="AA104" i="100"/>
  <c r="Z104" i="100"/>
  <c r="B104" i="100"/>
  <c r="A104" i="100"/>
  <c r="AL103" i="100"/>
  <c r="AK103" i="100"/>
  <c r="AJ103" i="100"/>
  <c r="AI103" i="100"/>
  <c r="AH103" i="100"/>
  <c r="AG103" i="100"/>
  <c r="AF103" i="100"/>
  <c r="AE103" i="100"/>
  <c r="AD103" i="100"/>
  <c r="AC103" i="100"/>
  <c r="AB103" i="100"/>
  <c r="AA103" i="100"/>
  <c r="Z103" i="100"/>
  <c r="B103" i="100"/>
  <c r="A103" i="100"/>
  <c r="AL102" i="100"/>
  <c r="AK102" i="100"/>
  <c r="AJ102" i="100"/>
  <c r="AI102" i="100"/>
  <c r="AH102" i="100"/>
  <c r="AG102" i="100"/>
  <c r="AF102" i="100"/>
  <c r="AE102" i="100"/>
  <c r="AD102" i="100"/>
  <c r="AC102" i="100"/>
  <c r="AB102" i="100"/>
  <c r="AA102" i="100"/>
  <c r="Z102" i="100"/>
  <c r="B102" i="100"/>
  <c r="A102" i="100"/>
  <c r="AL101" i="100"/>
  <c r="AL51" i="100" s="1"/>
  <c r="AK101" i="100"/>
  <c r="AK51" i="100" s="1"/>
  <c r="AJ101" i="100"/>
  <c r="AI101" i="100"/>
  <c r="AI51" i="100" s="1"/>
  <c r="AH101" i="100"/>
  <c r="AH51" i="100" s="1"/>
  <c r="AG101" i="100"/>
  <c r="AG51" i="100" s="1"/>
  <c r="AF101" i="100"/>
  <c r="AF51" i="100" s="1"/>
  <c r="AE101" i="100"/>
  <c r="AE51" i="100" s="1"/>
  <c r="AD101" i="100"/>
  <c r="AD51" i="100" s="1"/>
  <c r="AC101" i="100"/>
  <c r="AC51" i="100" s="1"/>
  <c r="AB101" i="100"/>
  <c r="AA101" i="100"/>
  <c r="AA51" i="100" s="1"/>
  <c r="Z101" i="100"/>
  <c r="Z51" i="100" s="1"/>
  <c r="B101" i="100"/>
  <c r="A101" i="100"/>
  <c r="AL100" i="100"/>
  <c r="AK100" i="100"/>
  <c r="AJ100" i="100"/>
  <c r="AI100" i="100"/>
  <c r="AH100" i="100"/>
  <c r="AG100" i="100"/>
  <c r="AF100" i="100"/>
  <c r="AE100" i="100"/>
  <c r="AD100" i="100"/>
  <c r="AC100" i="100"/>
  <c r="AB100" i="100"/>
  <c r="AA100" i="100"/>
  <c r="Z100" i="100"/>
  <c r="B100" i="100"/>
  <c r="A100" i="100"/>
  <c r="AK95" i="100"/>
  <c r="AJ95" i="100"/>
  <c r="AI95" i="100"/>
  <c r="AH95" i="100"/>
  <c r="AG95" i="100"/>
  <c r="AF95" i="100"/>
  <c r="AB95" i="100"/>
  <c r="AA95" i="100"/>
  <c r="Z95" i="100"/>
  <c r="B95" i="100"/>
  <c r="AK94" i="100"/>
  <c r="AJ94" i="100"/>
  <c r="AI94" i="100"/>
  <c r="AH94" i="100"/>
  <c r="AG94" i="100"/>
  <c r="AF94" i="100"/>
  <c r="AB94" i="100"/>
  <c r="AA94" i="100"/>
  <c r="Z94" i="100"/>
  <c r="B94" i="100"/>
  <c r="AK91" i="100"/>
  <c r="AJ91" i="100"/>
  <c r="AI91" i="100"/>
  <c r="AH91" i="100"/>
  <c r="AG91" i="100"/>
  <c r="AF91" i="100"/>
  <c r="AB91" i="100"/>
  <c r="AA91" i="100"/>
  <c r="Z91" i="100"/>
  <c r="B91" i="100"/>
  <c r="AL87" i="100"/>
  <c r="AK87" i="100"/>
  <c r="AJ87" i="100"/>
  <c r="AI87" i="100"/>
  <c r="AH87" i="100"/>
  <c r="AG87" i="100"/>
  <c r="AF87" i="100"/>
  <c r="AE87" i="100"/>
  <c r="AD87" i="100"/>
  <c r="AC87" i="100"/>
  <c r="AB87" i="100"/>
  <c r="AA87" i="100"/>
  <c r="Z87" i="100"/>
  <c r="AL86" i="100"/>
  <c r="AK86" i="100"/>
  <c r="AJ86" i="100"/>
  <c r="AI86" i="100"/>
  <c r="AH86" i="100"/>
  <c r="AG86" i="100"/>
  <c r="AF86" i="100"/>
  <c r="AE86" i="100"/>
  <c r="AD86" i="100"/>
  <c r="AC86" i="100"/>
  <c r="AB86" i="100"/>
  <c r="AA86" i="100"/>
  <c r="Z86" i="100"/>
  <c r="AL83" i="100"/>
  <c r="AK83" i="100"/>
  <c r="AJ83" i="100"/>
  <c r="AI83" i="100"/>
  <c r="AH83" i="100"/>
  <c r="AG83" i="100"/>
  <c r="AF83" i="100"/>
  <c r="AE83" i="100"/>
  <c r="AD83" i="100"/>
  <c r="AC83" i="100"/>
  <c r="AB83" i="100"/>
  <c r="AA83" i="100"/>
  <c r="Z83" i="100"/>
  <c r="B83" i="100"/>
  <c r="A83" i="100"/>
  <c r="AL79" i="100"/>
  <c r="AL48" i="100" s="1"/>
  <c r="AK79" i="100"/>
  <c r="AK48" i="100" s="1"/>
  <c r="AJ79" i="100"/>
  <c r="AJ48" i="100" s="1"/>
  <c r="AI79" i="100"/>
  <c r="AI48" i="100" s="1"/>
  <c r="AH79" i="100"/>
  <c r="AH48" i="100" s="1"/>
  <c r="AG79" i="100"/>
  <c r="AG48" i="100" s="1"/>
  <c r="AF79" i="100"/>
  <c r="AF48" i="100" s="1"/>
  <c r="AE79" i="100"/>
  <c r="AE48" i="100" s="1"/>
  <c r="AD79" i="100"/>
  <c r="AD48" i="100" s="1"/>
  <c r="AC79" i="100"/>
  <c r="AC48" i="100" s="1"/>
  <c r="AB79" i="100"/>
  <c r="AB48" i="100" s="1"/>
  <c r="AA79" i="100"/>
  <c r="AA48" i="100" s="1"/>
  <c r="Z79" i="100"/>
  <c r="Z48" i="100" s="1"/>
  <c r="B79" i="100"/>
  <c r="A79" i="100"/>
  <c r="AL69" i="100"/>
  <c r="AK69" i="100"/>
  <c r="AJ69" i="100"/>
  <c r="AI69" i="100"/>
  <c r="AH69" i="100"/>
  <c r="AG69" i="100"/>
  <c r="AF69" i="100"/>
  <c r="AE69" i="100"/>
  <c r="AD69" i="100"/>
  <c r="AB69" i="100"/>
  <c r="AA69" i="100"/>
  <c r="Z69" i="100"/>
  <c r="X69" i="100"/>
  <c r="V69" i="100"/>
  <c r="P69" i="100"/>
  <c r="L69" i="100"/>
  <c r="H69" i="100"/>
  <c r="AK68" i="100"/>
  <c r="AJ68" i="100"/>
  <c r="AI68" i="100"/>
  <c r="AH68" i="100"/>
  <c r="AG68" i="100"/>
  <c r="AF68" i="100"/>
  <c r="AB68" i="100"/>
  <c r="AA68" i="100"/>
  <c r="Z68" i="100"/>
  <c r="AK66" i="100"/>
  <c r="AJ66" i="100"/>
  <c r="AI66" i="100"/>
  <c r="AH66" i="100"/>
  <c r="AG66" i="100"/>
  <c r="AF66" i="100"/>
  <c r="AB66" i="100"/>
  <c r="AA66" i="100"/>
  <c r="Z66" i="100"/>
  <c r="Y66" i="100"/>
  <c r="X66" i="100"/>
  <c r="W66" i="100"/>
  <c r="Q66" i="100"/>
  <c r="P66" i="100"/>
  <c r="N66" i="100"/>
  <c r="M66" i="100"/>
  <c r="L66" i="100"/>
  <c r="I66" i="100"/>
  <c r="H66" i="100"/>
  <c r="G66" i="100"/>
  <c r="F66" i="100"/>
  <c r="B66" i="100"/>
  <c r="A66" i="100"/>
  <c r="AL65" i="100"/>
  <c r="AK65" i="100"/>
  <c r="AJ65" i="100"/>
  <c r="AI65" i="100"/>
  <c r="AH65" i="100"/>
  <c r="AG65" i="100"/>
  <c r="AF65" i="100"/>
  <c r="AE65" i="100"/>
  <c r="AD65" i="100"/>
  <c r="AB65" i="100"/>
  <c r="AA65" i="100"/>
  <c r="Z65" i="100"/>
  <c r="X65" i="100"/>
  <c r="W65" i="100"/>
  <c r="T65" i="100"/>
  <c r="P65" i="100"/>
  <c r="N65" i="100"/>
  <c r="M65" i="100"/>
  <c r="I65" i="100"/>
  <c r="H65" i="100"/>
  <c r="G65" i="100"/>
  <c r="AK64" i="100"/>
  <c r="AJ64" i="100"/>
  <c r="AI64" i="100"/>
  <c r="AH64" i="100"/>
  <c r="AG64" i="100"/>
  <c r="AF64" i="100"/>
  <c r="AB64" i="100"/>
  <c r="AA64" i="100"/>
  <c r="Z64" i="100"/>
  <c r="AL62" i="100"/>
  <c r="AK62" i="100"/>
  <c r="AK60" i="100" s="1"/>
  <c r="AJ62" i="100"/>
  <c r="AJ60" i="100" s="1"/>
  <c r="AI62" i="100"/>
  <c r="AI60" i="100" s="1"/>
  <c r="AH62" i="100"/>
  <c r="AH60" i="100" s="1"/>
  <c r="AG62" i="100"/>
  <c r="AG60" i="100" s="1"/>
  <c r="AF62" i="100"/>
  <c r="AF60" i="100" s="1"/>
  <c r="AE62" i="100"/>
  <c r="AD62" i="100"/>
  <c r="AC62" i="100"/>
  <c r="AB62" i="100"/>
  <c r="AB60" i="100" s="1"/>
  <c r="AA62" i="100"/>
  <c r="AA60" i="100" s="1"/>
  <c r="Z62" i="100"/>
  <c r="Z60" i="100" s="1"/>
  <c r="B62" i="100"/>
  <c r="A62" i="100"/>
  <c r="AL61" i="100"/>
  <c r="AL60" i="100" s="1"/>
  <c r="AK61" i="100"/>
  <c r="AJ61" i="100"/>
  <c r="AI61" i="100"/>
  <c r="AH61" i="100"/>
  <c r="AG61" i="100"/>
  <c r="AF61" i="100"/>
  <c r="AE61" i="100"/>
  <c r="AE60" i="100" s="1"/>
  <c r="AD61" i="100"/>
  <c r="AD60" i="100" s="1"/>
  <c r="AC61" i="100"/>
  <c r="AC60" i="100" s="1"/>
  <c r="AB61" i="100"/>
  <c r="AA61" i="100"/>
  <c r="Z61" i="100"/>
  <c r="Y61" i="100"/>
  <c r="X61" i="100"/>
  <c r="W61" i="100"/>
  <c r="V61" i="100"/>
  <c r="U61" i="100"/>
  <c r="T61" i="100"/>
  <c r="S61" i="100"/>
  <c r="R61" i="100"/>
  <c r="Q61" i="100"/>
  <c r="P61" i="100"/>
  <c r="O61" i="100"/>
  <c r="N61" i="100"/>
  <c r="M61" i="100"/>
  <c r="L61" i="100"/>
  <c r="K61" i="100"/>
  <c r="J61" i="100"/>
  <c r="I61" i="100"/>
  <c r="H61" i="100"/>
  <c r="G61" i="100"/>
  <c r="F61" i="100"/>
  <c r="AK59" i="100"/>
  <c r="AJ59" i="100"/>
  <c r="AI59" i="100"/>
  <c r="AH59" i="100"/>
  <c r="AG59" i="100"/>
  <c r="AF59" i="100"/>
  <c r="AB59" i="100"/>
  <c r="AA59" i="100"/>
  <c r="Z59" i="100"/>
  <c r="AK47" i="100"/>
  <c r="AJ47" i="100"/>
  <c r="AI47" i="100"/>
  <c r="AH47" i="100"/>
  <c r="AG47" i="100"/>
  <c r="AF47" i="100"/>
  <c r="AB47" i="100"/>
  <c r="AA47" i="100"/>
  <c r="Z47" i="100"/>
  <c r="B47" i="100"/>
  <c r="B46" i="100"/>
  <c r="A46" i="100"/>
  <c r="AL45" i="100"/>
  <c r="AL85" i="100" s="1"/>
  <c r="AK45" i="100"/>
  <c r="AK85" i="100" s="1"/>
  <c r="AJ45" i="100"/>
  <c r="AJ85" i="100" s="1"/>
  <c r="AI45" i="100"/>
  <c r="AI85" i="100" s="1"/>
  <c r="AH45" i="100"/>
  <c r="AH85" i="100" s="1"/>
  <c r="AG45" i="100"/>
  <c r="AG85" i="100" s="1"/>
  <c r="AF45" i="100"/>
  <c r="AF85" i="100" s="1"/>
  <c r="AE45" i="100"/>
  <c r="AE85" i="100" s="1"/>
  <c r="AD45" i="100"/>
  <c r="AD85" i="100" s="1"/>
  <c r="AC45" i="100"/>
  <c r="AC85" i="100" s="1"/>
  <c r="AB45" i="100"/>
  <c r="AB85" i="100" s="1"/>
  <c r="AA45" i="100"/>
  <c r="AA85" i="100" s="1"/>
  <c r="Z45" i="100"/>
  <c r="Z85" i="100" s="1"/>
  <c r="B45" i="100"/>
  <c r="A45" i="100"/>
  <c r="B44" i="100"/>
  <c r="A44" i="100"/>
  <c r="B43" i="100"/>
  <c r="A43" i="100"/>
  <c r="AK39" i="100"/>
  <c r="AJ39" i="100"/>
  <c r="AI39" i="100"/>
  <c r="AH39" i="100"/>
  <c r="AG39" i="100"/>
  <c r="AF39" i="100"/>
  <c r="AB39" i="100"/>
  <c r="AA39" i="100"/>
  <c r="Z39" i="100"/>
  <c r="AK29" i="100"/>
  <c r="AJ29" i="100"/>
  <c r="AI29" i="100"/>
  <c r="AH29" i="100"/>
  <c r="AG29" i="100"/>
  <c r="AF29" i="100"/>
  <c r="AB29" i="100"/>
  <c r="AA29" i="100"/>
  <c r="Z29" i="100"/>
  <c r="Y29" i="100"/>
  <c r="X29" i="100"/>
  <c r="W29" i="100"/>
  <c r="V29" i="100"/>
  <c r="U29" i="100"/>
  <c r="T29" i="100"/>
  <c r="S29" i="100"/>
  <c r="R29" i="100"/>
  <c r="Q29" i="100"/>
  <c r="P29" i="100"/>
  <c r="O29" i="100"/>
  <c r="N29" i="100"/>
  <c r="M29" i="100"/>
  <c r="L29" i="100"/>
  <c r="K29" i="100"/>
  <c r="J29" i="100"/>
  <c r="I29" i="100"/>
  <c r="H29" i="100"/>
  <c r="G29" i="100"/>
  <c r="F29" i="100"/>
  <c r="AL28" i="100"/>
  <c r="AK28" i="100"/>
  <c r="AJ28" i="100"/>
  <c r="AI28" i="100"/>
  <c r="AH28" i="100"/>
  <c r="AG28" i="100"/>
  <c r="AF28" i="100"/>
  <c r="AE28" i="100"/>
  <c r="AD28" i="100"/>
  <c r="AC28" i="100"/>
  <c r="AB28" i="100"/>
  <c r="AA28" i="100"/>
  <c r="Z28" i="100"/>
  <c r="Y28" i="100"/>
  <c r="X28" i="100"/>
  <c r="W28" i="100"/>
  <c r="Q28" i="100"/>
  <c r="P28" i="100"/>
  <c r="N28" i="100"/>
  <c r="M28" i="100"/>
  <c r="L28" i="100"/>
  <c r="I28" i="100"/>
  <c r="H28" i="100"/>
  <c r="G28" i="100"/>
  <c r="F28" i="100"/>
  <c r="AL27" i="100"/>
  <c r="AK27" i="100"/>
  <c r="AJ27" i="100"/>
  <c r="AI27" i="100"/>
  <c r="AH27" i="100"/>
  <c r="AG27" i="100"/>
  <c r="AF27" i="100"/>
  <c r="AE27" i="100"/>
  <c r="AD27" i="100"/>
  <c r="AC27" i="100"/>
  <c r="AB27" i="100"/>
  <c r="AA27" i="100"/>
  <c r="Z27" i="100"/>
  <c r="V27" i="100"/>
  <c r="U27" i="100"/>
  <c r="T27" i="100"/>
  <c r="S27" i="100"/>
  <c r="R27" i="100"/>
  <c r="O27" i="100"/>
  <c r="K27" i="100"/>
  <c r="J27" i="100"/>
  <c r="B25" i="100"/>
  <c r="A25" i="100"/>
  <c r="AK24" i="100"/>
  <c r="AK226" i="100" s="1"/>
  <c r="AJ24" i="100"/>
  <c r="AJ226" i="100" s="1"/>
  <c r="AI24" i="100"/>
  <c r="AI226" i="100" s="1"/>
  <c r="AH24" i="100"/>
  <c r="AH226" i="100" s="1"/>
  <c r="AG24" i="100"/>
  <c r="AG226" i="100" s="1"/>
  <c r="AF24" i="100"/>
  <c r="AF226" i="100" s="1"/>
  <c r="AB24" i="100"/>
  <c r="AB226" i="100" s="1"/>
  <c r="AA24" i="100"/>
  <c r="AA226" i="100" s="1"/>
  <c r="Z24" i="100"/>
  <c r="Z226" i="100" s="1"/>
  <c r="Y24" i="100"/>
  <c r="Y226" i="100" s="1"/>
  <c r="X24" i="100"/>
  <c r="X226" i="100" s="1"/>
  <c r="W24" i="100"/>
  <c r="W226" i="100" s="1"/>
  <c r="Q24" i="100"/>
  <c r="Q226" i="100" s="1"/>
  <c r="P24" i="100"/>
  <c r="P226" i="100" s="1"/>
  <c r="N24" i="100"/>
  <c r="N226" i="100" s="1"/>
  <c r="M24" i="100"/>
  <c r="M226" i="100" s="1"/>
  <c r="L24" i="100"/>
  <c r="L226" i="100" s="1"/>
  <c r="I24" i="100"/>
  <c r="I226" i="100" s="1"/>
  <c r="H24" i="100"/>
  <c r="H226" i="100" s="1"/>
  <c r="G24" i="100"/>
  <c r="G226" i="100" s="1"/>
  <c r="F24" i="100"/>
  <c r="F226" i="100" s="1"/>
  <c r="B24" i="100"/>
  <c r="A24" i="100"/>
  <c r="B23" i="100"/>
  <c r="A23" i="100"/>
  <c r="B22" i="100"/>
  <c r="A22" i="100"/>
  <c r="AK19" i="100"/>
  <c r="AJ19" i="100"/>
  <c r="AI19" i="100"/>
  <c r="AH19" i="100"/>
  <c r="AG19" i="100"/>
  <c r="AF19" i="100"/>
  <c r="AB19" i="100"/>
  <c r="AA19" i="100"/>
  <c r="Z19" i="100"/>
  <c r="CD25" i="140"/>
  <c r="CC25" i="140"/>
  <c r="AP25" i="140"/>
  <c r="AO25" i="140"/>
  <c r="C19" i="140"/>
  <c r="DO15" i="140" s="1"/>
  <c r="DS14" i="140"/>
  <c r="DR14" i="140"/>
  <c r="B14" i="140"/>
  <c r="CD14" i="140" s="1"/>
  <c r="AN13" i="140"/>
  <c r="AN25" i="140" s="1"/>
  <c r="AM13" i="140"/>
  <c r="AM25" i="140" s="1"/>
  <c r="AL13" i="140"/>
  <c r="AL25" i="140" s="1"/>
  <c r="AK13" i="140"/>
  <c r="BY13" i="140" s="1"/>
  <c r="AJ13" i="140"/>
  <c r="AI13" i="140"/>
  <c r="AI25" i="140" s="1"/>
  <c r="AH13" i="140"/>
  <c r="AH25" i="140" s="1"/>
  <c r="AG13" i="140"/>
  <c r="AF13" i="140"/>
  <c r="BT13" i="140" s="1"/>
  <c r="AE13" i="140"/>
  <c r="AE25" i="140" s="1"/>
  <c r="AD13" i="140"/>
  <c r="AD25" i="140" s="1"/>
  <c r="AC13" i="140"/>
  <c r="AC25" i="140" s="1"/>
  <c r="AB13" i="140"/>
  <c r="AA13" i="140"/>
  <c r="Z13" i="140"/>
  <c r="Z25" i="140" s="1"/>
  <c r="Y13" i="140"/>
  <c r="X13" i="140"/>
  <c r="BL13" i="140" s="1"/>
  <c r="CZ13" i="140" s="1"/>
  <c r="W13" i="140"/>
  <c r="W25" i="140" s="1"/>
  <c r="V13" i="140"/>
  <c r="V25" i="140" s="1"/>
  <c r="U13" i="140"/>
  <c r="BI13" i="140" s="1"/>
  <c r="T13" i="140"/>
  <c r="BH13" i="140" s="1"/>
  <c r="S13" i="140"/>
  <c r="S25" i="140" s="1"/>
  <c r="R13" i="140"/>
  <c r="R25" i="140" s="1"/>
  <c r="Q13" i="140"/>
  <c r="BE13" i="140" s="1"/>
  <c r="CS13" i="140" s="1"/>
  <c r="CS25" i="140" s="1"/>
  <c r="P13" i="140"/>
  <c r="O13" i="140"/>
  <c r="O25" i="140" s="1"/>
  <c r="N13" i="140"/>
  <c r="N25" i="140" s="1"/>
  <c r="M13" i="140"/>
  <c r="M25" i="140" s="1"/>
  <c r="L13" i="140"/>
  <c r="K13" i="140"/>
  <c r="AY13" i="140" s="1"/>
  <c r="J13" i="140"/>
  <c r="J25" i="140" s="1"/>
  <c r="I13" i="140"/>
  <c r="AW13" i="140" s="1"/>
  <c r="H13" i="140"/>
  <c r="AV13" i="140" s="1"/>
  <c r="G13" i="140"/>
  <c r="G25" i="140" s="1"/>
  <c r="F13" i="140"/>
  <c r="F25" i="140" s="1"/>
  <c r="E13" i="140"/>
  <c r="E25" i="140" s="1"/>
  <c r="D13" i="140"/>
  <c r="C13" i="140"/>
  <c r="AQ13" i="140" s="1"/>
  <c r="AQ25" i="140" s="1"/>
  <c r="CD25" i="99"/>
  <c r="CC25" i="99"/>
  <c r="AP25" i="99"/>
  <c r="AO25" i="99"/>
  <c r="C19" i="99"/>
  <c r="DM15" i="99" s="1"/>
  <c r="DS14" i="99"/>
  <c r="DR14" i="99"/>
  <c r="B14" i="99"/>
  <c r="AN13" i="99"/>
  <c r="CB13" i="99" s="1"/>
  <c r="CB25" i="99" s="1"/>
  <c r="AM13" i="99"/>
  <c r="AL13" i="99"/>
  <c r="AK13" i="99"/>
  <c r="AK25" i="99" s="1"/>
  <c r="AJ13" i="99"/>
  <c r="AJ25" i="99" s="1"/>
  <c r="AI13" i="99"/>
  <c r="AH13" i="99"/>
  <c r="AH25" i="99" s="1"/>
  <c r="AG13" i="99"/>
  <c r="BU13" i="99" s="1"/>
  <c r="AF13" i="99"/>
  <c r="AE13" i="99"/>
  <c r="AE25" i="99" s="1"/>
  <c r="AD13" i="99"/>
  <c r="BR13" i="99" s="1"/>
  <c r="AC13" i="99"/>
  <c r="AC25" i="99" s="1"/>
  <c r="AB13" i="99"/>
  <c r="AB25" i="99" s="1"/>
  <c r="AA13" i="99"/>
  <c r="Z13" i="99"/>
  <c r="BN13" i="99" s="1"/>
  <c r="Y13" i="99"/>
  <c r="BM13" i="99" s="1"/>
  <c r="X13" i="99"/>
  <c r="X25" i="99" s="1"/>
  <c r="W13" i="99"/>
  <c r="W25" i="99" s="1"/>
  <c r="V13" i="99"/>
  <c r="BJ13" i="99" s="1"/>
  <c r="U13" i="99"/>
  <c r="BI13" i="99" s="1"/>
  <c r="CW13" i="99" s="1"/>
  <c r="T13" i="99"/>
  <c r="T25" i="99" s="1"/>
  <c r="S13" i="99"/>
  <c r="S25" i="99" s="1"/>
  <c r="R13" i="99"/>
  <c r="R25" i="99" s="1"/>
  <c r="Q13" i="99"/>
  <c r="BE13" i="99" s="1"/>
  <c r="P13" i="99"/>
  <c r="BD13" i="99" s="1"/>
  <c r="O13" i="99"/>
  <c r="O25" i="99" s="1"/>
  <c r="N13" i="99"/>
  <c r="M13" i="99"/>
  <c r="M25" i="99" s="1"/>
  <c r="L13" i="99"/>
  <c r="L25" i="99" s="1"/>
  <c r="K13" i="99"/>
  <c r="K25" i="99" s="1"/>
  <c r="J13" i="99"/>
  <c r="AX13" i="99" s="1"/>
  <c r="I13" i="99"/>
  <c r="H13" i="99"/>
  <c r="H25" i="99" s="1"/>
  <c r="G13" i="99"/>
  <c r="G25" i="99" s="1"/>
  <c r="F13" i="99"/>
  <c r="E13" i="99"/>
  <c r="AS13" i="99" s="1"/>
  <c r="D13" i="99"/>
  <c r="D25" i="99" s="1"/>
  <c r="C13" i="99"/>
  <c r="C25" i="99" s="1"/>
  <c r="CD25" i="98"/>
  <c r="CC25" i="98"/>
  <c r="AP25" i="98"/>
  <c r="AO25" i="98"/>
  <c r="C19" i="98"/>
  <c r="DM15" i="98" s="1"/>
  <c r="DS14" i="98"/>
  <c r="DR14" i="98"/>
  <c r="B14" i="98"/>
  <c r="AP14" i="98" s="1"/>
  <c r="AN13" i="98"/>
  <c r="CB13" i="98" s="1"/>
  <c r="AM13" i="98"/>
  <c r="AL13" i="98"/>
  <c r="BZ13" i="98" s="1"/>
  <c r="AK13" i="98"/>
  <c r="AK25" i="98" s="1"/>
  <c r="AJ13" i="98"/>
  <c r="AI13" i="98"/>
  <c r="BW13" i="98" s="1"/>
  <c r="DK13" i="98" s="1"/>
  <c r="DK25" i="98" s="1"/>
  <c r="AH13" i="98"/>
  <c r="BV13" i="98" s="1"/>
  <c r="BV25" i="98" s="1"/>
  <c r="AG13" i="98"/>
  <c r="AG25" i="98" s="1"/>
  <c r="AF13" i="98"/>
  <c r="AE13" i="98"/>
  <c r="AD13" i="98"/>
  <c r="AC13" i="98"/>
  <c r="AC25" i="98" s="1"/>
  <c r="AB13" i="98"/>
  <c r="AA13" i="98"/>
  <c r="BO13" i="98" s="1"/>
  <c r="DC13" i="98" s="1"/>
  <c r="DC25" i="98" s="1"/>
  <c r="Z13" i="98"/>
  <c r="BN13" i="98" s="1"/>
  <c r="BN25" i="98" s="1"/>
  <c r="Y13" i="98"/>
  <c r="Y25" i="98" s="1"/>
  <c r="X13" i="98"/>
  <c r="X25" i="98" s="1"/>
  <c r="W13" i="98"/>
  <c r="BK13" i="98" s="1"/>
  <c r="V13" i="98"/>
  <c r="U13" i="98"/>
  <c r="T13" i="98"/>
  <c r="S13" i="98"/>
  <c r="BG13" i="98" s="1"/>
  <c r="CU13" i="98" s="1"/>
  <c r="CU25" i="98" s="1"/>
  <c r="R13" i="98"/>
  <c r="R25" i="98" s="1"/>
  <c r="Q13" i="98"/>
  <c r="Q25" i="98" s="1"/>
  <c r="P13" i="98"/>
  <c r="P25" i="98" s="1"/>
  <c r="O13" i="98"/>
  <c r="O25" i="98" s="1"/>
  <c r="N13" i="98"/>
  <c r="M13" i="98"/>
  <c r="M25" i="98" s="1"/>
  <c r="L13" i="98"/>
  <c r="K13" i="98"/>
  <c r="AY13" i="98" s="1"/>
  <c r="CM13" i="98" s="1"/>
  <c r="CM25" i="98" s="1"/>
  <c r="J13" i="98"/>
  <c r="I13" i="98"/>
  <c r="I25" i="98" s="1"/>
  <c r="H13" i="98"/>
  <c r="AV13" i="98" s="1"/>
  <c r="G13" i="98"/>
  <c r="AU13" i="98" s="1"/>
  <c r="CI13" i="98" s="1"/>
  <c r="CI25" i="98" s="1"/>
  <c r="F13" i="98"/>
  <c r="E13" i="98"/>
  <c r="E25" i="98" s="1"/>
  <c r="D13" i="98"/>
  <c r="C13" i="98"/>
  <c r="AQ13" i="98" s="1"/>
  <c r="CE13" i="98" s="1"/>
  <c r="CE25" i="98" s="1"/>
  <c r="CD25" i="97"/>
  <c r="AP25" i="97"/>
  <c r="DP19" i="97"/>
  <c r="DO19" i="97"/>
  <c r="DN19" i="97"/>
  <c r="DI19" i="97"/>
  <c r="DH19" i="97"/>
  <c r="DG19" i="97"/>
  <c r="DF19" i="97"/>
  <c r="DD19" i="97"/>
  <c r="DC19" i="97"/>
  <c r="DB19" i="97"/>
  <c r="DA19" i="97"/>
  <c r="CZ19" i="97"/>
  <c r="CY19" i="97"/>
  <c r="CU19" i="97"/>
  <c r="CS19" i="97"/>
  <c r="CJ19" i="97"/>
  <c r="CH19" i="97"/>
  <c r="CB19" i="97"/>
  <c r="CA19" i="97"/>
  <c r="BZ19" i="97"/>
  <c r="BU19" i="97"/>
  <c r="BT19" i="97"/>
  <c r="BS19" i="97"/>
  <c r="BR19" i="97"/>
  <c r="BP19" i="97"/>
  <c r="BO19" i="97"/>
  <c r="BN19" i="97"/>
  <c r="BM19" i="97"/>
  <c r="BL19" i="97"/>
  <c r="BK19" i="97"/>
  <c r="BG19" i="97"/>
  <c r="BE19" i="97"/>
  <c r="AV19" i="97"/>
  <c r="AT19" i="97"/>
  <c r="AN19" i="97"/>
  <c r="AM19" i="97"/>
  <c r="AL19" i="97"/>
  <c r="AG19" i="97"/>
  <c r="AF19" i="97"/>
  <c r="AE19" i="97"/>
  <c r="AC19" i="97"/>
  <c r="AB19" i="97"/>
  <c r="AA19" i="97"/>
  <c r="Z19" i="97"/>
  <c r="Y19" i="97"/>
  <c r="X19" i="97"/>
  <c r="W19" i="97"/>
  <c r="S19" i="97"/>
  <c r="Q19" i="97"/>
  <c r="H19" i="97"/>
  <c r="F19" i="97"/>
  <c r="DS14" i="97"/>
  <c r="DR14" i="97"/>
  <c r="CD14" i="97"/>
  <c r="AP14" i="97"/>
  <c r="B14" i="97"/>
  <c r="AN13" i="97"/>
  <c r="AM13" i="97"/>
  <c r="AL13" i="97"/>
  <c r="DN13" i="97" s="1"/>
  <c r="AK13" i="97"/>
  <c r="BY13" i="97" s="1"/>
  <c r="AJ13" i="97"/>
  <c r="AI13" i="97"/>
  <c r="BW13" i="97" s="1"/>
  <c r="AH13" i="97"/>
  <c r="DJ13" i="97" s="1"/>
  <c r="DJ25" i="97" s="1"/>
  <c r="AG13" i="97"/>
  <c r="DI13" i="97" s="1"/>
  <c r="AF13" i="97"/>
  <c r="AE13" i="97"/>
  <c r="DG13" i="97" s="1"/>
  <c r="DG25" i="97" s="1"/>
  <c r="AD13" i="97"/>
  <c r="DF13" i="97" s="1"/>
  <c r="AC13" i="97"/>
  <c r="BQ13" i="97" s="1"/>
  <c r="AB13" i="97"/>
  <c r="DD13" i="97" s="1"/>
  <c r="AA13" i="97"/>
  <c r="Z13" i="97"/>
  <c r="Z25" i="97" s="1"/>
  <c r="Y13" i="97"/>
  <c r="X13" i="97"/>
  <c r="W13" i="97"/>
  <c r="CY13" i="97" s="1"/>
  <c r="CY25" i="97" s="1"/>
  <c r="V13" i="97"/>
  <c r="CX13" i="97" s="1"/>
  <c r="U13" i="97"/>
  <c r="U25" i="97" s="1"/>
  <c r="T13" i="97"/>
  <c r="CV13" i="97" s="1"/>
  <c r="S13" i="97"/>
  <c r="BG13" i="97" s="1"/>
  <c r="BG25" i="97" s="1"/>
  <c r="R13" i="97"/>
  <c r="R25" i="97" s="1"/>
  <c r="Q13" i="97"/>
  <c r="CS13" i="97" s="1"/>
  <c r="P13" i="97"/>
  <c r="O13" i="97"/>
  <c r="BC13" i="97" s="1"/>
  <c r="N13" i="97"/>
  <c r="CP13" i="97" s="1"/>
  <c r="M13" i="97"/>
  <c r="BA13" i="97" s="1"/>
  <c r="L13" i="97"/>
  <c r="CN13" i="97" s="1"/>
  <c r="K13" i="97"/>
  <c r="J13" i="97"/>
  <c r="J25" i="97" s="1"/>
  <c r="I13" i="97"/>
  <c r="H13" i="97"/>
  <c r="G13" i="97"/>
  <c r="G25" i="97" s="1"/>
  <c r="F13" i="97"/>
  <c r="AT13" i="97" s="1"/>
  <c r="AT25" i="97" s="1"/>
  <c r="E13" i="97"/>
  <c r="AS13" i="97" s="1"/>
  <c r="D13" i="97"/>
  <c r="C13" i="97"/>
  <c r="AQ13" i="97" s="1"/>
  <c r="AQ25" i="97" s="1"/>
  <c r="C10" i="97"/>
  <c r="DJ15" i="97" s="1"/>
  <c r="AC104" i="167"/>
  <c r="AB104" i="167"/>
  <c r="AA104" i="167"/>
  <c r="Z104" i="167"/>
  <c r="Y104" i="167"/>
  <c r="X104" i="167"/>
  <c r="W104" i="167"/>
  <c r="V104" i="167"/>
  <c r="U104" i="167"/>
  <c r="AC103" i="167"/>
  <c r="AB103" i="167"/>
  <c r="AA103" i="167"/>
  <c r="Z103" i="167"/>
  <c r="Y103" i="167"/>
  <c r="X103" i="167"/>
  <c r="W103" i="167"/>
  <c r="V103" i="167"/>
  <c r="CA102" i="167" s="1"/>
  <c r="U103" i="167"/>
  <c r="BM102" i="167" s="1"/>
  <c r="AC102" i="167"/>
  <c r="AB102" i="167"/>
  <c r="BT101" i="167" s="1"/>
  <c r="AA102" i="167"/>
  <c r="Z102" i="167"/>
  <c r="Y102" i="167"/>
  <c r="BQ101" i="167" s="1"/>
  <c r="X102" i="167"/>
  <c r="BP101" i="167" s="1"/>
  <c r="W102" i="167"/>
  <c r="BO101" i="167" s="1"/>
  <c r="V102" i="167"/>
  <c r="U102" i="167"/>
  <c r="BM101" i="167" s="1"/>
  <c r="CB101" i="167"/>
  <c r="BZ101" i="167"/>
  <c r="BY101" i="167"/>
  <c r="BW101" i="167"/>
  <c r="BV101" i="167"/>
  <c r="AC101" i="167"/>
  <c r="AB101" i="167"/>
  <c r="BT100" i="167" s="1"/>
  <c r="AA101" i="167"/>
  <c r="BS100" i="167" s="1"/>
  <c r="Z101" i="167"/>
  <c r="Y101" i="167"/>
  <c r="X101" i="167"/>
  <c r="W101" i="167"/>
  <c r="V101" i="167"/>
  <c r="BX100" i="167" s="1"/>
  <c r="U101" i="167"/>
  <c r="BM100" i="167" s="1"/>
  <c r="CB100" i="167"/>
  <c r="CA100" i="167"/>
  <c r="BZ100" i="167"/>
  <c r="BQ100" i="167"/>
  <c r="AC100" i="167"/>
  <c r="AB100" i="167"/>
  <c r="AA100" i="167"/>
  <c r="Z100" i="167"/>
  <c r="Y100" i="167"/>
  <c r="BQ99" i="167" s="1"/>
  <c r="X100" i="167"/>
  <c r="W100" i="167"/>
  <c r="V100" i="167"/>
  <c r="CA99" i="167" s="1"/>
  <c r="U100" i="167"/>
  <c r="BM99" i="167" s="1"/>
  <c r="BV99" i="167"/>
  <c r="BS99" i="167"/>
  <c r="AC99" i="167"/>
  <c r="AB99" i="167"/>
  <c r="BT98" i="167" s="1"/>
  <c r="AA99" i="167"/>
  <c r="BS98" i="167" s="1"/>
  <c r="Z99" i="167"/>
  <c r="Y99" i="167"/>
  <c r="BQ98" i="167" s="1"/>
  <c r="X99" i="167"/>
  <c r="BP98" i="167" s="1"/>
  <c r="W99" i="167"/>
  <c r="BO98" i="167" s="1"/>
  <c r="V99" i="167"/>
  <c r="CB98" i="167"/>
  <c r="CA98" i="167"/>
  <c r="BZ98" i="167"/>
  <c r="BY98" i="167"/>
  <c r="BX98" i="167"/>
  <c r="BW98" i="167"/>
  <c r="BV98" i="167"/>
  <c r="BU98" i="167"/>
  <c r="BR98" i="167"/>
  <c r="BN98" i="167"/>
  <c r="CB86" i="167"/>
  <c r="CA86" i="167"/>
  <c r="BZ86" i="167"/>
  <c r="BY86" i="167"/>
  <c r="BX86" i="167"/>
  <c r="BW86" i="167"/>
  <c r="BV86" i="167"/>
  <c r="BU86" i="167"/>
  <c r="BT86" i="167"/>
  <c r="BS86" i="167"/>
  <c r="BR86" i="167"/>
  <c r="BQ86" i="167"/>
  <c r="BP86" i="167"/>
  <c r="BO86" i="167"/>
  <c r="BN86" i="167"/>
  <c r="BM86" i="167"/>
  <c r="AC86" i="167"/>
  <c r="AB86" i="167"/>
  <c r="AA86" i="167"/>
  <c r="Z86" i="167"/>
  <c r="Y86" i="167"/>
  <c r="X86" i="167"/>
  <c r="W86" i="167"/>
  <c r="V86" i="167"/>
  <c r="CA85" i="167" s="1"/>
  <c r="U86" i="167"/>
  <c r="BM85" i="167" s="1"/>
  <c r="AC85" i="167"/>
  <c r="AB85" i="167"/>
  <c r="AA85" i="167"/>
  <c r="Z85" i="167"/>
  <c r="Y85" i="167"/>
  <c r="X85" i="167"/>
  <c r="W85" i="167"/>
  <c r="V85" i="167"/>
  <c r="U85" i="167"/>
  <c r="BM84" i="167" s="1"/>
  <c r="BS84" i="167"/>
  <c r="AC84" i="167"/>
  <c r="AB84" i="167"/>
  <c r="AA84" i="167"/>
  <c r="Z84" i="167"/>
  <c r="Y84" i="167"/>
  <c r="X84" i="167"/>
  <c r="W84" i="167"/>
  <c r="BO83" i="167" s="1"/>
  <c r="V84" i="167"/>
  <c r="BZ83" i="167" s="1"/>
  <c r="U84" i="167"/>
  <c r="BM83" i="167" s="1"/>
  <c r="BV83" i="167"/>
  <c r="AC83" i="167"/>
  <c r="AB83" i="167"/>
  <c r="AA83" i="167"/>
  <c r="Z83" i="167"/>
  <c r="Y83" i="167"/>
  <c r="X83" i="167"/>
  <c r="W83" i="167"/>
  <c r="V83" i="167"/>
  <c r="BY82" i="167" s="1"/>
  <c r="U83" i="167"/>
  <c r="BM82" i="167" s="1"/>
  <c r="AC82" i="167"/>
  <c r="AB82" i="167"/>
  <c r="AA82" i="167"/>
  <c r="Z82" i="167"/>
  <c r="Y82" i="167"/>
  <c r="X82" i="167"/>
  <c r="W82" i="167"/>
  <c r="V82" i="167"/>
  <c r="BY81" i="167" s="1"/>
  <c r="U82" i="167"/>
  <c r="BM81" i="167" s="1"/>
  <c r="BN81" i="167"/>
  <c r="AC81" i="167"/>
  <c r="BU80" i="167" s="1"/>
  <c r="AB81" i="167"/>
  <c r="AA81" i="167"/>
  <c r="Z81" i="167"/>
  <c r="BR80" i="167" s="1"/>
  <c r="Y81" i="167"/>
  <c r="BQ80" i="167" s="1"/>
  <c r="X81" i="167"/>
  <c r="BP80" i="167" s="1"/>
  <c r="W81" i="167"/>
  <c r="BO80" i="167" s="1"/>
  <c r="V81" i="167"/>
  <c r="BN80" i="167" s="1"/>
  <c r="CB80" i="167"/>
  <c r="CA80" i="167"/>
  <c r="BZ80" i="167"/>
  <c r="BY80" i="167"/>
  <c r="BX80" i="167"/>
  <c r="BW80" i="167"/>
  <c r="BV80" i="167"/>
  <c r="BT80" i="167"/>
  <c r="BS80" i="167"/>
  <c r="AC69" i="167"/>
  <c r="BU68" i="167" s="1"/>
  <c r="AB69" i="167"/>
  <c r="AA69" i="167"/>
  <c r="Z69" i="167"/>
  <c r="Y69" i="167"/>
  <c r="X69" i="167"/>
  <c r="W69" i="167"/>
  <c r="V69" i="167"/>
  <c r="BY68" i="167" s="1"/>
  <c r="U69" i="167"/>
  <c r="BM68" i="167" s="1"/>
  <c r="BZ68" i="167"/>
  <c r="AC68" i="167"/>
  <c r="AB68" i="167"/>
  <c r="AA68" i="167"/>
  <c r="Z68" i="167"/>
  <c r="Y68" i="167"/>
  <c r="X68" i="167"/>
  <c r="W68" i="167"/>
  <c r="V68" i="167"/>
  <c r="CA67" i="167" s="1"/>
  <c r="U68" i="167"/>
  <c r="BM67" i="167" s="1"/>
  <c r="AC67" i="167"/>
  <c r="AB67" i="167"/>
  <c r="AA67" i="167"/>
  <c r="Z67" i="167"/>
  <c r="Y67" i="167"/>
  <c r="X67" i="167"/>
  <c r="W67" i="167"/>
  <c r="V67" i="167"/>
  <c r="CA66" i="167" s="1"/>
  <c r="U67" i="167"/>
  <c r="BM66" i="167" s="1"/>
  <c r="AC66" i="167"/>
  <c r="AB66" i="167"/>
  <c r="AA66" i="167"/>
  <c r="Z66" i="167"/>
  <c r="Y66" i="167"/>
  <c r="X66" i="167"/>
  <c r="W66" i="167"/>
  <c r="V66" i="167"/>
  <c r="BY65" i="167" s="1"/>
  <c r="U66" i="167"/>
  <c r="BM65" i="167" s="1"/>
  <c r="AC65" i="167"/>
  <c r="AB65" i="167"/>
  <c r="AA65" i="167"/>
  <c r="BS64" i="167" s="1"/>
  <c r="Z65" i="167"/>
  <c r="Y65" i="167"/>
  <c r="X65" i="167"/>
  <c r="W65" i="167"/>
  <c r="V65" i="167"/>
  <c r="BN64" i="167" s="1"/>
  <c r="U65" i="167"/>
  <c r="BM64" i="167" s="1"/>
  <c r="CA64" i="167"/>
  <c r="BY64" i="167"/>
  <c r="BV64" i="167"/>
  <c r="AC64" i="167"/>
  <c r="BU63" i="167" s="1"/>
  <c r="AB64" i="167"/>
  <c r="BT63" i="167" s="1"/>
  <c r="AA64" i="167"/>
  <c r="BS63" i="167" s="1"/>
  <c r="Z64" i="167"/>
  <c r="Y64" i="167"/>
  <c r="BQ63" i="167" s="1"/>
  <c r="X64" i="167"/>
  <c r="BP63" i="167" s="1"/>
  <c r="W64" i="167"/>
  <c r="BO63" i="167" s="1"/>
  <c r="V64" i="167"/>
  <c r="CB63" i="167"/>
  <c r="CA63" i="167"/>
  <c r="BZ63" i="167"/>
  <c r="BY63" i="167"/>
  <c r="BX63" i="167"/>
  <c r="BW63" i="167"/>
  <c r="BV63" i="167"/>
  <c r="BR63" i="167"/>
  <c r="BN63" i="167"/>
  <c r="AC51" i="167"/>
  <c r="AB51" i="167"/>
  <c r="AA51" i="167"/>
  <c r="Z51" i="167"/>
  <c r="Y51" i="167"/>
  <c r="X51" i="167"/>
  <c r="W51" i="167"/>
  <c r="V51" i="167"/>
  <c r="U51" i="167"/>
  <c r="AC50" i="167"/>
  <c r="AB50" i="167"/>
  <c r="BT49" i="167" s="1"/>
  <c r="AA50" i="167"/>
  <c r="BS49" i="167" s="1"/>
  <c r="Z50" i="167"/>
  <c r="Y50" i="167"/>
  <c r="X50" i="167"/>
  <c r="W50" i="167"/>
  <c r="BO49" i="167" s="1"/>
  <c r="V50" i="167"/>
  <c r="U50" i="167"/>
  <c r="BM49" i="167" s="1"/>
  <c r="CA49" i="167"/>
  <c r="BW49" i="167"/>
  <c r="BV49" i="167"/>
  <c r="AC49" i="167"/>
  <c r="AB49" i="167"/>
  <c r="AA49" i="167"/>
  <c r="Z49" i="167"/>
  <c r="Y49" i="167"/>
  <c r="X49" i="167"/>
  <c r="W49" i="167"/>
  <c r="V49" i="167"/>
  <c r="BZ48" i="167" s="1"/>
  <c r="U49" i="167"/>
  <c r="BM48" i="167" s="1"/>
  <c r="BV48" i="167"/>
  <c r="BS48" i="167"/>
  <c r="AC48" i="167"/>
  <c r="AB48" i="167"/>
  <c r="AA48" i="167"/>
  <c r="Z48" i="167"/>
  <c r="Y48" i="167"/>
  <c r="X48" i="167"/>
  <c r="W48" i="167"/>
  <c r="V48" i="167"/>
  <c r="BY47" i="167" s="1"/>
  <c r="U48" i="167"/>
  <c r="BV47" i="167"/>
  <c r="BM47" i="167"/>
  <c r="AC47" i="167"/>
  <c r="AB47" i="167"/>
  <c r="AA47" i="167"/>
  <c r="Z47" i="167"/>
  <c r="Y47" i="167"/>
  <c r="X47" i="167"/>
  <c r="W47" i="167"/>
  <c r="V47" i="167"/>
  <c r="BY46" i="167" s="1"/>
  <c r="U47" i="167"/>
  <c r="BM46" i="167" s="1"/>
  <c r="AC46" i="167"/>
  <c r="AB46" i="167"/>
  <c r="BT45" i="167" s="1"/>
  <c r="AA46" i="167"/>
  <c r="BS45" i="167" s="1"/>
  <c r="Z46" i="167"/>
  <c r="BR45" i="167" s="1"/>
  <c r="Y46" i="167"/>
  <c r="X46" i="167"/>
  <c r="BP45" i="167" s="1"/>
  <c r="W46" i="167"/>
  <c r="BO45" i="167" s="1"/>
  <c r="V46" i="167"/>
  <c r="U46" i="167"/>
  <c r="CB45" i="167"/>
  <c r="CA45" i="167"/>
  <c r="BZ45" i="167"/>
  <c r="BY45" i="167"/>
  <c r="BX45" i="167"/>
  <c r="BW45" i="167"/>
  <c r="BV45" i="167"/>
  <c r="BU45" i="167"/>
  <c r="BQ45" i="167"/>
  <c r="BN45" i="167"/>
  <c r="E31" i="167"/>
  <c r="E30" i="167"/>
  <c r="E29" i="167"/>
  <c r="E28" i="167"/>
  <c r="E27" i="167"/>
  <c r="E26" i="167"/>
  <c r="E25" i="167"/>
  <c r="E24" i="167"/>
  <c r="E23" i="167"/>
  <c r="E22" i="167"/>
  <c r="E21" i="167"/>
  <c r="E20" i="167"/>
  <c r="E19" i="167"/>
  <c r="E18" i="167"/>
  <c r="E17" i="167"/>
  <c r="E16" i="167"/>
  <c r="E15" i="167"/>
  <c r="E14" i="167"/>
  <c r="E13" i="167"/>
  <c r="C13" i="167"/>
  <c r="C14" i="167" s="1"/>
  <c r="C15" i="167" s="1"/>
  <c r="C16" i="167" s="1"/>
  <c r="C17" i="167" s="1"/>
  <c r="C18" i="167" s="1"/>
  <c r="C19" i="167" s="1"/>
  <c r="C20" i="167" s="1"/>
  <c r="C21" i="167" s="1"/>
  <c r="C22" i="167" s="1"/>
  <c r="C23" i="167" s="1"/>
  <c r="C24" i="167" s="1"/>
  <c r="C25" i="167" s="1"/>
  <c r="C26" i="167" s="1"/>
  <c r="C27" i="167" s="1"/>
  <c r="C28" i="167" s="1"/>
  <c r="C29" i="167" s="1"/>
  <c r="C30" i="167" s="1"/>
  <c r="C31" i="167" s="1"/>
  <c r="E12" i="167"/>
  <c r="S7" i="167"/>
  <c r="R7" i="167"/>
  <c r="Q7" i="167"/>
  <c r="P7" i="167"/>
  <c r="L5" i="76" s="1"/>
  <c r="O7" i="167"/>
  <c r="P25" i="100" s="1"/>
  <c r="N7" i="167"/>
  <c r="M7" i="167"/>
  <c r="C35" i="7" s="1"/>
  <c r="L7" i="167"/>
  <c r="K7" i="167"/>
  <c r="L10" i="76" s="1"/>
  <c r="J7" i="167"/>
  <c r="L8" i="76" s="1"/>
  <c r="I7" i="167"/>
  <c r="L27" i="76" s="1"/>
  <c r="H7" i="167"/>
  <c r="G7" i="167"/>
  <c r="L9" i="76" s="1"/>
  <c r="F7" i="167"/>
  <c r="L26" i="76" s="1"/>
  <c r="E7" i="167"/>
  <c r="D7" i="167"/>
  <c r="V6" i="167" s="1"/>
  <c r="B7" i="167"/>
  <c r="U7" i="167" s="1"/>
  <c r="S6" i="167"/>
  <c r="R6" i="167"/>
  <c r="Q6" i="167"/>
  <c r="P6" i="167"/>
  <c r="O6" i="167"/>
  <c r="N6" i="167"/>
  <c r="M6" i="167"/>
  <c r="L6" i="167"/>
  <c r="K6" i="167"/>
  <c r="J6" i="167"/>
  <c r="I6" i="167"/>
  <c r="H6" i="167"/>
  <c r="G6" i="167"/>
  <c r="F6" i="167"/>
  <c r="E6" i="167"/>
  <c r="D6" i="167"/>
  <c r="E85" i="122"/>
  <c r="E81" i="122"/>
  <c r="D81" i="122"/>
  <c r="D80" i="122"/>
  <c r="E78" i="122"/>
  <c r="D78" i="122"/>
  <c r="E77" i="122"/>
  <c r="D77" i="122"/>
  <c r="E76" i="122"/>
  <c r="D76" i="122"/>
  <c r="E75" i="122"/>
  <c r="D75" i="122"/>
  <c r="E74" i="122"/>
  <c r="D74" i="122"/>
  <c r="E73" i="122"/>
  <c r="D73" i="122"/>
  <c r="E72" i="122"/>
  <c r="D72" i="122"/>
  <c r="E71" i="122"/>
  <c r="D71" i="122"/>
  <c r="E70" i="122"/>
  <c r="D70" i="122"/>
  <c r="E69" i="122"/>
  <c r="D69" i="122"/>
  <c r="E68" i="122"/>
  <c r="D68" i="122"/>
  <c r="E67" i="122"/>
  <c r="D67" i="122"/>
  <c r="D62" i="122"/>
  <c r="D61" i="122"/>
  <c r="E59" i="122"/>
  <c r="D59" i="122"/>
  <c r="E58" i="122"/>
  <c r="D58" i="122"/>
  <c r="D57" i="122"/>
  <c r="E55" i="122"/>
  <c r="D55" i="122"/>
  <c r="E54" i="122"/>
  <c r="D54" i="122"/>
  <c r="E53" i="122"/>
  <c r="E52" i="122"/>
  <c r="E51" i="122"/>
  <c r="E50" i="122"/>
  <c r="E49" i="122"/>
  <c r="D48" i="122"/>
  <c r="E47" i="122"/>
  <c r="D47" i="122"/>
  <c r="D46" i="122"/>
  <c r="E43" i="122"/>
  <c r="D43" i="122"/>
  <c r="E42" i="122"/>
  <c r="D42" i="122"/>
  <c r="E41" i="122"/>
  <c r="D41" i="122"/>
  <c r="E40" i="122"/>
  <c r="D40" i="122"/>
  <c r="E39" i="122"/>
  <c r="D39" i="122"/>
  <c r="E38" i="122"/>
  <c r="D38" i="122"/>
  <c r="E37" i="122"/>
  <c r="D37" i="122"/>
  <c r="E36" i="122"/>
  <c r="D36" i="122"/>
  <c r="D35" i="122"/>
  <c r="E33" i="122"/>
  <c r="D33" i="122"/>
  <c r="E32" i="122"/>
  <c r="D32" i="122"/>
  <c r="E31" i="122"/>
  <c r="D31" i="122"/>
  <c r="E30" i="122"/>
  <c r="D30" i="122"/>
  <c r="E29" i="122"/>
  <c r="D29" i="122"/>
  <c r="E28" i="122"/>
  <c r="D28" i="122"/>
  <c r="E27" i="122"/>
  <c r="D27" i="122"/>
  <c r="D26" i="122"/>
  <c r="E24" i="122"/>
  <c r="D24" i="122"/>
  <c r="E23" i="122"/>
  <c r="D23" i="122"/>
  <c r="E22" i="122"/>
  <c r="D22" i="122"/>
  <c r="D21" i="122"/>
  <c r="E19" i="122"/>
  <c r="D19" i="122"/>
  <c r="E18" i="122"/>
  <c r="D18" i="122"/>
  <c r="E17" i="122"/>
  <c r="D17" i="122"/>
  <c r="E14" i="122"/>
  <c r="D14" i="122"/>
  <c r="E13" i="122"/>
  <c r="D13" i="122"/>
  <c r="E12" i="122"/>
  <c r="D12" i="122"/>
  <c r="AA11" i="122"/>
  <c r="D5" i="122" s="1"/>
  <c r="E11" i="122"/>
  <c r="D11" i="122"/>
  <c r="E10" i="122"/>
  <c r="D10" i="122"/>
  <c r="E9" i="122"/>
  <c r="D9" i="122"/>
  <c r="W8" i="122"/>
  <c r="D8" i="122"/>
  <c r="W7" i="122"/>
  <c r="AD6" i="122"/>
  <c r="AD7" i="122" s="1"/>
  <c r="R5" i="122"/>
  <c r="AA6" i="122" s="1"/>
  <c r="R4" i="122"/>
  <c r="AA7" i="122" s="1"/>
  <c r="AF82" i="178"/>
  <c r="AA82" i="178"/>
  <c r="Z82" i="178"/>
  <c r="Y82" i="178"/>
  <c r="X82" i="178"/>
  <c r="AF81" i="178"/>
  <c r="AA81" i="178"/>
  <c r="Z81" i="178"/>
  <c r="Y81" i="178"/>
  <c r="X81" i="178"/>
  <c r="AF80" i="178"/>
  <c r="AA80" i="178"/>
  <c r="Z80" i="178"/>
  <c r="Y80" i="178"/>
  <c r="X80" i="178"/>
  <c r="AF79" i="178"/>
  <c r="AA79" i="178"/>
  <c r="Z79" i="178"/>
  <c r="Y79" i="178"/>
  <c r="X79" i="178"/>
  <c r="AF78" i="178"/>
  <c r="AA78" i="178"/>
  <c r="Z78" i="178"/>
  <c r="Y78" i="178"/>
  <c r="X78" i="178"/>
  <c r="AF77" i="178"/>
  <c r="AA77" i="178"/>
  <c r="Z77" i="178"/>
  <c r="Y77" i="178"/>
  <c r="X77" i="178"/>
  <c r="AF76" i="178"/>
  <c r="AA76" i="178"/>
  <c r="Z76" i="178"/>
  <c r="Y76" i="178"/>
  <c r="X76" i="178"/>
  <c r="AF75" i="178"/>
  <c r="AA75" i="178"/>
  <c r="Z75" i="178"/>
  <c r="Y75" i="178"/>
  <c r="X75" i="178"/>
  <c r="AF74" i="178"/>
  <c r="AA74" i="178"/>
  <c r="Z74" i="178"/>
  <c r="Y74" i="178"/>
  <c r="X74" i="178"/>
  <c r="AF73" i="178"/>
  <c r="AA73" i="178"/>
  <c r="Z73" i="178"/>
  <c r="Y73" i="178"/>
  <c r="X73" i="178"/>
  <c r="AF72" i="178"/>
  <c r="AA72" i="178"/>
  <c r="Z72" i="178"/>
  <c r="Y72" i="178"/>
  <c r="X72" i="178"/>
  <c r="AF71" i="178"/>
  <c r="AA71" i="178"/>
  <c r="Z71" i="178"/>
  <c r="Y71" i="178"/>
  <c r="X71" i="178"/>
  <c r="AF70" i="178"/>
  <c r="AA70" i="178"/>
  <c r="Z70" i="178"/>
  <c r="Y70" i="178"/>
  <c r="X70" i="178"/>
  <c r="AF69" i="178"/>
  <c r="AA69" i="178"/>
  <c r="Z69" i="178"/>
  <c r="Y69" i="178"/>
  <c r="X69" i="178"/>
  <c r="AF68" i="178"/>
  <c r="AA68" i="178"/>
  <c r="Z68" i="178"/>
  <c r="Y68" i="178"/>
  <c r="X68" i="178"/>
  <c r="AF67" i="178"/>
  <c r="AA67" i="178"/>
  <c r="Z67" i="178"/>
  <c r="Y67" i="178"/>
  <c r="X67" i="178"/>
  <c r="AF66" i="178"/>
  <c r="AA66" i="178"/>
  <c r="Z66" i="178"/>
  <c r="Y66" i="178"/>
  <c r="X66" i="178"/>
  <c r="AF65" i="178"/>
  <c r="AA65" i="178"/>
  <c r="Z65" i="178"/>
  <c r="Y65" i="178"/>
  <c r="X65" i="178"/>
  <c r="AF64" i="178"/>
  <c r="AA64" i="178"/>
  <c r="Z64" i="178"/>
  <c r="Y64" i="178"/>
  <c r="X64" i="178"/>
  <c r="AF63" i="178"/>
  <c r="AA63" i="178"/>
  <c r="Z63" i="178"/>
  <c r="Y63" i="178"/>
  <c r="X63" i="178"/>
  <c r="AF62" i="178"/>
  <c r="AA62" i="178"/>
  <c r="Z62" i="178"/>
  <c r="Y62" i="178"/>
  <c r="X62" i="178"/>
  <c r="AF61" i="178"/>
  <c r="AA61" i="178"/>
  <c r="Z61" i="178"/>
  <c r="Y61" i="178"/>
  <c r="X61" i="178"/>
  <c r="AF60" i="178"/>
  <c r="AA60" i="178"/>
  <c r="Z60" i="178"/>
  <c r="Y60" i="178"/>
  <c r="X60" i="178"/>
  <c r="AF59" i="178"/>
  <c r="AA59" i="178"/>
  <c r="Z59" i="178"/>
  <c r="Y59" i="178"/>
  <c r="X59" i="178"/>
  <c r="AF58" i="178"/>
  <c r="AA58" i="178"/>
  <c r="Z58" i="178"/>
  <c r="Y58" i="178"/>
  <c r="X58" i="178"/>
  <c r="H58" i="178"/>
  <c r="H62" i="178" s="1"/>
  <c r="H66" i="178" s="1"/>
  <c r="H70" i="178" s="1"/>
  <c r="H74" i="178" s="1"/>
  <c r="H78" i="178" s="1"/>
  <c r="H82" i="178" s="1"/>
  <c r="AF57" i="178"/>
  <c r="AA57" i="178"/>
  <c r="Z57" i="178"/>
  <c r="Y57" i="178"/>
  <c r="X57" i="178"/>
  <c r="H57" i="178"/>
  <c r="H61" i="178" s="1"/>
  <c r="H65" i="178" s="1"/>
  <c r="H69" i="178" s="1"/>
  <c r="H73" i="178" s="1"/>
  <c r="H77" i="178" s="1"/>
  <c r="H81" i="178" s="1"/>
  <c r="AF56" i="178"/>
  <c r="AA56" i="178"/>
  <c r="Z56" i="178"/>
  <c r="Y56" i="178"/>
  <c r="X56" i="178"/>
  <c r="H56" i="178"/>
  <c r="H60" i="178" s="1"/>
  <c r="H64" i="178" s="1"/>
  <c r="H68" i="178" s="1"/>
  <c r="H72" i="178" s="1"/>
  <c r="H76" i="178" s="1"/>
  <c r="H80" i="178" s="1"/>
  <c r="D56" i="178"/>
  <c r="B56" i="178"/>
  <c r="AF55" i="178"/>
  <c r="AA55" i="178"/>
  <c r="Z55" i="178"/>
  <c r="Y55" i="178"/>
  <c r="X55" i="178"/>
  <c r="H55" i="178"/>
  <c r="H59" i="178" s="1"/>
  <c r="H63" i="178" s="1"/>
  <c r="H67" i="178" s="1"/>
  <c r="H71" i="178" s="1"/>
  <c r="H75" i="178" s="1"/>
  <c r="H79" i="178" s="1"/>
  <c r="D55" i="178"/>
  <c r="B55" i="178"/>
  <c r="AF54" i="178"/>
  <c r="AA54" i="178"/>
  <c r="Z54" i="178"/>
  <c r="Y54" i="178"/>
  <c r="X54" i="178"/>
  <c r="K54" i="178"/>
  <c r="T54" i="178" s="1"/>
  <c r="D54" i="178"/>
  <c r="B54" i="178"/>
  <c r="AF53" i="178"/>
  <c r="AA53" i="178"/>
  <c r="Z53" i="178"/>
  <c r="Y53" i="178"/>
  <c r="X53" i="178"/>
  <c r="K53" i="178"/>
  <c r="D53" i="178"/>
  <c r="B53" i="178"/>
  <c r="AF52" i="178"/>
  <c r="AA52" i="178"/>
  <c r="Z52" i="178"/>
  <c r="Y52" i="178"/>
  <c r="X52" i="178"/>
  <c r="K52" i="178"/>
  <c r="AE52" i="178" s="1"/>
  <c r="D52" i="178"/>
  <c r="B52" i="178"/>
  <c r="AF51" i="178"/>
  <c r="AA51" i="178"/>
  <c r="Z51" i="178"/>
  <c r="Y51" i="178"/>
  <c r="X51" i="178"/>
  <c r="K51" i="178"/>
  <c r="W51" i="178" s="1"/>
  <c r="D51" i="178"/>
  <c r="B51" i="178"/>
  <c r="AA50" i="178"/>
  <c r="Z50" i="178"/>
  <c r="Y50" i="178"/>
  <c r="X50" i="178"/>
  <c r="F50" i="178"/>
  <c r="D50" i="178"/>
  <c r="B50" i="178"/>
  <c r="AD49" i="178"/>
  <c r="V49" i="178"/>
  <c r="D49" i="178"/>
  <c r="B49" i="178"/>
  <c r="D48" i="178"/>
  <c r="B48" i="178"/>
  <c r="D47" i="178"/>
  <c r="B47" i="178"/>
  <c r="D46" i="178"/>
  <c r="B46" i="178"/>
  <c r="D45" i="178"/>
  <c r="B45" i="178"/>
  <c r="D44" i="178"/>
  <c r="B44" i="178"/>
  <c r="D43" i="178"/>
  <c r="B43" i="178"/>
  <c r="D42" i="178"/>
  <c r="B42" i="178"/>
  <c r="D41" i="178"/>
  <c r="B41" i="178"/>
  <c r="D40" i="178"/>
  <c r="B40" i="178"/>
  <c r="D39" i="178"/>
  <c r="B39" i="178"/>
  <c r="D38" i="178"/>
  <c r="B38" i="178"/>
  <c r="D37" i="178"/>
  <c r="B37" i="178"/>
  <c r="D36" i="178"/>
  <c r="B36" i="178"/>
  <c r="D35" i="178"/>
  <c r="B35" i="178"/>
  <c r="D34" i="178"/>
  <c r="B34" i="178"/>
  <c r="D33" i="178"/>
  <c r="B33" i="178"/>
  <c r="D32" i="178"/>
  <c r="B32" i="178"/>
  <c r="D31" i="178"/>
  <c r="B31" i="178"/>
  <c r="D30" i="178"/>
  <c r="B30" i="178"/>
  <c r="D29" i="178"/>
  <c r="B29" i="178"/>
  <c r="D28" i="178"/>
  <c r="B28" i="178"/>
  <c r="D27" i="178"/>
  <c r="B27" i="178"/>
  <c r="D26" i="178"/>
  <c r="B26" i="178"/>
  <c r="D25" i="178"/>
  <c r="B25" i="178"/>
  <c r="D24" i="178"/>
  <c r="B24" i="178"/>
  <c r="D23" i="178"/>
  <c r="B23" i="178"/>
  <c r="D22" i="178"/>
  <c r="B22" i="178"/>
  <c r="D21" i="178"/>
  <c r="B21" i="178"/>
  <c r="M3" i="8"/>
  <c r="L3" i="8"/>
  <c r="K3" i="8"/>
  <c r="BD43" i="82"/>
  <c r="AY43" i="82"/>
  <c r="BD42" i="82"/>
  <c r="AY42" i="82"/>
  <c r="BD41" i="82"/>
  <c r="AY41" i="82"/>
  <c r="BD40" i="82"/>
  <c r="AY40" i="82"/>
  <c r="BD39" i="82"/>
  <c r="AY39" i="82"/>
  <c r="BD38" i="82"/>
  <c r="AY38" i="82"/>
  <c r="BD37" i="82"/>
  <c r="AY37" i="82"/>
  <c r="BD36" i="82"/>
  <c r="AY36" i="82"/>
  <c r="BB35" i="82"/>
  <c r="BA35" i="82"/>
  <c r="AZ35" i="82"/>
  <c r="BD33" i="82"/>
  <c r="AY33" i="82"/>
  <c r="BD32" i="82"/>
  <c r="AY32" i="82"/>
  <c r="BD31" i="82"/>
  <c r="AY31" i="82"/>
  <c r="BD30" i="82"/>
  <c r="AY30" i="82"/>
  <c r="BD29" i="82"/>
  <c r="AY29" i="82"/>
  <c r="BB28" i="82"/>
  <c r="BA28" i="82"/>
  <c r="AZ28" i="82"/>
  <c r="BD26" i="82"/>
  <c r="AY26" i="82"/>
  <c r="BD25" i="82"/>
  <c r="AY25" i="82"/>
  <c r="BD24" i="82"/>
  <c r="AY24" i="82"/>
  <c r="BD23" i="82"/>
  <c r="AY23" i="82"/>
  <c r="BD22" i="82"/>
  <c r="AY22" i="82"/>
  <c r="BB21" i="82"/>
  <c r="BA21" i="82"/>
  <c r="AZ21" i="82"/>
  <c r="BD19" i="82"/>
  <c r="AY19" i="82"/>
  <c r="BD18" i="82"/>
  <c r="AY18" i="82"/>
  <c r="BD17" i="82"/>
  <c r="AY17" i="82"/>
  <c r="BD16" i="82"/>
  <c r="AY16" i="82"/>
  <c r="BD15" i="82"/>
  <c r="AY15" i="82"/>
  <c r="BD14" i="82"/>
  <c r="AY14" i="82"/>
  <c r="BD13" i="82"/>
  <c r="AY13" i="82"/>
  <c r="BD12" i="82"/>
  <c r="AY12" i="82"/>
  <c r="BD11" i="82"/>
  <c r="AY11" i="82"/>
  <c r="BD10" i="82"/>
  <c r="AY10" i="82"/>
  <c r="BD9" i="82"/>
  <c r="AY9" i="82"/>
  <c r="BD8" i="82"/>
  <c r="AY8" i="82"/>
  <c r="BD7" i="82"/>
  <c r="AY7" i="82"/>
  <c r="BD6" i="82"/>
  <c r="AY6" i="82"/>
  <c r="BB5" i="82"/>
  <c r="BA5" i="82"/>
  <c r="AZ5" i="82"/>
  <c r="B80" i="74"/>
  <c r="B79" i="74"/>
  <c r="B78" i="74"/>
  <c r="B77" i="74"/>
  <c r="B76" i="74"/>
  <c r="B75" i="74"/>
  <c r="B74" i="74"/>
  <c r="B73" i="74"/>
  <c r="B72" i="74"/>
  <c r="B71" i="74"/>
  <c r="B70" i="74"/>
  <c r="B69" i="74"/>
  <c r="B68" i="74"/>
  <c r="B67" i="74"/>
  <c r="B66" i="74"/>
  <c r="I75" i="171" s="1"/>
  <c r="B65" i="74"/>
  <c r="Z114" i="14" s="1"/>
  <c r="B64" i="74"/>
  <c r="M104" i="14" s="1"/>
  <c r="B63" i="74"/>
  <c r="L134" i="14" s="1"/>
  <c r="B62" i="74"/>
  <c r="B61" i="74"/>
  <c r="B60" i="74"/>
  <c r="B59" i="74"/>
  <c r="B58" i="74"/>
  <c r="B57" i="74"/>
  <c r="I60" i="30" s="1"/>
  <c r="B56" i="74"/>
  <c r="B55" i="74"/>
  <c r="I34" i="38" s="1"/>
  <c r="B54" i="74"/>
  <c r="R134" i="38" s="1"/>
  <c r="B53" i="74"/>
  <c r="R129" i="38" s="1"/>
  <c r="B52" i="74"/>
  <c r="B51" i="74"/>
  <c r="B50" i="74"/>
  <c r="B49" i="74"/>
  <c r="B48" i="74"/>
  <c r="B47" i="74"/>
  <c r="B46" i="74"/>
  <c r="N220" i="161" s="1"/>
  <c r="B45" i="74"/>
  <c r="B44" i="74"/>
  <c r="B43" i="74"/>
  <c r="B42" i="74"/>
  <c r="B41" i="74"/>
  <c r="B40" i="74"/>
  <c r="B39" i="74"/>
  <c r="B38" i="74"/>
  <c r="B37" i="74"/>
  <c r="B30" i="76" s="1"/>
  <c r="B36" i="74"/>
  <c r="B35" i="74"/>
  <c r="I23" i="21" s="1"/>
  <c r="B34" i="74"/>
  <c r="B33" i="74"/>
  <c r="B32" i="74"/>
  <c r="B31" i="74"/>
  <c r="B30" i="74"/>
  <c r="B29" i="74"/>
  <c r="B28" i="74"/>
  <c r="B27" i="74"/>
  <c r="B26" i="74"/>
  <c r="B25" i="74"/>
  <c r="B24" i="74"/>
  <c r="B23" i="74"/>
  <c r="B22" i="74"/>
  <c r="J74" i="14" s="1"/>
  <c r="B21" i="74"/>
  <c r="J78" i="14" s="1"/>
  <c r="B20" i="74"/>
  <c r="J76" i="14" s="1"/>
  <c r="B19" i="74"/>
  <c r="I31" i="14" s="1"/>
  <c r="B18" i="74"/>
  <c r="B17" i="74"/>
  <c r="B16" i="74"/>
  <c r="B15" i="74"/>
  <c r="B14" i="74"/>
  <c r="B13" i="74"/>
  <c r="B12" i="74"/>
  <c r="B11" i="74"/>
  <c r="J66" i="14" s="1"/>
  <c r="B10" i="74"/>
  <c r="B9" i="74"/>
  <c r="B8" i="74"/>
  <c r="D36" i="7" s="1"/>
  <c r="B7" i="74"/>
  <c r="I33" i="14" s="1"/>
  <c r="B6" i="74"/>
  <c r="AO135" i="3"/>
  <c r="AP128" i="3"/>
  <c r="AO124" i="3"/>
  <c r="AP124" i="3"/>
  <c r="AP134" i="3"/>
  <c r="AP72" i="3"/>
  <c r="AH168" i="3"/>
  <c r="AH38" i="3"/>
  <c r="AO134" i="3"/>
  <c r="AP37" i="3"/>
  <c r="AO126" i="3"/>
  <c r="AP136" i="3"/>
  <c r="AP168" i="3"/>
  <c r="AO136" i="3"/>
  <c r="AP82" i="3"/>
  <c r="AP169" i="3"/>
  <c r="AP135" i="3"/>
  <c r="AH169" i="3"/>
  <c r="AO127" i="3"/>
  <c r="AH82" i="3"/>
  <c r="AO133" i="3"/>
  <c r="AH72" i="3"/>
  <c r="AP125" i="3"/>
  <c r="AP137" i="3"/>
  <c r="AP39" i="3"/>
  <c r="AP38" i="3"/>
  <c r="AO137" i="3"/>
  <c r="AI38" i="3"/>
  <c r="AP35" i="3"/>
  <c r="AP133" i="3"/>
  <c r="AJ168" i="3"/>
  <c r="AP127" i="3"/>
  <c r="AP32" i="3"/>
  <c r="AK38" i="3"/>
  <c r="AP126" i="3"/>
  <c r="AO128" i="3"/>
  <c r="AO125" i="3"/>
  <c r="AP179" i="3"/>
  <c r="F51" i="178" l="1"/>
  <c r="G51" i="178" s="1"/>
  <c r="AP152" i="3"/>
  <c r="AP36" i="3"/>
  <c r="AP40" i="3" s="1"/>
  <c r="AP154" i="3"/>
  <c r="AP28" i="3"/>
  <c r="AP83" i="3"/>
  <c r="AP151" i="3"/>
  <c r="AP153" i="3"/>
  <c r="AP155" i="3"/>
  <c r="AP192" i="3"/>
  <c r="AP160" i="3"/>
  <c r="AF115" i="3"/>
  <c r="D82" i="181"/>
  <c r="G82" i="181"/>
  <c r="F82" i="181"/>
  <c r="E82" i="181"/>
  <c r="AP161" i="3"/>
  <c r="AP193" i="3"/>
  <c r="AP162" i="3"/>
  <c r="AP194" i="3"/>
  <c r="Q44" i="101"/>
  <c r="G161" i="7"/>
  <c r="O11" i="101" s="1"/>
  <c r="G174" i="7"/>
  <c r="O15" i="101" s="1"/>
  <c r="O209" i="3"/>
  <c r="O219" i="3" s="1"/>
  <c r="AP195" i="3"/>
  <c r="AP163" i="3"/>
  <c r="AP191" i="3"/>
  <c r="AP159" i="3"/>
  <c r="AP164" i="3"/>
  <c r="AP196" i="3"/>
  <c r="G168" i="7"/>
  <c r="AO209" i="3"/>
  <c r="AO219" i="3" s="1"/>
  <c r="D56" i="32"/>
  <c r="D57" i="32"/>
  <c r="D56" i="22"/>
  <c r="D56" i="191"/>
  <c r="D60" i="22"/>
  <c r="D60" i="191"/>
  <c r="D57" i="22"/>
  <c r="D57" i="191"/>
  <c r="D58" i="22"/>
  <c r="D58" i="191"/>
  <c r="D60" i="33"/>
  <c r="D60" i="32"/>
  <c r="I84" i="191"/>
  <c r="I71" i="191"/>
  <c r="I92" i="191"/>
  <c r="I69" i="191"/>
  <c r="I26" i="191"/>
  <c r="I25" i="191"/>
  <c r="I90" i="191"/>
  <c r="E40" i="191"/>
  <c r="D40" i="191"/>
  <c r="G40" i="191"/>
  <c r="F40" i="191"/>
  <c r="BP66" i="167"/>
  <c r="BV66" i="167"/>
  <c r="AO160" i="3"/>
  <c r="AO162" i="3"/>
  <c r="AO164" i="3"/>
  <c r="AO151" i="3"/>
  <c r="AO153" i="3"/>
  <c r="AO155" i="3"/>
  <c r="AO161" i="3"/>
  <c r="AO163" i="3"/>
  <c r="AO152" i="3"/>
  <c r="AO154" i="3"/>
  <c r="AK70" i="3"/>
  <c r="AO70" i="3"/>
  <c r="O18" i="101"/>
  <c r="D70" i="184"/>
  <c r="I99" i="180"/>
  <c r="I101" i="181"/>
  <c r="I101" i="180"/>
  <c r="I104" i="181"/>
  <c r="BS65" i="167"/>
  <c r="BR81" i="167"/>
  <c r="BW83" i="167"/>
  <c r="BS83" i="167"/>
  <c r="N209" i="3"/>
  <c r="N219" i="3" s="1"/>
  <c r="V209" i="3"/>
  <c r="V219" i="3" s="1"/>
  <c r="AD209" i="3"/>
  <c r="AD219" i="3" s="1"/>
  <c r="AB293" i="100"/>
  <c r="AK292" i="100"/>
  <c r="D87" i="187"/>
  <c r="D87" i="189"/>
  <c r="D88" i="185"/>
  <c r="D88" i="184"/>
  <c r="D88" i="183"/>
  <c r="E88" i="187"/>
  <c r="E88" i="189"/>
  <c r="E90" i="186"/>
  <c r="E89" i="185"/>
  <c r="E89" i="184"/>
  <c r="E89" i="183"/>
  <c r="F90" i="188"/>
  <c r="F89" i="187"/>
  <c r="F89" i="189"/>
  <c r="F91" i="186"/>
  <c r="F90" i="183"/>
  <c r="F90" i="185"/>
  <c r="F90" i="184"/>
  <c r="D92" i="188"/>
  <c r="D82" i="188" s="1"/>
  <c r="D51" i="188" s="1"/>
  <c r="D59" i="188" s="1"/>
  <c r="D91" i="187"/>
  <c r="D91" i="189"/>
  <c r="D93" i="186"/>
  <c r="D83" i="186" s="1"/>
  <c r="D52" i="186" s="1"/>
  <c r="D60" i="186" s="1"/>
  <c r="D92" i="183"/>
  <c r="D92" i="185"/>
  <c r="D92" i="184"/>
  <c r="E93" i="188"/>
  <c r="E92" i="187"/>
  <c r="E92" i="189"/>
  <c r="G75" i="189"/>
  <c r="E75" i="187"/>
  <c r="G75" i="183"/>
  <c r="F75" i="189"/>
  <c r="D75" i="187"/>
  <c r="F75" i="183"/>
  <c r="F75" i="187"/>
  <c r="E75" i="189"/>
  <c r="G75" i="187"/>
  <c r="E75" i="183"/>
  <c r="D75" i="189"/>
  <c r="D75" i="183"/>
  <c r="F71" i="188"/>
  <c r="F76" i="188" s="1"/>
  <c r="G71" i="188"/>
  <c r="G76" i="188" s="1"/>
  <c r="AN209" i="3"/>
  <c r="AN219" i="3" s="1"/>
  <c r="F209" i="3"/>
  <c r="F219" i="3" s="1"/>
  <c r="D84" i="175"/>
  <c r="E136" i="25"/>
  <c r="D146" i="159"/>
  <c r="D88" i="172"/>
  <c r="D68" i="35"/>
  <c r="L25" i="90"/>
  <c r="F48" i="90"/>
  <c r="F56" i="90" s="1"/>
  <c r="F49" i="90"/>
  <c r="F57" i="90" s="1"/>
  <c r="F52" i="90"/>
  <c r="F60" i="90" s="1"/>
  <c r="G34" i="157"/>
  <c r="D188" i="156"/>
  <c r="C152" i="156" s="1"/>
  <c r="D43" i="156" s="1"/>
  <c r="I38" i="183"/>
  <c r="I81" i="185"/>
  <c r="I80" i="185"/>
  <c r="BZ46" i="167"/>
  <c r="BW48" i="167"/>
  <c r="BU49" i="167"/>
  <c r="BV65" i="167"/>
  <c r="BV81" i="167"/>
  <c r="BN83" i="167"/>
  <c r="CA83" i="167"/>
  <c r="BP83" i="167"/>
  <c r="BY99" i="167"/>
  <c r="BU100" i="167"/>
  <c r="BU101" i="167"/>
  <c r="BR101" i="167"/>
  <c r="F65" i="100"/>
  <c r="L65" i="100"/>
  <c r="Q65" i="100"/>
  <c r="Y65" i="100"/>
  <c r="AC65" i="100"/>
  <c r="M69" i="100"/>
  <c r="Y69" i="100"/>
  <c r="AC69" i="100"/>
  <c r="F191" i="100"/>
  <c r="M191" i="100"/>
  <c r="W191" i="100"/>
  <c r="AI205" i="100"/>
  <c r="AF289" i="100"/>
  <c r="H209" i="3"/>
  <c r="H219" i="3" s="1"/>
  <c r="P209" i="3"/>
  <c r="P219" i="3" s="1"/>
  <c r="X209" i="3"/>
  <c r="X219" i="3" s="1"/>
  <c r="AF209" i="3"/>
  <c r="AF219" i="3" s="1"/>
  <c r="K103" i="14"/>
  <c r="D87" i="183"/>
  <c r="D87" i="185"/>
  <c r="D87" i="184"/>
  <c r="E87" i="189"/>
  <c r="E77" i="189" s="1"/>
  <c r="E87" i="187"/>
  <c r="E77" i="187" s="1"/>
  <c r="E88" i="183"/>
  <c r="E78" i="183" s="1"/>
  <c r="E48" i="183" s="1"/>
  <c r="E56" i="183" s="1"/>
  <c r="E88" i="185"/>
  <c r="E88" i="184"/>
  <c r="F88" i="189"/>
  <c r="F88" i="187"/>
  <c r="F90" i="186"/>
  <c r="F89" i="183"/>
  <c r="F89" i="185"/>
  <c r="F89" i="184"/>
  <c r="D90" i="189"/>
  <c r="D80" i="189" s="1"/>
  <c r="D50" i="189" s="1"/>
  <c r="D58" i="189" s="1"/>
  <c r="D91" i="188"/>
  <c r="D81" i="188" s="1"/>
  <c r="D50" i="188" s="1"/>
  <c r="D58" i="188" s="1"/>
  <c r="D90" i="187"/>
  <c r="D80" i="187" s="1"/>
  <c r="D50" i="187" s="1"/>
  <c r="D58" i="187" s="1"/>
  <c r="D92" i="186"/>
  <c r="D82" i="186" s="1"/>
  <c r="D51" i="186" s="1"/>
  <c r="D59" i="186" s="1"/>
  <c r="D91" i="183"/>
  <c r="D91" i="185"/>
  <c r="D91" i="184"/>
  <c r="E91" i="189"/>
  <c r="E92" i="188"/>
  <c r="E91" i="187"/>
  <c r="E81" i="187" s="1"/>
  <c r="E51" i="187" s="1"/>
  <c r="E59" i="187" s="1"/>
  <c r="E93" i="186"/>
  <c r="E92" i="183"/>
  <c r="E82" i="183" s="1"/>
  <c r="E52" i="183" s="1"/>
  <c r="E60" i="183" s="1"/>
  <c r="E92" i="185"/>
  <c r="E92" i="184"/>
  <c r="F92" i="189"/>
  <c r="F93" i="188"/>
  <c r="F92" i="187"/>
  <c r="G74" i="182"/>
  <c r="G76" i="182" s="1"/>
  <c r="G77" i="182" s="1"/>
  <c r="G23" i="182" s="1"/>
  <c r="G81" i="181"/>
  <c r="G80" i="181" s="1"/>
  <c r="G84" i="181" s="1"/>
  <c r="G85" i="181" s="1"/>
  <c r="G23" i="181" s="1"/>
  <c r="G78" i="180"/>
  <c r="G80" i="180" s="1"/>
  <c r="G81" i="180" s="1"/>
  <c r="G23" i="180" s="1"/>
  <c r="F74" i="182"/>
  <c r="F76" i="182" s="1"/>
  <c r="F77" i="182" s="1"/>
  <c r="F23" i="182" s="1"/>
  <c r="F81" i="181"/>
  <c r="E74" i="182"/>
  <c r="E76" i="182" s="1"/>
  <c r="E77" i="182" s="1"/>
  <c r="E23" i="182" s="1"/>
  <c r="E81" i="181"/>
  <c r="E80" i="181" s="1"/>
  <c r="E84" i="181" s="1"/>
  <c r="E85" i="181" s="1"/>
  <c r="E23" i="181" s="1"/>
  <c r="E78" i="180"/>
  <c r="E80" i="180" s="1"/>
  <c r="E81" i="180" s="1"/>
  <c r="E23" i="180" s="1"/>
  <c r="D74" i="182"/>
  <c r="D76" i="182" s="1"/>
  <c r="D77" i="182" s="1"/>
  <c r="D23" i="182" s="1"/>
  <c r="D81" i="181"/>
  <c r="D80" i="181" s="1"/>
  <c r="D84" i="181" s="1"/>
  <c r="D85" i="181" s="1"/>
  <c r="D23" i="181" s="1"/>
  <c r="D78" i="180"/>
  <c r="D80" i="180" s="1"/>
  <c r="D81" i="180" s="1"/>
  <c r="D23" i="180" s="1"/>
  <c r="F78" i="180"/>
  <c r="F80" i="180" s="1"/>
  <c r="F81" i="180" s="1"/>
  <c r="F23" i="180" s="1"/>
  <c r="F102" i="7"/>
  <c r="D149" i="7" s="1"/>
  <c r="F308" i="100" s="1"/>
  <c r="AK110" i="3" s="1"/>
  <c r="J104" i="7"/>
  <c r="G173" i="7"/>
  <c r="G175" i="7"/>
  <c r="G43" i="145"/>
  <c r="F86" i="148"/>
  <c r="D60" i="161"/>
  <c r="F134" i="25"/>
  <c r="F134" i="159" s="1"/>
  <c r="M170" i="159" s="1"/>
  <c r="N170" i="159" s="1"/>
  <c r="D160" i="25"/>
  <c r="D168" i="25" s="1"/>
  <c r="D168" i="28" s="1"/>
  <c r="D146" i="28"/>
  <c r="F124" i="160"/>
  <c r="E149" i="160"/>
  <c r="D68" i="21"/>
  <c r="D67" i="21" s="1"/>
  <c r="F52" i="31"/>
  <c r="F60" i="31" s="1"/>
  <c r="N25" i="90"/>
  <c r="G48" i="90"/>
  <c r="G56" i="90" s="1"/>
  <c r="F50" i="90"/>
  <c r="F58" i="90" s="1"/>
  <c r="G52" i="90"/>
  <c r="G60" i="90" s="1"/>
  <c r="S69" i="90"/>
  <c r="D25" i="169"/>
  <c r="F51" i="169"/>
  <c r="F59" i="169" s="1"/>
  <c r="G88" i="154"/>
  <c r="G88" i="155"/>
  <c r="C3" i="167"/>
  <c r="BR46" i="167"/>
  <c r="I69" i="189"/>
  <c r="I38" i="189"/>
  <c r="I71" i="187"/>
  <c r="I71" i="189"/>
  <c r="I70" i="189"/>
  <c r="I89" i="188"/>
  <c r="I89" i="186"/>
  <c r="I101" i="179"/>
  <c r="I78" i="179"/>
  <c r="I77" i="180"/>
  <c r="I80" i="181"/>
  <c r="I100" i="179"/>
  <c r="I77" i="179"/>
  <c r="I94" i="180"/>
  <c r="I105" i="181"/>
  <c r="I98" i="181"/>
  <c r="I77" i="181"/>
  <c r="I99" i="179"/>
  <c r="I78" i="180"/>
  <c r="I74" i="182"/>
  <c r="I94" i="179"/>
  <c r="I100" i="180"/>
  <c r="I103" i="181"/>
  <c r="H159" i="7"/>
  <c r="I27" i="189"/>
  <c r="I69" i="188"/>
  <c r="I68" i="187"/>
  <c r="I69" i="186"/>
  <c r="I68" i="189"/>
  <c r="I38" i="188"/>
  <c r="I38" i="187"/>
  <c r="I68" i="186"/>
  <c r="I27" i="188"/>
  <c r="I70" i="187"/>
  <c r="I27" i="187"/>
  <c r="I38" i="186"/>
  <c r="I69" i="183"/>
  <c r="I70" i="188"/>
  <c r="I69" i="187"/>
  <c r="I70" i="186"/>
  <c r="I27" i="186"/>
  <c r="I70" i="183"/>
  <c r="I68" i="183"/>
  <c r="I27" i="183"/>
  <c r="BU46" i="167"/>
  <c r="BO48" i="167"/>
  <c r="CB48" i="167"/>
  <c r="BP48" i="167"/>
  <c r="BT48" i="167"/>
  <c r="BQ65" i="167"/>
  <c r="BZ81" i="167"/>
  <c r="BN99" i="167"/>
  <c r="BR100" i="167"/>
  <c r="E87" i="185"/>
  <c r="E87" i="184"/>
  <c r="E87" i="183"/>
  <c r="E77" i="183" s="1"/>
  <c r="F87" i="187"/>
  <c r="F87" i="189"/>
  <c r="F88" i="185"/>
  <c r="F88" i="184"/>
  <c r="F88" i="183"/>
  <c r="D90" i="188"/>
  <c r="D80" i="188" s="1"/>
  <c r="D49" i="188" s="1"/>
  <c r="D57" i="188" s="1"/>
  <c r="D89" i="187"/>
  <c r="D79" i="187" s="1"/>
  <c r="D49" i="187" s="1"/>
  <c r="D57" i="187" s="1"/>
  <c r="D89" i="189"/>
  <c r="D90" i="185"/>
  <c r="D90" i="184"/>
  <c r="D91" i="186"/>
  <c r="D81" i="186" s="1"/>
  <c r="D50" i="186" s="1"/>
  <c r="D58" i="186" s="1"/>
  <c r="D90" i="183"/>
  <c r="D80" i="183" s="1"/>
  <c r="D50" i="183" s="1"/>
  <c r="D58" i="183" s="1"/>
  <c r="E91" i="188"/>
  <c r="E90" i="187"/>
  <c r="E80" i="187" s="1"/>
  <c r="E50" i="187" s="1"/>
  <c r="E58" i="187" s="1"/>
  <c r="E90" i="189"/>
  <c r="E91" i="185"/>
  <c r="E91" i="184"/>
  <c r="E92" i="186"/>
  <c r="E91" i="183"/>
  <c r="E81" i="183" s="1"/>
  <c r="E51" i="183" s="1"/>
  <c r="E59" i="183" s="1"/>
  <c r="F92" i="188"/>
  <c r="F91" i="187"/>
  <c r="F91" i="189"/>
  <c r="F92" i="185"/>
  <c r="F92" i="184"/>
  <c r="F93" i="186"/>
  <c r="F92" i="183"/>
  <c r="D83" i="154"/>
  <c r="O191" i="100"/>
  <c r="AG208" i="100"/>
  <c r="AF292" i="100"/>
  <c r="J209" i="3"/>
  <c r="J219" i="3" s="1"/>
  <c r="R209" i="3"/>
  <c r="R219" i="3" s="1"/>
  <c r="Z209" i="3"/>
  <c r="Z219" i="3" s="1"/>
  <c r="AJ209" i="3"/>
  <c r="AJ219" i="3" s="1"/>
  <c r="F22" i="76"/>
  <c r="G22" i="76" s="1"/>
  <c r="F87" i="183"/>
  <c r="F87" i="185"/>
  <c r="F87" i="184"/>
  <c r="D88" i="187"/>
  <c r="D78" i="187" s="1"/>
  <c r="D48" i="187" s="1"/>
  <c r="D56" i="187" s="1"/>
  <c r="D88" i="189"/>
  <c r="D90" i="186"/>
  <c r="D80" i="186" s="1"/>
  <c r="D49" i="186" s="1"/>
  <c r="D57" i="186" s="1"/>
  <c r="D89" i="183"/>
  <c r="D89" i="185"/>
  <c r="D89" i="184"/>
  <c r="E90" i="188"/>
  <c r="E89" i="187"/>
  <c r="E79" i="187" s="1"/>
  <c r="E49" i="187" s="1"/>
  <c r="E57" i="187" s="1"/>
  <c r="E89" i="189"/>
  <c r="Q86" i="7"/>
  <c r="E91" i="186"/>
  <c r="E90" i="183"/>
  <c r="E80" i="183" s="1"/>
  <c r="E50" i="183" s="1"/>
  <c r="E58" i="183" s="1"/>
  <c r="E90" i="185"/>
  <c r="E90" i="184"/>
  <c r="F91" i="188"/>
  <c r="F90" i="187"/>
  <c r="F90" i="189"/>
  <c r="F92" i="186"/>
  <c r="F91" i="183"/>
  <c r="F91" i="185"/>
  <c r="F91" i="184"/>
  <c r="D93" i="188"/>
  <c r="D83" i="188" s="1"/>
  <c r="D52" i="188" s="1"/>
  <c r="D60" i="188" s="1"/>
  <c r="D92" i="187"/>
  <c r="D82" i="187" s="1"/>
  <c r="D52" i="187" s="1"/>
  <c r="D60" i="187" s="1"/>
  <c r="D92" i="189"/>
  <c r="G158" i="7"/>
  <c r="AP41" i="3" s="1"/>
  <c r="G160" i="7"/>
  <c r="O21" i="101" s="1"/>
  <c r="G163" i="7"/>
  <c r="G167" i="7"/>
  <c r="G172" i="7"/>
  <c r="C189" i="7"/>
  <c r="D188" i="7"/>
  <c r="D189" i="144"/>
  <c r="C152" i="144" s="1"/>
  <c r="D43" i="144" s="1"/>
  <c r="F59" i="175"/>
  <c r="G84" i="176"/>
  <c r="F60" i="161"/>
  <c r="E135" i="160"/>
  <c r="G31" i="38"/>
  <c r="G86" i="38" s="1"/>
  <c r="D104" i="94"/>
  <c r="E67" i="23"/>
  <c r="S75" i="90"/>
  <c r="G83" i="168"/>
  <c r="G51" i="168" s="1"/>
  <c r="G59" i="168" s="1"/>
  <c r="D67" i="147"/>
  <c r="D83" i="147" s="1"/>
  <c r="F83" i="147" s="1"/>
  <c r="F34" i="157"/>
  <c r="D189" i="155"/>
  <c r="C152" i="155" s="1"/>
  <c r="D43" i="155" s="1"/>
  <c r="F31" i="158"/>
  <c r="E38" i="188"/>
  <c r="G38" i="188"/>
  <c r="F38" i="188"/>
  <c r="D38" i="188"/>
  <c r="E38" i="187"/>
  <c r="F38" i="187"/>
  <c r="D38" i="187"/>
  <c r="G38" i="187"/>
  <c r="E38" i="186"/>
  <c r="G38" i="186"/>
  <c r="D38" i="186"/>
  <c r="F38" i="186"/>
  <c r="F38" i="184"/>
  <c r="G38" i="184"/>
  <c r="E38" i="184"/>
  <c r="D38" i="184"/>
  <c r="E38" i="183"/>
  <c r="D38" i="183"/>
  <c r="G38" i="183"/>
  <c r="F38" i="183"/>
  <c r="I71" i="179"/>
  <c r="I71" i="180"/>
  <c r="I72" i="181"/>
  <c r="I72" i="179"/>
  <c r="I71" i="181"/>
  <c r="I72" i="180"/>
  <c r="G80" i="32"/>
  <c r="G38" i="32" s="1"/>
  <c r="D67" i="32"/>
  <c r="D74" i="32" s="1"/>
  <c r="D41" i="32" s="1"/>
  <c r="W52" i="178"/>
  <c r="Q15" i="101"/>
  <c r="I15" i="101" s="1"/>
  <c r="O291" i="100" s="1"/>
  <c r="D96" i="14"/>
  <c r="J21" i="14" s="1"/>
  <c r="G142" i="7"/>
  <c r="F142" i="7"/>
  <c r="Q11" i="101"/>
  <c r="I11" i="101" s="1"/>
  <c r="Q18" i="101"/>
  <c r="H18" i="101" s="1"/>
  <c r="Q290" i="100" s="1"/>
  <c r="AI26" i="100"/>
  <c r="H149" i="14"/>
  <c r="I139" i="14" s="1"/>
  <c r="AH26" i="100"/>
  <c r="E149" i="14"/>
  <c r="F139" i="14" s="1"/>
  <c r="AG26" i="100"/>
  <c r="AK26" i="100"/>
  <c r="E8" i="101"/>
  <c r="X64" i="100" s="1"/>
  <c r="X63" i="100" s="1"/>
  <c r="AK159" i="3"/>
  <c r="AH159" i="3"/>
  <c r="AI159" i="3"/>
  <c r="F48" i="33"/>
  <c r="F50" i="31"/>
  <c r="F58" i="31" s="1"/>
  <c r="F48" i="31"/>
  <c r="F56" i="31" s="1"/>
  <c r="G48" i="31"/>
  <c r="G56" i="31" s="1"/>
  <c r="F49" i="21"/>
  <c r="F57" i="21" s="1"/>
  <c r="F51" i="21"/>
  <c r="F59" i="21" s="1"/>
  <c r="F149" i="14"/>
  <c r="G139" i="14" s="1"/>
  <c r="AJ108" i="3"/>
  <c r="M108" i="3"/>
  <c r="F49" i="35"/>
  <c r="F57" i="35" s="1"/>
  <c r="G23" i="35"/>
  <c r="G24" i="35" s="1"/>
  <c r="D24" i="35"/>
  <c r="I31" i="38"/>
  <c r="D35" i="7"/>
  <c r="I69" i="100"/>
  <c r="AB207" i="100"/>
  <c r="AJ293" i="100"/>
  <c r="I27" i="32"/>
  <c r="I27" i="90"/>
  <c r="I27" i="31"/>
  <c r="I27" i="23"/>
  <c r="I27" i="21"/>
  <c r="I27" i="22"/>
  <c r="I27" i="35"/>
  <c r="I27" i="33"/>
  <c r="B220" i="161"/>
  <c r="I191" i="161"/>
  <c r="I181" i="161"/>
  <c r="I173" i="161"/>
  <c r="I138" i="161"/>
  <c r="I190" i="161"/>
  <c r="I180" i="161"/>
  <c r="I172" i="161"/>
  <c r="I192" i="161"/>
  <c r="I178" i="161"/>
  <c r="I139" i="161"/>
  <c r="I189" i="161"/>
  <c r="I177" i="161"/>
  <c r="L139" i="14"/>
  <c r="I176" i="161"/>
  <c r="I175" i="161"/>
  <c r="I171" i="161"/>
  <c r="I34" i="161"/>
  <c r="I195" i="161"/>
  <c r="I100" i="161"/>
  <c r="K149" i="14"/>
  <c r="I194" i="161"/>
  <c r="I179" i="161"/>
  <c r="I38" i="171"/>
  <c r="I38" i="168"/>
  <c r="I128" i="172"/>
  <c r="I31" i="172"/>
  <c r="I129" i="172"/>
  <c r="I34" i="172"/>
  <c r="I130" i="172"/>
  <c r="BU84" i="167"/>
  <c r="I75" i="31"/>
  <c r="I75" i="23"/>
  <c r="I75" i="21"/>
  <c r="I75" i="35"/>
  <c r="I142" i="7"/>
  <c r="I215" i="7"/>
  <c r="I140" i="7"/>
  <c r="I141" i="7"/>
  <c r="S95" i="7"/>
  <c r="M116" i="14"/>
  <c r="M105" i="14"/>
  <c r="M102" i="14"/>
  <c r="M115" i="14"/>
  <c r="I152" i="25"/>
  <c r="I152" i="159" s="1"/>
  <c r="I134" i="25"/>
  <c r="I134" i="28" s="1"/>
  <c r="I149" i="25"/>
  <c r="I149" i="28" s="1"/>
  <c r="I135" i="25"/>
  <c r="I135" i="28" s="1"/>
  <c r="I132" i="25"/>
  <c r="I132" i="28" s="1"/>
  <c r="I145" i="25"/>
  <c r="I145" i="159" s="1"/>
  <c r="I133" i="25"/>
  <c r="I133" i="28" s="1"/>
  <c r="I151" i="25"/>
  <c r="I151" i="28" s="1"/>
  <c r="I144" i="25"/>
  <c r="I144" i="160" s="1"/>
  <c r="I150" i="25"/>
  <c r="I150" i="159" s="1"/>
  <c r="I154" i="25"/>
  <c r="I154" i="159" s="1"/>
  <c r="I153" i="25"/>
  <c r="I153" i="28" s="1"/>
  <c r="I33" i="159"/>
  <c r="I33" i="28"/>
  <c r="I33" i="160"/>
  <c r="I33" i="25"/>
  <c r="BW46" i="167"/>
  <c r="BQ64" i="167"/>
  <c r="BN66" i="167"/>
  <c r="CB66" i="167"/>
  <c r="BT66" i="167"/>
  <c r="BW68" i="167"/>
  <c r="BO100" i="167"/>
  <c r="BY100" i="167"/>
  <c r="AF26" i="100"/>
  <c r="K65" i="100"/>
  <c r="S65" i="100"/>
  <c r="G69" i="100"/>
  <c r="O69" i="100"/>
  <c r="W69" i="100"/>
  <c r="AG204" i="100"/>
  <c r="AH205" i="100"/>
  <c r="AJ206" i="100"/>
  <c r="AF208" i="100"/>
  <c r="AJ209" i="100"/>
  <c r="AB289" i="100"/>
  <c r="AI290" i="100"/>
  <c r="Z292" i="100"/>
  <c r="AH293" i="100"/>
  <c r="J94" i="14"/>
  <c r="M108" i="14"/>
  <c r="G24" i="101"/>
  <c r="U205" i="100" s="1"/>
  <c r="J85" i="14"/>
  <c r="I83" i="22"/>
  <c r="M44" i="90"/>
  <c r="I83" i="33"/>
  <c r="I38" i="90"/>
  <c r="I38" i="32"/>
  <c r="I38" i="33"/>
  <c r="I38" i="23"/>
  <c r="J97" i="14"/>
  <c r="J87" i="14"/>
  <c r="J68" i="14"/>
  <c r="I38" i="14"/>
  <c r="I28" i="14"/>
  <c r="M44" i="22"/>
  <c r="I81" i="32"/>
  <c r="I38" i="21"/>
  <c r="J79" i="14"/>
  <c r="I38" i="35"/>
  <c r="H175" i="7"/>
  <c r="H173" i="7"/>
  <c r="J95" i="14"/>
  <c r="J86" i="14"/>
  <c r="J72" i="14"/>
  <c r="I38" i="22"/>
  <c r="H168" i="7"/>
  <c r="H161" i="7"/>
  <c r="I81" i="33"/>
  <c r="I38" i="31"/>
  <c r="I23" i="23"/>
  <c r="Z25" i="101"/>
  <c r="J84" i="14"/>
  <c r="J77" i="14"/>
  <c r="H174" i="7"/>
  <c r="J98" i="14"/>
  <c r="J89" i="14"/>
  <c r="J69" i="14"/>
  <c r="H167" i="7"/>
  <c r="J80" i="14"/>
  <c r="I74" i="171"/>
  <c r="I72" i="168"/>
  <c r="I41" i="171"/>
  <c r="I72" i="169"/>
  <c r="I72" i="170"/>
  <c r="Q69" i="100"/>
  <c r="AI204" i="100"/>
  <c r="AB288" i="100"/>
  <c r="AG292" i="100"/>
  <c r="J90" i="14"/>
  <c r="I69" i="170"/>
  <c r="I41" i="169"/>
  <c r="I79" i="168"/>
  <c r="I40" i="168"/>
  <c r="I70" i="171"/>
  <c r="I43" i="170"/>
  <c r="I69" i="168"/>
  <c r="I40" i="170"/>
  <c r="I43" i="169"/>
  <c r="I23" i="169"/>
  <c r="I23" i="168"/>
  <c r="I40" i="169"/>
  <c r="I41" i="168"/>
  <c r="I27" i="168"/>
  <c r="I27" i="171"/>
  <c r="I41" i="170"/>
  <c r="I43" i="168"/>
  <c r="I73" i="170"/>
  <c r="I78" i="168"/>
  <c r="I73" i="168"/>
  <c r="I69" i="169"/>
  <c r="I73" i="169"/>
  <c r="V65" i="100"/>
  <c r="J69" i="100"/>
  <c r="R69" i="100"/>
  <c r="S191" i="100"/>
  <c r="AJ204" i="100"/>
  <c r="AK205" i="100"/>
  <c r="AG207" i="100"/>
  <c r="AK208" i="100"/>
  <c r="AF288" i="100"/>
  <c r="AJ289" i="100"/>
  <c r="AA291" i="100"/>
  <c r="AI292" i="100"/>
  <c r="I85" i="31"/>
  <c r="I83" i="35"/>
  <c r="I76" i="21"/>
  <c r="I84" i="31"/>
  <c r="I76" i="35"/>
  <c r="I83" i="31"/>
  <c r="I87" i="23"/>
  <c r="I86" i="31"/>
  <c r="I84" i="35"/>
  <c r="I83" i="21"/>
  <c r="I87" i="21"/>
  <c r="I87" i="31"/>
  <c r="I87" i="35"/>
  <c r="I86" i="21"/>
  <c r="I86" i="23"/>
  <c r="I86" i="35"/>
  <c r="I85" i="21"/>
  <c r="I85" i="23"/>
  <c r="I85" i="35"/>
  <c r="I84" i="21"/>
  <c r="I84" i="23"/>
  <c r="I83" i="23"/>
  <c r="J96" i="14"/>
  <c r="I40" i="14"/>
  <c r="I174" i="25"/>
  <c r="I174" i="159" s="1"/>
  <c r="I173" i="25"/>
  <c r="I173" i="28" s="1"/>
  <c r="I175" i="25"/>
  <c r="I175" i="28" s="1"/>
  <c r="L135" i="14"/>
  <c r="I176" i="25"/>
  <c r="I176" i="159" s="1"/>
  <c r="I172" i="25"/>
  <c r="I172" i="159" s="1"/>
  <c r="L137" i="14"/>
  <c r="L132" i="14"/>
  <c r="L136" i="14"/>
  <c r="I186" i="161"/>
  <c r="I183" i="161"/>
  <c r="I134" i="161"/>
  <c r="I84" i="168"/>
  <c r="I82" i="168"/>
  <c r="I83" i="168"/>
  <c r="I81" i="168"/>
  <c r="BO46" i="167"/>
  <c r="BN47" i="167"/>
  <c r="BZ49" i="167"/>
  <c r="BR49" i="167"/>
  <c r="BX66" i="167"/>
  <c r="BO68" i="167"/>
  <c r="BW81" i="167"/>
  <c r="BX83" i="167"/>
  <c r="BO84" i="167"/>
  <c r="BN85" i="167"/>
  <c r="BQ85" i="167"/>
  <c r="CA101" i="167"/>
  <c r="BS101" i="167"/>
  <c r="AJ26" i="100"/>
  <c r="O65" i="100"/>
  <c r="K69" i="100"/>
  <c r="S69" i="100"/>
  <c r="T191" i="100"/>
  <c r="AK204" i="100"/>
  <c r="AB206" i="100"/>
  <c r="AH207" i="100"/>
  <c r="Z209" i="100"/>
  <c r="AG288" i="100"/>
  <c r="Z290" i="100"/>
  <c r="AG291" i="100"/>
  <c r="AJ292" i="100"/>
  <c r="K147" i="14"/>
  <c r="K146" i="14"/>
  <c r="L130" i="14"/>
  <c r="L127" i="14"/>
  <c r="J102" i="14"/>
  <c r="K102" i="14"/>
  <c r="AH208" i="100"/>
  <c r="AI289" i="100"/>
  <c r="I33" i="38"/>
  <c r="I105" i="38"/>
  <c r="I99" i="30"/>
  <c r="I83" i="38"/>
  <c r="I84" i="38"/>
  <c r="I84" i="30"/>
  <c r="I128" i="30"/>
  <c r="I104" i="30"/>
  <c r="I104" i="38"/>
  <c r="I102" i="30"/>
  <c r="I102" i="38"/>
  <c r="I99" i="38"/>
  <c r="I85" i="38"/>
  <c r="BW66" i="167"/>
  <c r="I76" i="31"/>
  <c r="I76" i="23"/>
  <c r="J75" i="14"/>
  <c r="J93" i="14"/>
  <c r="J92" i="14"/>
  <c r="I33" i="173"/>
  <c r="I85" i="173"/>
  <c r="I105" i="173"/>
  <c r="I83" i="173"/>
  <c r="I104" i="173"/>
  <c r="I65" i="173"/>
  <c r="I130" i="173"/>
  <c r="I129" i="173"/>
  <c r="I84" i="173"/>
  <c r="BY66" i="167"/>
  <c r="BR68" i="167"/>
  <c r="Z26" i="100"/>
  <c r="U191" i="100"/>
  <c r="AF206" i="100"/>
  <c r="AI207" i="100"/>
  <c r="AH291" i="100"/>
  <c r="J71" i="14"/>
  <c r="Q22" i="101"/>
  <c r="I22" i="101" s="1"/>
  <c r="O13" i="101"/>
  <c r="Q13" i="101" s="1"/>
  <c r="H13" i="101" s="1"/>
  <c r="O12" i="101"/>
  <c r="Q12" i="101" s="1"/>
  <c r="J12" i="101" s="1"/>
  <c r="X292" i="100" s="1"/>
  <c r="H169" i="7"/>
  <c r="H164" i="7"/>
  <c r="B94" i="7"/>
  <c r="B47" i="7"/>
  <c r="Z24" i="101"/>
  <c r="I34" i="14"/>
  <c r="H158" i="7"/>
  <c r="I137" i="7"/>
  <c r="I30" i="14"/>
  <c r="H160" i="7"/>
  <c r="Z23" i="101"/>
  <c r="I39" i="14"/>
  <c r="I31" i="161"/>
  <c r="I32" i="161"/>
  <c r="L133" i="14"/>
  <c r="L129" i="14"/>
  <c r="I203" i="14"/>
  <c r="I79" i="170"/>
  <c r="I23" i="170"/>
  <c r="CB47" i="167"/>
  <c r="BT47" i="167"/>
  <c r="CB49" i="167"/>
  <c r="CA65" i="167"/>
  <c r="BZ66" i="167"/>
  <c r="BR66" i="167"/>
  <c r="BU81" i="167"/>
  <c r="BT82" i="167"/>
  <c r="CB83" i="167"/>
  <c r="BT83" i="167"/>
  <c r="BY85" i="167"/>
  <c r="BS85" i="167"/>
  <c r="BV100" i="167"/>
  <c r="BN101" i="167"/>
  <c r="AA26" i="100"/>
  <c r="U69" i="100"/>
  <c r="V191" i="100"/>
  <c r="Z204" i="100"/>
  <c r="AF205" i="100"/>
  <c r="AH206" i="100"/>
  <c r="Z208" i="100"/>
  <c r="AF209" i="100"/>
  <c r="AK288" i="100"/>
  <c r="AB290" i="100"/>
  <c r="AJ291" i="100"/>
  <c r="P54" i="108"/>
  <c r="P51" i="108"/>
  <c r="L138" i="14"/>
  <c r="B211" i="14"/>
  <c r="Q21" i="101"/>
  <c r="I21" i="101" s="1"/>
  <c r="I291" i="100" s="1"/>
  <c r="L140" i="14"/>
  <c r="L141" i="14"/>
  <c r="U65" i="100"/>
  <c r="AJ205" i="100"/>
  <c r="Z291" i="100"/>
  <c r="O20" i="101"/>
  <c r="Q20" i="101" s="1"/>
  <c r="E20" i="101" s="1"/>
  <c r="G68" i="100" s="1"/>
  <c r="I86" i="32"/>
  <c r="I23" i="32"/>
  <c r="BO66" i="167"/>
  <c r="BN68" i="167"/>
  <c r="I84" i="170"/>
  <c r="I82" i="170"/>
  <c r="I82" i="169"/>
  <c r="I81" i="170"/>
  <c r="I83" i="169"/>
  <c r="I83" i="170"/>
  <c r="I81" i="169"/>
  <c r="I84" i="169"/>
  <c r="BN46" i="167"/>
  <c r="BQ66" i="167"/>
  <c r="BV85" i="167"/>
  <c r="T69" i="100"/>
  <c r="K191" i="100"/>
  <c r="Z205" i="100"/>
  <c r="AB209" i="100"/>
  <c r="AJ288" i="100"/>
  <c r="AA290" i="100"/>
  <c r="I86" i="22"/>
  <c r="I87" i="90"/>
  <c r="I93" i="32"/>
  <c r="I84" i="33"/>
  <c r="I69" i="33"/>
  <c r="I71" i="22"/>
  <c r="I86" i="90"/>
  <c r="I92" i="32"/>
  <c r="I25" i="90"/>
  <c r="I90" i="33"/>
  <c r="I90" i="32"/>
  <c r="I71" i="32"/>
  <c r="I92" i="33"/>
  <c r="I25" i="31"/>
  <c r="I25" i="33"/>
  <c r="I71" i="31"/>
  <c r="I69" i="23"/>
  <c r="I69" i="32"/>
  <c r="I71" i="21"/>
  <c r="I68" i="23"/>
  <c r="I25" i="22"/>
  <c r="I84" i="90"/>
  <c r="I93" i="33"/>
  <c r="I25" i="35"/>
  <c r="I94" i="33"/>
  <c r="I26" i="33"/>
  <c r="I25" i="23"/>
  <c r="I71" i="90"/>
  <c r="I69" i="90"/>
  <c r="I84" i="32"/>
  <c r="I25" i="21"/>
  <c r="I71" i="35"/>
  <c r="I71" i="33"/>
  <c r="I69" i="21"/>
  <c r="I69" i="35"/>
  <c r="I26" i="90"/>
  <c r="I69" i="31"/>
  <c r="I69" i="22"/>
  <c r="B153" i="158"/>
  <c r="B179" i="156"/>
  <c r="B191" i="154"/>
  <c r="B179" i="154"/>
  <c r="B153" i="152"/>
  <c r="B179" i="147"/>
  <c r="B153" i="156"/>
  <c r="B153" i="154"/>
  <c r="B179" i="157"/>
  <c r="B153" i="147"/>
  <c r="B154" i="143"/>
  <c r="B179" i="158"/>
  <c r="B179" i="152"/>
  <c r="B180" i="143"/>
  <c r="B187" i="158"/>
  <c r="B189" i="153"/>
  <c r="B152" i="157"/>
  <c r="B190" i="147"/>
  <c r="B179" i="155"/>
  <c r="B153" i="151"/>
  <c r="B179" i="146"/>
  <c r="B189" i="156"/>
  <c r="B153" i="155"/>
  <c r="B179" i="153"/>
  <c r="B179" i="151"/>
  <c r="B192" i="149"/>
  <c r="B179" i="149"/>
  <c r="B181" i="176"/>
  <c r="B188" i="175"/>
  <c r="B154" i="150"/>
  <c r="B189" i="157"/>
  <c r="B153" i="149"/>
  <c r="B154" i="176"/>
  <c r="B180" i="148"/>
  <c r="I84" i="148"/>
  <c r="B153" i="153"/>
  <c r="B181" i="174"/>
  <c r="B154" i="174"/>
  <c r="B180" i="144"/>
  <c r="B190" i="155"/>
  <c r="B191" i="174"/>
  <c r="B153" i="144"/>
  <c r="B190" i="176"/>
  <c r="B190" i="144"/>
  <c r="B180" i="142"/>
  <c r="B180" i="145"/>
  <c r="B154" i="142"/>
  <c r="B180" i="150"/>
  <c r="B153" i="145"/>
  <c r="B153" i="148"/>
  <c r="I40" i="145"/>
  <c r="I29" i="14"/>
  <c r="I104" i="94"/>
  <c r="I104" i="39"/>
  <c r="I99" i="39"/>
  <c r="I99" i="94"/>
  <c r="BV46" i="167"/>
  <c r="BN49" i="167"/>
  <c r="BS66" i="167"/>
  <c r="BV68" i="167"/>
  <c r="BU83" i="167"/>
  <c r="BR84" i="167"/>
  <c r="BN100" i="167"/>
  <c r="BW100" i="167"/>
  <c r="AB26" i="100"/>
  <c r="J65" i="100"/>
  <c r="R65" i="100"/>
  <c r="F69" i="100"/>
  <c r="N69" i="100"/>
  <c r="AA204" i="100"/>
  <c r="AG205" i="100"/>
  <c r="AI206" i="100"/>
  <c r="AA208" i="100"/>
  <c r="AG209" i="100"/>
  <c r="AA289" i="100"/>
  <c r="AH290" i="100"/>
  <c r="AK291" i="100"/>
  <c r="E22" i="76"/>
  <c r="I41" i="14"/>
  <c r="K154" i="14"/>
  <c r="AA293" i="100"/>
  <c r="AB292" i="100"/>
  <c r="AF291" i="100"/>
  <c r="AG290" i="100"/>
  <c r="AH289" i="100"/>
  <c r="AI288" i="100"/>
  <c r="AI209" i="100"/>
  <c r="AJ208" i="100"/>
  <c r="AK207" i="100"/>
  <c r="Z207" i="100"/>
  <c r="AA206" i="100"/>
  <c r="AB205" i="100"/>
  <c r="AF204" i="100"/>
  <c r="R191" i="100"/>
  <c r="J191" i="100"/>
  <c r="AK293" i="100"/>
  <c r="Z293" i="100"/>
  <c r="AA292" i="100"/>
  <c r="AB291" i="100"/>
  <c r="AF290" i="100"/>
  <c r="AG289" i="100"/>
  <c r="AH288" i="100"/>
  <c r="AH209" i="100"/>
  <c r="AI208" i="100"/>
  <c r="AJ207" i="100"/>
  <c r="AK206" i="100"/>
  <c r="Z206" i="100"/>
  <c r="AA205" i="100"/>
  <c r="AB204" i="100"/>
  <c r="Y191" i="100"/>
  <c r="Q191" i="100"/>
  <c r="I191" i="100"/>
  <c r="AG293" i="100"/>
  <c r="AH292" i="100"/>
  <c r="AI291" i="100"/>
  <c r="AJ290" i="100"/>
  <c r="AK289" i="100"/>
  <c r="Z289" i="100"/>
  <c r="AA288" i="100"/>
  <c r="AA209" i="100"/>
  <c r="AB208" i="100"/>
  <c r="AF207" i="100"/>
  <c r="AG206" i="100"/>
  <c r="O19" i="101"/>
  <c r="Q19" i="101" s="1"/>
  <c r="F19" i="101" s="1"/>
  <c r="O46" i="101"/>
  <c r="W48" i="101" s="1"/>
  <c r="U89" i="7"/>
  <c r="P44" i="101"/>
  <c r="G79" i="168"/>
  <c r="F79" i="168"/>
  <c r="M209" i="3"/>
  <c r="M219" i="3" s="1"/>
  <c r="U209" i="3"/>
  <c r="U219" i="3" s="1"/>
  <c r="AC209" i="3"/>
  <c r="AC219" i="3" s="1"/>
  <c r="M54" i="108"/>
  <c r="M51" i="108"/>
  <c r="C51" i="7"/>
  <c r="H140" i="7"/>
  <c r="D189" i="7"/>
  <c r="G33" i="148"/>
  <c r="G59" i="175"/>
  <c r="E134" i="28"/>
  <c r="D136" i="28"/>
  <c r="G85" i="38"/>
  <c r="E104" i="39"/>
  <c r="D68" i="22"/>
  <c r="D67" i="22" s="1"/>
  <c r="D76" i="22" s="1"/>
  <c r="D68" i="90"/>
  <c r="D67" i="90" s="1"/>
  <c r="D76" i="90" s="1"/>
  <c r="D68" i="33"/>
  <c r="D67" i="33" s="1"/>
  <c r="D74" i="33" s="1"/>
  <c r="D41" i="33" s="1"/>
  <c r="D73" i="23"/>
  <c r="D28" i="23" s="1"/>
  <c r="D68" i="31"/>
  <c r="D67" i="31" s="1"/>
  <c r="E78" i="164"/>
  <c r="E86" i="164" s="1"/>
  <c r="E87" i="164" s="1"/>
  <c r="E79" i="164"/>
  <c r="E80" i="164" s="1"/>
  <c r="N54" i="108"/>
  <c r="N51" i="108"/>
  <c r="AK209" i="3"/>
  <c r="AK219" i="3" s="1"/>
  <c r="AI209" i="3"/>
  <c r="AI219" i="3" s="1"/>
  <c r="AH209" i="3"/>
  <c r="AH219" i="3" s="1"/>
  <c r="E23" i="23"/>
  <c r="E73" i="23"/>
  <c r="E28" i="23" s="1"/>
  <c r="E40" i="23" s="1"/>
  <c r="D67" i="35"/>
  <c r="G51" i="31"/>
  <c r="G59" i="31" s="1"/>
  <c r="G49" i="31"/>
  <c r="G57" i="31" s="1"/>
  <c r="W209" i="3"/>
  <c r="W219" i="3" s="1"/>
  <c r="AE209" i="3"/>
  <c r="AE219" i="3" s="1"/>
  <c r="O54" i="108"/>
  <c r="O51" i="108"/>
  <c r="G8" i="101"/>
  <c r="Y205" i="100" s="1"/>
  <c r="E142" i="7"/>
  <c r="F89" i="144"/>
  <c r="D190" i="174"/>
  <c r="E78" i="175"/>
  <c r="G78" i="175"/>
  <c r="F67" i="23"/>
  <c r="F51" i="33"/>
  <c r="F49" i="33"/>
  <c r="G25" i="33"/>
  <c r="F143" i="161"/>
  <c r="E143" i="161"/>
  <c r="E141" i="7"/>
  <c r="E187" i="7"/>
  <c r="F86" i="145"/>
  <c r="G86" i="145"/>
  <c r="F34" i="175"/>
  <c r="E34" i="175"/>
  <c r="D143" i="161"/>
  <c r="E23" i="76"/>
  <c r="E140" i="7"/>
  <c r="F141" i="7"/>
  <c r="D88" i="145"/>
  <c r="E32" i="174"/>
  <c r="G34" i="175"/>
  <c r="G143" i="161"/>
  <c r="G50" i="31"/>
  <c r="G58" i="31" s="1"/>
  <c r="F52" i="33"/>
  <c r="D59" i="33"/>
  <c r="D59" i="32"/>
  <c r="D59" i="22"/>
  <c r="K209" i="3"/>
  <c r="K219" i="3" s="1"/>
  <c r="S209" i="3"/>
  <c r="S219" i="3" s="1"/>
  <c r="AA209" i="3"/>
  <c r="AA219" i="3" s="1"/>
  <c r="AL209" i="3"/>
  <c r="AL219" i="3" s="1"/>
  <c r="F23" i="76"/>
  <c r="G23" i="76" s="1"/>
  <c r="D168" i="143"/>
  <c r="G104" i="94"/>
  <c r="G104" i="39"/>
  <c r="E31" i="38"/>
  <c r="E86" i="38" s="1"/>
  <c r="F104" i="94"/>
  <c r="F104" i="39"/>
  <c r="D31" i="38"/>
  <c r="D86" i="38" s="1"/>
  <c r="F31" i="38"/>
  <c r="F86" i="38" s="1"/>
  <c r="F88" i="38" s="1"/>
  <c r="F140" i="7"/>
  <c r="G141" i="7"/>
  <c r="E31" i="144"/>
  <c r="G31" i="144"/>
  <c r="F32" i="145"/>
  <c r="G32" i="145"/>
  <c r="E32" i="145"/>
  <c r="F33" i="150"/>
  <c r="F32" i="174"/>
  <c r="F133" i="25"/>
  <c r="F133" i="28" s="1"/>
  <c r="F87" i="173"/>
  <c r="D128" i="30"/>
  <c r="D84" i="30" s="1"/>
  <c r="D74" i="23"/>
  <c r="D41" i="23" s="1"/>
  <c r="L209" i="3"/>
  <c r="L219" i="3" s="1"/>
  <c r="T209" i="3"/>
  <c r="T219" i="3" s="1"/>
  <c r="AB209" i="3"/>
  <c r="AB219" i="3" s="1"/>
  <c r="AM209" i="3"/>
  <c r="AM219" i="3" s="1"/>
  <c r="G7" i="76"/>
  <c r="I132" i="14"/>
  <c r="G26" i="76"/>
  <c r="E34" i="142"/>
  <c r="G34" i="142"/>
  <c r="F31" i="144"/>
  <c r="G33" i="150"/>
  <c r="D104" i="39"/>
  <c r="E74" i="23"/>
  <c r="E41" i="23" s="1"/>
  <c r="D80" i="32"/>
  <c r="D38" i="32" s="1"/>
  <c r="E52" i="90"/>
  <c r="E60" i="90" s="1"/>
  <c r="E50" i="90"/>
  <c r="E58" i="90" s="1"/>
  <c r="E48" i="90"/>
  <c r="E56" i="90" s="1"/>
  <c r="M25" i="90"/>
  <c r="E51" i="90"/>
  <c r="E59" i="90" s="1"/>
  <c r="S72" i="90"/>
  <c r="S80" i="90" s="1"/>
  <c r="U80" i="90" s="1"/>
  <c r="W80" i="90" s="1"/>
  <c r="D71" i="169"/>
  <c r="D41" i="169" s="1"/>
  <c r="D70" i="169"/>
  <c r="D28" i="169" s="1"/>
  <c r="D40" i="169" s="1"/>
  <c r="F153" i="25"/>
  <c r="F153" i="28" s="1"/>
  <c r="G25" i="21"/>
  <c r="F48" i="21"/>
  <c r="F56" i="21" s="1"/>
  <c r="F50" i="21"/>
  <c r="F58" i="21" s="1"/>
  <c r="F23" i="35"/>
  <c r="F24" i="35" s="1"/>
  <c r="D52" i="90"/>
  <c r="D60" i="90" s="1"/>
  <c r="D50" i="90"/>
  <c r="D58" i="90" s="1"/>
  <c r="D48" i="90"/>
  <c r="D56" i="90" s="1"/>
  <c r="G106" i="164"/>
  <c r="F106" i="164"/>
  <c r="E106" i="164"/>
  <c r="D106" i="164"/>
  <c r="F102" i="164"/>
  <c r="G102" i="164"/>
  <c r="D102" i="164"/>
  <c r="E102" i="164"/>
  <c r="D78" i="164"/>
  <c r="D86" i="164" s="1"/>
  <c r="D87" i="164" s="1"/>
  <c r="D79" i="164"/>
  <c r="D80" i="164" s="1"/>
  <c r="E88" i="156"/>
  <c r="G88" i="156"/>
  <c r="F88" i="156"/>
  <c r="G84" i="168"/>
  <c r="G52" i="168" s="1"/>
  <c r="G60" i="168" s="1"/>
  <c r="F52" i="168"/>
  <c r="F60" i="168" s="1"/>
  <c r="D71" i="170"/>
  <c r="D41" i="170" s="1"/>
  <c r="D70" i="170"/>
  <c r="D28" i="170" s="1"/>
  <c r="D40" i="170" s="1"/>
  <c r="E71" i="170"/>
  <c r="E41" i="170" s="1"/>
  <c r="E70" i="170"/>
  <c r="E28" i="170" s="1"/>
  <c r="E40" i="170" s="1"/>
  <c r="E34" i="147"/>
  <c r="G34" i="147"/>
  <c r="F34" i="147"/>
  <c r="E128" i="30"/>
  <c r="E129" i="30" s="1"/>
  <c r="F49" i="31"/>
  <c r="F57" i="31" s="1"/>
  <c r="F51" i="31"/>
  <c r="F59" i="31" s="1"/>
  <c r="E80" i="33"/>
  <c r="E38" i="33" s="1"/>
  <c r="E80" i="32"/>
  <c r="E38" i="32" s="1"/>
  <c r="F100" i="164"/>
  <c r="F49" i="164" s="1"/>
  <c r="F57" i="164" s="1"/>
  <c r="E78" i="168"/>
  <c r="E76" i="168"/>
  <c r="D76" i="168"/>
  <c r="D25" i="168"/>
  <c r="D67" i="168"/>
  <c r="F79" i="170"/>
  <c r="F128" i="30"/>
  <c r="F129" i="30" s="1"/>
  <c r="F80" i="33"/>
  <c r="F38" i="33" s="1"/>
  <c r="F84" i="170"/>
  <c r="E58" i="146"/>
  <c r="F58" i="146"/>
  <c r="G88" i="94"/>
  <c r="G128" i="30"/>
  <c r="G84" i="30" s="1"/>
  <c r="G87" i="30" s="1"/>
  <c r="G25" i="35"/>
  <c r="F48" i="35"/>
  <c r="F56" i="35" s="1"/>
  <c r="F50" i="35"/>
  <c r="F58" i="35" s="1"/>
  <c r="G80" i="33"/>
  <c r="G38" i="33" s="1"/>
  <c r="D51" i="90"/>
  <c r="D59" i="90" s="1"/>
  <c r="F84" i="164"/>
  <c r="F88" i="164" s="1"/>
  <c r="F79" i="169"/>
  <c r="G79" i="169"/>
  <c r="G79" i="164"/>
  <c r="G80" i="164" s="1"/>
  <c r="G78" i="164"/>
  <c r="G86" i="164" s="1"/>
  <c r="G87" i="164" s="1"/>
  <c r="G84" i="169"/>
  <c r="G52" i="169" s="1"/>
  <c r="G60" i="169" s="1"/>
  <c r="F70" i="170"/>
  <c r="F28" i="170" s="1"/>
  <c r="F40" i="170" s="1"/>
  <c r="G33" i="146"/>
  <c r="F33" i="146"/>
  <c r="F34" i="151"/>
  <c r="G85" i="152"/>
  <c r="F31" i="156"/>
  <c r="G31" i="156"/>
  <c r="G49" i="90"/>
  <c r="G57" i="90" s="1"/>
  <c r="G67" i="169"/>
  <c r="G25" i="169"/>
  <c r="G37" i="147"/>
  <c r="D37" i="147"/>
  <c r="D190" i="154"/>
  <c r="C152" i="154" s="1"/>
  <c r="D43" i="154" s="1"/>
  <c r="D84" i="154" s="1"/>
  <c r="D86" i="154" s="1"/>
  <c r="D83" i="146"/>
  <c r="E83" i="146" s="1"/>
  <c r="F85" i="152"/>
  <c r="D188" i="153"/>
  <c r="C152" i="153" s="1"/>
  <c r="D43" i="153" s="1"/>
  <c r="D58" i="153"/>
  <c r="D83" i="153" s="1"/>
  <c r="G83" i="153" s="1"/>
  <c r="D40" i="147"/>
  <c r="G85" i="147"/>
  <c r="F34" i="149"/>
  <c r="G67" i="170"/>
  <c r="G25" i="170"/>
  <c r="E85" i="151"/>
  <c r="F85" i="151"/>
  <c r="E67" i="169"/>
  <c r="E25" i="169"/>
  <c r="F78" i="169"/>
  <c r="G33" i="143"/>
  <c r="E85" i="147"/>
  <c r="E34" i="149"/>
  <c r="I38" i="169"/>
  <c r="I38" i="170"/>
  <c r="F23" i="101"/>
  <c r="O204" i="100" s="1"/>
  <c r="W54" i="178"/>
  <c r="F8" i="101"/>
  <c r="Q204" i="100" s="1"/>
  <c r="I14" i="101"/>
  <c r="J291" i="100" s="1"/>
  <c r="W24" i="101"/>
  <c r="E24" i="101"/>
  <c r="AE54" i="178"/>
  <c r="G23" i="101"/>
  <c r="O205" i="100" s="1"/>
  <c r="I24" i="101"/>
  <c r="U207" i="100" s="1"/>
  <c r="I25" i="101"/>
  <c r="K207" i="100" s="1"/>
  <c r="AE53" i="178"/>
  <c r="W53" i="178"/>
  <c r="T53" i="178"/>
  <c r="H26" i="101"/>
  <c r="I8" i="101"/>
  <c r="Y207" i="100" s="1"/>
  <c r="J120" i="3"/>
  <c r="W17" i="101"/>
  <c r="I17" i="101"/>
  <c r="E17" i="101"/>
  <c r="J17" i="101"/>
  <c r="F17" i="101"/>
  <c r="H17" i="101"/>
  <c r="T51" i="178"/>
  <c r="J14" i="101"/>
  <c r="F14" i="101"/>
  <c r="G14" i="101"/>
  <c r="H14" i="101"/>
  <c r="W14" i="101"/>
  <c r="E14" i="101"/>
  <c r="AE51" i="178"/>
  <c r="T52" i="178"/>
  <c r="W16" i="101"/>
  <c r="I16" i="101"/>
  <c r="S291" i="100" s="1"/>
  <c r="E16" i="101"/>
  <c r="S68" i="100" s="1"/>
  <c r="J16" i="101"/>
  <c r="S292" i="100" s="1"/>
  <c r="F16" i="101"/>
  <c r="S288" i="100" s="1"/>
  <c r="H16" i="101"/>
  <c r="S290" i="100" s="1"/>
  <c r="G16" i="101"/>
  <c r="S289" i="100" s="1"/>
  <c r="G17" i="101"/>
  <c r="J25" i="101"/>
  <c r="F25" i="101"/>
  <c r="G25" i="101"/>
  <c r="H25" i="101"/>
  <c r="W25" i="101"/>
  <c r="E25" i="101"/>
  <c r="W27" i="101"/>
  <c r="I27" i="101"/>
  <c r="K291" i="100" s="1"/>
  <c r="E27" i="101"/>
  <c r="K68" i="100" s="1"/>
  <c r="J27" i="101"/>
  <c r="K292" i="100" s="1"/>
  <c r="F27" i="101"/>
  <c r="K288" i="100" s="1"/>
  <c r="H27" i="101"/>
  <c r="K290" i="100" s="1"/>
  <c r="G27" i="101"/>
  <c r="K289" i="100" s="1"/>
  <c r="H15" i="101"/>
  <c r="F24" i="101"/>
  <c r="J23" i="101"/>
  <c r="J8" i="101"/>
  <c r="J24" i="101"/>
  <c r="W26" i="101"/>
  <c r="I26" i="101"/>
  <c r="E26" i="101"/>
  <c r="J26" i="101"/>
  <c r="F26" i="101"/>
  <c r="G26" i="101"/>
  <c r="H23" i="101"/>
  <c r="H24" i="101"/>
  <c r="H8" i="101"/>
  <c r="Z63" i="100"/>
  <c r="E23" i="101"/>
  <c r="I23" i="101"/>
  <c r="BQ15" i="99"/>
  <c r="AE70" i="3"/>
  <c r="AH83" i="3"/>
  <c r="Z119" i="3"/>
  <c r="AH70" i="3"/>
  <c r="AB54" i="178"/>
  <c r="AB51" i="178"/>
  <c r="AB67" i="178"/>
  <c r="AB79" i="178"/>
  <c r="AB73" i="178"/>
  <c r="AB61" i="178"/>
  <c r="AB59" i="178"/>
  <c r="AB77" i="178"/>
  <c r="AB75" i="178"/>
  <c r="AB65" i="178"/>
  <c r="AB53" i="178"/>
  <c r="AB82" i="178"/>
  <c r="AB81" i="178"/>
  <c r="AB80" i="178"/>
  <c r="AB78" i="178"/>
  <c r="AB76" i="178"/>
  <c r="AB74" i="178"/>
  <c r="AB72" i="178"/>
  <c r="AB71" i="178"/>
  <c r="AB70" i="178"/>
  <c r="AB69" i="178"/>
  <c r="AB68" i="178"/>
  <c r="AB66" i="178"/>
  <c r="AB64" i="178"/>
  <c r="AB63" i="178"/>
  <c r="AB62" i="178"/>
  <c r="AB60" i="178"/>
  <c r="AB58" i="178"/>
  <c r="AB57" i="178"/>
  <c r="AB56" i="178"/>
  <c r="AB55" i="178"/>
  <c r="AB52" i="178"/>
  <c r="C163" i="14"/>
  <c r="E155" i="14" s="1"/>
  <c r="D31" i="105" s="1"/>
  <c r="D86" i="105" s="1"/>
  <c r="G6" i="76"/>
  <c r="C15" i="97"/>
  <c r="AZ15" i="97"/>
  <c r="BY15" i="99"/>
  <c r="DP15" i="99"/>
  <c r="BF15" i="97"/>
  <c r="DC15" i="97"/>
  <c r="DF15" i="97"/>
  <c r="B15" i="97"/>
  <c r="DH15" i="99"/>
  <c r="Z15" i="99"/>
  <c r="AH15" i="99"/>
  <c r="R15" i="97"/>
  <c r="BP15" i="97"/>
  <c r="S15" i="97"/>
  <c r="BV15" i="97"/>
  <c r="AB15" i="97"/>
  <c r="CE15" i="97"/>
  <c r="AG15" i="97"/>
  <c r="CF15" i="97"/>
  <c r="AS15" i="97"/>
  <c r="CU15" i="97"/>
  <c r="AX15" i="97"/>
  <c r="CV15" i="97"/>
  <c r="AA15" i="99"/>
  <c r="BR15" i="99"/>
  <c r="DN15" i="99"/>
  <c r="AB15" i="99"/>
  <c r="BX15" i="99"/>
  <c r="DO15" i="99"/>
  <c r="D15" i="99"/>
  <c r="AZ15" i="99"/>
  <c r="CQ15" i="99"/>
  <c r="C15" i="99"/>
  <c r="AT15" i="99"/>
  <c r="CP15" i="99"/>
  <c r="J15" i="99"/>
  <c r="BA15" i="99"/>
  <c r="CR15" i="99"/>
  <c r="K15" i="99"/>
  <c r="BB15" i="99"/>
  <c r="CX15" i="99"/>
  <c r="Y15" i="97"/>
  <c r="AY15" i="97"/>
  <c r="BY15" i="97"/>
  <c r="CW15" i="97"/>
  <c r="I15" i="97"/>
  <c r="AH15" i="97"/>
  <c r="BI15" i="97"/>
  <c r="CG15" i="97"/>
  <c r="DK15" i="97"/>
  <c r="L15" i="97"/>
  <c r="AI15" i="97"/>
  <c r="BN15" i="97"/>
  <c r="CM15" i="97"/>
  <c r="DL15" i="97"/>
  <c r="Q15" i="97"/>
  <c r="AP15" i="97"/>
  <c r="BO15" i="97"/>
  <c r="CP15" i="97"/>
  <c r="DM15" i="97"/>
  <c r="H70" i="3"/>
  <c r="AH63" i="100"/>
  <c r="G125" i="108"/>
  <c r="G126" i="108" s="1"/>
  <c r="G131" i="108" s="1"/>
  <c r="C153" i="174"/>
  <c r="M166" i="174" s="1"/>
  <c r="N166" i="174" s="1"/>
  <c r="D43" i="174"/>
  <c r="D85" i="174" s="1"/>
  <c r="E84" i="150"/>
  <c r="F33" i="142"/>
  <c r="E86" i="144"/>
  <c r="F132" i="25"/>
  <c r="F132" i="160" s="1"/>
  <c r="F145" i="25"/>
  <c r="F145" i="28" s="1"/>
  <c r="E84" i="176"/>
  <c r="D115" i="161"/>
  <c r="E151" i="28"/>
  <c r="E31" i="150"/>
  <c r="F31" i="150"/>
  <c r="E59" i="176"/>
  <c r="F59" i="176" s="1"/>
  <c r="G59" i="176" s="1"/>
  <c r="G33" i="142"/>
  <c r="G33" i="144"/>
  <c r="E61" i="144"/>
  <c r="F86" i="144"/>
  <c r="F31" i="145"/>
  <c r="F34" i="145"/>
  <c r="G40" i="148"/>
  <c r="G84" i="150"/>
  <c r="F33" i="175"/>
  <c r="G34" i="176"/>
  <c r="F86" i="176"/>
  <c r="F135" i="25"/>
  <c r="F136" i="25" s="1"/>
  <c r="F151" i="25"/>
  <c r="F151" i="160" s="1"/>
  <c r="E132" i="159"/>
  <c r="E135" i="159"/>
  <c r="E151" i="160"/>
  <c r="D87" i="39"/>
  <c r="E40" i="148"/>
  <c r="G61" i="175"/>
  <c r="E86" i="176"/>
  <c r="G89" i="39"/>
  <c r="F61" i="144"/>
  <c r="G34" i="145"/>
  <c r="E38" i="148"/>
  <c r="G34" i="174"/>
  <c r="K168" i="174"/>
  <c r="F78" i="175"/>
  <c r="G89" i="175"/>
  <c r="D158" i="25"/>
  <c r="D158" i="160" s="1"/>
  <c r="E149" i="159"/>
  <c r="E134" i="160"/>
  <c r="D87" i="172"/>
  <c r="E134" i="159"/>
  <c r="E87" i="172"/>
  <c r="E88" i="39"/>
  <c r="E145" i="160"/>
  <c r="E89" i="144"/>
  <c r="E33" i="148"/>
  <c r="F149" i="25"/>
  <c r="F149" i="28" s="1"/>
  <c r="E153" i="159"/>
  <c r="F87" i="172"/>
  <c r="E101" i="172"/>
  <c r="E100" i="172" s="1"/>
  <c r="F88" i="39"/>
  <c r="F88" i="94"/>
  <c r="D87" i="173"/>
  <c r="E43" i="147"/>
  <c r="G58" i="146"/>
  <c r="D191" i="149"/>
  <c r="C152" i="149" s="1"/>
  <c r="D43" i="149" s="1"/>
  <c r="G43" i="149" s="1"/>
  <c r="G85" i="151"/>
  <c r="G34" i="154"/>
  <c r="D66" i="155"/>
  <c r="D83" i="155" s="1"/>
  <c r="G31" i="158"/>
  <c r="E32" i="149"/>
  <c r="G33" i="153"/>
  <c r="G85" i="146"/>
  <c r="F32" i="149"/>
  <c r="F77" i="146"/>
  <c r="G32" i="147"/>
  <c r="F32" i="157"/>
  <c r="G83" i="151"/>
  <c r="G33" i="156"/>
  <c r="G33" i="158"/>
  <c r="F38" i="151"/>
  <c r="E33" i="156"/>
  <c r="E77" i="146"/>
  <c r="E32" i="157"/>
  <c r="G38" i="151"/>
  <c r="F83" i="151"/>
  <c r="F32" i="152"/>
  <c r="D84" i="151"/>
  <c r="D86" i="151" s="1"/>
  <c r="G86" i="151" s="1"/>
  <c r="F37" i="153"/>
  <c r="G32" i="154"/>
  <c r="E31" i="156"/>
  <c r="D83" i="158"/>
  <c r="G83" i="158" s="1"/>
  <c r="F85" i="146"/>
  <c r="E85" i="149"/>
  <c r="F32" i="147"/>
  <c r="E37" i="147"/>
  <c r="G85" i="149"/>
  <c r="F33" i="158"/>
  <c r="D187" i="157"/>
  <c r="C151" i="157" s="1"/>
  <c r="D43" i="157" s="1"/>
  <c r="E43" i="157" s="1"/>
  <c r="H116" i="108"/>
  <c r="D124" i="108"/>
  <c r="D129" i="108" s="1"/>
  <c r="G109" i="108"/>
  <c r="G114" i="108" s="1"/>
  <c r="F124" i="108"/>
  <c r="F129" i="108" s="1"/>
  <c r="D109" i="108"/>
  <c r="D114" i="108" s="1"/>
  <c r="D89" i="108" s="1"/>
  <c r="C124" i="108"/>
  <c r="C129" i="108" s="1"/>
  <c r="E123" i="108"/>
  <c r="E128" i="108" s="1"/>
  <c r="F123" i="108"/>
  <c r="F128" i="108" s="1"/>
  <c r="G123" i="108"/>
  <c r="G128" i="108" s="1"/>
  <c r="G124" i="108"/>
  <c r="G129" i="108" s="1"/>
  <c r="D125" i="108"/>
  <c r="D130" i="108" s="1"/>
  <c r="P70" i="3"/>
  <c r="Z117" i="3"/>
  <c r="M107" i="3"/>
  <c r="U108" i="3"/>
  <c r="AC110" i="3"/>
  <c r="U112" i="3"/>
  <c r="Z116" i="3"/>
  <c r="AG63" i="100"/>
  <c r="AB110" i="3"/>
  <c r="L108" i="3"/>
  <c r="Q119" i="3"/>
  <c r="AK67" i="100"/>
  <c r="I118" i="3"/>
  <c r="I112" i="3"/>
  <c r="Q110" i="3"/>
  <c r="AG107" i="3"/>
  <c r="T77" i="3"/>
  <c r="AB107" i="3"/>
  <c r="J108" i="3"/>
  <c r="AJ79" i="3"/>
  <c r="K108" i="3"/>
  <c r="AF67" i="100"/>
  <c r="G117" i="3"/>
  <c r="L79" i="3"/>
  <c r="R117" i="3"/>
  <c r="R119" i="3"/>
  <c r="G110" i="3"/>
  <c r="O109" i="3"/>
  <c r="W112" i="3"/>
  <c r="AM110" i="3"/>
  <c r="AB67" i="100"/>
  <c r="AJ67" i="100"/>
  <c r="P112" i="3"/>
  <c r="X111" i="3"/>
  <c r="AN112" i="3"/>
  <c r="L80" i="3"/>
  <c r="AB63" i="100"/>
  <c r="AJ63" i="100"/>
  <c r="K112" i="3"/>
  <c r="O119" i="3"/>
  <c r="L78" i="3"/>
  <c r="M112" i="3"/>
  <c r="U107" i="3"/>
  <c r="AC107" i="3"/>
  <c r="T78" i="3"/>
  <c r="T81" i="3"/>
  <c r="L81" i="3"/>
  <c r="AB81" i="3"/>
  <c r="AJ118" i="3"/>
  <c r="AK63" i="100"/>
  <c r="AA63" i="100"/>
  <c r="AI63" i="100"/>
  <c r="Z67" i="100"/>
  <c r="AH67" i="100"/>
  <c r="AG67" i="100"/>
  <c r="G107" i="3"/>
  <c r="F107" i="3"/>
  <c r="N107" i="3"/>
  <c r="V109" i="3"/>
  <c r="AL111" i="3"/>
  <c r="S118" i="3"/>
  <c r="AA77" i="3"/>
  <c r="R118" i="3"/>
  <c r="V117" i="3"/>
  <c r="J70" i="3"/>
  <c r="AN78" i="3"/>
  <c r="T80" i="3"/>
  <c r="W117" i="3"/>
  <c r="L120" i="3"/>
  <c r="AE107" i="3"/>
  <c r="AF63" i="100"/>
  <c r="X80" i="3"/>
  <c r="X117" i="3"/>
  <c r="AG120" i="3"/>
  <c r="AA80" i="3"/>
  <c r="X77" i="3"/>
  <c r="J118" i="3"/>
  <c r="D84" i="156"/>
  <c r="D86" i="156" s="1"/>
  <c r="E38" i="156"/>
  <c r="F38" i="156" s="1"/>
  <c r="G38" i="156" s="1"/>
  <c r="G58" i="157"/>
  <c r="E58" i="157"/>
  <c r="F58" i="157"/>
  <c r="F34" i="153"/>
  <c r="E34" i="153"/>
  <c r="G34" i="153"/>
  <c r="G43" i="153"/>
  <c r="F43" i="153"/>
  <c r="F85" i="156"/>
  <c r="G85" i="156"/>
  <c r="E85" i="156"/>
  <c r="F34" i="158"/>
  <c r="E34" i="158"/>
  <c r="G34" i="158"/>
  <c r="D84" i="157"/>
  <c r="E32" i="151"/>
  <c r="G37" i="153"/>
  <c r="F88" i="153"/>
  <c r="G88" i="153"/>
  <c r="E88" i="153"/>
  <c r="F33" i="155"/>
  <c r="G33" i="155"/>
  <c r="F32" i="151"/>
  <c r="F34" i="152"/>
  <c r="E83" i="152"/>
  <c r="E85" i="154"/>
  <c r="F85" i="154"/>
  <c r="G85" i="154"/>
  <c r="E33" i="155"/>
  <c r="G85" i="157"/>
  <c r="E85" i="157"/>
  <c r="F85" i="157"/>
  <c r="G31" i="155"/>
  <c r="F31" i="155"/>
  <c r="F43" i="156"/>
  <c r="E43" i="156"/>
  <c r="E31" i="146"/>
  <c r="E83" i="147"/>
  <c r="E41" i="154"/>
  <c r="F41" i="154" s="1"/>
  <c r="G41" i="154" s="1"/>
  <c r="F31" i="146"/>
  <c r="D84" i="146"/>
  <c r="D86" i="146" s="1"/>
  <c r="G33" i="147"/>
  <c r="F33" i="147"/>
  <c r="E33" i="147"/>
  <c r="F83" i="154"/>
  <c r="G83" i="154"/>
  <c r="E83" i="154"/>
  <c r="G85" i="155"/>
  <c r="F85" i="155"/>
  <c r="E85" i="155"/>
  <c r="D84" i="158"/>
  <c r="G43" i="158"/>
  <c r="G84" i="158" s="1"/>
  <c r="F43" i="158"/>
  <c r="F84" i="158" s="1"/>
  <c r="E43" i="158"/>
  <c r="E84" i="158" s="1"/>
  <c r="G43" i="147"/>
  <c r="F43" i="147"/>
  <c r="F88" i="149"/>
  <c r="G88" i="149"/>
  <c r="E34" i="152"/>
  <c r="E43" i="153"/>
  <c r="E33" i="146"/>
  <c r="D67" i="149"/>
  <c r="D83" i="149" s="1"/>
  <c r="D83" i="157"/>
  <c r="F83" i="152"/>
  <c r="D31" i="153"/>
  <c r="F32" i="153"/>
  <c r="G32" i="153"/>
  <c r="E32" i="153"/>
  <c r="F83" i="156"/>
  <c r="E83" i="156"/>
  <c r="G83" i="156"/>
  <c r="G88" i="146"/>
  <c r="F88" i="146"/>
  <c r="E88" i="146"/>
  <c r="E33" i="154"/>
  <c r="G33" i="154"/>
  <c r="F33" i="154"/>
  <c r="E31" i="147"/>
  <c r="G31" i="147"/>
  <c r="F31" i="147"/>
  <c r="G88" i="147"/>
  <c r="F88" i="147"/>
  <c r="E88" i="151"/>
  <c r="G88" i="151"/>
  <c r="F88" i="151"/>
  <c r="G83" i="152"/>
  <c r="D84" i="153"/>
  <c r="F31" i="154"/>
  <c r="G31" i="154"/>
  <c r="E31" i="154"/>
  <c r="E41" i="155"/>
  <c r="F41" i="155" s="1"/>
  <c r="G41" i="155" s="1"/>
  <c r="D84" i="155"/>
  <c r="E32" i="158"/>
  <c r="F32" i="158"/>
  <c r="G32" i="158"/>
  <c r="E88" i="147"/>
  <c r="E34" i="151"/>
  <c r="F84" i="151"/>
  <c r="E32" i="152"/>
  <c r="G43" i="152"/>
  <c r="F43" i="152"/>
  <c r="D84" i="152"/>
  <c r="E43" i="152"/>
  <c r="G43" i="155"/>
  <c r="F43" i="155"/>
  <c r="E43" i="155"/>
  <c r="G43" i="156"/>
  <c r="E32" i="156"/>
  <c r="E34" i="156"/>
  <c r="E60" i="146"/>
  <c r="E31" i="149"/>
  <c r="E33" i="149"/>
  <c r="E31" i="157"/>
  <c r="E33" i="157"/>
  <c r="E39" i="151"/>
  <c r="E43" i="151"/>
  <c r="E88" i="152"/>
  <c r="F32" i="156"/>
  <c r="F34" i="156"/>
  <c r="E85" i="158"/>
  <c r="E32" i="146"/>
  <c r="E34" i="146"/>
  <c r="F60" i="146"/>
  <c r="F37" i="147"/>
  <c r="F31" i="149"/>
  <c r="F33" i="149"/>
  <c r="F31" i="157"/>
  <c r="F33" i="157"/>
  <c r="E31" i="151"/>
  <c r="E33" i="151"/>
  <c r="F39" i="151"/>
  <c r="F43" i="151"/>
  <c r="E31" i="152"/>
  <c r="E33" i="152"/>
  <c r="F88" i="152"/>
  <c r="E32" i="155"/>
  <c r="E34" i="155"/>
  <c r="F85" i="158"/>
  <c r="F32" i="146"/>
  <c r="F34" i="146"/>
  <c r="G60" i="146"/>
  <c r="F31" i="151"/>
  <c r="F33" i="151"/>
  <c r="F31" i="152"/>
  <c r="F33" i="152"/>
  <c r="E33" i="153"/>
  <c r="E85" i="153"/>
  <c r="E32" i="154"/>
  <c r="E34" i="154"/>
  <c r="E88" i="154"/>
  <c r="F32" i="155"/>
  <c r="F34" i="155"/>
  <c r="E88" i="155"/>
  <c r="F102" i="146"/>
  <c r="E102" i="157"/>
  <c r="F102" i="157"/>
  <c r="F102" i="152"/>
  <c r="G102" i="154"/>
  <c r="E102" i="146"/>
  <c r="G43" i="144"/>
  <c r="G85" i="144" s="1"/>
  <c r="F43" i="144"/>
  <c r="F85" i="144" s="1"/>
  <c r="D85" i="144"/>
  <c r="E43" i="144"/>
  <c r="E85" i="144" s="1"/>
  <c r="G43" i="142"/>
  <c r="D85" i="142"/>
  <c r="F43" i="142"/>
  <c r="E43" i="142"/>
  <c r="G32" i="150"/>
  <c r="F32" i="150"/>
  <c r="E32" i="150"/>
  <c r="G85" i="175"/>
  <c r="F85" i="175"/>
  <c r="E85" i="175"/>
  <c r="G31" i="175"/>
  <c r="F31" i="175"/>
  <c r="E31" i="175"/>
  <c r="G87" i="145"/>
  <c r="F87" i="145"/>
  <c r="G86" i="150"/>
  <c r="E86" i="150"/>
  <c r="F86" i="150"/>
  <c r="F32" i="176"/>
  <c r="G32" i="176"/>
  <c r="E136" i="159"/>
  <c r="E136" i="160"/>
  <c r="E137" i="25"/>
  <c r="E136" i="28"/>
  <c r="G43" i="143"/>
  <c r="F43" i="143"/>
  <c r="E43" i="143"/>
  <c r="G31" i="142"/>
  <c r="E87" i="145"/>
  <c r="G89" i="148"/>
  <c r="F89" i="148"/>
  <c r="E89" i="148"/>
  <c r="G88" i="145"/>
  <c r="F88" i="145"/>
  <c r="E88" i="145"/>
  <c r="C153" i="176"/>
  <c r="D43" i="176" s="1"/>
  <c r="D85" i="176" s="1"/>
  <c r="D87" i="176" s="1"/>
  <c r="F189" i="176"/>
  <c r="L86" i="142"/>
  <c r="G34" i="150"/>
  <c r="F34" i="150"/>
  <c r="E34" i="150"/>
  <c r="D88" i="175"/>
  <c r="E150" i="28"/>
  <c r="F150" i="25"/>
  <c r="E150" i="159"/>
  <c r="F32" i="144"/>
  <c r="E32" i="144"/>
  <c r="G32" i="144"/>
  <c r="F31" i="148"/>
  <c r="G31" i="148"/>
  <c r="G85" i="150"/>
  <c r="F85" i="150"/>
  <c r="D88" i="150"/>
  <c r="E31" i="142"/>
  <c r="G88" i="39"/>
  <c r="G87" i="39"/>
  <c r="D87" i="94"/>
  <c r="D88" i="94"/>
  <c r="F31" i="142"/>
  <c r="F152" i="25"/>
  <c r="E152" i="159"/>
  <c r="E152" i="160"/>
  <c r="E152" i="28"/>
  <c r="G78" i="143"/>
  <c r="F78" i="143"/>
  <c r="E78" i="143"/>
  <c r="F86" i="142"/>
  <c r="L87" i="142"/>
  <c r="E86" i="142"/>
  <c r="F34" i="144"/>
  <c r="E34" i="144"/>
  <c r="D87" i="150"/>
  <c r="E32" i="176"/>
  <c r="G34" i="148"/>
  <c r="G102" i="148" s="1"/>
  <c r="F34" i="148"/>
  <c r="G43" i="148"/>
  <c r="F43" i="148"/>
  <c r="E43" i="148"/>
  <c r="D85" i="148"/>
  <c r="G54" i="175"/>
  <c r="F54" i="175"/>
  <c r="F145" i="159"/>
  <c r="F34" i="143"/>
  <c r="E34" i="143"/>
  <c r="G34" i="143"/>
  <c r="G85" i="145"/>
  <c r="F85" i="145"/>
  <c r="E85" i="145"/>
  <c r="E34" i="148"/>
  <c r="F43" i="150"/>
  <c r="E43" i="150"/>
  <c r="G43" i="150"/>
  <c r="E33" i="175"/>
  <c r="E54" i="175"/>
  <c r="F84" i="175"/>
  <c r="E84" i="175"/>
  <c r="D87" i="175"/>
  <c r="G84" i="175"/>
  <c r="F32" i="142"/>
  <c r="E32" i="142"/>
  <c r="G89" i="142"/>
  <c r="F89" i="142"/>
  <c r="F33" i="174"/>
  <c r="E33" i="174"/>
  <c r="E86" i="174"/>
  <c r="G86" i="174"/>
  <c r="E136" i="161"/>
  <c r="D136" i="161"/>
  <c r="F136" i="161"/>
  <c r="F134" i="28"/>
  <c r="F134" i="160"/>
  <c r="D158" i="159"/>
  <c r="G32" i="142"/>
  <c r="E89" i="142"/>
  <c r="G32" i="148"/>
  <c r="F32" i="148"/>
  <c r="G33" i="174"/>
  <c r="G134" i="25"/>
  <c r="E33" i="144"/>
  <c r="D84" i="144"/>
  <c r="G59" i="144"/>
  <c r="F59" i="144"/>
  <c r="E33" i="145"/>
  <c r="E86" i="145"/>
  <c r="E32" i="148"/>
  <c r="O165" i="174"/>
  <c r="O168" i="174" s="1"/>
  <c r="N165" i="174"/>
  <c r="E34" i="176"/>
  <c r="F32" i="143"/>
  <c r="E32" i="143"/>
  <c r="E59" i="144"/>
  <c r="E31" i="145"/>
  <c r="F33" i="145"/>
  <c r="F43" i="145"/>
  <c r="G89" i="145"/>
  <c r="F89" i="145"/>
  <c r="F31" i="176"/>
  <c r="E31" i="176"/>
  <c r="E219" i="161"/>
  <c r="D187" i="161" s="1"/>
  <c r="E154" i="159"/>
  <c r="E154" i="160"/>
  <c r="F154" i="25"/>
  <c r="D160" i="160"/>
  <c r="E88" i="172"/>
  <c r="E88" i="94"/>
  <c r="G88" i="173"/>
  <c r="G87" i="173"/>
  <c r="G32" i="143"/>
  <c r="E144" i="159"/>
  <c r="E144" i="160"/>
  <c r="E85" i="38"/>
  <c r="D85" i="38"/>
  <c r="G89" i="150"/>
  <c r="F89" i="150"/>
  <c r="E34" i="174"/>
  <c r="E61" i="175"/>
  <c r="E89" i="175"/>
  <c r="F144" i="25"/>
  <c r="E146" i="25"/>
  <c r="E158" i="25" s="1"/>
  <c r="F88" i="172"/>
  <c r="E33" i="143"/>
  <c r="F31" i="174"/>
  <c r="E31" i="174"/>
  <c r="F86" i="175"/>
  <c r="E86" i="175"/>
  <c r="D161" i="25"/>
  <c r="D159" i="25"/>
  <c r="D157" i="25"/>
  <c r="D125" i="25"/>
  <c r="F40" i="174"/>
  <c r="E40" i="174"/>
  <c r="F61" i="175"/>
  <c r="F33" i="176"/>
  <c r="E33" i="176"/>
  <c r="D136" i="160"/>
  <c r="D137" i="25"/>
  <c r="D162" i="25"/>
  <c r="E144" i="28"/>
  <c r="E132" i="160"/>
  <c r="G88" i="172"/>
  <c r="F89" i="143"/>
  <c r="E89" i="143"/>
  <c r="E145" i="159"/>
  <c r="I135" i="159"/>
  <c r="G103" i="143"/>
  <c r="E100" i="176"/>
  <c r="J217" i="161"/>
  <c r="D125" i="160"/>
  <c r="I134" i="159"/>
  <c r="J202" i="161"/>
  <c r="F103" i="143"/>
  <c r="J204" i="161"/>
  <c r="J207" i="161"/>
  <c r="J210" i="161"/>
  <c r="J213" i="161"/>
  <c r="D125" i="28"/>
  <c r="D125" i="159"/>
  <c r="I154" i="28"/>
  <c r="J205" i="161"/>
  <c r="J209" i="161"/>
  <c r="J212" i="161"/>
  <c r="J215" i="161"/>
  <c r="J218" i="161"/>
  <c r="F102" i="172"/>
  <c r="F101" i="172"/>
  <c r="G101" i="172"/>
  <c r="G102" i="172"/>
  <c r="D135" i="175"/>
  <c r="D140" i="175" s="1"/>
  <c r="E100" i="145"/>
  <c r="E115" i="161"/>
  <c r="F100" i="145"/>
  <c r="F115" i="161"/>
  <c r="D219" i="161"/>
  <c r="M169" i="159"/>
  <c r="N169" i="159" s="1"/>
  <c r="M171" i="159"/>
  <c r="N171" i="159" s="1"/>
  <c r="G115" i="161"/>
  <c r="D101" i="172"/>
  <c r="D102" i="172"/>
  <c r="I149" i="159"/>
  <c r="I149" i="160"/>
  <c r="I153" i="159"/>
  <c r="F89" i="38"/>
  <c r="F103" i="144"/>
  <c r="J208" i="161"/>
  <c r="J216" i="161"/>
  <c r="I154" i="160"/>
  <c r="D31" i="143"/>
  <c r="E103" i="144"/>
  <c r="J203" i="161"/>
  <c r="J211" i="161"/>
  <c r="G100" i="175"/>
  <c r="F100" i="176"/>
  <c r="J206" i="161"/>
  <c r="C110" i="108"/>
  <c r="C115" i="108" s="1"/>
  <c r="C90" i="108" s="1"/>
  <c r="D111" i="108"/>
  <c r="D116" i="108" s="1"/>
  <c r="D91" i="108" s="1"/>
  <c r="C109" i="108"/>
  <c r="C114" i="108" s="1"/>
  <c r="D110" i="108"/>
  <c r="D115" i="108" s="1"/>
  <c r="D90" i="108" s="1"/>
  <c r="E111" i="108"/>
  <c r="E116" i="108" s="1"/>
  <c r="E91" i="108" s="1"/>
  <c r="C125" i="108"/>
  <c r="C130" i="108" s="1"/>
  <c r="C111" i="108"/>
  <c r="C116" i="108" s="1"/>
  <c r="H126" i="108"/>
  <c r="H131" i="108" s="1"/>
  <c r="E110" i="108"/>
  <c r="E115" i="108" s="1"/>
  <c r="E90" i="108" s="1"/>
  <c r="F111" i="108"/>
  <c r="F112" i="108" s="1"/>
  <c r="F117" i="108" s="1"/>
  <c r="F92" i="108" s="1"/>
  <c r="E109" i="108"/>
  <c r="E114" i="108" s="1"/>
  <c r="F110" i="108"/>
  <c r="F115" i="108" s="1"/>
  <c r="C123" i="108"/>
  <c r="C128" i="108" s="1"/>
  <c r="E125" i="108"/>
  <c r="E126" i="108" s="1"/>
  <c r="E131" i="108" s="1"/>
  <c r="C70" i="108"/>
  <c r="E68" i="108"/>
  <c r="E40" i="108" s="1"/>
  <c r="D70" i="108"/>
  <c r="E70" i="108"/>
  <c r="H70" i="108"/>
  <c r="H92" i="108"/>
  <c r="D68" i="108"/>
  <c r="D40" i="108" s="1"/>
  <c r="G65" i="108"/>
  <c r="G64" i="108"/>
  <c r="G39" i="108" s="1"/>
  <c r="H65" i="108"/>
  <c r="H64" i="108"/>
  <c r="H39" i="108" s="1"/>
  <c r="C65" i="108"/>
  <c r="C64" i="108"/>
  <c r="C39" i="108" s="1"/>
  <c r="D65" i="108"/>
  <c r="D64" i="108"/>
  <c r="D39" i="108" s="1"/>
  <c r="E65" i="108"/>
  <c r="E64" i="108"/>
  <c r="E39" i="108" s="1"/>
  <c r="F65" i="108"/>
  <c r="F64" i="108"/>
  <c r="F39" i="108" s="1"/>
  <c r="G69" i="108"/>
  <c r="F68" i="108"/>
  <c r="F40" i="108" s="1"/>
  <c r="G68" i="108"/>
  <c r="H68" i="108"/>
  <c r="H40" i="108" s="1"/>
  <c r="F70" i="108"/>
  <c r="C69" i="108"/>
  <c r="C40" i="108" s="1"/>
  <c r="L15" i="99"/>
  <c r="AI15" i="99"/>
  <c r="BH15" i="99"/>
  <c r="BZ15" i="99"/>
  <c r="CY15" i="99"/>
  <c r="R15" i="99"/>
  <c r="AJ15" i="99"/>
  <c r="BI15" i="99"/>
  <c r="CH15" i="99"/>
  <c r="CZ15" i="99"/>
  <c r="S15" i="99"/>
  <c r="AR15" i="99"/>
  <c r="BJ15" i="99"/>
  <c r="CI15" i="99"/>
  <c r="DF15" i="99"/>
  <c r="B15" i="99"/>
  <c r="CD15" i="99" s="1"/>
  <c r="T15" i="99"/>
  <c r="AS15" i="99"/>
  <c r="BP15" i="99"/>
  <c r="CJ15" i="99"/>
  <c r="DG15" i="99"/>
  <c r="T15" i="98"/>
  <c r="BB15" i="98"/>
  <c r="CJ15" i="98"/>
  <c r="DP15" i="98"/>
  <c r="BI15" i="98"/>
  <c r="D15" i="98"/>
  <c r="AJ15" i="98"/>
  <c r="BR15" i="98"/>
  <c r="CZ15" i="98"/>
  <c r="BJ15" i="98"/>
  <c r="K15" i="98"/>
  <c r="AS15" i="98"/>
  <c r="BY15" i="98"/>
  <c r="DG15" i="98"/>
  <c r="AI15" i="98"/>
  <c r="L15" i="98"/>
  <c r="AT15" i="98"/>
  <c r="BZ15" i="98"/>
  <c r="DH15" i="98"/>
  <c r="AA15" i="98"/>
  <c r="CQ15" i="98"/>
  <c r="AB15" i="98"/>
  <c r="CR15" i="98"/>
  <c r="C15" i="98"/>
  <c r="BQ15" i="98"/>
  <c r="CY15" i="98"/>
  <c r="S15" i="98"/>
  <c r="BA15" i="98"/>
  <c r="CI15" i="98"/>
  <c r="DO15" i="98"/>
  <c r="D15" i="97"/>
  <c r="T15" i="97"/>
  <c r="AJ15" i="97"/>
  <c r="BA15" i="97"/>
  <c r="BQ15" i="97"/>
  <c r="CH15" i="97"/>
  <c r="CX15" i="97"/>
  <c r="DN15" i="97"/>
  <c r="J15" i="97"/>
  <c r="Z15" i="97"/>
  <c r="AQ15" i="97"/>
  <c r="BG15" i="97"/>
  <c r="BW15" i="97"/>
  <c r="CN15" i="97"/>
  <c r="DD15" i="97"/>
  <c r="K15" i="97"/>
  <c r="AA15" i="97"/>
  <c r="AR15" i="97"/>
  <c r="BH15" i="97"/>
  <c r="BX15" i="97"/>
  <c r="CO15" i="97"/>
  <c r="DE15" i="97"/>
  <c r="E86" i="143"/>
  <c r="G86" i="143"/>
  <c r="F86" i="143"/>
  <c r="D85" i="143"/>
  <c r="D87" i="143" s="1"/>
  <c r="AM108" i="3"/>
  <c r="O108" i="3"/>
  <c r="W109" i="3"/>
  <c r="S111" i="3"/>
  <c r="V111" i="3"/>
  <c r="AA112" i="3"/>
  <c r="R107" i="3"/>
  <c r="AC77" i="3"/>
  <c r="AE78" i="3"/>
  <c r="AC80" i="3"/>
  <c r="R81" i="3"/>
  <c r="G108" i="3"/>
  <c r="V110" i="3"/>
  <c r="AM116" i="3"/>
  <c r="T118" i="3"/>
  <c r="T119" i="3"/>
  <c r="S115" i="3"/>
  <c r="U77" i="3"/>
  <c r="L118" i="3"/>
  <c r="T120" i="3"/>
  <c r="AA67" i="100"/>
  <c r="W107" i="3"/>
  <c r="G109" i="3"/>
  <c r="AB115" i="3"/>
  <c r="AB150" i="3" s="1"/>
  <c r="AA116" i="3"/>
  <c r="AA120" i="3"/>
  <c r="AM107" i="3"/>
  <c r="O107" i="3"/>
  <c r="W108" i="3"/>
  <c r="AE109" i="3"/>
  <c r="X78" i="3"/>
  <c r="M81" i="3"/>
  <c r="AM81" i="3"/>
  <c r="N110" i="3"/>
  <c r="N112" i="3"/>
  <c r="AB120" i="3"/>
  <c r="O110" i="3"/>
  <c r="AE112" i="3"/>
  <c r="J115" i="3"/>
  <c r="J116" i="3"/>
  <c r="J117" i="3"/>
  <c r="AJ117" i="3"/>
  <c r="AG118" i="3"/>
  <c r="AJ120" i="3"/>
  <c r="AC79" i="3"/>
  <c r="AD109" i="3"/>
  <c r="T115" i="3"/>
  <c r="T150" i="3" s="1"/>
  <c r="L119" i="3"/>
  <c r="AI67" i="100"/>
  <c r="AM109" i="3"/>
  <c r="S112" i="3"/>
  <c r="J80" i="3"/>
  <c r="AF80" i="3"/>
  <c r="AL112" i="3"/>
  <c r="AB118" i="3"/>
  <c r="AB119" i="3"/>
  <c r="M77" i="3"/>
  <c r="AN77" i="3"/>
  <c r="AA79" i="3"/>
  <c r="AN80" i="3"/>
  <c r="AA81" i="3"/>
  <c r="AD111" i="3"/>
  <c r="R115" i="3"/>
  <c r="R150" i="3" s="1"/>
  <c r="R116" i="3"/>
  <c r="L117" i="3"/>
  <c r="AM117" i="3"/>
  <c r="AJ119" i="3"/>
  <c r="H108" i="3"/>
  <c r="H110" i="3"/>
  <c r="H111" i="3"/>
  <c r="H107" i="3"/>
  <c r="AF108" i="3"/>
  <c r="AF110" i="3"/>
  <c r="AF111" i="3"/>
  <c r="AF107" i="3"/>
  <c r="F80" i="3"/>
  <c r="F77" i="3"/>
  <c r="F81" i="3"/>
  <c r="F78" i="3"/>
  <c r="V81" i="3"/>
  <c r="V80" i="3"/>
  <c r="V77" i="3"/>
  <c r="AD78" i="3"/>
  <c r="AD81" i="3"/>
  <c r="N78" i="3"/>
  <c r="V79" i="3"/>
  <c r="P111" i="3"/>
  <c r="I107" i="3"/>
  <c r="I108" i="3"/>
  <c r="Y107" i="3"/>
  <c r="Y112" i="3"/>
  <c r="F116" i="3"/>
  <c r="F118" i="3"/>
  <c r="F117" i="3"/>
  <c r="F120" i="3"/>
  <c r="AD116" i="3"/>
  <c r="AD118" i="3"/>
  <c r="AD117" i="3"/>
  <c r="AD120" i="3"/>
  <c r="AL110" i="3"/>
  <c r="M116" i="3"/>
  <c r="AD119" i="3"/>
  <c r="J110" i="3"/>
  <c r="J112" i="3"/>
  <c r="J111" i="3"/>
  <c r="Z110" i="3"/>
  <c r="Z112" i="3"/>
  <c r="Z109" i="3"/>
  <c r="W77" i="3"/>
  <c r="AL77" i="3"/>
  <c r="W80" i="3"/>
  <c r="AF109" i="3"/>
  <c r="F115" i="3"/>
  <c r="F150" i="3" s="1"/>
  <c r="K107" i="3"/>
  <c r="K109" i="3"/>
  <c r="K110" i="3"/>
  <c r="AA107" i="3"/>
  <c r="AA109" i="3"/>
  <c r="AA108" i="3"/>
  <c r="P118" i="3"/>
  <c r="P120" i="3"/>
  <c r="P117" i="3"/>
  <c r="AF118" i="3"/>
  <c r="AF120" i="3"/>
  <c r="AF119" i="3"/>
  <c r="AM77" i="3"/>
  <c r="V78" i="3"/>
  <c r="AM80" i="3"/>
  <c r="AE81" i="3"/>
  <c r="Z108" i="3"/>
  <c r="T109" i="3"/>
  <c r="F111" i="3"/>
  <c r="AD112" i="3"/>
  <c r="U115" i="3"/>
  <c r="U150" i="3" s="1"/>
  <c r="P116" i="3"/>
  <c r="M70" i="3"/>
  <c r="L112" i="3"/>
  <c r="L107" i="3"/>
  <c r="T112" i="3"/>
  <c r="T111" i="3"/>
  <c r="T107" i="3"/>
  <c r="AB112" i="3"/>
  <c r="AB111" i="3"/>
  <c r="AJ112" i="3"/>
  <c r="I115" i="3"/>
  <c r="I117" i="3"/>
  <c r="I116" i="3"/>
  <c r="I119" i="3"/>
  <c r="Q115" i="3"/>
  <c r="Q117" i="3"/>
  <c r="Q118" i="3"/>
  <c r="Q120" i="3"/>
  <c r="Y115" i="3"/>
  <c r="Y150" i="3" s="1"/>
  <c r="Y117" i="3"/>
  <c r="Y118" i="3"/>
  <c r="AG115" i="3"/>
  <c r="AG150" i="3" s="1"/>
  <c r="AG117" i="3"/>
  <c r="AG116" i="3"/>
  <c r="W78" i="3"/>
  <c r="O79" i="3"/>
  <c r="AJ107" i="3"/>
  <c r="AB108" i="3"/>
  <c r="H109" i="3"/>
  <c r="AJ109" i="3"/>
  <c r="I111" i="3"/>
  <c r="AJ111" i="3"/>
  <c r="AL115" i="3"/>
  <c r="AL150" i="3" s="1"/>
  <c r="Q116" i="3"/>
  <c r="AF116" i="3"/>
  <c r="F119" i="3"/>
  <c r="K81" i="3"/>
  <c r="K80" i="3"/>
  <c r="K77" i="3"/>
  <c r="K79" i="3"/>
  <c r="K78" i="3"/>
  <c r="AD79" i="3"/>
  <c r="AE108" i="3"/>
  <c r="I109" i="3"/>
  <c r="K111" i="3"/>
  <c r="Y111" i="3"/>
  <c r="AF112" i="3"/>
  <c r="K115" i="3"/>
  <c r="K150" i="3" s="1"/>
  <c r="P108" i="3"/>
  <c r="P110" i="3"/>
  <c r="P109" i="3"/>
  <c r="X108" i="3"/>
  <c r="X110" i="3"/>
  <c r="X109" i="3"/>
  <c r="AN108" i="3"/>
  <c r="AN111" i="3"/>
  <c r="AN107" i="3"/>
  <c r="M119" i="3"/>
  <c r="M118" i="3"/>
  <c r="U119" i="3"/>
  <c r="U120" i="3"/>
  <c r="AC119" i="3"/>
  <c r="AC120" i="3"/>
  <c r="N81" i="3"/>
  <c r="N80" i="3"/>
  <c r="N77" i="3"/>
  <c r="AL78" i="3"/>
  <c r="AL81" i="3"/>
  <c r="Q107" i="3"/>
  <c r="Q112" i="3"/>
  <c r="Q108" i="3"/>
  <c r="N116" i="3"/>
  <c r="N118" i="3"/>
  <c r="N119" i="3"/>
  <c r="N115" i="3"/>
  <c r="N150" i="3" s="1"/>
  <c r="V116" i="3"/>
  <c r="V118" i="3"/>
  <c r="V119" i="3"/>
  <c r="V115" i="3"/>
  <c r="V150" i="3" s="1"/>
  <c r="AL116" i="3"/>
  <c r="AL118" i="3"/>
  <c r="AL117" i="3"/>
  <c r="AL120" i="3"/>
  <c r="G80" i="3"/>
  <c r="G77" i="3"/>
  <c r="O78" i="3"/>
  <c r="AL79" i="3"/>
  <c r="Q109" i="3"/>
  <c r="I110" i="3"/>
  <c r="Y110" i="3"/>
  <c r="Q111" i="3"/>
  <c r="AG111" i="3"/>
  <c r="X112" i="3"/>
  <c r="P119" i="3"/>
  <c r="M120" i="3"/>
  <c r="R110" i="3"/>
  <c r="R112" i="3"/>
  <c r="R111" i="3"/>
  <c r="G115" i="3"/>
  <c r="G150" i="3" s="1"/>
  <c r="G120" i="3"/>
  <c r="O115" i="3"/>
  <c r="O150" i="3" s="1"/>
  <c r="O117" i="3"/>
  <c r="W115" i="3"/>
  <c r="W150" i="3" s="1"/>
  <c r="W116" i="3"/>
  <c r="W118" i="3"/>
  <c r="AE115" i="3"/>
  <c r="AE150" i="3" s="1"/>
  <c r="AE120" i="3"/>
  <c r="AE116" i="3"/>
  <c r="AE119" i="3"/>
  <c r="AM115" i="3"/>
  <c r="AM150" i="3" s="1"/>
  <c r="AM120" i="3"/>
  <c r="AM79" i="3"/>
  <c r="O81" i="3"/>
  <c r="P107" i="3"/>
  <c r="Y108" i="3"/>
  <c r="R109" i="3"/>
  <c r="L110" i="3"/>
  <c r="O116" i="3"/>
  <c r="G118" i="3"/>
  <c r="N120" i="3"/>
  <c r="S107" i="3"/>
  <c r="S109" i="3"/>
  <c r="S108" i="3"/>
  <c r="H118" i="3"/>
  <c r="H120" i="3"/>
  <c r="H117" i="3"/>
  <c r="X118" i="3"/>
  <c r="X120" i="3"/>
  <c r="X119" i="3"/>
  <c r="AN118" i="3"/>
  <c r="AN120" i="3"/>
  <c r="AN117" i="3"/>
  <c r="AN116" i="3"/>
  <c r="Y80" i="3"/>
  <c r="Y77" i="3"/>
  <c r="AG81" i="3"/>
  <c r="AG80" i="3"/>
  <c r="AG77" i="3"/>
  <c r="AG109" i="3"/>
  <c r="H115" i="3"/>
  <c r="AC116" i="3"/>
  <c r="AM118" i="3"/>
  <c r="U70" i="3"/>
  <c r="K70" i="3"/>
  <c r="F108" i="3"/>
  <c r="F109" i="3"/>
  <c r="N108" i="3"/>
  <c r="N109" i="3"/>
  <c r="V108" i="3"/>
  <c r="V107" i="3"/>
  <c r="AD108" i="3"/>
  <c r="AD107" i="3"/>
  <c r="AL108" i="3"/>
  <c r="AL109" i="3"/>
  <c r="K117" i="3"/>
  <c r="K119" i="3"/>
  <c r="K120" i="3"/>
  <c r="K116" i="3"/>
  <c r="S117" i="3"/>
  <c r="S119" i="3"/>
  <c r="S120" i="3"/>
  <c r="S116" i="3"/>
  <c r="AA117" i="3"/>
  <c r="AA119" i="3"/>
  <c r="AA118" i="3"/>
  <c r="AJ70" i="3"/>
  <c r="AD77" i="3"/>
  <c r="G78" i="3"/>
  <c r="Y78" i="3"/>
  <c r="AG79" i="3"/>
  <c r="AD80" i="3"/>
  <c r="G81" i="3"/>
  <c r="W81" i="3"/>
  <c r="J107" i="3"/>
  <c r="X107" i="3"/>
  <c r="AL107" i="3"/>
  <c r="R108" i="3"/>
  <c r="AG108" i="3"/>
  <c r="J109" i="3"/>
  <c r="Y109" i="3"/>
  <c r="AN109" i="3"/>
  <c r="S110" i="3"/>
  <c r="L111" i="3"/>
  <c r="Z111" i="3"/>
  <c r="F112" i="3"/>
  <c r="AG112" i="3"/>
  <c r="M115" i="3"/>
  <c r="M150" i="3" s="1"/>
  <c r="G116" i="3"/>
  <c r="U116" i="3"/>
  <c r="AF117" i="3"/>
  <c r="AC118" i="3"/>
  <c r="H119" i="3"/>
  <c r="Y119" i="3"/>
  <c r="AN119" i="3"/>
  <c r="W120" i="3"/>
  <c r="O112" i="3"/>
  <c r="AE110" i="3"/>
  <c r="M79" i="3"/>
  <c r="M78" i="3"/>
  <c r="U78" i="3"/>
  <c r="U81" i="3"/>
  <c r="U79" i="3"/>
  <c r="O77" i="3"/>
  <c r="AE77" i="3"/>
  <c r="AC78" i="3"/>
  <c r="F79" i="3"/>
  <c r="AE80" i="3"/>
  <c r="Y81" i="3"/>
  <c r="Z107" i="3"/>
  <c r="T108" i="3"/>
  <c r="L109" i="3"/>
  <c r="AB109" i="3"/>
  <c r="T110" i="3"/>
  <c r="AJ110" i="3"/>
  <c r="N111" i="3"/>
  <c r="AA111" i="3"/>
  <c r="H112" i="3"/>
  <c r="V112" i="3"/>
  <c r="P115" i="3"/>
  <c r="AC115" i="3"/>
  <c r="AC150" i="3" s="1"/>
  <c r="H116" i="3"/>
  <c r="X116" i="3"/>
  <c r="U117" i="3"/>
  <c r="O118" i="3"/>
  <c r="AE118" i="3"/>
  <c r="I120" i="3"/>
  <c r="Y120" i="3"/>
  <c r="I80" i="3"/>
  <c r="V70" i="3"/>
  <c r="M109" i="3"/>
  <c r="M111" i="3"/>
  <c r="U109" i="3"/>
  <c r="U111" i="3"/>
  <c r="AC109" i="3"/>
  <c r="AC111" i="3"/>
  <c r="Z120" i="3"/>
  <c r="U110" i="3"/>
  <c r="L115" i="3"/>
  <c r="L150" i="3" s="1"/>
  <c r="AB117" i="3"/>
  <c r="J119" i="3"/>
  <c r="T70" i="3"/>
  <c r="I70" i="3"/>
  <c r="G111" i="3"/>
  <c r="O111" i="3"/>
  <c r="W111" i="3"/>
  <c r="AE111" i="3"/>
  <c r="AM111" i="3"/>
  <c r="AB80" i="3"/>
  <c r="AB77" i="3"/>
  <c r="AB78" i="3"/>
  <c r="AJ80" i="3"/>
  <c r="AJ77" i="3"/>
  <c r="AJ78" i="3"/>
  <c r="AC108" i="3"/>
  <c r="M110" i="3"/>
  <c r="W110" i="3"/>
  <c r="G112" i="3"/>
  <c r="AC112" i="3"/>
  <c r="AM112" i="3"/>
  <c r="Z115" i="3"/>
  <c r="AJ115" i="3"/>
  <c r="AJ150" i="3" s="1"/>
  <c r="T117" i="3"/>
  <c r="R78" i="3"/>
  <c r="X79" i="3"/>
  <c r="AN79" i="3"/>
  <c r="R77" i="3"/>
  <c r="R79" i="3"/>
  <c r="BN102" i="167"/>
  <c r="BX101" i="167"/>
  <c r="BP100" i="167"/>
  <c r="BU99" i="167"/>
  <c r="BU85" i="167"/>
  <c r="BW84" i="167"/>
  <c r="BZ84" i="167"/>
  <c r="BN84" i="167"/>
  <c r="CA84" i="167"/>
  <c r="BT84" i="167"/>
  <c r="BV84" i="167"/>
  <c r="CB84" i="167"/>
  <c r="BN82" i="167"/>
  <c r="CB82" i="167"/>
  <c r="BO81" i="167"/>
  <c r="BU66" i="167"/>
  <c r="BZ65" i="167"/>
  <c r="BR65" i="167"/>
  <c r="BT65" i="167"/>
  <c r="CB65" i="167"/>
  <c r="BU65" i="167"/>
  <c r="BN65" i="167"/>
  <c r="BW65" i="167"/>
  <c r="BO65" i="167"/>
  <c r="BX65" i="167"/>
  <c r="BP65" i="167"/>
  <c r="BU64" i="167"/>
  <c r="BN48" i="167"/>
  <c r="CA48" i="167"/>
  <c r="BU48" i="167"/>
  <c r="BX48" i="167"/>
  <c r="BP67" i="167"/>
  <c r="BV82" i="167"/>
  <c r="BX102" i="167"/>
  <c r="BS46" i="167"/>
  <c r="CA46" i="167"/>
  <c r="BR47" i="167"/>
  <c r="BZ47" i="167"/>
  <c r="BQ48" i="167"/>
  <c r="BY48" i="167"/>
  <c r="BP49" i="167"/>
  <c r="BX49" i="167"/>
  <c r="BO64" i="167"/>
  <c r="BW64" i="167"/>
  <c r="BT67" i="167"/>
  <c r="CB67" i="167"/>
  <c r="BS68" i="167"/>
  <c r="CA68" i="167"/>
  <c r="BS81" i="167"/>
  <c r="CA81" i="167"/>
  <c r="BR82" i="167"/>
  <c r="BZ82" i="167"/>
  <c r="BQ83" i="167"/>
  <c r="BY83" i="167"/>
  <c r="BP84" i="167"/>
  <c r="BX84" i="167"/>
  <c r="BO85" i="167"/>
  <c r="BW85" i="167"/>
  <c r="BO99" i="167"/>
  <c r="BW99" i="167"/>
  <c r="BT102" i="167"/>
  <c r="CB102" i="167"/>
  <c r="BV67" i="167"/>
  <c r="BV102" i="167"/>
  <c r="BT46" i="167"/>
  <c r="CB46" i="167"/>
  <c r="BS47" i="167"/>
  <c r="CA47" i="167"/>
  <c r="BR48" i="167"/>
  <c r="BQ49" i="167"/>
  <c r="BY49" i="167"/>
  <c r="BP64" i="167"/>
  <c r="BX64" i="167"/>
  <c r="BU67" i="167"/>
  <c r="BT68" i="167"/>
  <c r="CB68" i="167"/>
  <c r="BT81" i="167"/>
  <c r="CB81" i="167"/>
  <c r="BS82" i="167"/>
  <c r="CA82" i="167"/>
  <c r="BR83" i="167"/>
  <c r="BQ84" i="167"/>
  <c r="BY84" i="167"/>
  <c r="BP85" i="167"/>
  <c r="BX85" i="167"/>
  <c r="BP99" i="167"/>
  <c r="BX99" i="167"/>
  <c r="BU102" i="167"/>
  <c r="BU47" i="167"/>
  <c r="BR64" i="167"/>
  <c r="BZ64" i="167"/>
  <c r="BO67" i="167"/>
  <c r="BW67" i="167"/>
  <c r="BU82" i="167"/>
  <c r="BR85" i="167"/>
  <c r="BZ85" i="167"/>
  <c r="BR99" i="167"/>
  <c r="BZ99" i="167"/>
  <c r="BO102" i="167"/>
  <c r="BW102" i="167"/>
  <c r="BP46" i="167"/>
  <c r="BX46" i="167"/>
  <c r="BO47" i="167"/>
  <c r="BW47" i="167"/>
  <c r="BT64" i="167"/>
  <c r="CB64" i="167"/>
  <c r="BQ67" i="167"/>
  <c r="BY67" i="167"/>
  <c r="BP68" i="167"/>
  <c r="BX68" i="167"/>
  <c r="BP81" i="167"/>
  <c r="BX81" i="167"/>
  <c r="BO82" i="167"/>
  <c r="BW82" i="167"/>
  <c r="BT85" i="167"/>
  <c r="CB85" i="167"/>
  <c r="BT99" i="167"/>
  <c r="CB99" i="167"/>
  <c r="BQ102" i="167"/>
  <c r="BY102" i="167"/>
  <c r="BN67" i="167"/>
  <c r="BX67" i="167"/>
  <c r="BP102" i="167"/>
  <c r="BQ46" i="167"/>
  <c r="BP47" i="167"/>
  <c r="BX47" i="167"/>
  <c r="BR67" i="167"/>
  <c r="BZ67" i="167"/>
  <c r="BQ68" i="167"/>
  <c r="BQ81" i="167"/>
  <c r="BP82" i="167"/>
  <c r="BX82" i="167"/>
  <c r="BR102" i="167"/>
  <c r="BZ102" i="167"/>
  <c r="BQ47" i="167"/>
  <c r="BS67" i="167"/>
  <c r="BQ82" i="167"/>
  <c r="BS102" i="167"/>
  <c r="E109" i="153"/>
  <c r="E110" i="153" s="1"/>
  <c r="F109" i="152"/>
  <c r="F110" i="152" s="1"/>
  <c r="F109" i="153"/>
  <c r="F110" i="153" s="1"/>
  <c r="F110" i="161"/>
  <c r="F111" i="161" s="1"/>
  <c r="G110" i="148"/>
  <c r="G111" i="148" s="1"/>
  <c r="G110" i="145"/>
  <c r="G111" i="145" s="1"/>
  <c r="E110" i="174"/>
  <c r="E111" i="174" s="1"/>
  <c r="G110" i="176"/>
  <c r="G111" i="176" s="1"/>
  <c r="D163" i="14"/>
  <c r="F155" i="14" s="1"/>
  <c r="E31" i="105" s="1"/>
  <c r="E109" i="152"/>
  <c r="E110" i="152" s="1"/>
  <c r="D109" i="153"/>
  <c r="D110" i="153" s="1"/>
  <c r="F109" i="155"/>
  <c r="F110" i="155" s="1"/>
  <c r="E110" i="150"/>
  <c r="E111" i="150" s="1"/>
  <c r="F110" i="174"/>
  <c r="F111" i="174" s="1"/>
  <c r="E110" i="175"/>
  <c r="E111" i="175" s="1"/>
  <c r="D110" i="143"/>
  <c r="D111" i="143" s="1"/>
  <c r="F109" i="157"/>
  <c r="F110" i="157" s="1"/>
  <c r="E109" i="151"/>
  <c r="E110" i="151" s="1"/>
  <c r="D110" i="174"/>
  <c r="D110" i="150"/>
  <c r="D110" i="144"/>
  <c r="E110" i="145"/>
  <c r="E111" i="145" s="1"/>
  <c r="F110" i="150"/>
  <c r="F111" i="150" s="1"/>
  <c r="E110" i="176"/>
  <c r="E111" i="176" s="1"/>
  <c r="E110" i="143"/>
  <c r="E111" i="143" s="1"/>
  <c r="F109" i="151"/>
  <c r="F110" i="151" s="1"/>
  <c r="F110" i="145"/>
  <c r="F111" i="145" s="1"/>
  <c r="F110" i="176"/>
  <c r="F111" i="176" s="1"/>
  <c r="D110" i="161"/>
  <c r="F110" i="143"/>
  <c r="F111" i="143" s="1"/>
  <c r="G109" i="146"/>
  <c r="G110" i="146" s="1"/>
  <c r="D110" i="175"/>
  <c r="D109" i="151"/>
  <c r="D110" i="151" s="1"/>
  <c r="E110" i="161"/>
  <c r="E111" i="161" s="1"/>
  <c r="F90" i="108"/>
  <c r="G91" i="108"/>
  <c r="F89" i="108"/>
  <c r="G90" i="108"/>
  <c r="G89" i="108"/>
  <c r="H89" i="108"/>
  <c r="H90" i="108"/>
  <c r="H91" i="108"/>
  <c r="C89" i="108"/>
  <c r="C91" i="108"/>
  <c r="E89" i="108"/>
  <c r="G109" i="158"/>
  <c r="G110" i="158" s="1"/>
  <c r="G109" i="157"/>
  <c r="G110" i="157" s="1"/>
  <c r="D110" i="142"/>
  <c r="G109" i="151"/>
  <c r="G110" i="151" s="1"/>
  <c r="D109" i="156"/>
  <c r="D110" i="156" s="1"/>
  <c r="F110" i="142"/>
  <c r="F111" i="142" s="1"/>
  <c r="D109" i="149"/>
  <c r="D110" i="149" s="1"/>
  <c r="E109" i="156"/>
  <c r="E110" i="156" s="1"/>
  <c r="G110" i="142"/>
  <c r="G111" i="142" s="1"/>
  <c r="D110" i="148"/>
  <c r="F110" i="175"/>
  <c r="F111" i="175" s="1"/>
  <c r="G110" i="143"/>
  <c r="G111" i="143" s="1"/>
  <c r="D109" i="146"/>
  <c r="D110" i="146" s="1"/>
  <c r="E109" i="149"/>
  <c r="E110" i="149" s="1"/>
  <c r="F109" i="154"/>
  <c r="F110" i="154" s="1"/>
  <c r="F109" i="156"/>
  <c r="F110" i="156" s="1"/>
  <c r="D109" i="158"/>
  <c r="D110" i="158" s="1"/>
  <c r="G109" i="155"/>
  <c r="G110" i="155" s="1"/>
  <c r="E109" i="147"/>
  <c r="E110" i="147" s="1"/>
  <c r="G109" i="152"/>
  <c r="G110" i="152" s="1"/>
  <c r="E110" i="142"/>
  <c r="E111" i="142" s="1"/>
  <c r="F109" i="147"/>
  <c r="F110" i="147" s="1"/>
  <c r="D109" i="154"/>
  <c r="D110" i="154" s="1"/>
  <c r="G110" i="150"/>
  <c r="G111" i="150" s="1"/>
  <c r="G110" i="174"/>
  <c r="G111" i="174" s="1"/>
  <c r="E110" i="148"/>
  <c r="E111" i="148" s="1"/>
  <c r="G110" i="175"/>
  <c r="G111" i="175" s="1"/>
  <c r="E109" i="146"/>
  <c r="E110" i="146" s="1"/>
  <c r="F109" i="149"/>
  <c r="F110" i="149" s="1"/>
  <c r="D109" i="157"/>
  <c r="D110" i="157" s="1"/>
  <c r="G109" i="154"/>
  <c r="G110" i="154" s="1"/>
  <c r="G109" i="156"/>
  <c r="G110" i="156" s="1"/>
  <c r="E109" i="158"/>
  <c r="E110" i="158" s="1"/>
  <c r="D109" i="147"/>
  <c r="D110" i="147" s="1"/>
  <c r="G110" i="161"/>
  <c r="G111" i="161" s="1"/>
  <c r="G109" i="147"/>
  <c r="G110" i="147" s="1"/>
  <c r="D110" i="145"/>
  <c r="F110" i="148"/>
  <c r="F111" i="148" s="1"/>
  <c r="E109" i="157"/>
  <c r="E110" i="157" s="1"/>
  <c r="D120" i="14"/>
  <c r="C48" i="108" s="1"/>
  <c r="E61" i="14"/>
  <c r="L22" i="14" s="1"/>
  <c r="D56" i="14"/>
  <c r="K17" i="14" s="1"/>
  <c r="U94" i="100" s="1"/>
  <c r="I19" i="14"/>
  <c r="AC59" i="100" s="1"/>
  <c r="I23" i="14"/>
  <c r="E49" i="14"/>
  <c r="L11" i="14" s="1"/>
  <c r="Y95" i="100" s="1"/>
  <c r="E58" i="14"/>
  <c r="L19" i="14" s="1"/>
  <c r="AC95" i="100" s="1"/>
  <c r="E124" i="28"/>
  <c r="E50" i="14"/>
  <c r="L12" i="14" s="1"/>
  <c r="P95" i="100" s="1"/>
  <c r="I10" i="14"/>
  <c r="L59" i="100" s="1"/>
  <c r="H67" i="3" s="1"/>
  <c r="F124" i="28"/>
  <c r="E124" i="159"/>
  <c r="E62" i="14"/>
  <c r="L23" i="14" s="1"/>
  <c r="I15" i="14"/>
  <c r="Q59" i="100" s="1"/>
  <c r="M67" i="3" s="1"/>
  <c r="D124" i="25"/>
  <c r="G124" i="159"/>
  <c r="E54" i="14"/>
  <c r="L15" i="14" s="1"/>
  <c r="N95" i="100" s="1"/>
  <c r="E56" i="14"/>
  <c r="L17" i="14" s="1"/>
  <c r="T95" i="100" s="1"/>
  <c r="I20" i="14"/>
  <c r="I59" i="100" s="1"/>
  <c r="E60" i="14"/>
  <c r="L21" i="14" s="1"/>
  <c r="R95" i="100" s="1"/>
  <c r="E48" i="14"/>
  <c r="L10" i="14" s="1"/>
  <c r="L95" i="100" s="1"/>
  <c r="F124" i="25"/>
  <c r="D55" i="14"/>
  <c r="K16" i="14" s="1"/>
  <c r="AD94" i="100" s="1"/>
  <c r="G124" i="25"/>
  <c r="E53" i="14"/>
  <c r="L14" i="14" s="1"/>
  <c r="K95" i="100" s="1"/>
  <c r="X95" i="100"/>
  <c r="H95" i="100"/>
  <c r="AE95" i="100"/>
  <c r="G95" i="100"/>
  <c r="F95" i="100"/>
  <c r="I95" i="100"/>
  <c r="D22" i="14"/>
  <c r="I22" i="14" s="1"/>
  <c r="D83" i="103"/>
  <c r="D61" i="14"/>
  <c r="K22" i="14" s="1"/>
  <c r="I13" i="14"/>
  <c r="X59" i="100" s="1"/>
  <c r="F124" i="159"/>
  <c r="G124" i="160"/>
  <c r="E55" i="14"/>
  <c r="L16" i="14" s="1"/>
  <c r="AD95" i="100" s="1"/>
  <c r="D83" i="105"/>
  <c r="E124" i="25"/>
  <c r="D124" i="28"/>
  <c r="E174" i="14"/>
  <c r="D174" i="14" s="1"/>
  <c r="I11" i="14"/>
  <c r="Y59" i="100" s="1"/>
  <c r="I67" i="3" s="1"/>
  <c r="I21" i="14"/>
  <c r="R59" i="100" s="1"/>
  <c r="O67" i="3" s="1"/>
  <c r="D134" i="175"/>
  <c r="G124" i="28"/>
  <c r="D124" i="160"/>
  <c r="E57" i="14"/>
  <c r="L18" i="14" s="1"/>
  <c r="E32" i="105"/>
  <c r="D50" i="14"/>
  <c r="K12" i="14" s="1"/>
  <c r="P94" i="100" s="1"/>
  <c r="D75" i="14"/>
  <c r="D124" i="159"/>
  <c r="E99" i="146"/>
  <c r="G99" i="146"/>
  <c r="F99" i="157"/>
  <c r="G99" i="157"/>
  <c r="E99" i="157"/>
  <c r="D122" i="14"/>
  <c r="C54" i="108" s="1"/>
  <c r="E100" i="148"/>
  <c r="F100" i="148"/>
  <c r="F102" i="148" s="1"/>
  <c r="F99" i="146"/>
  <c r="E100" i="144"/>
  <c r="F100" i="144"/>
  <c r="E103" i="148"/>
  <c r="G102" i="153"/>
  <c r="E102" i="153"/>
  <c r="F103" i="148"/>
  <c r="E99" i="173"/>
  <c r="E101" i="173" s="1"/>
  <c r="G103" i="150"/>
  <c r="F103" i="150"/>
  <c r="E103" i="150"/>
  <c r="G100" i="143"/>
  <c r="F100" i="143"/>
  <c r="E99" i="152"/>
  <c r="G99" i="152"/>
  <c r="F102" i="154"/>
  <c r="F99" i="154"/>
  <c r="E102" i="156"/>
  <c r="E102" i="152"/>
  <c r="G99" i="154"/>
  <c r="F102" i="156"/>
  <c r="D59" i="14"/>
  <c r="K20" i="14" s="1"/>
  <c r="I94" i="100" s="1"/>
  <c r="D60" i="14"/>
  <c r="K21" i="14" s="1"/>
  <c r="R94" i="100" s="1"/>
  <c r="U15" i="140"/>
  <c r="AU15" i="140"/>
  <c r="BS15" i="140"/>
  <c r="DA15" i="140"/>
  <c r="V15" i="140"/>
  <c r="BT15" i="140"/>
  <c r="DB15" i="140"/>
  <c r="G15" i="140"/>
  <c r="CU15" i="140"/>
  <c r="D15" i="140"/>
  <c r="L15" i="140"/>
  <c r="T15" i="140"/>
  <c r="AB15" i="140"/>
  <c r="AJ15" i="140"/>
  <c r="AT15" i="140"/>
  <c r="BB15" i="140"/>
  <c r="BJ15" i="140"/>
  <c r="BR15" i="140"/>
  <c r="BZ15" i="140"/>
  <c r="CJ15" i="140"/>
  <c r="CR15" i="140"/>
  <c r="CZ15" i="140"/>
  <c r="DH15" i="140"/>
  <c r="DP15" i="140"/>
  <c r="AL15" i="140"/>
  <c r="BE15" i="140"/>
  <c r="CE15" i="140"/>
  <c r="DK15" i="140"/>
  <c r="H15" i="140"/>
  <c r="P15" i="140"/>
  <c r="X15" i="140"/>
  <c r="AF15" i="140"/>
  <c r="AN15" i="140"/>
  <c r="AX15" i="140"/>
  <c r="BF15" i="140"/>
  <c r="BN15" i="140"/>
  <c r="BV15" i="140"/>
  <c r="CF15" i="140"/>
  <c r="CN15" i="140"/>
  <c r="CV15" i="140"/>
  <c r="DD15" i="140"/>
  <c r="DL15" i="140"/>
  <c r="F15" i="140"/>
  <c r="BL15" i="140"/>
  <c r="CT15" i="140"/>
  <c r="O15" i="140"/>
  <c r="CM15" i="140"/>
  <c r="I15" i="140"/>
  <c r="Q15" i="140"/>
  <c r="Y15" i="140"/>
  <c r="AG15" i="140"/>
  <c r="AQ15" i="140"/>
  <c r="AY15" i="140"/>
  <c r="BG15" i="140"/>
  <c r="BO15" i="140"/>
  <c r="BW15" i="140"/>
  <c r="CG15" i="140"/>
  <c r="CO15" i="140"/>
  <c r="CW15" i="140"/>
  <c r="DE15" i="140"/>
  <c r="DM15" i="140"/>
  <c r="E15" i="140"/>
  <c r="AD15" i="140"/>
  <c r="CL15" i="140"/>
  <c r="AE15" i="140"/>
  <c r="BU15" i="140"/>
  <c r="B15" i="140"/>
  <c r="CD15" i="140" s="1"/>
  <c r="J15" i="140"/>
  <c r="R15" i="140"/>
  <c r="Z15" i="140"/>
  <c r="AH15" i="140"/>
  <c r="AR15" i="140"/>
  <c r="AZ15" i="140"/>
  <c r="BH15" i="140"/>
  <c r="BP15" i="140"/>
  <c r="BX15" i="140"/>
  <c r="CH15" i="140"/>
  <c r="CP15" i="140"/>
  <c r="CX15" i="140"/>
  <c r="DF15" i="140"/>
  <c r="DN15" i="140"/>
  <c r="M15" i="140"/>
  <c r="AC15" i="140"/>
  <c r="AK15" i="140"/>
  <c r="BC15" i="140"/>
  <c r="BK15" i="140"/>
  <c r="CA15" i="140"/>
  <c r="CK15" i="140"/>
  <c r="CS15" i="140"/>
  <c r="DI15" i="140"/>
  <c r="N15" i="140"/>
  <c r="AV15" i="140"/>
  <c r="BD15" i="140"/>
  <c r="CB15" i="140"/>
  <c r="DJ15" i="140"/>
  <c r="W15" i="140"/>
  <c r="AM15" i="140"/>
  <c r="AW15" i="140"/>
  <c r="BM15" i="140"/>
  <c r="DC15" i="140"/>
  <c r="C15" i="140"/>
  <c r="K15" i="140"/>
  <c r="S15" i="140"/>
  <c r="AA15" i="140"/>
  <c r="AI15" i="140"/>
  <c r="AS15" i="140"/>
  <c r="BA15" i="140"/>
  <c r="BI15" i="140"/>
  <c r="BQ15" i="140"/>
  <c r="BY15" i="140"/>
  <c r="CI15" i="140"/>
  <c r="CQ15" i="140"/>
  <c r="CY15" i="140"/>
  <c r="DG15" i="140"/>
  <c r="D58" i="14"/>
  <c r="K19" i="14" s="1"/>
  <c r="AC94" i="100" s="1"/>
  <c r="D62" i="14"/>
  <c r="K23" i="14" s="1"/>
  <c r="U15" i="99"/>
  <c r="BS15" i="99"/>
  <c r="N15" i="99"/>
  <c r="AD15" i="99"/>
  <c r="BD15" i="99"/>
  <c r="CB15" i="99"/>
  <c r="CL15" i="99"/>
  <c r="DJ15" i="99"/>
  <c r="G15" i="99"/>
  <c r="O15" i="99"/>
  <c r="W15" i="99"/>
  <c r="AE15" i="99"/>
  <c r="AM15" i="99"/>
  <c r="AW15" i="99"/>
  <c r="BE15" i="99"/>
  <c r="BM15" i="99"/>
  <c r="BU15" i="99"/>
  <c r="CE15" i="99"/>
  <c r="CM15" i="99"/>
  <c r="CU15" i="99"/>
  <c r="DC15" i="99"/>
  <c r="DK15" i="99"/>
  <c r="F15" i="99"/>
  <c r="AL15" i="99"/>
  <c r="BL15" i="99"/>
  <c r="DB15" i="99"/>
  <c r="H15" i="99"/>
  <c r="P15" i="99"/>
  <c r="X15" i="99"/>
  <c r="AF15" i="99"/>
  <c r="AN15" i="99"/>
  <c r="AX15" i="99"/>
  <c r="BF15" i="99"/>
  <c r="BN15" i="99"/>
  <c r="BV15" i="99"/>
  <c r="CF15" i="99"/>
  <c r="CN15" i="99"/>
  <c r="CV15" i="99"/>
  <c r="DD15" i="99"/>
  <c r="DL15" i="99"/>
  <c r="E15" i="99"/>
  <c r="M15" i="99"/>
  <c r="AC15" i="99"/>
  <c r="AK15" i="99"/>
  <c r="AU15" i="99"/>
  <c r="BC15" i="99"/>
  <c r="BK15" i="99"/>
  <c r="CA15" i="99"/>
  <c r="CK15" i="99"/>
  <c r="CS15" i="99"/>
  <c r="DA15" i="99"/>
  <c r="DI15" i="99"/>
  <c r="V15" i="99"/>
  <c r="AV15" i="99"/>
  <c r="BT15" i="99"/>
  <c r="CT15" i="99"/>
  <c r="I15" i="99"/>
  <c r="Q15" i="99"/>
  <c r="Y15" i="99"/>
  <c r="AG15" i="99"/>
  <c r="AQ15" i="99"/>
  <c r="AY15" i="99"/>
  <c r="BG15" i="99"/>
  <c r="BO15" i="99"/>
  <c r="BW15" i="99"/>
  <c r="CG15" i="99"/>
  <c r="CO15" i="99"/>
  <c r="CW15" i="99"/>
  <c r="DE15" i="99"/>
  <c r="AJ40" i="100"/>
  <c r="D51" i="14"/>
  <c r="K13" i="14" s="1"/>
  <c r="X94" i="100" s="1"/>
  <c r="D54" i="14"/>
  <c r="K15" i="14" s="1"/>
  <c r="Q94" i="100" s="1"/>
  <c r="AF40" i="100"/>
  <c r="E15" i="98"/>
  <c r="AC15" i="98"/>
  <c r="AK15" i="98"/>
  <c r="AU15" i="98"/>
  <c r="BK15" i="98"/>
  <c r="BS15" i="98"/>
  <c r="CK15" i="98"/>
  <c r="DA15" i="98"/>
  <c r="DI15" i="98"/>
  <c r="B15" i="98"/>
  <c r="CD15" i="98" s="1"/>
  <c r="J15" i="98"/>
  <c r="R15" i="98"/>
  <c r="Z15" i="98"/>
  <c r="AH15" i="98"/>
  <c r="AR15" i="98"/>
  <c r="AZ15" i="98"/>
  <c r="BH15" i="98"/>
  <c r="BP15" i="98"/>
  <c r="BX15" i="98"/>
  <c r="CH15" i="98"/>
  <c r="CP15" i="98"/>
  <c r="CX15" i="98"/>
  <c r="DF15" i="98"/>
  <c r="DN15" i="98"/>
  <c r="U15" i="98"/>
  <c r="CS15" i="98"/>
  <c r="F15" i="98"/>
  <c r="N15" i="98"/>
  <c r="V15" i="98"/>
  <c r="AD15" i="98"/>
  <c r="AL15" i="98"/>
  <c r="AV15" i="98"/>
  <c r="BD15" i="98"/>
  <c r="BL15" i="98"/>
  <c r="BT15" i="98"/>
  <c r="CB15" i="98"/>
  <c r="CL15" i="98"/>
  <c r="CT15" i="98"/>
  <c r="DB15" i="98"/>
  <c r="DJ15" i="98"/>
  <c r="BC15" i="98"/>
  <c r="G15" i="98"/>
  <c r="O15" i="98"/>
  <c r="W15" i="98"/>
  <c r="AE15" i="98"/>
  <c r="AM15" i="98"/>
  <c r="AW15" i="98"/>
  <c r="BE15" i="98"/>
  <c r="BM15" i="98"/>
  <c r="BU15" i="98"/>
  <c r="CE15" i="98"/>
  <c r="CM15" i="98"/>
  <c r="CU15" i="98"/>
  <c r="DC15" i="98"/>
  <c r="DK15" i="98"/>
  <c r="M15" i="98"/>
  <c r="CA15" i="98"/>
  <c r="H15" i="98"/>
  <c r="P15" i="98"/>
  <c r="X15" i="98"/>
  <c r="AF15" i="98"/>
  <c r="AN15" i="98"/>
  <c r="AX15" i="98"/>
  <c r="BF15" i="98"/>
  <c r="BN15" i="98"/>
  <c r="BV15" i="98"/>
  <c r="CF15" i="98"/>
  <c r="CN15" i="98"/>
  <c r="CV15" i="98"/>
  <c r="DD15" i="98"/>
  <c r="DL15" i="98"/>
  <c r="I15" i="98"/>
  <c r="Q15" i="98"/>
  <c r="Y15" i="98"/>
  <c r="AG15" i="98"/>
  <c r="AQ15" i="98"/>
  <c r="AY15" i="98"/>
  <c r="BG15" i="98"/>
  <c r="BO15" i="98"/>
  <c r="BW15" i="98"/>
  <c r="CG15" i="98"/>
  <c r="CO15" i="98"/>
  <c r="CW15" i="98"/>
  <c r="DE15" i="98"/>
  <c r="J10" i="14"/>
  <c r="J13" i="14"/>
  <c r="G17" i="14"/>
  <c r="I17" i="14" s="1"/>
  <c r="O59" i="100" s="1"/>
  <c r="AH40" i="100"/>
  <c r="D48" i="14"/>
  <c r="K10" i="14" s="1"/>
  <c r="L94" i="100" s="1"/>
  <c r="D121" i="14"/>
  <c r="I109" i="14"/>
  <c r="G12" i="14"/>
  <c r="I12" i="14" s="1"/>
  <c r="W59" i="100" s="1"/>
  <c r="V67" i="3" s="1"/>
  <c r="E15" i="97"/>
  <c r="M15" i="97"/>
  <c r="U15" i="97"/>
  <c r="AC15" i="97"/>
  <c r="AK15" i="97"/>
  <c r="AT15" i="97"/>
  <c r="BB15" i="97"/>
  <c r="BJ15" i="97"/>
  <c r="BR15" i="97"/>
  <c r="BZ15" i="97"/>
  <c r="CI15" i="97"/>
  <c r="CQ15" i="97"/>
  <c r="CY15" i="97"/>
  <c r="DG15" i="97"/>
  <c r="DO15" i="97"/>
  <c r="N15" i="97"/>
  <c r="G15" i="97"/>
  <c r="O15" i="97"/>
  <c r="W15" i="97"/>
  <c r="AE15" i="97"/>
  <c r="AM15" i="97"/>
  <c r="AV15" i="97"/>
  <c r="BD15" i="97"/>
  <c r="BL15" i="97"/>
  <c r="BT15" i="97"/>
  <c r="CB15" i="97"/>
  <c r="CK15" i="97"/>
  <c r="CS15" i="97"/>
  <c r="DA15" i="97"/>
  <c r="DI15" i="97"/>
  <c r="F15" i="97"/>
  <c r="V15" i="97"/>
  <c r="AD15" i="97"/>
  <c r="AL15" i="97"/>
  <c r="AU15" i="97"/>
  <c r="BC15" i="97"/>
  <c r="BK15" i="97"/>
  <c r="BS15" i="97"/>
  <c r="CA15" i="97"/>
  <c r="CJ15" i="97"/>
  <c r="CR15" i="97"/>
  <c r="CZ15" i="97"/>
  <c r="DH15" i="97"/>
  <c r="DP15" i="97"/>
  <c r="H15" i="97"/>
  <c r="P15" i="97"/>
  <c r="X15" i="97"/>
  <c r="AF15" i="97"/>
  <c r="AN15" i="97"/>
  <c r="AW15" i="97"/>
  <c r="BE15" i="97"/>
  <c r="BM15" i="97"/>
  <c r="BU15" i="97"/>
  <c r="CD15" i="97"/>
  <c r="CL15" i="97"/>
  <c r="CT15" i="97"/>
  <c r="DB15" i="97"/>
  <c r="G108" i="14"/>
  <c r="G109" i="14" s="1"/>
  <c r="AG40" i="100"/>
  <c r="Z40" i="100"/>
  <c r="G16" i="14"/>
  <c r="I16" i="14" s="1"/>
  <c r="AD59" i="100" s="1"/>
  <c r="H108" i="14"/>
  <c r="AA40" i="100"/>
  <c r="AI40" i="100"/>
  <c r="BZ13" i="140"/>
  <c r="DN13" i="140" s="1"/>
  <c r="H34" i="100"/>
  <c r="X34" i="100"/>
  <c r="AA25" i="98"/>
  <c r="Z25" i="98"/>
  <c r="AI34" i="100"/>
  <c r="AN150" i="3"/>
  <c r="AC52" i="100"/>
  <c r="F67" i="178"/>
  <c r="X150" i="3"/>
  <c r="I34" i="100"/>
  <c r="Y34" i="100"/>
  <c r="AJ34" i="100"/>
  <c r="AD52" i="100"/>
  <c r="CQ13" i="97"/>
  <c r="CQ25" i="97" s="1"/>
  <c r="M34" i="100"/>
  <c r="DO13" i="97"/>
  <c r="AS13" i="140"/>
  <c r="AS25" i="140" s="1"/>
  <c r="BW25" i="98"/>
  <c r="AT13" i="140"/>
  <c r="CH13" i="140" s="1"/>
  <c r="CH25" i="140" s="1"/>
  <c r="K25" i="140"/>
  <c r="AG34" i="100"/>
  <c r="Z52" i="100"/>
  <c r="BF13" i="97"/>
  <c r="BF25" i="97" s="1"/>
  <c r="BL13" i="99"/>
  <c r="BL25" i="99" s="1"/>
  <c r="BQ13" i="140"/>
  <c r="DE13" i="140" s="1"/>
  <c r="DE25" i="140" s="1"/>
  <c r="AK25" i="140"/>
  <c r="AA52" i="100"/>
  <c r="F34" i="100"/>
  <c r="Q34" i="100"/>
  <c r="AI52" i="100"/>
  <c r="AN14" i="140"/>
  <c r="AP14" i="140"/>
  <c r="CI13" i="97"/>
  <c r="CI25" i="97" s="1"/>
  <c r="S25" i="98"/>
  <c r="BT13" i="99"/>
  <c r="DH13" i="99" s="1"/>
  <c r="G34" i="100"/>
  <c r="AH34" i="100"/>
  <c r="W70" i="3"/>
  <c r="N34" i="100"/>
  <c r="AG52" i="100"/>
  <c r="BJ13" i="97"/>
  <c r="BJ25" i="97" s="1"/>
  <c r="BK13" i="97"/>
  <c r="BK25" i="97" s="1"/>
  <c r="BF13" i="98"/>
  <c r="BF25" i="98" s="1"/>
  <c r="BY13" i="99"/>
  <c r="DM13" i="99" s="1"/>
  <c r="DM25" i="99" s="1"/>
  <c r="BA13" i="140"/>
  <c r="CO13" i="140" s="1"/>
  <c r="CO25" i="140" s="1"/>
  <c r="CB13" i="140"/>
  <c r="CB25" i="140" s="1"/>
  <c r="Q25" i="140"/>
  <c r="W25" i="98"/>
  <c r="F130" i="108"/>
  <c r="BD13" i="98"/>
  <c r="CR13" i="98" s="1"/>
  <c r="BV13" i="97"/>
  <c r="BV25" i="97" s="1"/>
  <c r="W25" i="97"/>
  <c r="AV13" i="99"/>
  <c r="AV25" i="99" s="1"/>
  <c r="AF25" i="99"/>
  <c r="BG13" i="140"/>
  <c r="CU13" i="140" s="1"/>
  <c r="U25" i="140"/>
  <c r="AD150" i="3"/>
  <c r="H25" i="140"/>
  <c r="BZ13" i="97"/>
  <c r="AD25" i="97"/>
  <c r="BL13" i="98"/>
  <c r="BL25" i="98" s="1"/>
  <c r="AQ25" i="98"/>
  <c r="BA13" i="99"/>
  <c r="CO13" i="99" s="1"/>
  <c r="CO25" i="99" s="1"/>
  <c r="X25" i="140"/>
  <c r="G112" i="108"/>
  <c r="G117" i="108" s="1"/>
  <c r="G92" i="108" s="1"/>
  <c r="BQ13" i="99"/>
  <c r="BQ25" i="99" s="1"/>
  <c r="BI25" i="99"/>
  <c r="U25" i="99"/>
  <c r="N25" i="97"/>
  <c r="V25" i="99"/>
  <c r="CA13" i="97"/>
  <c r="AM25" i="97"/>
  <c r="C25" i="98"/>
  <c r="AY25" i="98"/>
  <c r="AN14" i="99"/>
  <c r="E25" i="99"/>
  <c r="AE52" i="100"/>
  <c r="P34" i="100"/>
  <c r="AF34" i="100"/>
  <c r="BN25" i="99"/>
  <c r="DB13" i="99"/>
  <c r="DB25" i="99" s="1"/>
  <c r="AH52" i="100"/>
  <c r="BV13" i="99"/>
  <c r="DJ13" i="99" s="1"/>
  <c r="DJ25" i="99" s="1"/>
  <c r="Z6" i="167"/>
  <c r="Z11" i="167" s="1"/>
  <c r="AH25" i="97"/>
  <c r="AE25" i="98"/>
  <c r="BS13" i="98"/>
  <c r="BS25" i="98" s="1"/>
  <c r="Z25" i="99"/>
  <c r="AB40" i="100"/>
  <c r="F102" i="151"/>
  <c r="G102" i="151"/>
  <c r="AA6" i="167"/>
  <c r="AA11" i="167" s="1"/>
  <c r="AU13" i="97"/>
  <c r="AU25" i="97" s="1"/>
  <c r="BN13" i="97"/>
  <c r="BN25" i="97" s="1"/>
  <c r="CL13" i="97"/>
  <c r="CL25" i="97" s="1"/>
  <c r="AL25" i="97"/>
  <c r="BY13" i="98"/>
  <c r="BY25" i="98" s="1"/>
  <c r="AH25" i="98"/>
  <c r="BF13" i="99"/>
  <c r="BF25" i="99" s="1"/>
  <c r="BE25" i="140"/>
  <c r="E102" i="151"/>
  <c r="W6" i="167"/>
  <c r="W11" i="167" s="1"/>
  <c r="F103" i="175"/>
  <c r="E103" i="175"/>
  <c r="G103" i="175"/>
  <c r="Y6" i="167"/>
  <c r="Y11" i="167" s="1"/>
  <c r="CD14" i="98"/>
  <c r="D49" i="14"/>
  <c r="K11" i="14" s="1"/>
  <c r="Y94" i="100" s="1"/>
  <c r="F103" i="145"/>
  <c r="D102" i="173"/>
  <c r="D99" i="173"/>
  <c r="D101" i="173" s="1"/>
  <c r="G102" i="158"/>
  <c r="F102" i="158"/>
  <c r="AM25" i="98"/>
  <c r="J25" i="99"/>
  <c r="G100" i="142"/>
  <c r="E100" i="142"/>
  <c r="G99" i="147"/>
  <c r="E99" i="147"/>
  <c r="F99" i="147"/>
  <c r="E102" i="155"/>
  <c r="G102" i="155"/>
  <c r="F102" i="155"/>
  <c r="AC6" i="167"/>
  <c r="AC11" i="167" s="1"/>
  <c r="CH13" i="97"/>
  <c r="CH25" i="97" s="1"/>
  <c r="F25" i="97"/>
  <c r="BB13" i="97"/>
  <c r="BB25" i="97" s="1"/>
  <c r="BR13" i="97"/>
  <c r="BR25" i="97" s="1"/>
  <c r="CT13" i="97"/>
  <c r="CT25" i="97" s="1"/>
  <c r="O25" i="97"/>
  <c r="AX13" i="98"/>
  <c r="AX25" i="98" s="1"/>
  <c r="J25" i="98"/>
  <c r="BC13" i="98"/>
  <c r="BC25" i="98" s="1"/>
  <c r="CA13" i="98"/>
  <c r="CA25" i="98" s="1"/>
  <c r="CD14" i="99"/>
  <c r="AP14" i="99"/>
  <c r="P25" i="140"/>
  <c r="BD13" i="140"/>
  <c r="AF25" i="140"/>
  <c r="I25" i="140"/>
  <c r="AF52" i="100"/>
  <c r="D53" i="14"/>
  <c r="K14" i="14" s="1"/>
  <c r="G14" i="14"/>
  <c r="F100" i="142"/>
  <c r="G100" i="174"/>
  <c r="E100" i="174"/>
  <c r="G99" i="173"/>
  <c r="G102" i="147"/>
  <c r="F102" i="147"/>
  <c r="X6" i="167"/>
  <c r="X11" i="167" s="1"/>
  <c r="E103" i="145"/>
  <c r="G103" i="145"/>
  <c r="G100" i="150"/>
  <c r="F100" i="150"/>
  <c r="E100" i="150"/>
  <c r="F99" i="156"/>
  <c r="G99" i="156"/>
  <c r="AI25" i="99"/>
  <c r="BW13" i="99"/>
  <c r="BW25" i="99" s="1"/>
  <c r="AB6" i="167"/>
  <c r="AB11" i="167" s="1"/>
  <c r="AX13" i="97"/>
  <c r="AX25" i="97" s="1"/>
  <c r="G25" i="98"/>
  <c r="AE25" i="97"/>
  <c r="BS13" i="97"/>
  <c r="DB13" i="97"/>
  <c r="DB25" i="97" s="1"/>
  <c r="P25" i="99"/>
  <c r="AN25" i="99"/>
  <c r="CK13" i="140"/>
  <c r="CK25" i="140" s="1"/>
  <c r="AW25" i="140"/>
  <c r="BM13" i="140"/>
  <c r="DA13" i="140" s="1"/>
  <c r="DA25" i="140" s="1"/>
  <c r="Y25" i="140"/>
  <c r="BU13" i="140"/>
  <c r="AG25" i="140"/>
  <c r="J109" i="14"/>
  <c r="G103" i="176"/>
  <c r="F103" i="176"/>
  <c r="G102" i="149"/>
  <c r="F102" i="149"/>
  <c r="E102" i="149"/>
  <c r="BR13" i="140"/>
  <c r="DF13" i="140" s="1"/>
  <c r="BO25" i="98"/>
  <c r="BW13" i="140"/>
  <c r="BW25" i="140" s="1"/>
  <c r="Z34" i="100"/>
  <c r="AK34" i="100"/>
  <c r="AK40" i="100"/>
  <c r="G103" i="142"/>
  <c r="F103" i="142"/>
  <c r="G103" i="174"/>
  <c r="F103" i="174"/>
  <c r="F102" i="153"/>
  <c r="AA34" i="100"/>
  <c r="F100" i="175"/>
  <c r="E99" i="151"/>
  <c r="G99" i="151"/>
  <c r="F99" i="151"/>
  <c r="AA150" i="3"/>
  <c r="E99" i="155"/>
  <c r="F99" i="155"/>
  <c r="G99" i="153"/>
  <c r="E99" i="153"/>
  <c r="F102" i="173"/>
  <c r="F99" i="173"/>
  <c r="F101" i="173" s="1"/>
  <c r="E99" i="149"/>
  <c r="F99" i="149"/>
  <c r="F99" i="158"/>
  <c r="E99" i="158"/>
  <c r="F52" i="178"/>
  <c r="F53" i="178" s="1"/>
  <c r="F54" i="178" s="1"/>
  <c r="Y56" i="3"/>
  <c r="AE56" i="3"/>
  <c r="L56" i="3"/>
  <c r="AB56" i="3"/>
  <c r="BC25" i="97"/>
  <c r="H25" i="97"/>
  <c r="AV13" i="97"/>
  <c r="CJ13" i="97"/>
  <c r="CR13" i="97"/>
  <c r="P25" i="97"/>
  <c r="BD13" i="97"/>
  <c r="BL13" i="97"/>
  <c r="X25" i="97"/>
  <c r="CZ13" i="97"/>
  <c r="L16" i="76"/>
  <c r="L15" i="76"/>
  <c r="L14" i="76"/>
  <c r="L12" i="76"/>
  <c r="L18" i="76"/>
  <c r="L17" i="76"/>
  <c r="AF44" i="100"/>
  <c r="AI43" i="100"/>
  <c r="AA43" i="100"/>
  <c r="AF23" i="100"/>
  <c r="X23" i="100"/>
  <c r="K55" i="3" s="1"/>
  <c r="P23" i="100"/>
  <c r="H23" i="100"/>
  <c r="U55" i="3" s="1"/>
  <c r="AI22" i="100"/>
  <c r="AA22" i="100"/>
  <c r="AE44" i="100"/>
  <c r="AH43" i="100"/>
  <c r="Z43" i="100"/>
  <c r="W23" i="100"/>
  <c r="V55" i="3" s="1"/>
  <c r="G23" i="100"/>
  <c r="AH22" i="100"/>
  <c r="Z22" i="100"/>
  <c r="AK44" i="100"/>
  <c r="AC44" i="100"/>
  <c r="AF43" i="100"/>
  <c r="AK23" i="100"/>
  <c r="M23" i="100"/>
  <c r="J55" i="3" s="1"/>
  <c r="AF22" i="100"/>
  <c r="X22" i="100"/>
  <c r="P22" i="100"/>
  <c r="H22" i="100"/>
  <c r="AI44" i="100"/>
  <c r="AG43" i="100"/>
  <c r="AA23" i="100"/>
  <c r="N23" i="100"/>
  <c r="P55" i="3" s="1"/>
  <c r="Y22" i="100"/>
  <c r="M22" i="100"/>
  <c r="AH44" i="100"/>
  <c r="AE43" i="100"/>
  <c r="Z23" i="100"/>
  <c r="L23" i="100"/>
  <c r="H55" i="3" s="1"/>
  <c r="AK22" i="100"/>
  <c r="W22" i="100"/>
  <c r="L22" i="100"/>
  <c r="AB44" i="100"/>
  <c r="AB43" i="100"/>
  <c r="AH23" i="100"/>
  <c r="I23" i="100"/>
  <c r="F22" i="100"/>
  <c r="Z44" i="100"/>
  <c r="AB23" i="100"/>
  <c r="F23" i="100"/>
  <c r="Q22" i="100"/>
  <c r="AJ22" i="100"/>
  <c r="AG23" i="100"/>
  <c r="G22" i="100"/>
  <c r="Y23" i="100"/>
  <c r="I55" i="3" s="1"/>
  <c r="AL43" i="100"/>
  <c r="AL44" i="100"/>
  <c r="AK43" i="100"/>
  <c r="AJ44" i="100"/>
  <c r="AJ43" i="100"/>
  <c r="AJ23" i="100"/>
  <c r="AG22" i="100"/>
  <c r="N22" i="100"/>
  <c r="AG44" i="100"/>
  <c r="AD43" i="100"/>
  <c r="AI23" i="100"/>
  <c r="Q23" i="100"/>
  <c r="I22" i="100"/>
  <c r="AD44" i="100"/>
  <c r="AC43" i="100"/>
  <c r="AB22" i="100"/>
  <c r="AA44" i="100"/>
  <c r="AH46" i="100"/>
  <c r="Z46" i="100"/>
  <c r="AH25" i="100"/>
  <c r="Z25" i="100"/>
  <c r="AG46" i="100"/>
  <c r="AG25" i="100"/>
  <c r="Y25" i="100"/>
  <c r="I56" i="3" s="1"/>
  <c r="Q25" i="100"/>
  <c r="I25" i="100"/>
  <c r="AE46" i="100"/>
  <c r="W25" i="100"/>
  <c r="V56" i="3" s="1"/>
  <c r="G25" i="100"/>
  <c r="AC46" i="100"/>
  <c r="AF25" i="100"/>
  <c r="F25" i="100"/>
  <c r="AB46" i="100"/>
  <c r="AJ46" i="100"/>
  <c r="AA25" i="100"/>
  <c r="M25" i="100"/>
  <c r="J56" i="3" s="1"/>
  <c r="AA46" i="100"/>
  <c r="AJ25" i="100"/>
  <c r="N25" i="100"/>
  <c r="P56" i="3" s="1"/>
  <c r="AL46" i="100"/>
  <c r="AB25" i="100"/>
  <c r="AF46" i="100"/>
  <c r="AI25" i="100"/>
  <c r="L25" i="100"/>
  <c r="H56" i="3" s="1"/>
  <c r="H25" i="100"/>
  <c r="U56" i="3" s="1"/>
  <c r="AK46" i="100"/>
  <c r="X25" i="100"/>
  <c r="K56" i="3" s="1"/>
  <c r="AI46" i="100"/>
  <c r="AD46" i="100"/>
  <c r="AK25" i="100"/>
  <c r="BK25" i="98"/>
  <c r="CY13" i="98"/>
  <c r="BT25" i="140"/>
  <c r="DH13" i="140"/>
  <c r="AS25" i="99"/>
  <c r="CG13" i="99"/>
  <c r="BA25" i="97"/>
  <c r="BY25" i="97"/>
  <c r="BQ25" i="97"/>
  <c r="DI25" i="97"/>
  <c r="BT13" i="97"/>
  <c r="DH13" i="97"/>
  <c r="AF25" i="97"/>
  <c r="AN14" i="97"/>
  <c r="AN25" i="97"/>
  <c r="DP13" i="97"/>
  <c r="CS25" i="97"/>
  <c r="DN13" i="98"/>
  <c r="BZ25" i="98"/>
  <c r="I25" i="97"/>
  <c r="AW13" i="97"/>
  <c r="CK13" i="97"/>
  <c r="Q25" i="97"/>
  <c r="BE13" i="97"/>
  <c r="Y25" i="97"/>
  <c r="BM13" i="97"/>
  <c r="DA13" i="97"/>
  <c r="AG25" i="97"/>
  <c r="BU13" i="97"/>
  <c r="CW25" i="99"/>
  <c r="CN25" i="97"/>
  <c r="CV25" i="97"/>
  <c r="DD25" i="97"/>
  <c r="CB13" i="97"/>
  <c r="CZ25" i="140"/>
  <c r="W33" i="100"/>
  <c r="W34" i="100" s="1"/>
  <c r="AA9" i="122"/>
  <c r="L7" i="76"/>
  <c r="L23" i="76"/>
  <c r="L22" i="76"/>
  <c r="L11" i="76"/>
  <c r="L6" i="76"/>
  <c r="AS25" i="97"/>
  <c r="AR13" i="98"/>
  <c r="D25" i="98"/>
  <c r="AZ13" i="98"/>
  <c r="BH13" i="98"/>
  <c r="BP13" i="98"/>
  <c r="BX13" i="98"/>
  <c r="AJ25" i="98"/>
  <c r="CB14" i="98"/>
  <c r="CB25" i="98"/>
  <c r="DP13" i="98"/>
  <c r="T25" i="98"/>
  <c r="AX25" i="99"/>
  <c r="CL13" i="99"/>
  <c r="DA13" i="99"/>
  <c r="BM25" i="99"/>
  <c r="CV13" i="140"/>
  <c r="BH25" i="140"/>
  <c r="BY25" i="140"/>
  <c r="DM13" i="140"/>
  <c r="AL52" i="100"/>
  <c r="F71" i="178"/>
  <c r="G71" i="178" s="1"/>
  <c r="R24" i="122"/>
  <c r="BW25" i="97"/>
  <c r="BI13" i="98"/>
  <c r="U25" i="98"/>
  <c r="BA13" i="98"/>
  <c r="BQ13" i="98"/>
  <c r="AY13" i="99"/>
  <c r="CW13" i="140"/>
  <c r="BI25" i="140"/>
  <c r="AA25" i="99"/>
  <c r="BO13" i="99"/>
  <c r="T25" i="97"/>
  <c r="BH13" i="97"/>
  <c r="AJ25" i="97"/>
  <c r="BX13" i="97"/>
  <c r="DL13" i="97"/>
  <c r="F25" i="98"/>
  <c r="AT13" i="98"/>
  <c r="AD25" i="98"/>
  <c r="AL25" i="98"/>
  <c r="BR13" i="98"/>
  <c r="BB13" i="99"/>
  <c r="N25" i="99"/>
  <c r="DF13" i="99"/>
  <c r="BR25" i="99"/>
  <c r="AB51" i="100"/>
  <c r="AB52" i="100" s="1"/>
  <c r="AA8" i="122"/>
  <c r="V11" i="167"/>
  <c r="CG13" i="97"/>
  <c r="E25" i="97"/>
  <c r="CS13" i="99"/>
  <c r="BE25" i="99"/>
  <c r="CE13" i="140"/>
  <c r="AA25" i="140"/>
  <c r="AV25" i="140"/>
  <c r="C25" i="140"/>
  <c r="CO13" i="97"/>
  <c r="M25" i="97"/>
  <c r="AC25" i="97"/>
  <c r="H25" i="98"/>
  <c r="AF25" i="98"/>
  <c r="BT13" i="98"/>
  <c r="AN25" i="98"/>
  <c r="AN14" i="98"/>
  <c r="DJ13" i="98"/>
  <c r="AB25" i="98"/>
  <c r="CR13" i="99"/>
  <c r="BD25" i="99"/>
  <c r="DP13" i="99"/>
  <c r="CB14" i="99"/>
  <c r="DI13" i="99"/>
  <c r="BU25" i="99"/>
  <c r="D25" i="140"/>
  <c r="AR13" i="140"/>
  <c r="L25" i="140"/>
  <c r="T25" i="140"/>
  <c r="AB25" i="140"/>
  <c r="BP13" i="140"/>
  <c r="AJ25" i="140"/>
  <c r="BX13" i="140"/>
  <c r="AZ13" i="140"/>
  <c r="L34" i="100"/>
  <c r="AV25" i="98"/>
  <c r="CJ13" i="98"/>
  <c r="D25" i="97"/>
  <c r="AR13" i="97"/>
  <c r="CF13" i="97"/>
  <c r="L25" i="97"/>
  <c r="AZ13" i="97"/>
  <c r="AB25" i="97"/>
  <c r="BP13" i="97"/>
  <c r="N25" i="98"/>
  <c r="BB13" i="98"/>
  <c r="V25" i="98"/>
  <c r="AT13" i="99"/>
  <c r="CX13" i="99"/>
  <c r="BJ25" i="99"/>
  <c r="BZ13" i="99"/>
  <c r="AL25" i="99"/>
  <c r="AD25" i="99"/>
  <c r="BL25" i="140"/>
  <c r="AJ51" i="100"/>
  <c r="AJ52" i="100" s="1"/>
  <c r="BI13" i="97"/>
  <c r="CW13" i="97"/>
  <c r="AK25" i="97"/>
  <c r="DM13" i="97"/>
  <c r="L25" i="98"/>
  <c r="CM13" i="140"/>
  <c r="AY25" i="140"/>
  <c r="BO13" i="140"/>
  <c r="F59" i="178"/>
  <c r="G59" i="178" s="1"/>
  <c r="F63" i="178"/>
  <c r="G63" i="178" s="1"/>
  <c r="F55" i="178"/>
  <c r="G55" i="178" s="1"/>
  <c r="F75" i="178"/>
  <c r="G75" i="178" s="1"/>
  <c r="F79" i="178"/>
  <c r="G79" i="178" s="1"/>
  <c r="DE13" i="97"/>
  <c r="AS13" i="98"/>
  <c r="BJ13" i="98"/>
  <c r="I25" i="99"/>
  <c r="AW13" i="99"/>
  <c r="Q25" i="99"/>
  <c r="Y25" i="99"/>
  <c r="AG25" i="99"/>
  <c r="AQ13" i="99"/>
  <c r="BG13" i="99"/>
  <c r="F25" i="99"/>
  <c r="CJ13" i="140"/>
  <c r="AB34" i="100"/>
  <c r="AK52" i="100"/>
  <c r="P21" i="14"/>
  <c r="P17" i="14"/>
  <c r="P13" i="14"/>
  <c r="P10" i="14"/>
  <c r="P20" i="14"/>
  <c r="Q20" i="14" s="1"/>
  <c r="P12" i="14"/>
  <c r="Q12" i="14" s="1"/>
  <c r="P19" i="14"/>
  <c r="Q19" i="14" s="1"/>
  <c r="AC91" i="100" s="1"/>
  <c r="P14" i="14"/>
  <c r="Q14" i="14" s="1"/>
  <c r="P16" i="14"/>
  <c r="P23" i="14"/>
  <c r="Q23" i="14" s="1"/>
  <c r="P15" i="14"/>
  <c r="P18" i="14"/>
  <c r="P22" i="14"/>
  <c r="Q22" i="14" s="1"/>
  <c r="P11" i="14"/>
  <c r="Q11" i="14" s="1"/>
  <c r="Y91" i="100" s="1"/>
  <c r="C25" i="97"/>
  <c r="CE13" i="97"/>
  <c r="K25" i="97"/>
  <c r="CM13" i="97"/>
  <c r="S25" i="97"/>
  <c r="CU13" i="97"/>
  <c r="AA25" i="97"/>
  <c r="DC13" i="97"/>
  <c r="AI25" i="97"/>
  <c r="DK13" i="97"/>
  <c r="BO13" i="97"/>
  <c r="DB13" i="98"/>
  <c r="BJ13" i="140"/>
  <c r="E127" i="14"/>
  <c r="E128" i="14"/>
  <c r="CP25" i="97"/>
  <c r="CX25" i="97"/>
  <c r="DF25" i="97"/>
  <c r="DN25" i="97"/>
  <c r="V25" i="97"/>
  <c r="AI25" i="98"/>
  <c r="BG25" i="98"/>
  <c r="AU13" i="99"/>
  <c r="BC13" i="99"/>
  <c r="BK13" i="99"/>
  <c r="BS13" i="99"/>
  <c r="CA13" i="99"/>
  <c r="BB13" i="140"/>
  <c r="D101" i="154"/>
  <c r="D101" i="155"/>
  <c r="D101" i="149"/>
  <c r="D101" i="146"/>
  <c r="D40" i="23"/>
  <c r="E102" i="103"/>
  <c r="D101" i="152"/>
  <c r="D101" i="151"/>
  <c r="E81" i="90"/>
  <c r="F102" i="103"/>
  <c r="F81" i="22"/>
  <c r="F101" i="38"/>
  <c r="D101" i="156"/>
  <c r="D81" i="90"/>
  <c r="D102" i="144"/>
  <c r="D81" i="22"/>
  <c r="G101" i="38"/>
  <c r="G102" i="103"/>
  <c r="D102" i="176"/>
  <c r="D102" i="148"/>
  <c r="E101" i="38"/>
  <c r="D101" i="158"/>
  <c r="D101" i="153"/>
  <c r="D101" i="147"/>
  <c r="D102" i="143"/>
  <c r="E81" i="22"/>
  <c r="G81" i="22"/>
  <c r="D102" i="103"/>
  <c r="D102" i="175"/>
  <c r="D101" i="157"/>
  <c r="D102" i="174"/>
  <c r="D102" i="145"/>
  <c r="G81" i="90"/>
  <c r="D102" i="150"/>
  <c r="D102" i="142"/>
  <c r="D101" i="38"/>
  <c r="F81" i="90"/>
  <c r="D102" i="105"/>
  <c r="AY13" i="97"/>
  <c r="K25" i="98"/>
  <c r="AU25" i="98"/>
  <c r="AM25" i="99"/>
  <c r="AX13" i="140"/>
  <c r="BF13" i="140"/>
  <c r="BN13" i="140"/>
  <c r="BV13" i="140"/>
  <c r="S70" i="3"/>
  <c r="G70" i="3"/>
  <c r="H80" i="3"/>
  <c r="AW13" i="98"/>
  <c r="BE13" i="98"/>
  <c r="BM13" i="98"/>
  <c r="BU13" i="98"/>
  <c r="AR13" i="99"/>
  <c r="AZ13" i="99"/>
  <c r="BH13" i="99"/>
  <c r="BP13" i="99"/>
  <c r="BX13" i="99"/>
  <c r="AU13" i="140"/>
  <c r="BC13" i="140"/>
  <c r="BK13" i="140"/>
  <c r="BS13" i="140"/>
  <c r="CA13" i="140"/>
  <c r="Z80" i="3"/>
  <c r="AA70" i="3"/>
  <c r="AN70" i="3"/>
  <c r="X70" i="3"/>
  <c r="AL70" i="3"/>
  <c r="F70" i="3"/>
  <c r="R52" i="122" s="1"/>
  <c r="AG70" i="3"/>
  <c r="AD70" i="3"/>
  <c r="AB70" i="3"/>
  <c r="Y70" i="3"/>
  <c r="L70" i="3"/>
  <c r="AO72" i="3"/>
  <c r="AK168" i="3"/>
  <c r="AK72" i="3"/>
  <c r="Y126" i="3"/>
  <c r="AO38" i="3"/>
  <c r="AK32" i="3"/>
  <c r="AI32" i="3"/>
  <c r="AO168" i="3"/>
  <c r="AO37" i="3"/>
  <c r="AP34" i="3"/>
  <c r="AO35" i="3"/>
  <c r="AJ169" i="3"/>
  <c r="G67" i="178" l="1"/>
  <c r="G68" i="178" s="1"/>
  <c r="G69" i="178" s="1"/>
  <c r="G70" i="178" s="1"/>
  <c r="G89" i="38"/>
  <c r="D78" i="189"/>
  <c r="D48" i="189" s="1"/>
  <c r="D56" i="189" s="1"/>
  <c r="D79" i="189"/>
  <c r="D49" i="189" s="1"/>
  <c r="D57" i="189" s="1"/>
  <c r="F80" i="181"/>
  <c r="F84" i="181" s="1"/>
  <c r="F85" i="181" s="1"/>
  <c r="F23" i="181" s="1"/>
  <c r="D81" i="187"/>
  <c r="D51" i="187" s="1"/>
  <c r="D59" i="187" s="1"/>
  <c r="O30" i="101"/>
  <c r="D82" i="189"/>
  <c r="D52" i="189" s="1"/>
  <c r="D60" i="189" s="1"/>
  <c r="AP29" i="3"/>
  <c r="F39" i="191"/>
  <c r="G39" i="191"/>
  <c r="D39" i="191"/>
  <c r="E39" i="191"/>
  <c r="AO36" i="3"/>
  <c r="AO41" i="3" s="1"/>
  <c r="AK55" i="3"/>
  <c r="AO55" i="3"/>
  <c r="AK56" i="3"/>
  <c r="AO56" i="3"/>
  <c r="AA110" i="3"/>
  <c r="D168" i="160"/>
  <c r="I173" i="160"/>
  <c r="D31" i="25"/>
  <c r="D127" i="25" s="1"/>
  <c r="E43" i="154"/>
  <c r="G43" i="154"/>
  <c r="F83" i="153"/>
  <c r="G83" i="147"/>
  <c r="F86" i="151"/>
  <c r="E43" i="149"/>
  <c r="D160" i="159"/>
  <c r="D84" i="147"/>
  <c r="F84" i="147" s="1"/>
  <c r="G91" i="183"/>
  <c r="G81" i="183" s="1"/>
  <c r="G51" i="183" s="1"/>
  <c r="G59" i="183" s="1"/>
  <c r="F81" i="183"/>
  <c r="F51" i="183" s="1"/>
  <c r="F59" i="183" s="1"/>
  <c r="G91" i="188"/>
  <c r="G81" i="188" s="1"/>
  <c r="G50" i="188" s="1"/>
  <c r="G58" i="188" s="1"/>
  <c r="F81" i="188"/>
  <c r="F50" i="188" s="1"/>
  <c r="F58" i="188" s="1"/>
  <c r="G87" i="185"/>
  <c r="G93" i="186"/>
  <c r="G91" i="187"/>
  <c r="G81" i="187" s="1"/>
  <c r="G51" i="187" s="1"/>
  <c r="G59" i="187" s="1"/>
  <c r="F81" i="187"/>
  <c r="F51" i="187" s="1"/>
  <c r="F59" i="187" s="1"/>
  <c r="G88" i="183"/>
  <c r="G78" i="183" s="1"/>
  <c r="G48" i="183" s="1"/>
  <c r="G56" i="183" s="1"/>
  <c r="F78" i="183"/>
  <c r="F48" i="183" s="1"/>
  <c r="F56" i="183" s="1"/>
  <c r="F77" i="187"/>
  <c r="G87" i="187"/>
  <c r="G77" i="187" s="1"/>
  <c r="D67" i="181"/>
  <c r="D24" i="181"/>
  <c r="E67" i="182"/>
  <c r="E24" i="182"/>
  <c r="G67" i="181"/>
  <c r="G24" i="181"/>
  <c r="G92" i="189"/>
  <c r="G82" i="189" s="1"/>
  <c r="G52" i="189" s="1"/>
  <c r="G60" i="189" s="1"/>
  <c r="F82" i="189"/>
  <c r="F52" i="189" s="1"/>
  <c r="F60" i="189" s="1"/>
  <c r="G89" i="185"/>
  <c r="G88" i="189"/>
  <c r="G78" i="189" s="1"/>
  <c r="G48" i="189" s="1"/>
  <c r="G56" i="189" s="1"/>
  <c r="F78" i="189"/>
  <c r="F48" i="189" s="1"/>
  <c r="F56" i="189" s="1"/>
  <c r="D77" i="183"/>
  <c r="F78" i="188"/>
  <c r="F25" i="188"/>
  <c r="G67" i="187"/>
  <c r="G25" i="187"/>
  <c r="D68" i="188"/>
  <c r="E68" i="188" s="1"/>
  <c r="E71" i="188" s="1"/>
  <c r="D67" i="187"/>
  <c r="D25" i="187"/>
  <c r="G25" i="189"/>
  <c r="G67" i="189"/>
  <c r="G28" i="189" s="1"/>
  <c r="G41" i="189" s="1"/>
  <c r="D81" i="189"/>
  <c r="D51" i="189" s="1"/>
  <c r="D59" i="189" s="1"/>
  <c r="G90" i="185"/>
  <c r="F79" i="187"/>
  <c r="F49" i="187" s="1"/>
  <c r="F57" i="187" s="1"/>
  <c r="G89" i="187"/>
  <c r="G79" i="187" s="1"/>
  <c r="G49" i="187" s="1"/>
  <c r="G57" i="187" s="1"/>
  <c r="D78" i="183"/>
  <c r="D48" i="183" s="1"/>
  <c r="D56" i="183" s="1"/>
  <c r="D77" i="187"/>
  <c r="AG110" i="3"/>
  <c r="AN110" i="3"/>
  <c r="D70" i="185"/>
  <c r="G91" i="184"/>
  <c r="G90" i="189"/>
  <c r="G80" i="189" s="1"/>
  <c r="G50" i="189" s="1"/>
  <c r="G58" i="189" s="1"/>
  <c r="F80" i="189"/>
  <c r="F50" i="189" s="1"/>
  <c r="F58" i="189" s="1"/>
  <c r="E79" i="189"/>
  <c r="E49" i="189" s="1"/>
  <c r="E57" i="189" s="1"/>
  <c r="G92" i="185"/>
  <c r="E80" i="189"/>
  <c r="E50" i="189" s="1"/>
  <c r="E58" i="189" s="1"/>
  <c r="G88" i="185"/>
  <c r="F67" i="180"/>
  <c r="F24" i="180"/>
  <c r="E67" i="180"/>
  <c r="E24" i="180"/>
  <c r="F67" i="182"/>
  <c r="F24" i="182"/>
  <c r="F82" i="187"/>
  <c r="F52" i="187" s="1"/>
  <c r="F60" i="187" s="1"/>
  <c r="G92" i="187"/>
  <c r="G82" i="187" s="1"/>
  <c r="G52" i="187" s="1"/>
  <c r="G60" i="187" s="1"/>
  <c r="D81" i="183"/>
  <c r="D51" i="183" s="1"/>
  <c r="D59" i="183" s="1"/>
  <c r="G90" i="186"/>
  <c r="D25" i="189"/>
  <c r="D67" i="189"/>
  <c r="D28" i="189" s="1"/>
  <c r="D41" i="189" s="1"/>
  <c r="F25" i="187"/>
  <c r="F67" i="187"/>
  <c r="G67" i="183"/>
  <c r="G25" i="183"/>
  <c r="E82" i="187"/>
  <c r="E52" i="187" s="1"/>
  <c r="E60" i="187" s="1"/>
  <c r="D82" i="183"/>
  <c r="D52" i="183" s="1"/>
  <c r="D60" i="183" s="1"/>
  <c r="G91" i="186"/>
  <c r="E79" i="183"/>
  <c r="E49" i="183" s="1"/>
  <c r="E57" i="183" s="1"/>
  <c r="E78" i="189"/>
  <c r="E48" i="189" s="1"/>
  <c r="E56" i="189" s="1"/>
  <c r="F70" i="184"/>
  <c r="E70" i="184"/>
  <c r="G92" i="186"/>
  <c r="F77" i="183"/>
  <c r="G87" i="183"/>
  <c r="G77" i="183" s="1"/>
  <c r="G92" i="184"/>
  <c r="G92" i="188"/>
  <c r="G82" i="188" s="1"/>
  <c r="G51" i="188" s="1"/>
  <c r="G59" i="188" s="1"/>
  <c r="F82" i="188"/>
  <c r="F51" i="188" s="1"/>
  <c r="F59" i="188" s="1"/>
  <c r="G88" i="184"/>
  <c r="D67" i="182"/>
  <c r="D24" i="182"/>
  <c r="F24" i="181"/>
  <c r="F67" i="181"/>
  <c r="G24" i="182"/>
  <c r="G67" i="182"/>
  <c r="G89" i="183"/>
  <c r="G79" i="183" s="1"/>
  <c r="G49" i="183" s="1"/>
  <c r="G57" i="183" s="1"/>
  <c r="F79" i="183"/>
  <c r="F49" i="183" s="1"/>
  <c r="F57" i="183" s="1"/>
  <c r="D67" i="183"/>
  <c r="D25" i="183"/>
  <c r="D68" i="186"/>
  <c r="E25" i="189"/>
  <c r="E67" i="189"/>
  <c r="E28" i="189" s="1"/>
  <c r="E41" i="189" s="1"/>
  <c r="F25" i="189"/>
  <c r="F67" i="189"/>
  <c r="F28" i="189" s="1"/>
  <c r="F41" i="189" s="1"/>
  <c r="E82" i="189"/>
  <c r="E52" i="189" s="1"/>
  <c r="E60" i="189" s="1"/>
  <c r="G90" i="183"/>
  <c r="G80" i="183" s="1"/>
  <c r="G50" i="183" s="1"/>
  <c r="G58" i="183" s="1"/>
  <c r="F80" i="183"/>
  <c r="F50" i="183" s="1"/>
  <c r="F58" i="183" s="1"/>
  <c r="G90" i="188"/>
  <c r="G80" i="188" s="1"/>
  <c r="G49" i="188" s="1"/>
  <c r="G57" i="188" s="1"/>
  <c r="F80" i="188"/>
  <c r="F49" i="188" s="1"/>
  <c r="F57" i="188" s="1"/>
  <c r="E102" i="148"/>
  <c r="F110" i="3"/>
  <c r="D168" i="159"/>
  <c r="D160" i="28"/>
  <c r="F135" i="28"/>
  <c r="F43" i="174"/>
  <c r="G84" i="151"/>
  <c r="F43" i="154"/>
  <c r="E83" i="153"/>
  <c r="F43" i="149"/>
  <c r="AD110" i="3"/>
  <c r="Z118" i="3"/>
  <c r="G91" i="185"/>
  <c r="G90" i="187"/>
  <c r="G80" i="187" s="1"/>
  <c r="G50" i="187" s="1"/>
  <c r="G58" i="187" s="1"/>
  <c r="F80" i="187"/>
  <c r="F50" i="187" s="1"/>
  <c r="F58" i="187" s="1"/>
  <c r="D79" i="183"/>
  <c r="D49" i="183" s="1"/>
  <c r="D57" i="183" s="1"/>
  <c r="G87" i="184"/>
  <c r="G92" i="183"/>
  <c r="G82" i="183" s="1"/>
  <c r="G52" i="183" s="1"/>
  <c r="G60" i="183" s="1"/>
  <c r="F82" i="183"/>
  <c r="F52" i="183" s="1"/>
  <c r="F60" i="183" s="1"/>
  <c r="G91" i="189"/>
  <c r="G81" i="189" s="1"/>
  <c r="G51" i="189" s="1"/>
  <c r="G59" i="189" s="1"/>
  <c r="F81" i="189"/>
  <c r="F51" i="189" s="1"/>
  <c r="F59" i="189" s="1"/>
  <c r="G87" i="189"/>
  <c r="G77" i="189" s="1"/>
  <c r="F77" i="189"/>
  <c r="D67" i="180"/>
  <c r="D24" i="180"/>
  <c r="E24" i="181"/>
  <c r="E67" i="181"/>
  <c r="G24" i="180"/>
  <c r="G67" i="180"/>
  <c r="G93" i="188"/>
  <c r="G83" i="188" s="1"/>
  <c r="G52" i="188" s="1"/>
  <c r="G60" i="188" s="1"/>
  <c r="F83" i="188"/>
  <c r="F52" i="188" s="1"/>
  <c r="F60" i="188" s="1"/>
  <c r="E81" i="189"/>
  <c r="E51" i="189" s="1"/>
  <c r="E59" i="189" s="1"/>
  <c r="G89" i="184"/>
  <c r="G88" i="187"/>
  <c r="G78" i="187" s="1"/>
  <c r="G48" i="187" s="1"/>
  <c r="G56" i="187" s="1"/>
  <c r="F78" i="187"/>
  <c r="F48" i="187" s="1"/>
  <c r="F56" i="187" s="1"/>
  <c r="G78" i="188"/>
  <c r="G25" i="188"/>
  <c r="E67" i="183"/>
  <c r="E25" i="183"/>
  <c r="F25" i="183"/>
  <c r="F67" i="183"/>
  <c r="E25" i="187"/>
  <c r="E67" i="187"/>
  <c r="G90" i="184"/>
  <c r="G89" i="189"/>
  <c r="G79" i="189" s="1"/>
  <c r="G49" i="189" s="1"/>
  <c r="G57" i="189" s="1"/>
  <c r="F79" i="189"/>
  <c r="F49" i="189" s="1"/>
  <c r="F57" i="189" s="1"/>
  <c r="E78" i="187"/>
  <c r="E48" i="187" s="1"/>
  <c r="E56" i="187" s="1"/>
  <c r="D77" i="189"/>
  <c r="D75" i="184"/>
  <c r="D25" i="184" s="1"/>
  <c r="I145" i="160"/>
  <c r="F18" i="101"/>
  <c r="Q288" i="100" s="1"/>
  <c r="E67" i="32"/>
  <c r="F67" i="32" s="1"/>
  <c r="I172" i="28"/>
  <c r="I150" i="160"/>
  <c r="I145" i="28"/>
  <c r="I150" i="28"/>
  <c r="I134" i="160"/>
  <c r="F38" i="189"/>
  <c r="E38" i="189"/>
  <c r="F38" i="185"/>
  <c r="D38" i="189"/>
  <c r="G38" i="189"/>
  <c r="W67" i="187"/>
  <c r="W77" i="187"/>
  <c r="V77" i="187"/>
  <c r="V67" i="187"/>
  <c r="G38" i="185"/>
  <c r="E38" i="185"/>
  <c r="D38" i="185"/>
  <c r="I174" i="28"/>
  <c r="I174" i="160"/>
  <c r="X207" i="100"/>
  <c r="H11" i="101"/>
  <c r="W11" i="101"/>
  <c r="W15" i="101"/>
  <c r="Q21" i="14"/>
  <c r="R91" i="100" s="1"/>
  <c r="I152" i="160"/>
  <c r="I175" i="160"/>
  <c r="F67" i="164"/>
  <c r="F41" i="164" s="1"/>
  <c r="F39" i="164" s="1"/>
  <c r="I144" i="159"/>
  <c r="I144" i="28"/>
  <c r="F48" i="164"/>
  <c r="F56" i="164" s="1"/>
  <c r="I18" i="101"/>
  <c r="Q291" i="100" s="1"/>
  <c r="E22" i="101"/>
  <c r="H68" i="100" s="1"/>
  <c r="H67" i="100" s="1"/>
  <c r="U71" i="3" s="1"/>
  <c r="I152" i="28"/>
  <c r="I175" i="159"/>
  <c r="E18" i="101"/>
  <c r="Q68" i="100" s="1"/>
  <c r="Q67" i="100" s="1"/>
  <c r="M71" i="3" s="1"/>
  <c r="H22" i="101"/>
  <c r="W290" i="100" s="1"/>
  <c r="J15" i="101"/>
  <c r="O292" i="100" s="1"/>
  <c r="D73" i="32"/>
  <c r="D28" i="32" s="1"/>
  <c r="D40" i="32" s="1"/>
  <c r="G67" i="100"/>
  <c r="G71" i="3" s="1"/>
  <c r="I153" i="160"/>
  <c r="I135" i="160"/>
  <c r="I173" i="159"/>
  <c r="F51" i="164"/>
  <c r="F59" i="164" s="1"/>
  <c r="E15" i="101"/>
  <c r="N68" i="100" s="1"/>
  <c r="N67" i="100" s="1"/>
  <c r="P71" i="3" s="1"/>
  <c r="J21" i="101"/>
  <c r="I292" i="100" s="1"/>
  <c r="AE68" i="100"/>
  <c r="AE67" i="100" s="1"/>
  <c r="G40" i="108"/>
  <c r="F25" i="164"/>
  <c r="F15" i="101"/>
  <c r="N288" i="100" s="1"/>
  <c r="F21" i="101"/>
  <c r="I288" i="100" s="1"/>
  <c r="G88" i="30"/>
  <c r="F52" i="164"/>
  <c r="F60" i="164" s="1"/>
  <c r="G15" i="101"/>
  <c r="E21" i="101"/>
  <c r="I68" i="100" s="1"/>
  <c r="I67" i="100" s="1"/>
  <c r="D142" i="7"/>
  <c r="AP218" i="3" s="1"/>
  <c r="W13" i="101"/>
  <c r="N291" i="100"/>
  <c r="F13" i="101"/>
  <c r="R291" i="100"/>
  <c r="D129" i="30"/>
  <c r="AD289" i="100"/>
  <c r="N205" i="100"/>
  <c r="AC289" i="100"/>
  <c r="E84" i="30"/>
  <c r="E88" i="30" s="1"/>
  <c r="D89" i="38"/>
  <c r="AE289" i="100"/>
  <c r="I207" i="100"/>
  <c r="AL289" i="100"/>
  <c r="H205" i="100"/>
  <c r="H6" i="108"/>
  <c r="H38" i="108" s="1"/>
  <c r="F84" i="30"/>
  <c r="F88" i="30" s="1"/>
  <c r="AL64" i="100"/>
  <c r="AL63" i="100" s="1"/>
  <c r="J207" i="100"/>
  <c r="L204" i="100"/>
  <c r="K67" i="100"/>
  <c r="Z71" i="3" s="1"/>
  <c r="J13" i="101"/>
  <c r="X205" i="100"/>
  <c r="AL205" i="100"/>
  <c r="G64" i="100"/>
  <c r="G63" i="100" s="1"/>
  <c r="I79" i="3" s="1"/>
  <c r="Q205" i="100"/>
  <c r="D140" i="7"/>
  <c r="AP216" i="3" s="1"/>
  <c r="I13" i="101"/>
  <c r="G13" i="101"/>
  <c r="G205" i="100"/>
  <c r="W205" i="100"/>
  <c r="G6" i="108"/>
  <c r="G38" i="108" s="1"/>
  <c r="Y64" i="100"/>
  <c r="Y63" i="100" s="1"/>
  <c r="I69" i="3" s="1"/>
  <c r="AD291" i="100"/>
  <c r="S67" i="100"/>
  <c r="E13" i="101"/>
  <c r="P205" i="100"/>
  <c r="T205" i="100"/>
  <c r="D141" i="7"/>
  <c r="AP217" i="3" s="1"/>
  <c r="J11" i="101"/>
  <c r="Q64" i="100"/>
  <c r="Q63" i="100" s="1"/>
  <c r="M69" i="3" s="1"/>
  <c r="J20" i="101"/>
  <c r="G292" i="100" s="1"/>
  <c r="H64" i="100"/>
  <c r="H63" i="100" s="1"/>
  <c r="U69" i="3" s="1"/>
  <c r="J18" i="101"/>
  <c r="Q292" i="100" s="1"/>
  <c r="E12" i="101"/>
  <c r="X68" i="100" s="1"/>
  <c r="X67" i="100" s="1"/>
  <c r="AL71" i="3" s="1"/>
  <c r="E11" i="101"/>
  <c r="AC68" i="100"/>
  <c r="AC67" i="100" s="1"/>
  <c r="AC64" i="100"/>
  <c r="AC63" i="100" s="1"/>
  <c r="G207" i="100"/>
  <c r="H207" i="100"/>
  <c r="I20" i="101"/>
  <c r="G291" i="100" s="1"/>
  <c r="H21" i="101"/>
  <c r="I290" i="100" s="1"/>
  <c r="W21" i="101"/>
  <c r="G18" i="101"/>
  <c r="Q289" i="100" s="1"/>
  <c r="AE64" i="100"/>
  <c r="AE63" i="100" s="1"/>
  <c r="P64" i="100"/>
  <c r="P63" i="100" s="1"/>
  <c r="AD64" i="100"/>
  <c r="AD63" i="100" s="1"/>
  <c r="G11" i="101"/>
  <c r="N64" i="100"/>
  <c r="N63" i="100" s="1"/>
  <c r="P69" i="3" s="1"/>
  <c r="W18" i="101"/>
  <c r="F11" i="101"/>
  <c r="M64" i="100"/>
  <c r="M63" i="100" s="1"/>
  <c r="J69" i="3" s="1"/>
  <c r="F12" i="101"/>
  <c r="X288" i="100" s="1"/>
  <c r="AL291" i="100"/>
  <c r="P207" i="100"/>
  <c r="W20" i="101"/>
  <c r="G21" i="101"/>
  <c r="I289" i="100" s="1"/>
  <c r="G12" i="101"/>
  <c r="X289" i="100" s="1"/>
  <c r="I64" i="100"/>
  <c r="I63" i="100" s="1"/>
  <c r="T69" i="3" s="1"/>
  <c r="G22" i="101"/>
  <c r="H289" i="100" s="1"/>
  <c r="W22" i="101"/>
  <c r="W64" i="100"/>
  <c r="W63" i="100" s="1"/>
  <c r="V69" i="3" s="1"/>
  <c r="V68" i="100"/>
  <c r="V67" i="100" s="1"/>
  <c r="AC71" i="3" s="1"/>
  <c r="L64" i="100"/>
  <c r="L63" i="100" s="1"/>
  <c r="H69" i="3" s="1"/>
  <c r="AL68" i="100"/>
  <c r="AL67" i="100" s="1"/>
  <c r="F64" i="100"/>
  <c r="F63" i="100" s="1"/>
  <c r="AD68" i="100"/>
  <c r="AD67" i="100" s="1"/>
  <c r="J22" i="101"/>
  <c r="H292" i="100" s="1"/>
  <c r="AE207" i="100"/>
  <c r="L207" i="100"/>
  <c r="T207" i="100"/>
  <c r="AD288" i="100"/>
  <c r="F22" i="101"/>
  <c r="W288" i="100" s="1"/>
  <c r="AD205" i="100"/>
  <c r="AE205" i="100"/>
  <c r="M205" i="100"/>
  <c r="AL159" i="3"/>
  <c r="AD159" i="3"/>
  <c r="I159" i="3"/>
  <c r="AM159" i="3"/>
  <c r="AE159" i="3"/>
  <c r="AC159" i="3"/>
  <c r="X159" i="3"/>
  <c r="H159" i="3"/>
  <c r="N159" i="3"/>
  <c r="J159" i="3"/>
  <c r="T159" i="3"/>
  <c r="AA159" i="3"/>
  <c r="AF159" i="3"/>
  <c r="AN159" i="3"/>
  <c r="P159" i="3"/>
  <c r="S159" i="3"/>
  <c r="O159" i="3"/>
  <c r="AG159" i="3"/>
  <c r="M159" i="3"/>
  <c r="U159" i="3"/>
  <c r="V159" i="3"/>
  <c r="Q159" i="3"/>
  <c r="G159" i="3"/>
  <c r="R159" i="3"/>
  <c r="L159" i="3"/>
  <c r="K159" i="3"/>
  <c r="W159" i="3"/>
  <c r="AB159" i="3"/>
  <c r="Z159" i="3"/>
  <c r="AJ159" i="3"/>
  <c r="Y159" i="3"/>
  <c r="F159" i="3"/>
  <c r="D87" i="147"/>
  <c r="E83" i="158"/>
  <c r="F83" i="146"/>
  <c r="X204" i="100"/>
  <c r="G129" i="30"/>
  <c r="G83" i="146"/>
  <c r="I132" i="160"/>
  <c r="I133" i="159"/>
  <c r="G132" i="25"/>
  <c r="F132" i="28"/>
  <c r="D158" i="28"/>
  <c r="D31" i="28" s="1"/>
  <c r="D127" i="28" s="1"/>
  <c r="D86" i="28" s="1"/>
  <c r="E43" i="174"/>
  <c r="G43" i="157"/>
  <c r="F50" i="164"/>
  <c r="F58" i="164" s="1"/>
  <c r="H19" i="101"/>
  <c r="P290" i="100" s="1"/>
  <c r="H12" i="101"/>
  <c r="X290" i="100" s="1"/>
  <c r="V205" i="100"/>
  <c r="AC291" i="100"/>
  <c r="AC207" i="100"/>
  <c r="H204" i="100"/>
  <c r="V288" i="100"/>
  <c r="S204" i="100"/>
  <c r="AL204" i="100"/>
  <c r="F205" i="100"/>
  <c r="I205" i="100"/>
  <c r="W12" i="101"/>
  <c r="AC205" i="100"/>
  <c r="G52" i="35"/>
  <c r="G60" i="35" s="1"/>
  <c r="G50" i="35"/>
  <c r="G58" i="35" s="1"/>
  <c r="G48" i="35"/>
  <c r="G56" i="35" s="1"/>
  <c r="G49" i="35"/>
  <c r="G57" i="35" s="1"/>
  <c r="G51" i="35"/>
  <c r="G59" i="35" s="1"/>
  <c r="G51" i="21"/>
  <c r="G59" i="21" s="1"/>
  <c r="G49" i="21"/>
  <c r="G57" i="21" s="1"/>
  <c r="G50" i="21"/>
  <c r="G58" i="21" s="1"/>
  <c r="G52" i="21"/>
  <c r="G60" i="21" s="1"/>
  <c r="G48" i="21"/>
  <c r="G56" i="21" s="1"/>
  <c r="F74" i="23"/>
  <c r="F41" i="23" s="1"/>
  <c r="F73" i="23"/>
  <c r="F28" i="23" s="1"/>
  <c r="F40" i="23" s="1"/>
  <c r="G67" i="23"/>
  <c r="D75" i="90"/>
  <c r="D28" i="90" s="1"/>
  <c r="D40" i="90" s="1"/>
  <c r="E67" i="90"/>
  <c r="U94" i="7"/>
  <c r="J82" i="7" s="1"/>
  <c r="R85" i="7" s="1"/>
  <c r="R86" i="7" s="1"/>
  <c r="U93" i="7"/>
  <c r="J83" i="7" s="1"/>
  <c r="D70" i="168"/>
  <c r="D28" i="168" s="1"/>
  <c r="D40" i="168" s="1"/>
  <c r="D71" i="168"/>
  <c r="D41" i="168" s="1"/>
  <c r="D75" i="22"/>
  <c r="D23" i="22"/>
  <c r="E67" i="22"/>
  <c r="G151" i="25"/>
  <c r="G151" i="159" s="1"/>
  <c r="D166" i="25"/>
  <c r="D166" i="159" s="1"/>
  <c r="G43" i="174"/>
  <c r="G85" i="174" s="1"/>
  <c r="P204" i="100"/>
  <c r="F67" i="169"/>
  <c r="F25" i="169"/>
  <c r="E89" i="38"/>
  <c r="G135" i="25"/>
  <c r="G135" i="160" s="1"/>
  <c r="F25" i="23"/>
  <c r="G25" i="23"/>
  <c r="E24" i="23"/>
  <c r="F133" i="159"/>
  <c r="AE288" i="100"/>
  <c r="G81" i="164"/>
  <c r="G100" i="164" s="1"/>
  <c r="G51" i="164" s="1"/>
  <c r="G59" i="164" s="1"/>
  <c r="G84" i="164"/>
  <c r="I151" i="160"/>
  <c r="D88" i="38"/>
  <c r="I132" i="159"/>
  <c r="G153" i="25"/>
  <c r="F133" i="160"/>
  <c r="W207" i="100"/>
  <c r="M207" i="100"/>
  <c r="AE291" i="100"/>
  <c r="H20" i="101"/>
  <c r="G290" i="100" s="1"/>
  <c r="G204" i="100"/>
  <c r="N204" i="100"/>
  <c r="G70" i="170"/>
  <c r="G28" i="170" s="1"/>
  <c r="G40" i="170" s="1"/>
  <c r="G71" i="170"/>
  <c r="G41" i="170" s="1"/>
  <c r="F52" i="170"/>
  <c r="F60" i="170" s="1"/>
  <c r="G84" i="170"/>
  <c r="G52" i="170" s="1"/>
  <c r="G60" i="170" s="1"/>
  <c r="E25" i="168"/>
  <c r="F78" i="168"/>
  <c r="G78" i="168"/>
  <c r="E67" i="168"/>
  <c r="D84" i="164"/>
  <c r="D81" i="164"/>
  <c r="D100" i="164" s="1"/>
  <c r="O10" i="101"/>
  <c r="Q10" i="101" s="1"/>
  <c r="O9" i="101"/>
  <c r="Q9" i="101" s="1"/>
  <c r="D73" i="31"/>
  <c r="D28" i="31" s="1"/>
  <c r="D40" i="31" s="1"/>
  <c r="D23" i="31"/>
  <c r="E67" i="31"/>
  <c r="D74" i="31"/>
  <c r="D41" i="31" s="1"/>
  <c r="E81" i="164"/>
  <c r="E100" i="164" s="1"/>
  <c r="E84" i="164"/>
  <c r="E88" i="164" s="1"/>
  <c r="AL288" i="100"/>
  <c r="D80" i="90"/>
  <c r="D41" i="90" s="1"/>
  <c r="G88" i="164"/>
  <c r="E71" i="169"/>
  <c r="E41" i="169" s="1"/>
  <c r="E70" i="169"/>
  <c r="E28" i="169" s="1"/>
  <c r="E40" i="169" s="1"/>
  <c r="E39" i="169" s="1"/>
  <c r="G51" i="33"/>
  <c r="G49" i="33"/>
  <c r="G52" i="33"/>
  <c r="G48" i="33"/>
  <c r="G50" i="33"/>
  <c r="I172" i="160"/>
  <c r="I151" i="159"/>
  <c r="I133" i="160"/>
  <c r="F151" i="159"/>
  <c r="F153" i="160"/>
  <c r="G133" i="25"/>
  <c r="F43" i="157"/>
  <c r="E19" i="101"/>
  <c r="P68" i="100" s="1"/>
  <c r="P67" i="100" s="1"/>
  <c r="AD207" i="100"/>
  <c r="Q207" i="100"/>
  <c r="G20" i="101"/>
  <c r="G289" i="100" s="1"/>
  <c r="AD204" i="100"/>
  <c r="W204" i="100"/>
  <c r="AC288" i="100"/>
  <c r="F20" i="101"/>
  <c r="G288" i="100" s="1"/>
  <c r="D88" i="164"/>
  <c r="E67" i="35"/>
  <c r="D73" i="35"/>
  <c r="D28" i="35" s="1"/>
  <c r="D40" i="35" s="1"/>
  <c r="D74" i="35"/>
  <c r="D41" i="35" s="1"/>
  <c r="F153" i="159"/>
  <c r="V204" i="100"/>
  <c r="G70" i="169"/>
  <c r="G28" i="169" s="1"/>
  <c r="G40" i="169" s="1"/>
  <c r="G71" i="169"/>
  <c r="G41" i="169" s="1"/>
  <c r="E73" i="32"/>
  <c r="E28" i="32" s="1"/>
  <c r="E40" i="32" s="1"/>
  <c r="I176" i="160"/>
  <c r="G19" i="101"/>
  <c r="U70" i="7"/>
  <c r="V71" i="7"/>
  <c r="T70" i="7"/>
  <c r="V72" i="7"/>
  <c r="U71" i="7"/>
  <c r="S70" i="7"/>
  <c r="U72" i="7"/>
  <c r="T71" i="7"/>
  <c r="R70" i="7"/>
  <c r="T72" i="7"/>
  <c r="S71" i="7"/>
  <c r="S72" i="7"/>
  <c r="R71" i="7"/>
  <c r="G52" i="7"/>
  <c r="R72" i="7"/>
  <c r="V70" i="7"/>
  <c r="I176" i="28"/>
  <c r="F151" i="28"/>
  <c r="F132" i="159"/>
  <c r="AJ67" i="3"/>
  <c r="I19" i="101"/>
  <c r="F291" i="100" s="1"/>
  <c r="I12" i="101"/>
  <c r="X291" i="100" s="1"/>
  <c r="S205" i="100"/>
  <c r="AL207" i="100"/>
  <c r="R207" i="100"/>
  <c r="M204" i="100"/>
  <c r="AE204" i="100"/>
  <c r="L205" i="100"/>
  <c r="V289" i="100"/>
  <c r="W19" i="101"/>
  <c r="J19" i="101"/>
  <c r="E67" i="21"/>
  <c r="D73" i="21"/>
  <c r="D28" i="21" s="1"/>
  <c r="D40" i="21" s="1"/>
  <c r="D74" i="21"/>
  <c r="D41" i="21" s="1"/>
  <c r="E67" i="33"/>
  <c r="D23" i="33"/>
  <c r="D73" i="33"/>
  <c r="D28" i="33" s="1"/>
  <c r="D40" i="33" s="1"/>
  <c r="M55" i="3"/>
  <c r="AJ55" i="3"/>
  <c r="M56" i="3"/>
  <c r="AJ56" i="3"/>
  <c r="W95" i="100"/>
  <c r="U64" i="100"/>
  <c r="U63" i="100" s="1"/>
  <c r="S79" i="3" s="1"/>
  <c r="T64" i="100"/>
  <c r="T63" i="100" s="1"/>
  <c r="R69" i="3" s="1"/>
  <c r="I204" i="100"/>
  <c r="AC204" i="100"/>
  <c r="Y204" i="100"/>
  <c r="F204" i="100"/>
  <c r="V291" i="100"/>
  <c r="N207" i="100"/>
  <c r="F207" i="100"/>
  <c r="O207" i="100"/>
  <c r="S207" i="100"/>
  <c r="V207" i="100"/>
  <c r="AL292" i="100"/>
  <c r="AD292" i="100"/>
  <c r="V292" i="100"/>
  <c r="AE208" i="100"/>
  <c r="W208" i="100"/>
  <c r="G208" i="100"/>
  <c r="AE292" i="100"/>
  <c r="X208" i="100"/>
  <c r="P208" i="100"/>
  <c r="L208" i="100"/>
  <c r="H208" i="100"/>
  <c r="N208" i="100"/>
  <c r="F208" i="100"/>
  <c r="M208" i="100"/>
  <c r="AC292" i="100"/>
  <c r="Y208" i="100"/>
  <c r="Q208" i="100"/>
  <c r="AD208" i="100"/>
  <c r="AL208" i="100"/>
  <c r="AC208" i="100"/>
  <c r="I208" i="100"/>
  <c r="F288" i="100"/>
  <c r="P288" i="100"/>
  <c r="H290" i="100"/>
  <c r="K204" i="100"/>
  <c r="R204" i="100"/>
  <c r="J204" i="100"/>
  <c r="R290" i="100"/>
  <c r="J290" i="100"/>
  <c r="R292" i="100"/>
  <c r="J292" i="100"/>
  <c r="AC206" i="100"/>
  <c r="Y206" i="100"/>
  <c r="Q206" i="100"/>
  <c r="M206" i="100"/>
  <c r="I206" i="100"/>
  <c r="AC290" i="100"/>
  <c r="AL206" i="100"/>
  <c r="AD206" i="100"/>
  <c r="N206" i="100"/>
  <c r="F206" i="100"/>
  <c r="V290" i="100"/>
  <c r="AE206" i="100"/>
  <c r="X206" i="100"/>
  <c r="P206" i="100"/>
  <c r="H206" i="100"/>
  <c r="L206" i="100"/>
  <c r="W206" i="100"/>
  <c r="AL290" i="100"/>
  <c r="AD290" i="100"/>
  <c r="G206" i="100"/>
  <c r="AE290" i="100"/>
  <c r="S208" i="100"/>
  <c r="O208" i="100"/>
  <c r="V208" i="100"/>
  <c r="W291" i="100"/>
  <c r="H291" i="100"/>
  <c r="R206" i="100"/>
  <c r="J206" i="100"/>
  <c r="K206" i="100"/>
  <c r="K208" i="100"/>
  <c r="J208" i="100"/>
  <c r="R208" i="100"/>
  <c r="R289" i="100"/>
  <c r="J289" i="100"/>
  <c r="U288" i="100"/>
  <c r="T288" i="100"/>
  <c r="U206" i="100"/>
  <c r="T206" i="100"/>
  <c r="N290" i="100"/>
  <c r="O290" i="100"/>
  <c r="R205" i="100"/>
  <c r="J205" i="100"/>
  <c r="K205" i="100"/>
  <c r="R68" i="100"/>
  <c r="R67" i="100" s="1"/>
  <c r="O71" i="3" s="1"/>
  <c r="J68" i="100"/>
  <c r="J67" i="100" s="1"/>
  <c r="N71" i="3" s="1"/>
  <c r="U292" i="100"/>
  <c r="T292" i="100"/>
  <c r="T291" i="100"/>
  <c r="U291" i="100"/>
  <c r="J95" i="100"/>
  <c r="V64" i="100"/>
  <c r="V63" i="100" s="1"/>
  <c r="AC69" i="3" s="1"/>
  <c r="O64" i="100"/>
  <c r="O63" i="100" s="1"/>
  <c r="S64" i="100"/>
  <c r="S63" i="100" s="1"/>
  <c r="T204" i="100"/>
  <c r="U204" i="100"/>
  <c r="U289" i="100"/>
  <c r="T289" i="100"/>
  <c r="M95" i="100"/>
  <c r="K69" i="3"/>
  <c r="AH69" i="3"/>
  <c r="V206" i="100"/>
  <c r="S206" i="100"/>
  <c r="O206" i="100"/>
  <c r="T208" i="100"/>
  <c r="U208" i="100"/>
  <c r="N289" i="100"/>
  <c r="O289" i="100"/>
  <c r="R64" i="100"/>
  <c r="R63" i="100" s="1"/>
  <c r="O69" i="3" s="1"/>
  <c r="K64" i="100"/>
  <c r="K63" i="100" s="1"/>
  <c r="Z69" i="3" s="1"/>
  <c r="J64" i="100"/>
  <c r="J63" i="100" s="1"/>
  <c r="R288" i="100"/>
  <c r="J288" i="100"/>
  <c r="T290" i="100"/>
  <c r="U290" i="100"/>
  <c r="T68" i="100"/>
  <c r="T67" i="100" s="1"/>
  <c r="R71" i="3" s="1"/>
  <c r="U68" i="100"/>
  <c r="U67" i="100" s="1"/>
  <c r="P81" i="3" s="1"/>
  <c r="K67" i="3"/>
  <c r="AH67" i="3"/>
  <c r="AH56" i="3"/>
  <c r="AH55" i="3"/>
  <c r="D111" i="145"/>
  <c r="D111" i="142"/>
  <c r="D111" i="161"/>
  <c r="D111" i="144"/>
  <c r="D111" i="175"/>
  <c r="D111" i="148"/>
  <c r="D111" i="150"/>
  <c r="D111" i="174"/>
  <c r="G130" i="108"/>
  <c r="G7" i="108" s="1"/>
  <c r="G41" i="108" s="1"/>
  <c r="E85" i="174"/>
  <c r="F145" i="160"/>
  <c r="G149" i="25"/>
  <c r="G149" i="28" s="1"/>
  <c r="F85" i="174"/>
  <c r="F149" i="159"/>
  <c r="F149" i="160"/>
  <c r="G145" i="25"/>
  <c r="G145" i="160" s="1"/>
  <c r="F135" i="160"/>
  <c r="F135" i="159"/>
  <c r="F83" i="155"/>
  <c r="G83" i="155"/>
  <c r="D86" i="155"/>
  <c r="E83" i="155"/>
  <c r="D84" i="149"/>
  <c r="D87" i="149" s="1"/>
  <c r="F83" i="158"/>
  <c r="E84" i="151"/>
  <c r="E86" i="151"/>
  <c r="D87" i="151"/>
  <c r="E87" i="151" s="1"/>
  <c r="F7" i="108"/>
  <c r="F41" i="108" s="1"/>
  <c r="D126" i="108"/>
  <c r="D131" i="108" s="1"/>
  <c r="D7" i="108" s="1"/>
  <c r="D41" i="108" s="1"/>
  <c r="AL69" i="3"/>
  <c r="F83" i="149"/>
  <c r="E83" i="149"/>
  <c r="G83" i="149"/>
  <c r="F86" i="155"/>
  <c r="E86" i="155"/>
  <c r="G86" i="155"/>
  <c r="F86" i="154"/>
  <c r="E86" i="154"/>
  <c r="G86" i="154"/>
  <c r="F86" i="156"/>
  <c r="E86" i="156"/>
  <c r="G86" i="156"/>
  <c r="D87" i="152"/>
  <c r="G84" i="152"/>
  <c r="F84" i="152"/>
  <c r="E84" i="152"/>
  <c r="D87" i="146"/>
  <c r="G84" i="146"/>
  <c r="E84" i="146"/>
  <c r="F84" i="146"/>
  <c r="F31" i="153"/>
  <c r="E31" i="153"/>
  <c r="G31" i="153"/>
  <c r="D86" i="158"/>
  <c r="D87" i="158"/>
  <c r="E84" i="149"/>
  <c r="E84" i="153"/>
  <c r="D87" i="153"/>
  <c r="F84" i="153"/>
  <c r="G84" i="153"/>
  <c r="F84" i="154"/>
  <c r="E84" i="154"/>
  <c r="D87" i="154"/>
  <c r="G84" i="154"/>
  <c r="F84" i="155"/>
  <c r="E84" i="155"/>
  <c r="G84" i="155"/>
  <c r="D87" i="155"/>
  <c r="D86" i="157"/>
  <c r="E83" i="157"/>
  <c r="G83" i="157"/>
  <c r="F83" i="157"/>
  <c r="E84" i="157"/>
  <c r="G84" i="157"/>
  <c r="F84" i="157"/>
  <c r="D87" i="157"/>
  <c r="D86" i="152"/>
  <c r="E86" i="146"/>
  <c r="G86" i="146"/>
  <c r="F86" i="146"/>
  <c r="F84" i="156"/>
  <c r="E84" i="156"/>
  <c r="G84" i="156"/>
  <c r="D87" i="156"/>
  <c r="F87" i="151"/>
  <c r="D86" i="153"/>
  <c r="E158" i="28"/>
  <c r="E31" i="28" s="1"/>
  <c r="E158" i="159"/>
  <c r="E166" i="25"/>
  <c r="E158" i="160"/>
  <c r="D161" i="28"/>
  <c r="D169" i="25"/>
  <c r="D161" i="159"/>
  <c r="D31" i="159" s="1"/>
  <c r="D127" i="159" s="1"/>
  <c r="D86" i="159" s="1"/>
  <c r="D161" i="160"/>
  <c r="G43" i="176"/>
  <c r="F43" i="176"/>
  <c r="E43" i="176"/>
  <c r="F144" i="160"/>
  <c r="F146" i="25"/>
  <c r="F160" i="25" s="1"/>
  <c r="G144" i="25"/>
  <c r="F144" i="159"/>
  <c r="F144" i="28"/>
  <c r="F138" i="25"/>
  <c r="F140" i="25" s="1"/>
  <c r="F140" i="160" s="1"/>
  <c r="F62" i="160" s="1"/>
  <c r="D157" i="28"/>
  <c r="D157" i="159"/>
  <c r="D157" i="160"/>
  <c r="G87" i="175"/>
  <c r="F87" i="175"/>
  <c r="E87" i="175"/>
  <c r="G145" i="159"/>
  <c r="G88" i="150"/>
  <c r="F88" i="150"/>
  <c r="E88" i="150"/>
  <c r="L88" i="142"/>
  <c r="E84" i="144"/>
  <c r="E88" i="144" s="1"/>
  <c r="G84" i="144"/>
  <c r="G88" i="144" s="1"/>
  <c r="D87" i="144"/>
  <c r="F84" i="144"/>
  <c r="F88" i="144" s="1"/>
  <c r="F88" i="175"/>
  <c r="E88" i="175"/>
  <c r="G88" i="175"/>
  <c r="E137" i="159"/>
  <c r="E137" i="160"/>
  <c r="E137" i="28"/>
  <c r="F152" i="159"/>
  <c r="G152" i="25"/>
  <c r="F152" i="160"/>
  <c r="F152" i="28"/>
  <c r="G133" i="28"/>
  <c r="G133" i="159"/>
  <c r="G133" i="160"/>
  <c r="D88" i="144"/>
  <c r="D167" i="25"/>
  <c r="D159" i="160"/>
  <c r="D31" i="160" s="1"/>
  <c r="D127" i="160" s="1"/>
  <c r="D86" i="160" s="1"/>
  <c r="D159" i="28"/>
  <c r="D159" i="159"/>
  <c r="G87" i="150"/>
  <c r="F87" i="150"/>
  <c r="E87" i="150"/>
  <c r="D88" i="142"/>
  <c r="F85" i="142"/>
  <c r="E85" i="142"/>
  <c r="D87" i="142"/>
  <c r="G85" i="142"/>
  <c r="E146" i="28"/>
  <c r="E125" i="28" s="1"/>
  <c r="E84" i="28" s="1"/>
  <c r="E146" i="160"/>
  <c r="E125" i="160" s="1"/>
  <c r="E84" i="160" s="1"/>
  <c r="E146" i="159"/>
  <c r="E125" i="159" s="1"/>
  <c r="E84" i="159" s="1"/>
  <c r="E159" i="25"/>
  <c r="E162" i="25"/>
  <c r="E161" i="25"/>
  <c r="E125" i="25"/>
  <c r="E157" i="25"/>
  <c r="D88" i="148"/>
  <c r="G85" i="148"/>
  <c r="D87" i="148"/>
  <c r="F85" i="148"/>
  <c r="E85" i="148"/>
  <c r="D162" i="159"/>
  <c r="D162" i="28"/>
  <c r="D162" i="160"/>
  <c r="G153" i="159"/>
  <c r="G153" i="160"/>
  <c r="G153" i="28"/>
  <c r="G135" i="28"/>
  <c r="G135" i="159"/>
  <c r="D88" i="174"/>
  <c r="D87" i="174"/>
  <c r="G151" i="160"/>
  <c r="F150" i="28"/>
  <c r="G150" i="25"/>
  <c r="F150" i="160"/>
  <c r="F150" i="159"/>
  <c r="G152" i="161"/>
  <c r="G100" i="161" s="1"/>
  <c r="F152" i="161"/>
  <c r="F100" i="161" s="1"/>
  <c r="E152" i="161"/>
  <c r="E100" i="161" s="1"/>
  <c r="D152" i="161"/>
  <c r="D100" i="161" s="1"/>
  <c r="E88" i="38"/>
  <c r="D137" i="28"/>
  <c r="D165" i="25"/>
  <c r="D137" i="159"/>
  <c r="D137" i="160"/>
  <c r="F154" i="160"/>
  <c r="G154" i="25"/>
  <c r="F154" i="159"/>
  <c r="F154" i="28"/>
  <c r="G134" i="28"/>
  <c r="G134" i="160"/>
  <c r="G134" i="159"/>
  <c r="F136" i="159"/>
  <c r="F136" i="160"/>
  <c r="F137" i="25"/>
  <c r="F136" i="28"/>
  <c r="E160" i="25"/>
  <c r="G149" i="160"/>
  <c r="D87" i="38"/>
  <c r="F116" i="108"/>
  <c r="F91" i="108" s="1"/>
  <c r="I91" i="108" s="1"/>
  <c r="F87" i="38"/>
  <c r="D112" i="108"/>
  <c r="D117" i="108" s="1"/>
  <c r="D92" i="108" s="1"/>
  <c r="E87" i="38"/>
  <c r="J219" i="161"/>
  <c r="D196" i="161" s="1"/>
  <c r="D114" i="161"/>
  <c r="F114" i="161"/>
  <c r="E114" i="161"/>
  <c r="G114" i="161"/>
  <c r="E112" i="108"/>
  <c r="E117" i="108" s="1"/>
  <c r="E92" i="108" s="1"/>
  <c r="C126" i="108"/>
  <c r="C131" i="108" s="1"/>
  <c r="C7" i="108" s="1"/>
  <c r="C41" i="108" s="1"/>
  <c r="D100" i="172"/>
  <c r="D137" i="161"/>
  <c r="D31" i="161" s="1"/>
  <c r="D132" i="161"/>
  <c r="F137" i="161"/>
  <c r="F31" i="161" s="1"/>
  <c r="E137" i="161"/>
  <c r="E31" i="161" s="1"/>
  <c r="G132" i="161"/>
  <c r="F132" i="161"/>
  <c r="E132" i="161"/>
  <c r="G137" i="161"/>
  <c r="G31" i="161" s="1"/>
  <c r="D87" i="30"/>
  <c r="D88" i="30"/>
  <c r="F100" i="172"/>
  <c r="E130" i="108"/>
  <c r="E7" i="108" s="1"/>
  <c r="E41" i="108" s="1"/>
  <c r="G100" i="172"/>
  <c r="G88" i="38"/>
  <c r="G87" i="38"/>
  <c r="F31" i="143"/>
  <c r="E31" i="143"/>
  <c r="G31" i="143"/>
  <c r="C112" i="108"/>
  <c r="C117" i="108" s="1"/>
  <c r="C92" i="108" s="1"/>
  <c r="AP15" i="99"/>
  <c r="F6" i="108"/>
  <c r="F5" i="108" s="1"/>
  <c r="F37" i="108" s="1"/>
  <c r="E85" i="143"/>
  <c r="D88" i="143"/>
  <c r="G85" i="143"/>
  <c r="F85" i="143"/>
  <c r="F87" i="143"/>
  <c r="G87" i="143"/>
  <c r="E87" i="143"/>
  <c r="N59" i="100"/>
  <c r="P67" i="3" s="1"/>
  <c r="F163" i="14"/>
  <c r="H155" i="14" s="1"/>
  <c r="G31" i="105" s="1"/>
  <c r="E163" i="14"/>
  <c r="G155" i="14" s="1"/>
  <c r="F31" i="103" s="1"/>
  <c r="F86" i="103" s="1"/>
  <c r="F88" i="103" s="1"/>
  <c r="D6" i="108"/>
  <c r="D8" i="108" s="1"/>
  <c r="H109" i="14"/>
  <c r="D109" i="14" s="1"/>
  <c r="O16" i="14" s="1"/>
  <c r="Q16" i="14" s="1"/>
  <c r="AD91" i="100" s="1"/>
  <c r="D108" i="14"/>
  <c r="O15" i="14" s="1"/>
  <c r="Q15" i="14" s="1"/>
  <c r="N91" i="100" s="1"/>
  <c r="E6" i="108"/>
  <c r="E8" i="108" s="1"/>
  <c r="O94" i="100"/>
  <c r="C52" i="108"/>
  <c r="C6" i="108"/>
  <c r="I89" i="108"/>
  <c r="I90" i="108"/>
  <c r="F59" i="100"/>
  <c r="Q95" i="100"/>
  <c r="W94" i="100"/>
  <c r="G59" i="100"/>
  <c r="V94" i="100"/>
  <c r="T94" i="100"/>
  <c r="H59" i="100"/>
  <c r="U67" i="3" s="1"/>
  <c r="U59" i="100"/>
  <c r="Q77" i="3" s="1"/>
  <c r="S94" i="100"/>
  <c r="AL59" i="100"/>
  <c r="D31" i="103"/>
  <c r="D86" i="103" s="1"/>
  <c r="D88" i="103" s="1"/>
  <c r="V95" i="100"/>
  <c r="E31" i="103"/>
  <c r="E86" i="103" s="1"/>
  <c r="E87" i="103" s="1"/>
  <c r="AL95" i="100"/>
  <c r="U95" i="100"/>
  <c r="S95" i="100"/>
  <c r="D84" i="25"/>
  <c r="D86" i="25"/>
  <c r="O95" i="100"/>
  <c r="D87" i="105"/>
  <c r="D138" i="25"/>
  <c r="D138" i="159" s="1"/>
  <c r="D84" i="159"/>
  <c r="D131" i="175"/>
  <c r="D136" i="175"/>
  <c r="D141" i="175" s="1"/>
  <c r="D84" i="28"/>
  <c r="D57" i="14"/>
  <c r="K18" i="14" s="1"/>
  <c r="G18" i="14"/>
  <c r="I18" i="14" s="1"/>
  <c r="E138" i="25"/>
  <c r="E84" i="25"/>
  <c r="M94" i="100"/>
  <c r="D88" i="105"/>
  <c r="F32" i="105"/>
  <c r="E83" i="105"/>
  <c r="E86" i="105"/>
  <c r="D84" i="160"/>
  <c r="E102" i="105"/>
  <c r="AE94" i="100"/>
  <c r="AN16" i="140"/>
  <c r="N94" i="100"/>
  <c r="G94" i="100"/>
  <c r="H94" i="100"/>
  <c r="F94" i="100"/>
  <c r="AN16" i="99"/>
  <c r="AP15" i="140"/>
  <c r="S59" i="100"/>
  <c r="AL94" i="100"/>
  <c r="T59" i="100"/>
  <c r="R67" i="3" s="1"/>
  <c r="V59" i="100"/>
  <c r="AC67" i="3" s="1"/>
  <c r="CB16" i="99"/>
  <c r="CB16" i="98"/>
  <c r="AE59" i="100"/>
  <c r="AN16" i="97"/>
  <c r="AN17" i="97" s="1"/>
  <c r="P59" i="100"/>
  <c r="AP15" i="98"/>
  <c r="Q10" i="14"/>
  <c r="C51" i="108" s="1"/>
  <c r="M59" i="100"/>
  <c r="J67" i="3" s="1"/>
  <c r="AN16" i="98"/>
  <c r="Q13" i="14"/>
  <c r="X91" i="100" s="1"/>
  <c r="F108" i="14"/>
  <c r="F109" i="14" s="1"/>
  <c r="BZ25" i="140"/>
  <c r="DN25" i="140"/>
  <c r="BA25" i="140"/>
  <c r="BT25" i="99"/>
  <c r="BD25" i="98"/>
  <c r="BY25" i="99"/>
  <c r="DO25" i="97"/>
  <c r="F68" i="178"/>
  <c r="F69" i="178" s="1"/>
  <c r="F70" i="178" s="1"/>
  <c r="CL13" i="98"/>
  <c r="CL25" i="98" s="1"/>
  <c r="CB14" i="140"/>
  <c r="CB16" i="140" s="1"/>
  <c r="CT13" i="99"/>
  <c r="CT25" i="99" s="1"/>
  <c r="CZ13" i="99"/>
  <c r="CZ25" i="99" s="1"/>
  <c r="DK13" i="140"/>
  <c r="DK25" i="140" s="1"/>
  <c r="BA25" i="99"/>
  <c r="AT25" i="140"/>
  <c r="CZ13" i="98"/>
  <c r="CZ25" i="98" s="1"/>
  <c r="BG25" i="140"/>
  <c r="BQ25" i="140"/>
  <c r="BR25" i="140"/>
  <c r="CJ13" i="99"/>
  <c r="CJ25" i="99" s="1"/>
  <c r="CT13" i="98"/>
  <c r="CT25" i="98" s="1"/>
  <c r="CG13" i="140"/>
  <c r="CG25" i="140" s="1"/>
  <c r="CQ13" i="98"/>
  <c r="CQ25" i="98" s="1"/>
  <c r="BV25" i="99"/>
  <c r="DE13" i="99"/>
  <c r="DE25" i="99" s="1"/>
  <c r="CA25" i="97"/>
  <c r="BZ25" i="97"/>
  <c r="DP13" i="140"/>
  <c r="DP14" i="140" s="1"/>
  <c r="DP16" i="140" s="1"/>
  <c r="BM25" i="140"/>
  <c r="CR13" i="140"/>
  <c r="CR25" i="140" s="1"/>
  <c r="BD25" i="140"/>
  <c r="DK13" i="99"/>
  <c r="DK25" i="99" s="1"/>
  <c r="W67" i="3"/>
  <c r="T14" i="14"/>
  <c r="I14" i="14"/>
  <c r="J94" i="100"/>
  <c r="K94" i="100"/>
  <c r="DI13" i="140"/>
  <c r="BU25" i="140"/>
  <c r="BS25" i="97"/>
  <c r="DO13" i="98"/>
  <c r="DG13" i="98"/>
  <c r="G101" i="173"/>
  <c r="G100" i="173" s="1"/>
  <c r="DM13" i="98"/>
  <c r="DM25" i="98" s="1"/>
  <c r="CK13" i="99"/>
  <c r="AW25" i="99"/>
  <c r="CF13" i="140"/>
  <c r="AR25" i="140"/>
  <c r="BM25" i="97"/>
  <c r="BU25" i="98"/>
  <c r="DI13" i="98"/>
  <c r="CW25" i="97"/>
  <c r="CP13" i="99"/>
  <c r="BB25" i="99"/>
  <c r="BF25" i="140"/>
  <c r="CT13" i="140"/>
  <c r="I91" i="100"/>
  <c r="G91" i="100"/>
  <c r="H91" i="100"/>
  <c r="F91" i="100"/>
  <c r="DH25" i="99"/>
  <c r="DI25" i="99"/>
  <c r="AY25" i="99"/>
  <c r="CM13" i="99"/>
  <c r="G102" i="142"/>
  <c r="F102" i="142"/>
  <c r="E102" i="142"/>
  <c r="G102" i="144"/>
  <c r="E102" i="144"/>
  <c r="F102" i="144"/>
  <c r="F101" i="156"/>
  <c r="G101" i="156"/>
  <c r="E101" i="156"/>
  <c r="G101" i="152"/>
  <c r="F101" i="152"/>
  <c r="E101" i="152"/>
  <c r="F101" i="146"/>
  <c r="G101" i="146"/>
  <c r="E101" i="146"/>
  <c r="BK25" i="140"/>
  <c r="CY13" i="140"/>
  <c r="DO13" i="99"/>
  <c r="CA25" i="99"/>
  <c r="BG25" i="99"/>
  <c r="CU13" i="99"/>
  <c r="DP25" i="98"/>
  <c r="DP14" i="98"/>
  <c r="DP16" i="98" s="1"/>
  <c r="F64" i="178"/>
  <c r="F65" i="178" s="1"/>
  <c r="F66" i="178" s="1"/>
  <c r="AU25" i="99"/>
  <c r="CI13" i="99"/>
  <c r="DE25" i="97"/>
  <c r="CG25" i="99"/>
  <c r="DD13" i="98"/>
  <c r="BP25" i="98"/>
  <c r="BC25" i="140"/>
  <c r="CQ13" i="140"/>
  <c r="BP25" i="99"/>
  <c r="DD13" i="99"/>
  <c r="BV25" i="140"/>
  <c r="DJ13" i="140"/>
  <c r="D39" i="23"/>
  <c r="BK25" i="99"/>
  <c r="CY13" i="99"/>
  <c r="DN13" i="99"/>
  <c r="BZ25" i="99"/>
  <c r="BP25" i="97"/>
  <c r="CS25" i="99"/>
  <c r="CW13" i="98"/>
  <c r="BI25" i="98"/>
  <c r="BS25" i="140"/>
  <c r="DG13" i="140"/>
  <c r="AR25" i="99"/>
  <c r="CF13" i="99"/>
  <c r="F102" i="145"/>
  <c r="G102" i="145"/>
  <c r="E102" i="145"/>
  <c r="E39" i="23"/>
  <c r="F101" i="103"/>
  <c r="E101" i="151"/>
  <c r="F101" i="151"/>
  <c r="G101" i="151"/>
  <c r="F101" i="154"/>
  <c r="E101" i="154"/>
  <c r="G101" i="154"/>
  <c r="DC25" i="97"/>
  <c r="AE91" i="100"/>
  <c r="W91" i="100"/>
  <c r="P91" i="100"/>
  <c r="M91" i="100"/>
  <c r="CG13" i="98"/>
  <c r="AS25" i="98"/>
  <c r="F56" i="178"/>
  <c r="F57" i="178" s="1"/>
  <c r="F58" i="178" s="1"/>
  <c r="CX25" i="99"/>
  <c r="AZ25" i="97"/>
  <c r="CV25" i="140"/>
  <c r="AR25" i="98"/>
  <c r="CF13" i="98"/>
  <c r="DA25" i="97"/>
  <c r="AW25" i="97"/>
  <c r="AV25" i="97"/>
  <c r="BL25" i="97"/>
  <c r="E102" i="150"/>
  <c r="F102" i="150"/>
  <c r="G102" i="150"/>
  <c r="G102" i="143"/>
  <c r="F102" i="143"/>
  <c r="E102" i="143"/>
  <c r="F101" i="149"/>
  <c r="G101" i="149"/>
  <c r="E101" i="149"/>
  <c r="CU25" i="97"/>
  <c r="CJ25" i="140"/>
  <c r="AQ25" i="99"/>
  <c r="CE13" i="99"/>
  <c r="F60" i="178"/>
  <c r="F61" i="178" s="1"/>
  <c r="F62" i="178" s="1"/>
  <c r="BI25" i="97"/>
  <c r="CH13" i="99"/>
  <c r="AT25" i="99"/>
  <c r="CF25" i="97"/>
  <c r="CJ25" i="98"/>
  <c r="DD13" i="140"/>
  <c r="BP25" i="140"/>
  <c r="DJ25" i="98"/>
  <c r="CE25" i="140"/>
  <c r="CG25" i="97"/>
  <c r="DF13" i="98"/>
  <c r="BR25" i="98"/>
  <c r="DL25" i="97"/>
  <c r="CW25" i="140"/>
  <c r="DE13" i="98"/>
  <c r="BQ25" i="98"/>
  <c r="AG56" i="3"/>
  <c r="AN56" i="3"/>
  <c r="AD56" i="3"/>
  <c r="AL56" i="3"/>
  <c r="X56" i="3"/>
  <c r="F56" i="3"/>
  <c r="AA56" i="3"/>
  <c r="G52" i="178"/>
  <c r="G53" i="178" s="1"/>
  <c r="G54" i="178" s="1"/>
  <c r="J51" i="178"/>
  <c r="AU25" i="140"/>
  <c r="CI13" i="140"/>
  <c r="BE25" i="98"/>
  <c r="CS13" i="98"/>
  <c r="CL13" i="140"/>
  <c r="AX25" i="140"/>
  <c r="AY25" i="97"/>
  <c r="D101" i="105"/>
  <c r="E100" i="173"/>
  <c r="G101" i="147"/>
  <c r="E101" i="147"/>
  <c r="F101" i="147"/>
  <c r="D39" i="170"/>
  <c r="E101" i="103"/>
  <c r="F101" i="155"/>
  <c r="G101" i="155"/>
  <c r="E101" i="155"/>
  <c r="DG13" i="99"/>
  <c r="BS25" i="99"/>
  <c r="DF25" i="140"/>
  <c r="CO13" i="98"/>
  <c r="BA25" i="98"/>
  <c r="DM25" i="140"/>
  <c r="DA25" i="99"/>
  <c r="BH25" i="98"/>
  <c r="CV13" i="98"/>
  <c r="CY25" i="98"/>
  <c r="W55" i="3"/>
  <c r="T55" i="3"/>
  <c r="BX25" i="99"/>
  <c r="DL13" i="99"/>
  <c r="AW25" i="98"/>
  <c r="CK13" i="98"/>
  <c r="G102" i="174"/>
  <c r="E102" i="174"/>
  <c r="F102" i="174"/>
  <c r="E101" i="157"/>
  <c r="F101" i="157"/>
  <c r="G101" i="157"/>
  <c r="G101" i="153"/>
  <c r="F101" i="153"/>
  <c r="E101" i="153"/>
  <c r="F39" i="170"/>
  <c r="F100" i="173"/>
  <c r="BB25" i="140"/>
  <c r="CP13" i="140"/>
  <c r="BJ25" i="140"/>
  <c r="CX13" i="140"/>
  <c r="CM25" i="97"/>
  <c r="CR25" i="98"/>
  <c r="DC13" i="140"/>
  <c r="BO25" i="140"/>
  <c r="AR25" i="97"/>
  <c r="DP25" i="99"/>
  <c r="DP14" i="99"/>
  <c r="DP16" i="99" s="1"/>
  <c r="AA10" i="122"/>
  <c r="AD8" i="122"/>
  <c r="D4" i="122"/>
  <c r="BX25" i="97"/>
  <c r="CL25" i="99"/>
  <c r="BE25" i="97"/>
  <c r="DN25" i="98"/>
  <c r="DH25" i="97"/>
  <c r="AN55" i="3"/>
  <c r="X55" i="3"/>
  <c r="AG55" i="3"/>
  <c r="F55" i="3"/>
  <c r="AD55" i="3"/>
  <c r="AA55" i="3"/>
  <c r="AL55" i="3"/>
  <c r="BD25" i="97"/>
  <c r="BM25" i="98"/>
  <c r="DA13" i="98"/>
  <c r="F102" i="175"/>
  <c r="E102" i="175"/>
  <c r="G102" i="175"/>
  <c r="G101" i="158"/>
  <c r="F101" i="158"/>
  <c r="E101" i="158"/>
  <c r="D100" i="173"/>
  <c r="BO25" i="97"/>
  <c r="F80" i="178"/>
  <c r="F81" i="178" s="1"/>
  <c r="F82" i="178" s="1"/>
  <c r="F72" i="178"/>
  <c r="F73" i="178" s="1"/>
  <c r="F74" i="178" s="1"/>
  <c r="AZ25" i="98"/>
  <c r="CN13" i="98"/>
  <c r="BU25" i="97"/>
  <c r="BT25" i="97"/>
  <c r="G55" i="3"/>
  <c r="S55" i="3"/>
  <c r="BH25" i="99"/>
  <c r="CV13" i="99"/>
  <c r="D101" i="103"/>
  <c r="F102" i="176"/>
  <c r="E102" i="176"/>
  <c r="G102" i="176"/>
  <c r="DK25" i="97"/>
  <c r="CE25" i="97"/>
  <c r="J91" i="100"/>
  <c r="K91" i="100"/>
  <c r="CN13" i="140"/>
  <c r="AZ25" i="140"/>
  <c r="BO25" i="99"/>
  <c r="DC13" i="99"/>
  <c r="CB14" i="97"/>
  <c r="CB16" i="97" s="1"/>
  <c r="CB17" i="97" s="1"/>
  <c r="CB25" i="97"/>
  <c r="CK25" i="97"/>
  <c r="DH25" i="140"/>
  <c r="AE55" i="3"/>
  <c r="L55" i="3"/>
  <c r="AB55" i="3"/>
  <c r="Y55" i="3"/>
  <c r="CR25" i="97"/>
  <c r="CA25" i="140"/>
  <c r="DO13" i="140"/>
  <c r="AZ25" i="99"/>
  <c r="CN13" i="99"/>
  <c r="BN25" i="140"/>
  <c r="DB13" i="140"/>
  <c r="G101" i="103"/>
  <c r="D39" i="169"/>
  <c r="E39" i="170"/>
  <c r="CQ13" i="99"/>
  <c r="BC25" i="99"/>
  <c r="DB25" i="98"/>
  <c r="CX13" i="98"/>
  <c r="BJ25" i="98"/>
  <c r="F76" i="178"/>
  <c r="F77" i="178" s="1"/>
  <c r="F78" i="178" s="1"/>
  <c r="CM25" i="140"/>
  <c r="DM25" i="97"/>
  <c r="CP13" i="98"/>
  <c r="BB25" i="98"/>
  <c r="DL13" i="140"/>
  <c r="BX25" i="140"/>
  <c r="CR25" i="99"/>
  <c r="BT25" i="98"/>
  <c r="DH13" i="98"/>
  <c r="CO25" i="97"/>
  <c r="DF25" i="99"/>
  <c r="CH13" i="98"/>
  <c r="AT25" i="98"/>
  <c r="BH25" i="97"/>
  <c r="DL13" i="98"/>
  <c r="BX25" i="98"/>
  <c r="CU25" i="140"/>
  <c r="DP25" i="97"/>
  <c r="DP14" i="97"/>
  <c r="DP16" i="97" s="1"/>
  <c r="S56" i="3"/>
  <c r="G56" i="3"/>
  <c r="W56" i="3"/>
  <c r="T56" i="3"/>
  <c r="CZ25" i="97"/>
  <c r="CJ25" i="97"/>
  <c r="AO179" i="3"/>
  <c r="AO169" i="3"/>
  <c r="AO82" i="3"/>
  <c r="AO32" i="3"/>
  <c r="AK169" i="3"/>
  <c r="AO39" i="3"/>
  <c r="AH32" i="3"/>
  <c r="AK82" i="3"/>
  <c r="AP33" i="3"/>
  <c r="J67" i="178" l="1"/>
  <c r="AD67" i="178" s="1"/>
  <c r="AO194" i="3"/>
  <c r="AO216" i="3" s="1"/>
  <c r="AO191" i="3"/>
  <c r="AO193" i="3"/>
  <c r="AO195" i="3"/>
  <c r="AO217" i="3" s="1"/>
  <c r="AO192" i="3"/>
  <c r="AO196" i="3"/>
  <c r="AO218" i="3" s="1"/>
  <c r="AO83" i="3"/>
  <c r="AO28" i="3"/>
  <c r="AK69" i="3"/>
  <c r="AF79" i="3"/>
  <c r="AE69" i="3"/>
  <c r="AO69" i="3"/>
  <c r="D77" i="184"/>
  <c r="AE71" i="3"/>
  <c r="AO71" i="3"/>
  <c r="Q69" i="3"/>
  <c r="AP69" i="3"/>
  <c r="W68" i="100"/>
  <c r="W67" i="100" s="1"/>
  <c r="V71" i="3" s="1"/>
  <c r="Q71" i="3"/>
  <c r="AP71" i="3"/>
  <c r="D79" i="184"/>
  <c r="D49" i="184" s="1"/>
  <c r="Q67" i="3"/>
  <c r="AP67" i="3"/>
  <c r="D39" i="33"/>
  <c r="T67" i="3"/>
  <c r="AF77" i="3"/>
  <c r="AB67" i="3"/>
  <c r="AO67" i="3"/>
  <c r="AO40" i="3"/>
  <c r="F89" i="188"/>
  <c r="F89" i="186"/>
  <c r="E89" i="188"/>
  <c r="E89" i="186"/>
  <c r="F28" i="183"/>
  <c r="F67" i="186"/>
  <c r="F28" i="186" s="1"/>
  <c r="F67" i="185"/>
  <c r="F28" i="185" s="1"/>
  <c r="F41" i="185" s="1"/>
  <c r="F67" i="184"/>
  <c r="F28" i="184" s="1"/>
  <c r="E75" i="184"/>
  <c r="F28" i="187"/>
  <c r="F67" i="188"/>
  <c r="E39" i="180"/>
  <c r="F70" i="185"/>
  <c r="F75" i="185" s="1"/>
  <c r="E70" i="185"/>
  <c r="E76" i="188"/>
  <c r="W81" i="187"/>
  <c r="G87" i="151"/>
  <c r="P291" i="100"/>
  <c r="G39" i="169"/>
  <c r="G39" i="170"/>
  <c r="D39" i="168"/>
  <c r="D86" i="147"/>
  <c r="E84" i="147"/>
  <c r="D78" i="184"/>
  <c r="D48" i="184" s="1"/>
  <c r="E68" i="186"/>
  <c r="E72" i="186" s="1"/>
  <c r="D72" i="186"/>
  <c r="G39" i="182"/>
  <c r="E39" i="182"/>
  <c r="D89" i="188"/>
  <c r="D89" i="186"/>
  <c r="G84" i="147"/>
  <c r="E28" i="187"/>
  <c r="E67" i="188"/>
  <c r="D39" i="182"/>
  <c r="G70" i="184"/>
  <c r="G75" i="184" s="1"/>
  <c r="G25" i="184" s="1"/>
  <c r="F75" i="184"/>
  <c r="F39" i="182"/>
  <c r="G28" i="187"/>
  <c r="G67" i="188"/>
  <c r="D81" i="184"/>
  <c r="D51" i="184" s="1"/>
  <c r="G149" i="159"/>
  <c r="G136" i="25"/>
  <c r="G137" i="25" s="1"/>
  <c r="G151" i="28"/>
  <c r="G145" i="28"/>
  <c r="P79" i="3"/>
  <c r="E67" i="185"/>
  <c r="E28" i="185" s="1"/>
  <c r="E41" i="185" s="1"/>
  <c r="E67" i="184"/>
  <c r="E28" i="184" s="1"/>
  <c r="E28" i="183"/>
  <c r="E67" i="186"/>
  <c r="E28" i="186" s="1"/>
  <c r="D80" i="184"/>
  <c r="D50" i="184" s="1"/>
  <c r="D28" i="183"/>
  <c r="D67" i="184"/>
  <c r="D67" i="185"/>
  <c r="G67" i="186"/>
  <c r="G28" i="186" s="1"/>
  <c r="G28" i="183"/>
  <c r="G67" i="184"/>
  <c r="G28" i="184" s="1"/>
  <c r="G67" i="185"/>
  <c r="G28" i="185" s="1"/>
  <c r="G41" i="185" s="1"/>
  <c r="D75" i="185"/>
  <c r="D82" i="184"/>
  <c r="D52" i="184" s="1"/>
  <c r="D28" i="187"/>
  <c r="D67" i="188"/>
  <c r="N292" i="100"/>
  <c r="O288" i="100"/>
  <c r="O68" i="100"/>
  <c r="O67" i="100" s="1"/>
  <c r="E74" i="32"/>
  <c r="E41" i="32" s="1"/>
  <c r="F87" i="30"/>
  <c r="E40" i="189"/>
  <c r="E39" i="189" s="1"/>
  <c r="F40" i="189"/>
  <c r="F40" i="185"/>
  <c r="D40" i="189"/>
  <c r="G40" i="189"/>
  <c r="G40" i="185"/>
  <c r="AK83" i="3"/>
  <c r="Y69" i="3"/>
  <c r="Q81" i="3"/>
  <c r="I81" i="3"/>
  <c r="S69" i="3"/>
  <c r="F290" i="100"/>
  <c r="H288" i="100"/>
  <c r="AJ71" i="3"/>
  <c r="H81" i="3"/>
  <c r="S71" i="3"/>
  <c r="J81" i="3"/>
  <c r="W71" i="3"/>
  <c r="E87" i="30"/>
  <c r="G69" i="3"/>
  <c r="J79" i="3"/>
  <c r="D166" i="160"/>
  <c r="L69" i="3"/>
  <c r="H79" i="3"/>
  <c r="AB69" i="3"/>
  <c r="W69" i="3"/>
  <c r="H5" i="108"/>
  <c r="H37" i="108" s="1"/>
  <c r="AG159" i="100" s="1"/>
  <c r="G8" i="108"/>
  <c r="AH71" i="3"/>
  <c r="H8" i="108"/>
  <c r="Z79" i="3"/>
  <c r="G5" i="108"/>
  <c r="G37" i="108" s="1"/>
  <c r="AC158" i="100" s="1"/>
  <c r="F69" i="3"/>
  <c r="R51" i="122" s="1"/>
  <c r="AA69" i="3"/>
  <c r="AN69" i="3"/>
  <c r="AD69" i="3"/>
  <c r="K71" i="3"/>
  <c r="AJ69" i="3"/>
  <c r="D166" i="28"/>
  <c r="Q79" i="3"/>
  <c r="X69" i="3"/>
  <c r="AG69" i="3"/>
  <c r="W289" i="100"/>
  <c r="W292" i="100"/>
  <c r="D39" i="32"/>
  <c r="D39" i="31"/>
  <c r="D39" i="90"/>
  <c r="F39" i="23"/>
  <c r="F88" i="176"/>
  <c r="F85" i="176"/>
  <c r="E87" i="147"/>
  <c r="G87" i="147"/>
  <c r="F87" i="147"/>
  <c r="D39" i="35"/>
  <c r="G74" i="23"/>
  <c r="G41" i="23" s="1"/>
  <c r="G73" i="23"/>
  <c r="G28" i="23" s="1"/>
  <c r="G40" i="23" s="1"/>
  <c r="F67" i="22"/>
  <c r="E23" i="22"/>
  <c r="E75" i="22"/>
  <c r="E76" i="22"/>
  <c r="P292" i="100"/>
  <c r="F292" i="100"/>
  <c r="E39" i="32"/>
  <c r="G132" i="28"/>
  <c r="G132" i="159"/>
  <c r="G132" i="160"/>
  <c r="G85" i="176"/>
  <c r="G88" i="176" s="1"/>
  <c r="F73" i="32"/>
  <c r="F28" i="32" s="1"/>
  <c r="F40" i="32" s="1"/>
  <c r="F74" i="32"/>
  <c r="F41" i="32" s="1"/>
  <c r="G67" i="32"/>
  <c r="F23" i="31"/>
  <c r="F24" i="31" s="1"/>
  <c r="E23" i="31"/>
  <c r="E24" i="31" s="1"/>
  <c r="G23" i="31"/>
  <c r="G24" i="31" s="1"/>
  <c r="D24" i="31"/>
  <c r="G25" i="168"/>
  <c r="G67" i="168"/>
  <c r="D39" i="21"/>
  <c r="E85" i="176"/>
  <c r="E88" i="176" s="1"/>
  <c r="E10" i="101"/>
  <c r="M68" i="100" s="1"/>
  <c r="M67" i="100" s="1"/>
  <c r="J71" i="3" s="1"/>
  <c r="H10" i="101"/>
  <c r="M290" i="100" s="1"/>
  <c r="J10" i="101"/>
  <c r="M292" i="100" s="1"/>
  <c r="W10" i="101"/>
  <c r="I10" i="101"/>
  <c r="M291" i="100" s="1"/>
  <c r="F10" i="101"/>
  <c r="M288" i="100" s="1"/>
  <c r="G10" i="101"/>
  <c r="M289" i="100" s="1"/>
  <c r="D49" i="164"/>
  <c r="D57" i="164" s="1"/>
  <c r="D25" i="164"/>
  <c r="D67" i="164"/>
  <c r="D41" i="164" s="1"/>
  <c r="D52" i="164"/>
  <c r="D60" i="164" s="1"/>
  <c r="D48" i="164"/>
  <c r="D56" i="164" s="1"/>
  <c r="D50" i="164"/>
  <c r="D58" i="164" s="1"/>
  <c r="F71" i="169"/>
  <c r="F41" i="169" s="1"/>
  <c r="F70" i="169"/>
  <c r="F28" i="169" s="1"/>
  <c r="F40" i="169" s="1"/>
  <c r="D23" i="171"/>
  <c r="D24" i="90"/>
  <c r="D23" i="90" s="1"/>
  <c r="D24" i="32"/>
  <c r="D25" i="32" s="1"/>
  <c r="D24" i="33"/>
  <c r="D24" i="22"/>
  <c r="D51" i="164"/>
  <c r="D59" i="164" s="1"/>
  <c r="F84" i="149"/>
  <c r="G23" i="33"/>
  <c r="F23" i="33"/>
  <c r="E23" i="33"/>
  <c r="D25" i="33" s="1"/>
  <c r="F67" i="35"/>
  <c r="E73" i="35"/>
  <c r="E28" i="35" s="1"/>
  <c r="E40" i="35" s="1"/>
  <c r="E74" i="35"/>
  <c r="G51" i="23"/>
  <c r="G59" i="23" s="1"/>
  <c r="G49" i="23"/>
  <c r="G57" i="23" s="1"/>
  <c r="G52" i="23"/>
  <c r="G60" i="23" s="1"/>
  <c r="G48" i="23"/>
  <c r="G56" i="23" s="1"/>
  <c r="G50" i="23"/>
  <c r="G58" i="23" s="1"/>
  <c r="D28" i="22"/>
  <c r="D33" i="94"/>
  <c r="D101" i="94" s="1"/>
  <c r="D33" i="39"/>
  <c r="D101" i="39" s="1"/>
  <c r="S85" i="7"/>
  <c r="S86" i="7" s="1"/>
  <c r="K30" i="101"/>
  <c r="K9" i="101" s="1"/>
  <c r="F67" i="33"/>
  <c r="E73" i="33"/>
  <c r="E28" i="33" s="1"/>
  <c r="E40" i="33" s="1"/>
  <c r="E74" i="33"/>
  <c r="E41" i="33" s="1"/>
  <c r="E73" i="31"/>
  <c r="E28" i="31" s="1"/>
  <c r="E40" i="31" s="1"/>
  <c r="E74" i="31"/>
  <c r="E41" i="31" s="1"/>
  <c r="F67" i="31"/>
  <c r="E70" i="168"/>
  <c r="E28" i="168" s="1"/>
  <c r="E40" i="168" s="1"/>
  <c r="E71" i="168"/>
  <c r="F51" i="23"/>
  <c r="F59" i="23" s="1"/>
  <c r="F49" i="23"/>
  <c r="F57" i="23" s="1"/>
  <c r="F52" i="23"/>
  <c r="F60" i="23" s="1"/>
  <c r="F48" i="23"/>
  <c r="F56" i="23" s="1"/>
  <c r="F50" i="23"/>
  <c r="F58" i="23" s="1"/>
  <c r="F289" i="100"/>
  <c r="P289" i="100"/>
  <c r="G49" i="164"/>
  <c r="G57" i="164" s="1"/>
  <c r="G50" i="164"/>
  <c r="G58" i="164" s="1"/>
  <c r="G67" i="164"/>
  <c r="G41" i="164" s="1"/>
  <c r="G25" i="164"/>
  <c r="G52" i="164"/>
  <c r="G60" i="164" s="1"/>
  <c r="G48" i="164"/>
  <c r="G56" i="164" s="1"/>
  <c r="F68" i="100"/>
  <c r="F67" i="100" s="1"/>
  <c r="F25" i="168"/>
  <c r="F67" i="168"/>
  <c r="E64" i="90"/>
  <c r="E75" i="90"/>
  <c r="E28" i="90" s="1"/>
  <c r="F67" i="90"/>
  <c r="E76" i="90"/>
  <c r="E73" i="21"/>
  <c r="E28" i="21" s="1"/>
  <c r="E40" i="21" s="1"/>
  <c r="F67" i="21"/>
  <c r="E74" i="21"/>
  <c r="E48" i="164"/>
  <c r="E56" i="164" s="1"/>
  <c r="E25" i="164"/>
  <c r="E52" i="164"/>
  <c r="E60" i="164" s="1"/>
  <c r="E50" i="164"/>
  <c r="E58" i="164" s="1"/>
  <c r="E49" i="164"/>
  <c r="E57" i="164" s="1"/>
  <c r="E67" i="164"/>
  <c r="E41" i="164" s="1"/>
  <c r="I9" i="101"/>
  <c r="G9" i="101"/>
  <c r="W9" i="101"/>
  <c r="E9" i="101"/>
  <c r="H9" i="101"/>
  <c r="J9" i="101"/>
  <c r="F9" i="101"/>
  <c r="E51" i="164"/>
  <c r="E59" i="164" s="1"/>
  <c r="AB71" i="3"/>
  <c r="F138" i="159"/>
  <c r="Y71" i="3"/>
  <c r="S81" i="3"/>
  <c r="AI69" i="3"/>
  <c r="N69" i="3"/>
  <c r="AF69" i="3"/>
  <c r="AM69" i="3"/>
  <c r="AF71" i="3"/>
  <c r="AI71" i="3"/>
  <c r="AM71" i="3"/>
  <c r="L71" i="3"/>
  <c r="I77" i="3"/>
  <c r="J77" i="3"/>
  <c r="Z77" i="3"/>
  <c r="AK67" i="3"/>
  <c r="F162" i="25"/>
  <c r="F162" i="159" s="1"/>
  <c r="F158" i="25"/>
  <c r="F166" i="25" s="1"/>
  <c r="F138" i="160"/>
  <c r="D86" i="149"/>
  <c r="G86" i="149" s="1"/>
  <c r="G84" i="149"/>
  <c r="I92" i="108"/>
  <c r="H92" i="14" s="1"/>
  <c r="E86" i="157"/>
  <c r="G86" i="157"/>
  <c r="F86" i="157"/>
  <c r="G86" i="153"/>
  <c r="F86" i="153"/>
  <c r="E86" i="153"/>
  <c r="F87" i="149"/>
  <c r="E87" i="149"/>
  <c r="G87" i="149"/>
  <c r="F86" i="149"/>
  <c r="E87" i="155"/>
  <c r="G87" i="155"/>
  <c r="F87" i="155"/>
  <c r="G87" i="158"/>
  <c r="F87" i="158"/>
  <c r="E87" i="158"/>
  <c r="G87" i="152"/>
  <c r="E87" i="152"/>
  <c r="F87" i="152"/>
  <c r="G86" i="152"/>
  <c r="F86" i="152"/>
  <c r="E86" i="152"/>
  <c r="G86" i="158"/>
  <c r="F86" i="158"/>
  <c r="E86" i="158"/>
  <c r="E87" i="146"/>
  <c r="F87" i="146"/>
  <c r="G87" i="146"/>
  <c r="E87" i="156"/>
  <c r="F87" i="156"/>
  <c r="G87" i="156"/>
  <c r="E87" i="157"/>
  <c r="G87" i="157"/>
  <c r="F87" i="157"/>
  <c r="F87" i="154"/>
  <c r="G87" i="154"/>
  <c r="E87" i="154"/>
  <c r="F87" i="153"/>
  <c r="E87" i="153"/>
  <c r="G87" i="153"/>
  <c r="F162" i="160"/>
  <c r="E162" i="28"/>
  <c r="E162" i="160"/>
  <c r="E162" i="159"/>
  <c r="E87" i="174"/>
  <c r="G87" i="174"/>
  <c r="F87" i="174"/>
  <c r="F88" i="142"/>
  <c r="E88" i="142"/>
  <c r="G88" i="142"/>
  <c r="G152" i="28"/>
  <c r="G152" i="160"/>
  <c r="G152" i="159"/>
  <c r="E88" i="174"/>
  <c r="G88" i="174"/>
  <c r="F88" i="174"/>
  <c r="G87" i="148"/>
  <c r="E87" i="148"/>
  <c r="F87" i="148"/>
  <c r="F139" i="25"/>
  <c r="F139" i="28" s="1"/>
  <c r="F141" i="25"/>
  <c r="F141" i="28" s="1"/>
  <c r="F65" i="28" s="1"/>
  <c r="G146" i="25"/>
  <c r="G160" i="25" s="1"/>
  <c r="G144" i="160"/>
  <c r="G144" i="159"/>
  <c r="G144" i="28"/>
  <c r="F137" i="160"/>
  <c r="F137" i="159"/>
  <c r="F137" i="28"/>
  <c r="F158" i="159"/>
  <c r="K169" i="159"/>
  <c r="K171" i="159"/>
  <c r="K170" i="159"/>
  <c r="G154" i="160"/>
  <c r="G154" i="159"/>
  <c r="G154" i="28"/>
  <c r="D167" i="159"/>
  <c r="D167" i="28"/>
  <c r="D167" i="160"/>
  <c r="F140" i="28"/>
  <c r="F138" i="28"/>
  <c r="G136" i="28"/>
  <c r="G136" i="160"/>
  <c r="E88" i="148"/>
  <c r="G88" i="148"/>
  <c r="F88" i="148"/>
  <c r="F146" i="28"/>
  <c r="F125" i="28" s="1"/>
  <c r="F84" i="28" s="1"/>
  <c r="F146" i="159"/>
  <c r="F125" i="159" s="1"/>
  <c r="F84" i="159" s="1"/>
  <c r="F125" i="25"/>
  <c r="F84" i="25" s="1"/>
  <c r="F146" i="160"/>
  <c r="F125" i="160" s="1"/>
  <c r="F84" i="160" s="1"/>
  <c r="F161" i="25"/>
  <c r="F157" i="25"/>
  <c r="F159" i="25"/>
  <c r="F140" i="159"/>
  <c r="E160" i="28"/>
  <c r="E160" i="159"/>
  <c r="E168" i="25"/>
  <c r="E31" i="25"/>
  <c r="E160" i="160"/>
  <c r="D165" i="159"/>
  <c r="D165" i="28"/>
  <c r="D165" i="160"/>
  <c r="D126" i="25"/>
  <c r="D85" i="25" s="1"/>
  <c r="D88" i="25" s="1"/>
  <c r="E157" i="159"/>
  <c r="E157" i="160"/>
  <c r="E157" i="28"/>
  <c r="E165" i="25"/>
  <c r="G87" i="144"/>
  <c r="F87" i="144"/>
  <c r="E87" i="144"/>
  <c r="D169" i="160"/>
  <c r="D169" i="159"/>
  <c r="D169" i="28"/>
  <c r="E161" i="159"/>
  <c r="E31" i="159" s="1"/>
  <c r="E161" i="160"/>
  <c r="E169" i="25"/>
  <c r="E161" i="28"/>
  <c r="E166" i="160"/>
  <c r="E166" i="28"/>
  <c r="E166" i="159"/>
  <c r="E159" i="160"/>
  <c r="E31" i="160" s="1"/>
  <c r="E127" i="160" s="1"/>
  <c r="E86" i="160" s="1"/>
  <c r="E167" i="25"/>
  <c r="E159" i="159"/>
  <c r="E159" i="28"/>
  <c r="E127" i="28"/>
  <c r="E86" i="28" s="1"/>
  <c r="E60" i="28"/>
  <c r="E62" i="28"/>
  <c r="G150" i="28"/>
  <c r="G150" i="160"/>
  <c r="G150" i="159"/>
  <c r="G87" i="142"/>
  <c r="F87" i="142"/>
  <c r="E87" i="142"/>
  <c r="F168" i="25"/>
  <c r="F160" i="28"/>
  <c r="F31" i="25"/>
  <c r="F160" i="160"/>
  <c r="F160" i="159"/>
  <c r="D88" i="176"/>
  <c r="D197" i="161"/>
  <c r="D138" i="28"/>
  <c r="F124" i="161"/>
  <c r="F133" i="161" s="1"/>
  <c r="E124" i="161"/>
  <c r="E133" i="161" s="1"/>
  <c r="G124" i="161"/>
  <c r="G133" i="161" s="1"/>
  <c r="D124" i="161"/>
  <c r="D133" i="161" s="1"/>
  <c r="D140" i="25"/>
  <c r="D140" i="28" s="1"/>
  <c r="D62" i="28" s="1"/>
  <c r="G33" i="161"/>
  <c r="G127" i="161"/>
  <c r="E33" i="161"/>
  <c r="E127" i="161"/>
  <c r="F33" i="161"/>
  <c r="F127" i="161"/>
  <c r="D33" i="161"/>
  <c r="D127" i="161"/>
  <c r="F38" i="108"/>
  <c r="F8" i="108"/>
  <c r="G31" i="103"/>
  <c r="G86" i="103" s="1"/>
  <c r="G87" i="103" s="1"/>
  <c r="E88" i="143"/>
  <c r="G88" i="143"/>
  <c r="F88" i="143"/>
  <c r="AD67" i="3"/>
  <c r="AL67" i="3"/>
  <c r="F87" i="103"/>
  <c r="F31" i="105"/>
  <c r="F86" i="105" s="1"/>
  <c r="S77" i="3"/>
  <c r="H77" i="3"/>
  <c r="AL91" i="100"/>
  <c r="Q91" i="100"/>
  <c r="E38" i="108"/>
  <c r="D38" i="108"/>
  <c r="D5" i="108"/>
  <c r="M261" i="100" s="1"/>
  <c r="E5" i="108"/>
  <c r="C38" i="108"/>
  <c r="C8" i="108"/>
  <c r="C5" i="108"/>
  <c r="AA67" i="3"/>
  <c r="F67" i="3"/>
  <c r="R49" i="122" s="1"/>
  <c r="G67" i="3"/>
  <c r="E93" i="14"/>
  <c r="E92" i="14"/>
  <c r="G92" i="14"/>
  <c r="G93" i="14"/>
  <c r="F92" i="14"/>
  <c r="F93" i="14"/>
  <c r="X67" i="3"/>
  <c r="S67" i="3"/>
  <c r="AN67" i="3"/>
  <c r="D138" i="160"/>
  <c r="AG67" i="3"/>
  <c r="P77" i="3"/>
  <c r="E88" i="103"/>
  <c r="D87" i="103"/>
  <c r="E101" i="105"/>
  <c r="D139" i="25"/>
  <c r="D139" i="159" s="1"/>
  <c r="D60" i="159" s="1"/>
  <c r="E88" i="105"/>
  <c r="D141" i="25"/>
  <c r="D141" i="28" s="1"/>
  <c r="D65" i="28" s="1"/>
  <c r="E138" i="159"/>
  <c r="E141" i="25"/>
  <c r="E139" i="25"/>
  <c r="E138" i="160"/>
  <c r="E138" i="28"/>
  <c r="E140" i="25"/>
  <c r="E87" i="105"/>
  <c r="G32" i="105"/>
  <c r="F83" i="105"/>
  <c r="F102" i="105"/>
  <c r="L91" i="100"/>
  <c r="AE67" i="3"/>
  <c r="Y67" i="3"/>
  <c r="L67" i="3"/>
  <c r="V67" i="178"/>
  <c r="DP25" i="140"/>
  <c r="K59" i="100"/>
  <c r="Z67" i="3" s="1"/>
  <c r="J59" i="100"/>
  <c r="AI67" i="3" s="1"/>
  <c r="DI25" i="140"/>
  <c r="DG25" i="98"/>
  <c r="DO25" i="98"/>
  <c r="CI25" i="140"/>
  <c r="CN25" i="140"/>
  <c r="CH25" i="98"/>
  <c r="DJ25" i="140"/>
  <c r="CP25" i="98"/>
  <c r="R29" i="122"/>
  <c r="R75" i="122"/>
  <c r="R67" i="122"/>
  <c r="R30" i="122"/>
  <c r="R32" i="122"/>
  <c r="R59" i="122"/>
  <c r="R77" i="122"/>
  <c r="R31" i="122"/>
  <c r="R73" i="122"/>
  <c r="DO25" i="140"/>
  <c r="CK25" i="98"/>
  <c r="CF25" i="99"/>
  <c r="CP25" i="140"/>
  <c r="CK25" i="99"/>
  <c r="DO25" i="99"/>
  <c r="DH25" i="98"/>
  <c r="CX25" i="140"/>
  <c r="DG25" i="99"/>
  <c r="DF25" i="98"/>
  <c r="CN25" i="98"/>
  <c r="G56" i="178"/>
  <c r="G57" i="178" s="1"/>
  <c r="G58" i="178" s="1"/>
  <c r="J55" i="178"/>
  <c r="DC25" i="140"/>
  <c r="DL25" i="99"/>
  <c r="CV25" i="98"/>
  <c r="CL25" i="140"/>
  <c r="DN25" i="99"/>
  <c r="CX25" i="98"/>
  <c r="DL25" i="98"/>
  <c r="DB25" i="140"/>
  <c r="DC25" i="99"/>
  <c r="CV25" i="99"/>
  <c r="DD25" i="99"/>
  <c r="G64" i="178"/>
  <c r="G65" i="178" s="1"/>
  <c r="G66" i="178" s="1"/>
  <c r="J63" i="178"/>
  <c r="CF25" i="140"/>
  <c r="DL25" i="140"/>
  <c r="CN25" i="99"/>
  <c r="DA25" i="98"/>
  <c r="CO25" i="98"/>
  <c r="CF25" i="98"/>
  <c r="CQ25" i="140"/>
  <c r="DD25" i="98"/>
  <c r="CP25" i="99"/>
  <c r="DE25" i="98"/>
  <c r="J59" i="178"/>
  <c r="G60" i="178"/>
  <c r="G61" i="178" s="1"/>
  <c r="G62" i="178" s="1"/>
  <c r="CW25" i="98"/>
  <c r="CU25" i="99"/>
  <c r="CT25" i="140"/>
  <c r="G80" i="178"/>
  <c r="G81" i="178" s="1"/>
  <c r="G82" i="178" s="1"/>
  <c r="J79" i="178"/>
  <c r="DD25" i="140"/>
  <c r="CH25" i="99"/>
  <c r="CY25" i="99"/>
  <c r="CI25" i="99"/>
  <c r="CY25" i="140"/>
  <c r="CM25" i="99"/>
  <c r="J75" i="178"/>
  <c r="G76" i="178"/>
  <c r="G77" i="178" s="1"/>
  <c r="G78" i="178" s="1"/>
  <c r="CQ25" i="99"/>
  <c r="J71" i="178"/>
  <c r="G72" i="178"/>
  <c r="G73" i="178" s="1"/>
  <c r="G74" i="178" s="1"/>
  <c r="CS25" i="98"/>
  <c r="AD51" i="178"/>
  <c r="V51" i="178"/>
  <c r="CE25" i="99"/>
  <c r="CG25" i="98"/>
  <c r="DG25" i="140"/>
  <c r="DI25" i="98"/>
  <c r="AK128" i="3"/>
  <c r="AJ126" i="3"/>
  <c r="AI37" i="3"/>
  <c r="AK127" i="3"/>
  <c r="AJ179" i="3"/>
  <c r="AK37" i="3"/>
  <c r="AK126" i="3"/>
  <c r="AK125" i="3"/>
  <c r="AI126" i="3"/>
  <c r="AK124" i="3"/>
  <c r="AJ128" i="3"/>
  <c r="AI125" i="3"/>
  <c r="AJ127" i="3"/>
  <c r="AI127" i="3"/>
  <c r="AH39" i="3"/>
  <c r="AJ124" i="3"/>
  <c r="AH179" i="3"/>
  <c r="AJ125" i="3"/>
  <c r="AK39" i="3"/>
  <c r="AO34" i="3"/>
  <c r="AK179" i="3"/>
  <c r="AI128" i="3"/>
  <c r="E40" i="185" l="1"/>
  <c r="E39" i="185" s="1"/>
  <c r="AG71" i="3"/>
  <c r="AF81" i="3"/>
  <c r="T71" i="3"/>
  <c r="E79" i="188"/>
  <c r="E48" i="188" s="1"/>
  <c r="E56" i="188" s="1"/>
  <c r="D57" i="184"/>
  <c r="AO29" i="3"/>
  <c r="E39" i="181"/>
  <c r="D39" i="180"/>
  <c r="D39" i="181"/>
  <c r="F39" i="181"/>
  <c r="AJ191" i="3"/>
  <c r="AH191" i="3"/>
  <c r="D25" i="185"/>
  <c r="D78" i="185"/>
  <c r="D48" i="185" s="1"/>
  <c r="D81" i="185"/>
  <c r="D51" i="185" s="1"/>
  <c r="D82" i="185"/>
  <c r="D52" i="185" s="1"/>
  <c r="D77" i="185"/>
  <c r="D79" i="185"/>
  <c r="D49" i="185" s="1"/>
  <c r="D80" i="185"/>
  <c r="D50" i="185" s="1"/>
  <c r="D28" i="184"/>
  <c r="D56" i="184"/>
  <c r="G70" i="185"/>
  <c r="G75" i="185" s="1"/>
  <c r="E75" i="185"/>
  <c r="F41" i="187"/>
  <c r="F40" i="187"/>
  <c r="F158" i="28"/>
  <c r="F31" i="28" s="1"/>
  <c r="G136" i="159"/>
  <c r="F158" i="160"/>
  <c r="F162" i="28"/>
  <c r="G39" i="181"/>
  <c r="D60" i="184"/>
  <c r="D28" i="185"/>
  <c r="E41" i="184"/>
  <c r="E40" i="184"/>
  <c r="F39" i="180"/>
  <c r="F25" i="184"/>
  <c r="F78" i="184"/>
  <c r="F48" i="184" s="1"/>
  <c r="F56" i="184" s="1"/>
  <c r="F80" i="184"/>
  <c r="F50" i="184" s="1"/>
  <c r="F58" i="184" s="1"/>
  <c r="F81" i="184"/>
  <c r="F51" i="184" s="1"/>
  <c r="F59" i="184" s="1"/>
  <c r="F77" i="184"/>
  <c r="F79" i="184"/>
  <c r="F49" i="184" s="1"/>
  <c r="F57" i="184" s="1"/>
  <c r="F82" i="184"/>
  <c r="F52" i="184" s="1"/>
  <c r="F60" i="184" s="1"/>
  <c r="G77" i="184"/>
  <c r="E28" i="188"/>
  <c r="E72" i="188"/>
  <c r="D79" i="188"/>
  <c r="D48" i="188" s="1"/>
  <c r="D56" i="188" s="1"/>
  <c r="G82" i="184"/>
  <c r="G52" i="184" s="1"/>
  <c r="G60" i="184" s="1"/>
  <c r="E23" i="186"/>
  <c r="E24" i="186" s="1"/>
  <c r="E71" i="186"/>
  <c r="F72" i="188"/>
  <c r="F23" i="188" s="1"/>
  <c r="F24" i="188" s="1"/>
  <c r="F28" i="188"/>
  <c r="G78" i="184"/>
  <c r="G48" i="184" s="1"/>
  <c r="G56" i="184" s="1"/>
  <c r="E79" i="186"/>
  <c r="G41" i="184"/>
  <c r="G40" i="184"/>
  <c r="D59" i="184"/>
  <c r="E41" i="187"/>
  <c r="E40" i="187"/>
  <c r="F41" i="186"/>
  <c r="F40" i="186"/>
  <c r="D28" i="188"/>
  <c r="D72" i="188"/>
  <c r="D23" i="188" s="1"/>
  <c r="D24" i="188" s="1"/>
  <c r="G81" i="184"/>
  <c r="G51" i="184" s="1"/>
  <c r="G59" i="184" s="1"/>
  <c r="G41" i="183"/>
  <c r="G40" i="183"/>
  <c r="D41" i="183"/>
  <c r="D40" i="183"/>
  <c r="E41" i="186"/>
  <c r="E40" i="186"/>
  <c r="G72" i="188"/>
  <c r="G23" i="188" s="1"/>
  <c r="G24" i="188" s="1"/>
  <c r="G28" i="188"/>
  <c r="G39" i="180"/>
  <c r="E25" i="184"/>
  <c r="E77" i="184"/>
  <c r="E81" i="184"/>
  <c r="E51" i="184" s="1"/>
  <c r="E59" i="184" s="1"/>
  <c r="E80" i="184"/>
  <c r="E50" i="184" s="1"/>
  <c r="E58" i="184" s="1"/>
  <c r="E82" i="184"/>
  <c r="E52" i="184" s="1"/>
  <c r="E60" i="184" s="1"/>
  <c r="E78" i="184"/>
  <c r="E48" i="184" s="1"/>
  <c r="E56" i="184" s="1"/>
  <c r="E79" i="184"/>
  <c r="E49" i="184" s="1"/>
  <c r="E57" i="184" s="1"/>
  <c r="F41" i="183"/>
  <c r="F40" i="183"/>
  <c r="G89" i="186"/>
  <c r="G79" i="186" s="1"/>
  <c r="F79" i="186"/>
  <c r="D41" i="187"/>
  <c r="D40" i="187"/>
  <c r="G41" i="186"/>
  <c r="G40" i="186"/>
  <c r="D58" i="184"/>
  <c r="E41" i="183"/>
  <c r="E40" i="183"/>
  <c r="G41" i="187"/>
  <c r="G40" i="187"/>
  <c r="G79" i="184"/>
  <c r="G49" i="184" s="1"/>
  <c r="G57" i="184" s="1"/>
  <c r="D23" i="186"/>
  <c r="F71" i="186"/>
  <c r="F76" i="186" s="1"/>
  <c r="E86" i="147"/>
  <c r="F86" i="147"/>
  <c r="G86" i="147"/>
  <c r="E78" i="188"/>
  <c r="E25" i="188"/>
  <c r="E80" i="188"/>
  <c r="E49" i="188" s="1"/>
  <c r="E57" i="188" s="1"/>
  <c r="E81" i="188"/>
  <c r="E50" i="188" s="1"/>
  <c r="E58" i="188" s="1"/>
  <c r="E82" i="188"/>
  <c r="E51" i="188" s="1"/>
  <c r="E59" i="188" s="1"/>
  <c r="E83" i="188"/>
  <c r="E52" i="188" s="1"/>
  <c r="E60" i="188" s="1"/>
  <c r="F25" i="185"/>
  <c r="F77" i="185"/>
  <c r="F82" i="185"/>
  <c r="F52" i="185" s="1"/>
  <c r="F60" i="185" s="1"/>
  <c r="F81" i="185"/>
  <c r="F51" i="185" s="1"/>
  <c r="F59" i="185" s="1"/>
  <c r="F80" i="185"/>
  <c r="F50" i="185" s="1"/>
  <c r="F58" i="185" s="1"/>
  <c r="F78" i="185"/>
  <c r="F48" i="185" s="1"/>
  <c r="F56" i="185" s="1"/>
  <c r="F79" i="185"/>
  <c r="F49" i="185" s="1"/>
  <c r="F57" i="185" s="1"/>
  <c r="F41" i="184"/>
  <c r="F40" i="184"/>
  <c r="G80" i="184"/>
  <c r="G50" i="184" s="1"/>
  <c r="G58" i="184" s="1"/>
  <c r="G89" i="188"/>
  <c r="G79" i="188" s="1"/>
  <c r="G48" i="188" s="1"/>
  <c r="G56" i="188" s="1"/>
  <c r="F79" i="188"/>
  <c r="F48" i="188" s="1"/>
  <c r="F56" i="188" s="1"/>
  <c r="AN71" i="3"/>
  <c r="F39" i="189"/>
  <c r="F39" i="185"/>
  <c r="G39" i="189"/>
  <c r="D39" i="189"/>
  <c r="G39" i="185"/>
  <c r="AG158" i="100"/>
  <c r="AA159" i="100"/>
  <c r="AJ158" i="100"/>
  <c r="G264" i="100"/>
  <c r="AC127" i="100"/>
  <c r="AC175" i="100" s="1"/>
  <c r="AC183" i="100" s="1"/>
  <c r="AC199" i="100" s="1"/>
  <c r="AC217" i="100" s="1"/>
  <c r="AF265" i="100"/>
  <c r="AI264" i="100"/>
  <c r="AK159" i="100"/>
  <c r="AG264" i="100"/>
  <c r="AF128" i="100"/>
  <c r="W265" i="100"/>
  <c r="AB158" i="100"/>
  <c r="AA127" i="100"/>
  <c r="L264" i="100"/>
  <c r="AI127" i="100"/>
  <c r="AK128" i="100"/>
  <c r="AH128" i="100"/>
  <c r="H265" i="100"/>
  <c r="AB264" i="100"/>
  <c r="N264" i="100"/>
  <c r="AG127" i="100"/>
  <c r="AD128" i="100"/>
  <c r="L265" i="100"/>
  <c r="Y264" i="100"/>
  <c r="W264" i="100"/>
  <c r="AE158" i="100"/>
  <c r="AE127" i="100"/>
  <c r="Q264" i="100"/>
  <c r="AJ159" i="100"/>
  <c r="AA264" i="100"/>
  <c r="AE128" i="100"/>
  <c r="AJ128" i="100"/>
  <c r="AL159" i="100"/>
  <c r="Y265" i="100"/>
  <c r="X265" i="100"/>
  <c r="AJ127" i="100"/>
  <c r="Z127" i="100"/>
  <c r="AA158" i="100"/>
  <c r="AF158" i="100"/>
  <c r="AD158" i="100"/>
  <c r="AI265" i="100"/>
  <c r="Z265" i="100"/>
  <c r="F265" i="100"/>
  <c r="AK265" i="100"/>
  <c r="P265" i="100"/>
  <c r="AF159" i="100"/>
  <c r="Z158" i="100"/>
  <c r="H264" i="100"/>
  <c r="AB127" i="100"/>
  <c r="AJ264" i="100"/>
  <c r="AK158" i="100"/>
  <c r="AF127" i="100"/>
  <c r="AL158" i="100"/>
  <c r="AD127" i="100"/>
  <c r="X264" i="100"/>
  <c r="AK264" i="100"/>
  <c r="AI158" i="100"/>
  <c r="AI159" i="100"/>
  <c r="AH158" i="100"/>
  <c r="AB128" i="100"/>
  <c r="AB159" i="100"/>
  <c r="Z159" i="100"/>
  <c r="AA128" i="100"/>
  <c r="AD159" i="100"/>
  <c r="AH265" i="100"/>
  <c r="AA265" i="100"/>
  <c r="AH159" i="100"/>
  <c r="AJ265" i="100"/>
  <c r="AI128" i="100"/>
  <c r="AG265" i="100"/>
  <c r="M264" i="100"/>
  <c r="AK127" i="100"/>
  <c r="Z264" i="100"/>
  <c r="AH127" i="100"/>
  <c r="P264" i="100"/>
  <c r="AH264" i="100"/>
  <c r="I264" i="100"/>
  <c r="AF264" i="100"/>
  <c r="F264" i="100"/>
  <c r="AG128" i="100"/>
  <c r="AG176" i="100" s="1"/>
  <c r="AG184" i="100" s="1"/>
  <c r="AG200" i="100" s="1"/>
  <c r="AG218" i="100" s="1"/>
  <c r="Z128" i="100"/>
  <c r="Q265" i="100"/>
  <c r="AC159" i="100"/>
  <c r="AC128" i="100"/>
  <c r="M265" i="100"/>
  <c r="I265" i="100"/>
  <c r="AL127" i="100"/>
  <c r="N265" i="100"/>
  <c r="AB265" i="100"/>
  <c r="AE159" i="100"/>
  <c r="G265" i="100"/>
  <c r="AL128" i="100"/>
  <c r="AK191" i="3"/>
  <c r="AI36" i="3"/>
  <c r="AI41" i="3" s="1"/>
  <c r="AK36" i="3"/>
  <c r="AK41" i="3" s="1"/>
  <c r="X71" i="3"/>
  <c r="AA71" i="3"/>
  <c r="AD71" i="3"/>
  <c r="Z81" i="3"/>
  <c r="Y293" i="100"/>
  <c r="L293" i="100"/>
  <c r="L289" i="100"/>
  <c r="Y289" i="100"/>
  <c r="D40" i="22"/>
  <c r="D80" i="22"/>
  <c r="D41" i="22" s="1"/>
  <c r="G73" i="32"/>
  <c r="G28" i="32" s="1"/>
  <c r="G40" i="32" s="1"/>
  <c r="G74" i="32"/>
  <c r="G41" i="32" s="1"/>
  <c r="Y291" i="100"/>
  <c r="L291" i="100"/>
  <c r="F74" i="31"/>
  <c r="F41" i="31" s="1"/>
  <c r="G67" i="31"/>
  <c r="F73" i="31"/>
  <c r="F28" i="31" s="1"/>
  <c r="F40" i="31" s="1"/>
  <c r="G67" i="33"/>
  <c r="F73" i="33"/>
  <c r="F28" i="33" s="1"/>
  <c r="F40" i="33" s="1"/>
  <c r="F74" i="33"/>
  <c r="F41" i="33" s="1"/>
  <c r="E28" i="22"/>
  <c r="E33" i="94"/>
  <c r="E101" i="94" s="1"/>
  <c r="E33" i="39"/>
  <c r="E101" i="39" s="1"/>
  <c r="G162" i="25"/>
  <c r="G162" i="159" s="1"/>
  <c r="AK71" i="3"/>
  <c r="F71" i="3"/>
  <c r="R53" i="122" s="1"/>
  <c r="E39" i="164"/>
  <c r="F75" i="90"/>
  <c r="F28" i="90" s="1"/>
  <c r="F64" i="90"/>
  <c r="G67" i="90"/>
  <c r="F76" i="90"/>
  <c r="D94" i="32"/>
  <c r="F39" i="32"/>
  <c r="E23" i="171"/>
  <c r="E24" i="90"/>
  <c r="E24" i="32"/>
  <c r="E24" i="33"/>
  <c r="E24" i="22"/>
  <c r="F71" i="168"/>
  <c r="F70" i="168"/>
  <c r="F28" i="168" s="1"/>
  <c r="F40" i="168" s="1"/>
  <c r="G67" i="22"/>
  <c r="F75" i="22"/>
  <c r="F23" i="22"/>
  <c r="F76" i="22"/>
  <c r="E40" i="90"/>
  <c r="E80" i="90"/>
  <c r="E41" i="90" s="1"/>
  <c r="G71" i="168"/>
  <c r="G70" i="168"/>
  <c r="G28" i="168" s="1"/>
  <c r="G40" i="168" s="1"/>
  <c r="L290" i="100"/>
  <c r="Y290" i="100"/>
  <c r="F73" i="21"/>
  <c r="F28" i="21" s="1"/>
  <c r="F40" i="21" s="1"/>
  <c r="G67" i="21"/>
  <c r="F74" i="21"/>
  <c r="D52" i="33"/>
  <c r="D50" i="33"/>
  <c r="D48" i="33"/>
  <c r="D49" i="33"/>
  <c r="D51" i="33"/>
  <c r="F39" i="169"/>
  <c r="D39" i="164"/>
  <c r="G39" i="164"/>
  <c r="E39" i="33"/>
  <c r="L288" i="100"/>
  <c r="Y288" i="100"/>
  <c r="E39" i="31"/>
  <c r="D67" i="171"/>
  <c r="D24" i="171"/>
  <c r="G39" i="23"/>
  <c r="E86" i="149"/>
  <c r="L68" i="100"/>
  <c r="L67" i="100" s="1"/>
  <c r="H71" i="3" s="1"/>
  <c r="Y68" i="100"/>
  <c r="Y67" i="100" s="1"/>
  <c r="I71" i="3" s="1"/>
  <c r="E39" i="21"/>
  <c r="D100" i="39"/>
  <c r="E51" i="22"/>
  <c r="E59" i="191" s="1"/>
  <c r="E49" i="22"/>
  <c r="E57" i="191" s="1"/>
  <c r="E52" i="22"/>
  <c r="E60" i="191" s="1"/>
  <c r="E48" i="22"/>
  <c r="E56" i="191" s="1"/>
  <c r="E50" i="22"/>
  <c r="E58" i="191" s="1"/>
  <c r="E39" i="35"/>
  <c r="L292" i="100"/>
  <c r="Y292" i="100"/>
  <c r="K27" i="101"/>
  <c r="K293" i="100" s="1"/>
  <c r="K16" i="101"/>
  <c r="S293" i="100" s="1"/>
  <c r="K18" i="101"/>
  <c r="Q293" i="100" s="1"/>
  <c r="K23" i="101"/>
  <c r="K13" i="101"/>
  <c r="K24" i="101"/>
  <c r="K25" i="101"/>
  <c r="K26" i="101"/>
  <c r="K22" i="101"/>
  <c r="K17" i="101"/>
  <c r="K8" i="101"/>
  <c r="K14" i="101"/>
  <c r="K11" i="101"/>
  <c r="K21" i="101"/>
  <c r="I293" i="100" s="1"/>
  <c r="K15" i="101"/>
  <c r="K12" i="101"/>
  <c r="X293" i="100" s="1"/>
  <c r="K19" i="101"/>
  <c r="K20" i="101"/>
  <c r="G293" i="100" s="1"/>
  <c r="F73" i="35"/>
  <c r="F28" i="35" s="1"/>
  <c r="F40" i="35" s="1"/>
  <c r="G67" i="35"/>
  <c r="F74" i="35"/>
  <c r="E39" i="168"/>
  <c r="E41" i="168"/>
  <c r="D100" i="94"/>
  <c r="K10" i="101"/>
  <c r="M293" i="100" s="1"/>
  <c r="F125" i="161"/>
  <c r="F128" i="161" s="1"/>
  <c r="D157" i="161"/>
  <c r="D140" i="159"/>
  <c r="D62" i="159" s="1"/>
  <c r="G88" i="103"/>
  <c r="D126" i="28"/>
  <c r="D85" i="28" s="1"/>
  <c r="D87" i="28" s="1"/>
  <c r="D87" i="25"/>
  <c r="F139" i="159"/>
  <c r="F86" i="161"/>
  <c r="H93" i="14"/>
  <c r="D140" i="160"/>
  <c r="D62" i="160" s="1"/>
  <c r="D62" i="25"/>
  <c r="D126" i="160"/>
  <c r="D85" i="160" s="1"/>
  <c r="D87" i="160" s="1"/>
  <c r="AD126" i="100"/>
  <c r="AI263" i="100"/>
  <c r="AJ263" i="100"/>
  <c r="AH263" i="100"/>
  <c r="AK263" i="100"/>
  <c r="AB126" i="100"/>
  <c r="Q263" i="100"/>
  <c r="Y263" i="100"/>
  <c r="N263" i="100"/>
  <c r="G168" i="25"/>
  <c r="G160" i="160"/>
  <c r="G160" i="28"/>
  <c r="G31" i="25"/>
  <c r="G160" i="159"/>
  <c r="E157" i="161"/>
  <c r="G87" i="176"/>
  <c r="F87" i="176"/>
  <c r="E87" i="176"/>
  <c r="F159" i="160"/>
  <c r="F31" i="160" s="1"/>
  <c r="F127" i="160" s="1"/>
  <c r="F86" i="160" s="1"/>
  <c r="F159" i="159"/>
  <c r="F167" i="25"/>
  <c r="F159" i="28"/>
  <c r="G125" i="161"/>
  <c r="G128" i="161" s="1"/>
  <c r="E62" i="25"/>
  <c r="E127" i="25"/>
  <c r="E86" i="25" s="1"/>
  <c r="E60" i="25"/>
  <c r="D126" i="159"/>
  <c r="D85" i="159" s="1"/>
  <c r="F157" i="160"/>
  <c r="F157" i="159"/>
  <c r="F157" i="28"/>
  <c r="F139" i="160"/>
  <c r="F60" i="160" s="1"/>
  <c r="F157" i="161"/>
  <c r="G157" i="161"/>
  <c r="E125" i="161"/>
  <c r="E84" i="161" s="1"/>
  <c r="F62" i="25"/>
  <c r="F60" i="25"/>
  <c r="F127" i="25"/>
  <c r="F86" i="25" s="1"/>
  <c r="G158" i="25"/>
  <c r="E167" i="28"/>
  <c r="E167" i="160"/>
  <c r="E167" i="159"/>
  <c r="E169" i="28"/>
  <c r="E169" i="159"/>
  <c r="E169" i="160"/>
  <c r="E168" i="28"/>
  <c r="E168" i="160"/>
  <c r="E168" i="159"/>
  <c r="F166" i="160"/>
  <c r="F166" i="159"/>
  <c r="F166" i="28"/>
  <c r="F161" i="160"/>
  <c r="F169" i="25"/>
  <c r="F161" i="28"/>
  <c r="F161" i="159"/>
  <c r="F31" i="159" s="1"/>
  <c r="F141" i="160"/>
  <c r="F65" i="160" s="1"/>
  <c r="E165" i="28"/>
  <c r="E165" i="160"/>
  <c r="E165" i="159"/>
  <c r="E126" i="25"/>
  <c r="E85" i="25" s="1"/>
  <c r="G137" i="160"/>
  <c r="G137" i="159"/>
  <c r="G137" i="28"/>
  <c r="O170" i="159"/>
  <c r="O169" i="159"/>
  <c r="O171" i="159"/>
  <c r="F65" i="25"/>
  <c r="F168" i="159"/>
  <c r="F168" i="160"/>
  <c r="F168" i="28"/>
  <c r="E127" i="159"/>
  <c r="E86" i="159" s="1"/>
  <c r="E60" i="159"/>
  <c r="E62" i="159"/>
  <c r="F141" i="159"/>
  <c r="F65" i="159" s="1"/>
  <c r="F165" i="25"/>
  <c r="G162" i="160"/>
  <c r="F127" i="28"/>
  <c r="F86" i="28" s="1"/>
  <c r="F62" i="28"/>
  <c r="F60" i="28"/>
  <c r="G146" i="159"/>
  <c r="G125" i="159" s="1"/>
  <c r="G84" i="159" s="1"/>
  <c r="G146" i="160"/>
  <c r="G125" i="160" s="1"/>
  <c r="G84" i="160" s="1"/>
  <c r="G125" i="25"/>
  <c r="G84" i="25" s="1"/>
  <c r="G146" i="28"/>
  <c r="G125" i="28" s="1"/>
  <c r="G84" i="28" s="1"/>
  <c r="G159" i="25"/>
  <c r="G157" i="25"/>
  <c r="G161" i="25"/>
  <c r="G138" i="25"/>
  <c r="D86" i="161"/>
  <c r="AE126" i="100"/>
  <c r="I263" i="100"/>
  <c r="Z263" i="100"/>
  <c r="F263" i="100"/>
  <c r="AF263" i="100"/>
  <c r="G263" i="100"/>
  <c r="W263" i="100"/>
  <c r="AH126" i="100"/>
  <c r="AL126" i="100"/>
  <c r="L263" i="100"/>
  <c r="AG263" i="100"/>
  <c r="AK126" i="100"/>
  <c r="AG126" i="100"/>
  <c r="G86" i="161"/>
  <c r="AI126" i="100"/>
  <c r="P263" i="100"/>
  <c r="AA126" i="100"/>
  <c r="AF126" i="100"/>
  <c r="AC126" i="100"/>
  <c r="AA263" i="100"/>
  <c r="E86" i="161"/>
  <c r="H263" i="100"/>
  <c r="AJ126" i="100"/>
  <c r="M263" i="100"/>
  <c r="Z126" i="100"/>
  <c r="X263" i="100"/>
  <c r="D148" i="161"/>
  <c r="AH157" i="100"/>
  <c r="D125" i="161"/>
  <c r="D84" i="161" s="1"/>
  <c r="F148" i="161"/>
  <c r="G148" i="161"/>
  <c r="E148" i="161"/>
  <c r="F147" i="161"/>
  <c r="F104" i="161" s="1"/>
  <c r="F164" i="161"/>
  <c r="F146" i="161"/>
  <c r="F166" i="161"/>
  <c r="F155" i="161"/>
  <c r="F145" i="161"/>
  <c r="F163" i="161"/>
  <c r="F154" i="161"/>
  <c r="E164" i="161"/>
  <c r="E146" i="161"/>
  <c r="E166" i="161"/>
  <c r="E155" i="161"/>
  <c r="E154" i="161"/>
  <c r="E145" i="161"/>
  <c r="E163" i="161"/>
  <c r="E147" i="161"/>
  <c r="E104" i="161" s="1"/>
  <c r="G154" i="161"/>
  <c r="G145" i="161"/>
  <c r="G146" i="161"/>
  <c r="G166" i="161"/>
  <c r="G163" i="161"/>
  <c r="G155" i="161"/>
  <c r="G164" i="161"/>
  <c r="G147" i="161"/>
  <c r="G104" i="161" s="1"/>
  <c r="D155" i="161"/>
  <c r="D164" i="161"/>
  <c r="D145" i="161"/>
  <c r="D163" i="161"/>
  <c r="D146" i="161"/>
  <c r="D154" i="161"/>
  <c r="D166" i="161"/>
  <c r="D147" i="161"/>
  <c r="D104" i="161" s="1"/>
  <c r="AK157" i="100"/>
  <c r="AE157" i="100"/>
  <c r="AF157" i="100"/>
  <c r="AL157" i="100"/>
  <c r="Z157" i="100"/>
  <c r="AA157" i="100"/>
  <c r="AJ157" i="100"/>
  <c r="AI157" i="100"/>
  <c r="AB157" i="100"/>
  <c r="AC157" i="100"/>
  <c r="AG157" i="100"/>
  <c r="AD157" i="100"/>
  <c r="AB263" i="100"/>
  <c r="C37" i="108"/>
  <c r="AH124" i="100"/>
  <c r="AL124" i="100"/>
  <c r="AB261" i="100"/>
  <c r="N261" i="100"/>
  <c r="AH261" i="100"/>
  <c r="AA261" i="100"/>
  <c r="AK124" i="100"/>
  <c r="M260" i="100"/>
  <c r="AA124" i="100"/>
  <c r="AK261" i="100"/>
  <c r="E37" i="108"/>
  <c r="Y262" i="100"/>
  <c r="AH262" i="100"/>
  <c r="AF125" i="100"/>
  <c r="H262" i="100"/>
  <c r="AG125" i="100"/>
  <c r="AA262" i="100"/>
  <c r="AC125" i="100"/>
  <c r="AG262" i="100"/>
  <c r="X262" i="100"/>
  <c r="AJ125" i="100"/>
  <c r="N262" i="100"/>
  <c r="Q262" i="100"/>
  <c r="G262" i="100"/>
  <c r="AK125" i="100"/>
  <c r="F262" i="100"/>
  <c r="AL125" i="100"/>
  <c r="AK262" i="100"/>
  <c r="M262" i="100"/>
  <c r="Z125" i="100"/>
  <c r="AJ262" i="100"/>
  <c r="AH125" i="100"/>
  <c r="AD125" i="100"/>
  <c r="AI262" i="100"/>
  <c r="AI125" i="100"/>
  <c r="I262" i="100"/>
  <c r="AB125" i="100"/>
  <c r="L262" i="100"/>
  <c r="AA125" i="100"/>
  <c r="AF262" i="100"/>
  <c r="AB262" i="100"/>
  <c r="P262" i="100"/>
  <c r="AE125" i="100"/>
  <c r="W262" i="100"/>
  <c r="Z262" i="100"/>
  <c r="D92" i="14"/>
  <c r="J17" i="14" s="1"/>
  <c r="Q17" i="14" s="1"/>
  <c r="T91" i="100" s="1"/>
  <c r="AB124" i="100"/>
  <c r="AG261" i="100"/>
  <c r="AG124" i="100"/>
  <c r="AI124" i="100"/>
  <c r="AJ124" i="100"/>
  <c r="D93" i="14"/>
  <c r="J18" i="14" s="1"/>
  <c r="Q18" i="14" s="1"/>
  <c r="W261" i="100"/>
  <c r="AC124" i="100"/>
  <c r="AJ261" i="100"/>
  <c r="G261" i="100"/>
  <c r="AE124" i="100"/>
  <c r="AF124" i="100"/>
  <c r="D37" i="108"/>
  <c r="Q261" i="100"/>
  <c r="Z261" i="100"/>
  <c r="AI261" i="100"/>
  <c r="X261" i="100"/>
  <c r="L261" i="100"/>
  <c r="AD124" i="100"/>
  <c r="H261" i="100"/>
  <c r="P261" i="100"/>
  <c r="AF261" i="100"/>
  <c r="F261" i="100"/>
  <c r="Y261" i="100"/>
  <c r="Z124" i="100"/>
  <c r="I261" i="100"/>
  <c r="I260" i="100"/>
  <c r="AF260" i="100"/>
  <c r="AH123" i="100"/>
  <c r="AJ260" i="100"/>
  <c r="X260" i="100"/>
  <c r="AD123" i="100"/>
  <c r="Z123" i="100"/>
  <c r="Z260" i="100"/>
  <c r="F260" i="100"/>
  <c r="AA260" i="100"/>
  <c r="AK123" i="100"/>
  <c r="AA123" i="100"/>
  <c r="AB123" i="100"/>
  <c r="AF123" i="100"/>
  <c r="AG123" i="100"/>
  <c r="L260" i="100"/>
  <c r="AG260" i="100"/>
  <c r="G260" i="100"/>
  <c r="AC123" i="100"/>
  <c r="AH260" i="100"/>
  <c r="AB260" i="100"/>
  <c r="AE123" i="100"/>
  <c r="Q260" i="100"/>
  <c r="Y260" i="100"/>
  <c r="N260" i="100"/>
  <c r="AL123" i="100"/>
  <c r="W260" i="100"/>
  <c r="P260" i="100"/>
  <c r="AI123" i="100"/>
  <c r="AI260" i="100"/>
  <c r="H260" i="100"/>
  <c r="AJ123" i="100"/>
  <c r="AK260" i="100"/>
  <c r="D141" i="159"/>
  <c r="D65" i="159" s="1"/>
  <c r="D65" i="25"/>
  <c r="D139" i="28"/>
  <c r="D60" i="28" s="1"/>
  <c r="D139" i="160"/>
  <c r="D60" i="160" s="1"/>
  <c r="F88" i="105"/>
  <c r="D60" i="25"/>
  <c r="D141" i="160"/>
  <c r="D65" i="160" s="1"/>
  <c r="G83" i="105"/>
  <c r="G86" i="105"/>
  <c r="G102" i="105"/>
  <c r="E139" i="160"/>
  <c r="E60" i="160" s="1"/>
  <c r="E139" i="159"/>
  <c r="E139" i="28"/>
  <c r="F101" i="105"/>
  <c r="E140" i="159"/>
  <c r="E140" i="160"/>
  <c r="E62" i="160" s="1"/>
  <c r="E140" i="28"/>
  <c r="E65" i="25"/>
  <c r="E141" i="28"/>
  <c r="E65" i="28" s="1"/>
  <c r="E141" i="159"/>
  <c r="E65" i="159" s="1"/>
  <c r="E141" i="160"/>
  <c r="E65" i="160" s="1"/>
  <c r="F87" i="105"/>
  <c r="AM67" i="3"/>
  <c r="N67" i="3"/>
  <c r="AF67" i="3"/>
  <c r="AD71" i="178"/>
  <c r="V71" i="178"/>
  <c r="AD75" i="178"/>
  <c r="V75" i="178"/>
  <c r="AD79" i="178"/>
  <c r="V79" i="178"/>
  <c r="AD59" i="178"/>
  <c r="V59" i="178"/>
  <c r="AD63" i="178"/>
  <c r="V63" i="178"/>
  <c r="K57" i="178"/>
  <c r="K61" i="178" s="1"/>
  <c r="V55" i="178"/>
  <c r="K58" i="178"/>
  <c r="K62" i="178" s="1"/>
  <c r="K66" i="178" s="1"/>
  <c r="K56" i="178"/>
  <c r="AD55" i="178"/>
  <c r="K55" i="178"/>
  <c r="K59" i="178" s="1"/>
  <c r="AH127" i="3"/>
  <c r="AH125" i="3"/>
  <c r="AJ136" i="3"/>
  <c r="AH128" i="3"/>
  <c r="AI136" i="3"/>
  <c r="AK135" i="3"/>
  <c r="AI137" i="3"/>
  <c r="AJ134" i="3"/>
  <c r="AO33" i="3"/>
  <c r="AH37" i="3"/>
  <c r="AK136" i="3"/>
  <c r="AK133" i="3"/>
  <c r="AI134" i="3"/>
  <c r="AI168" i="3"/>
  <c r="AK134" i="3"/>
  <c r="AJ137" i="3"/>
  <c r="AK137" i="3"/>
  <c r="AJ135" i="3"/>
  <c r="AH126" i="3"/>
  <c r="AH124" i="3"/>
  <c r="AI135" i="3"/>
  <c r="AI72" i="3"/>
  <c r="AJ133" i="3"/>
  <c r="AJ161" i="3" l="1"/>
  <c r="AJ193" i="3"/>
  <c r="AJ152" i="3"/>
  <c r="F48" i="186"/>
  <c r="F56" i="186" s="1"/>
  <c r="AK176" i="100"/>
  <c r="AK184" i="100" s="1"/>
  <c r="AK200" i="100" s="1"/>
  <c r="AK218" i="100" s="1"/>
  <c r="AK273" i="100" s="1"/>
  <c r="AK281" i="100" s="1"/>
  <c r="AK302" i="100" s="1"/>
  <c r="AD176" i="100"/>
  <c r="AD184" i="100" s="1"/>
  <c r="AD200" i="100" s="1"/>
  <c r="AD175" i="100"/>
  <c r="AD183" i="100" s="1"/>
  <c r="AD199" i="100" s="1"/>
  <c r="AD217" i="100" s="1"/>
  <c r="AH176" i="100"/>
  <c r="AH184" i="100" s="1"/>
  <c r="AH200" i="100" s="1"/>
  <c r="AH218" i="100" s="1"/>
  <c r="AH273" i="100" s="1"/>
  <c r="AH281" i="100" s="1"/>
  <c r="AH302" i="100" s="1"/>
  <c r="AJ154" i="3"/>
  <c r="AJ163" i="3"/>
  <c r="AJ195" i="3"/>
  <c r="AJ153" i="3"/>
  <c r="AJ194" i="3"/>
  <c r="AJ216" i="3" s="1"/>
  <c r="AJ162" i="3"/>
  <c r="AJ155" i="3"/>
  <c r="AJ164" i="3"/>
  <c r="AJ196" i="3"/>
  <c r="AJ218" i="3" s="1"/>
  <c r="AJ151" i="3"/>
  <c r="AJ192" i="3"/>
  <c r="AJ160" i="3"/>
  <c r="AH36" i="3"/>
  <c r="F39" i="184"/>
  <c r="E39" i="183"/>
  <c r="G41" i="188"/>
  <c r="G40" i="188"/>
  <c r="D39" i="183"/>
  <c r="F39" i="186"/>
  <c r="E23" i="188"/>
  <c r="E24" i="188" s="1"/>
  <c r="W82" i="187"/>
  <c r="E25" i="185"/>
  <c r="E80" i="185"/>
  <c r="E50" i="185" s="1"/>
  <c r="E58" i="185" s="1"/>
  <c r="E82" i="185"/>
  <c r="E52" i="185" s="1"/>
  <c r="E60" i="185" s="1"/>
  <c r="E79" i="185"/>
  <c r="E49" i="185" s="1"/>
  <c r="E57" i="185" s="1"/>
  <c r="E78" i="185"/>
  <c r="E48" i="185" s="1"/>
  <c r="E56" i="185" s="1"/>
  <c r="E81" i="185"/>
  <c r="E51" i="185" s="1"/>
  <c r="E59" i="185" s="1"/>
  <c r="E77" i="185"/>
  <c r="D41" i="184"/>
  <c r="D40" i="184"/>
  <c r="D60" i="185"/>
  <c r="D39" i="187"/>
  <c r="G39" i="184"/>
  <c r="F41" i="188"/>
  <c r="F40" i="188"/>
  <c r="E41" i="188"/>
  <c r="E40" i="188"/>
  <c r="D41" i="185"/>
  <c r="D40" i="185"/>
  <c r="D58" i="185"/>
  <c r="D59" i="185"/>
  <c r="F25" i="186"/>
  <c r="F78" i="186"/>
  <c r="F80" i="186"/>
  <c r="F49" i="186" s="1"/>
  <c r="F57" i="186" s="1"/>
  <c r="F81" i="186"/>
  <c r="F50" i="186" s="1"/>
  <c r="F58" i="186" s="1"/>
  <c r="F82" i="186"/>
  <c r="F51" i="186" s="1"/>
  <c r="F59" i="186" s="1"/>
  <c r="F83" i="186"/>
  <c r="F52" i="186" s="1"/>
  <c r="F60" i="186" s="1"/>
  <c r="G39" i="187"/>
  <c r="F39" i="183"/>
  <c r="E39" i="186"/>
  <c r="G39" i="183"/>
  <c r="D41" i="188"/>
  <c r="D40" i="188"/>
  <c r="E39" i="187"/>
  <c r="F39" i="187"/>
  <c r="G25" i="185"/>
  <c r="G81" i="185"/>
  <c r="G51" i="185" s="1"/>
  <c r="G59" i="185" s="1"/>
  <c r="G79" i="185"/>
  <c r="G49" i="185" s="1"/>
  <c r="G57" i="185" s="1"/>
  <c r="G82" i="185"/>
  <c r="G52" i="185" s="1"/>
  <c r="G60" i="185" s="1"/>
  <c r="G80" i="185"/>
  <c r="G50" i="185" s="1"/>
  <c r="G58" i="185" s="1"/>
  <c r="G78" i="185"/>
  <c r="G48" i="185" s="1"/>
  <c r="G56" i="185" s="1"/>
  <c r="G77" i="185"/>
  <c r="D57" i="185"/>
  <c r="D56" i="185"/>
  <c r="D67" i="186"/>
  <c r="D24" i="186"/>
  <c r="G39" i="186"/>
  <c r="E76" i="186"/>
  <c r="G71" i="186"/>
  <c r="E39" i="184"/>
  <c r="AF176" i="100"/>
  <c r="AF184" i="100" s="1"/>
  <c r="AF200" i="100" s="1"/>
  <c r="AF218" i="100" s="1"/>
  <c r="AF273" i="100" s="1"/>
  <c r="AF281" i="100" s="1"/>
  <c r="AF302" i="100" s="1"/>
  <c r="AG273" i="100"/>
  <c r="AG281" i="100" s="1"/>
  <c r="AG302" i="100" s="1"/>
  <c r="AL175" i="100"/>
  <c r="AL183" i="100" s="1"/>
  <c r="AL199" i="100" s="1"/>
  <c r="AL217" i="100" s="1"/>
  <c r="AG175" i="100"/>
  <c r="AG183" i="100" s="1"/>
  <c r="AG199" i="100" s="1"/>
  <c r="AG217" i="100" s="1"/>
  <c r="AG272" i="100" s="1"/>
  <c r="AG280" i="100" s="1"/>
  <c r="AG301" i="100" s="1"/>
  <c r="AB175" i="100"/>
  <c r="AB183" i="100" s="1"/>
  <c r="AB199" i="100" s="1"/>
  <c r="AB217" i="100" s="1"/>
  <c r="AB272" i="100" s="1"/>
  <c r="AB280" i="100" s="1"/>
  <c r="AB301" i="100" s="1"/>
  <c r="AA176" i="100"/>
  <c r="AA184" i="100" s="1"/>
  <c r="AA200" i="100" s="1"/>
  <c r="AA218" i="100" s="1"/>
  <c r="AA273" i="100" s="1"/>
  <c r="AA281" i="100" s="1"/>
  <c r="AA302" i="100" s="1"/>
  <c r="AJ175" i="100"/>
  <c r="AJ183" i="100" s="1"/>
  <c r="AJ199" i="100" s="1"/>
  <c r="AJ217" i="100" s="1"/>
  <c r="AJ272" i="100" s="1"/>
  <c r="AJ280" i="100" s="1"/>
  <c r="AJ301" i="100" s="1"/>
  <c r="F84" i="161"/>
  <c r="F88" i="161" s="1"/>
  <c r="AA175" i="100"/>
  <c r="AA183" i="100" s="1"/>
  <c r="AA199" i="100" s="1"/>
  <c r="AA217" i="100" s="1"/>
  <c r="AA272" i="100" s="1"/>
  <c r="AA280" i="100" s="1"/>
  <c r="AA301" i="100" s="1"/>
  <c r="AF175" i="100"/>
  <c r="AF183" i="100" s="1"/>
  <c r="AF199" i="100" s="1"/>
  <c r="AF217" i="100" s="1"/>
  <c r="AF272" i="100" s="1"/>
  <c r="AF280" i="100" s="1"/>
  <c r="AF301" i="100" s="1"/>
  <c r="AE176" i="100"/>
  <c r="AE184" i="100" s="1"/>
  <c r="AE200" i="100" s="1"/>
  <c r="AE175" i="100"/>
  <c r="AE183" i="100" s="1"/>
  <c r="AE199" i="100" s="1"/>
  <c r="AE217" i="100" s="1"/>
  <c r="AI175" i="100"/>
  <c r="AI183" i="100" s="1"/>
  <c r="AI199" i="100" s="1"/>
  <c r="AI217" i="100" s="1"/>
  <c r="AI272" i="100" s="1"/>
  <c r="AI280" i="100" s="1"/>
  <c r="AI301" i="100" s="1"/>
  <c r="AL176" i="100"/>
  <c r="AL184" i="100" s="1"/>
  <c r="AL200" i="100" s="1"/>
  <c r="AJ176" i="100"/>
  <c r="AJ184" i="100" s="1"/>
  <c r="AJ200" i="100" s="1"/>
  <c r="AJ218" i="100" s="1"/>
  <c r="AJ273" i="100" s="1"/>
  <c r="AJ281" i="100" s="1"/>
  <c r="AJ302" i="100" s="1"/>
  <c r="AC176" i="100"/>
  <c r="AC184" i="100" s="1"/>
  <c r="AC200" i="100" s="1"/>
  <c r="AH175" i="100"/>
  <c r="AH183" i="100" s="1"/>
  <c r="AH199" i="100" s="1"/>
  <c r="AH217" i="100" s="1"/>
  <c r="AH272" i="100" s="1"/>
  <c r="AH280" i="100" s="1"/>
  <c r="AH301" i="100" s="1"/>
  <c r="Z175" i="100"/>
  <c r="Z183" i="100" s="1"/>
  <c r="Z199" i="100" s="1"/>
  <c r="Z217" i="100" s="1"/>
  <c r="Z272" i="100" s="1"/>
  <c r="Z280" i="100" s="1"/>
  <c r="Z301" i="100" s="1"/>
  <c r="AB176" i="100"/>
  <c r="AB184" i="100" s="1"/>
  <c r="AB200" i="100" s="1"/>
  <c r="AB218" i="100" s="1"/>
  <c r="AB273" i="100" s="1"/>
  <c r="AB281" i="100" s="1"/>
  <c r="AB302" i="100" s="1"/>
  <c r="AK175" i="100"/>
  <c r="AK183" i="100" s="1"/>
  <c r="AK199" i="100" s="1"/>
  <c r="AK217" i="100" s="1"/>
  <c r="AK272" i="100" s="1"/>
  <c r="AK280" i="100" s="1"/>
  <c r="AK301" i="100" s="1"/>
  <c r="AI176" i="100"/>
  <c r="AI184" i="100" s="1"/>
  <c r="AI200" i="100" s="1"/>
  <c r="AI218" i="100" s="1"/>
  <c r="AI273" i="100" s="1"/>
  <c r="AI281" i="100" s="1"/>
  <c r="AI302" i="100" s="1"/>
  <c r="Z176" i="100"/>
  <c r="Z184" i="100" s="1"/>
  <c r="Z200" i="100" s="1"/>
  <c r="Z218" i="100" s="1"/>
  <c r="Z273" i="100" s="1"/>
  <c r="Z281" i="100" s="1"/>
  <c r="Z302" i="100" s="1"/>
  <c r="AI153" i="3"/>
  <c r="AI162" i="3"/>
  <c r="AK152" i="3"/>
  <c r="AK193" i="3"/>
  <c r="AK161" i="3"/>
  <c r="AK153" i="3"/>
  <c r="AK162" i="3"/>
  <c r="AK194" i="3"/>
  <c r="AK216" i="3" s="1"/>
  <c r="AI152" i="3"/>
  <c r="AI161" i="3"/>
  <c r="AI155" i="3"/>
  <c r="AI164" i="3"/>
  <c r="AK151" i="3"/>
  <c r="AK160" i="3"/>
  <c r="AK192" i="3"/>
  <c r="AK154" i="3"/>
  <c r="AK163" i="3"/>
  <c r="AK195" i="3"/>
  <c r="AK217" i="3" s="1"/>
  <c r="AI154" i="3"/>
  <c r="AI163" i="3"/>
  <c r="AK155" i="3"/>
  <c r="AK196" i="3"/>
  <c r="AK218" i="3" s="1"/>
  <c r="AK164" i="3"/>
  <c r="AK40" i="3"/>
  <c r="D88" i="161"/>
  <c r="E40" i="22"/>
  <c r="E80" i="22"/>
  <c r="E41" i="22" s="1"/>
  <c r="N293" i="100"/>
  <c r="O293" i="100"/>
  <c r="R209" i="100"/>
  <c r="J209" i="100"/>
  <c r="K209" i="100"/>
  <c r="E59" i="22"/>
  <c r="E59" i="32"/>
  <c r="E59" i="33"/>
  <c r="F23" i="171"/>
  <c r="F24" i="90"/>
  <c r="F23" i="90" s="1"/>
  <c r="F24" i="33"/>
  <c r="F24" i="22"/>
  <c r="F24" i="32"/>
  <c r="G162" i="28"/>
  <c r="T209" i="100"/>
  <c r="U209" i="100"/>
  <c r="F28" i="22"/>
  <c r="F33" i="39"/>
  <c r="F33" i="94"/>
  <c r="P293" i="100"/>
  <c r="F293" i="100"/>
  <c r="F39" i="168"/>
  <c r="F41" i="168"/>
  <c r="D39" i="22"/>
  <c r="G73" i="35"/>
  <c r="G28" i="35" s="1"/>
  <c r="G40" i="35" s="1"/>
  <c r="G74" i="35"/>
  <c r="R293" i="100"/>
  <c r="J293" i="100"/>
  <c r="V209" i="100"/>
  <c r="O209" i="100"/>
  <c r="S209" i="100"/>
  <c r="F39" i="33"/>
  <c r="E60" i="22"/>
  <c r="E60" i="33"/>
  <c r="E60" i="32"/>
  <c r="G74" i="21"/>
  <c r="G73" i="21"/>
  <c r="G28" i="21" s="1"/>
  <c r="G40" i="21" s="1"/>
  <c r="G74" i="31"/>
  <c r="G41" i="31" s="1"/>
  <c r="G73" i="31"/>
  <c r="G28" i="31" s="1"/>
  <c r="G40" i="31" s="1"/>
  <c r="E57" i="32"/>
  <c r="E57" i="33"/>
  <c r="E57" i="22"/>
  <c r="E19" i="90"/>
  <c r="E23" i="90"/>
  <c r="L23" i="90" s="1"/>
  <c r="G75" i="90"/>
  <c r="G28" i="90" s="1"/>
  <c r="G64" i="90"/>
  <c r="G76" i="90"/>
  <c r="F39" i="35"/>
  <c r="Y209" i="100"/>
  <c r="L209" i="100"/>
  <c r="AL209" i="100"/>
  <c r="W209" i="100"/>
  <c r="N209" i="100"/>
  <c r="AL293" i="100"/>
  <c r="M209" i="100"/>
  <c r="H209" i="100"/>
  <c r="AE293" i="100"/>
  <c r="P209" i="100"/>
  <c r="AC209" i="100"/>
  <c r="AE209" i="100"/>
  <c r="G209" i="100"/>
  <c r="X209" i="100"/>
  <c r="AD293" i="100"/>
  <c r="AD209" i="100"/>
  <c r="AC293" i="100"/>
  <c r="V293" i="100"/>
  <c r="Q209" i="100"/>
  <c r="I209" i="100"/>
  <c r="F209" i="100"/>
  <c r="E58" i="22"/>
  <c r="E58" i="33"/>
  <c r="E58" i="32"/>
  <c r="E67" i="171"/>
  <c r="D73" i="171"/>
  <c r="D28" i="171" s="1"/>
  <c r="D40" i="171" s="1"/>
  <c r="D41" i="171"/>
  <c r="G39" i="168"/>
  <c r="G41" i="168"/>
  <c r="F40" i="90"/>
  <c r="F80" i="90"/>
  <c r="F41" i="90" s="1"/>
  <c r="E100" i="39"/>
  <c r="G73" i="33"/>
  <c r="G28" i="33" s="1"/>
  <c r="G40" i="33" s="1"/>
  <c r="G74" i="33"/>
  <c r="G41" i="33" s="1"/>
  <c r="H293" i="100"/>
  <c r="W293" i="100"/>
  <c r="E39" i="90"/>
  <c r="F39" i="21"/>
  <c r="G75" i="22"/>
  <c r="G28" i="22" s="1"/>
  <c r="G23" i="22"/>
  <c r="G76" i="22"/>
  <c r="U293" i="100"/>
  <c r="T293" i="100"/>
  <c r="E56" i="32"/>
  <c r="E56" i="22"/>
  <c r="E56" i="33"/>
  <c r="E25" i="32"/>
  <c r="F25" i="32"/>
  <c r="G26" i="32"/>
  <c r="F26" i="32"/>
  <c r="E26" i="32"/>
  <c r="G25" i="32"/>
  <c r="E100" i="94"/>
  <c r="F39" i="31"/>
  <c r="G39" i="32"/>
  <c r="G84" i="161"/>
  <c r="G88" i="161" s="1"/>
  <c r="D88" i="160"/>
  <c r="D88" i="28"/>
  <c r="F87" i="161"/>
  <c r="E88" i="25"/>
  <c r="Z174" i="100"/>
  <c r="Z182" i="100" s="1"/>
  <c r="Z198" i="100" s="1"/>
  <c r="Z216" i="100" s="1"/>
  <c r="Z271" i="100" s="1"/>
  <c r="Z279" i="100" s="1"/>
  <c r="Z300" i="100" s="1"/>
  <c r="E126" i="160"/>
  <c r="E85" i="160" s="1"/>
  <c r="E87" i="160" s="1"/>
  <c r="E87" i="161"/>
  <c r="E128" i="161"/>
  <c r="D105" i="161"/>
  <c r="E126" i="28"/>
  <c r="E85" i="28" s="1"/>
  <c r="E87" i="28" s="1"/>
  <c r="AD174" i="100"/>
  <c r="AD182" i="100" s="1"/>
  <c r="AD198" i="100" s="1"/>
  <c r="AD216" i="100" s="1"/>
  <c r="AB174" i="100"/>
  <c r="AB182" i="100" s="1"/>
  <c r="AB198" i="100" s="1"/>
  <c r="AB216" i="100" s="1"/>
  <c r="AB271" i="100" s="1"/>
  <c r="AB279" i="100" s="1"/>
  <c r="AB300" i="100" s="1"/>
  <c r="AF174" i="100"/>
  <c r="AF182" i="100" s="1"/>
  <c r="AF198" i="100" s="1"/>
  <c r="AF216" i="100" s="1"/>
  <c r="AF271" i="100" s="1"/>
  <c r="AF279" i="100" s="1"/>
  <c r="AF300" i="100" s="1"/>
  <c r="AH174" i="100"/>
  <c r="AH182" i="100" s="1"/>
  <c r="AH198" i="100" s="1"/>
  <c r="AH216" i="100" s="1"/>
  <c r="AH271" i="100" s="1"/>
  <c r="AH279" i="100" s="1"/>
  <c r="AH300" i="100" s="1"/>
  <c r="AE174" i="100"/>
  <c r="AE182" i="100" s="1"/>
  <c r="AE198" i="100" s="1"/>
  <c r="AE216" i="100" s="1"/>
  <c r="G161" i="159"/>
  <c r="G31" i="159" s="1"/>
  <c r="G161" i="28"/>
  <c r="G161" i="160"/>
  <c r="G169" i="25"/>
  <c r="E87" i="25"/>
  <c r="G157" i="160"/>
  <c r="G157" i="159"/>
  <c r="G157" i="28"/>
  <c r="AC174" i="100"/>
  <c r="AC182" i="100" s="1"/>
  <c r="AC198" i="100" s="1"/>
  <c r="AC216" i="100" s="1"/>
  <c r="G159" i="28"/>
  <c r="G159" i="159"/>
  <c r="G159" i="160"/>
  <c r="G31" i="160" s="1"/>
  <c r="G127" i="160" s="1"/>
  <c r="G86" i="160" s="1"/>
  <c r="G167" i="25"/>
  <c r="F62" i="159"/>
  <c r="F60" i="159"/>
  <c r="F127" i="159"/>
  <c r="F86" i="159" s="1"/>
  <c r="G168" i="159"/>
  <c r="G168" i="160"/>
  <c r="G168" i="28"/>
  <c r="G158" i="159"/>
  <c r="G158" i="160"/>
  <c r="G166" i="25"/>
  <c r="G158" i="28"/>
  <c r="G31" i="28" s="1"/>
  <c r="F165" i="28"/>
  <c r="F165" i="160"/>
  <c r="F165" i="159"/>
  <c r="F126" i="25"/>
  <c r="F85" i="25" s="1"/>
  <c r="F87" i="25" s="1"/>
  <c r="G165" i="25"/>
  <c r="G62" i="25"/>
  <c r="G127" i="25"/>
  <c r="G86" i="25" s="1"/>
  <c r="G60" i="25"/>
  <c r="G141" i="25"/>
  <c r="G138" i="28"/>
  <c r="G139" i="25"/>
  <c r="G140" i="25"/>
  <c r="G138" i="159"/>
  <c r="G138" i="160"/>
  <c r="F169" i="159"/>
  <c r="F169" i="28"/>
  <c r="F169" i="160"/>
  <c r="E126" i="159"/>
  <c r="E85" i="159" s="1"/>
  <c r="E87" i="159" s="1"/>
  <c r="D88" i="159"/>
  <c r="D87" i="159"/>
  <c r="F167" i="28"/>
  <c r="F167" i="159"/>
  <c r="F167" i="160"/>
  <c r="AK174" i="100"/>
  <c r="AK182" i="100" s="1"/>
  <c r="AK198" i="100" s="1"/>
  <c r="AK216" i="100" s="1"/>
  <c r="AK271" i="100" s="1"/>
  <c r="AK279" i="100" s="1"/>
  <c r="AK300" i="100" s="1"/>
  <c r="D128" i="161"/>
  <c r="D87" i="161"/>
  <c r="AG174" i="100"/>
  <c r="AG182" i="100" s="1"/>
  <c r="AG198" i="100" s="1"/>
  <c r="AG216" i="100" s="1"/>
  <c r="AG271" i="100" s="1"/>
  <c r="AG279" i="100" s="1"/>
  <c r="AG300" i="100" s="1"/>
  <c r="E88" i="161"/>
  <c r="AA174" i="100"/>
  <c r="AA182" i="100" s="1"/>
  <c r="AA198" i="100" s="1"/>
  <c r="AA216" i="100" s="1"/>
  <c r="AA271" i="100" s="1"/>
  <c r="AA279" i="100" s="1"/>
  <c r="AA300" i="100" s="1"/>
  <c r="AI174" i="100"/>
  <c r="AI182" i="100" s="1"/>
  <c r="AI198" i="100" s="1"/>
  <c r="AI216" i="100" s="1"/>
  <c r="AI271" i="100" s="1"/>
  <c r="AI279" i="100" s="1"/>
  <c r="AI300" i="100" s="1"/>
  <c r="AJ174" i="100"/>
  <c r="AJ182" i="100" s="1"/>
  <c r="AJ198" i="100" s="1"/>
  <c r="AJ216" i="100" s="1"/>
  <c r="AJ271" i="100" s="1"/>
  <c r="AJ279" i="100" s="1"/>
  <c r="AJ300" i="100" s="1"/>
  <c r="AL174" i="100"/>
  <c r="AL182" i="100" s="1"/>
  <c r="AL198" i="100" s="1"/>
  <c r="AL216" i="100" s="1"/>
  <c r="F105" i="161"/>
  <c r="G105" i="161"/>
  <c r="G153" i="161"/>
  <c r="E103" i="161"/>
  <c r="D153" i="161"/>
  <c r="G144" i="161"/>
  <c r="G102" i="161"/>
  <c r="D103" i="161"/>
  <c r="G162" i="161"/>
  <c r="E162" i="161"/>
  <c r="F102" i="161"/>
  <c r="F144" i="161"/>
  <c r="D162" i="161"/>
  <c r="E102" i="161"/>
  <c r="E144" i="161"/>
  <c r="F153" i="161"/>
  <c r="E105" i="161"/>
  <c r="F103" i="161"/>
  <c r="D144" i="161"/>
  <c r="D102" i="161"/>
  <c r="G103" i="161"/>
  <c r="E153" i="161"/>
  <c r="F162" i="161"/>
  <c r="AF154" i="100"/>
  <c r="AF171" i="100" s="1"/>
  <c r="AF179" i="100" s="1"/>
  <c r="AF195" i="100" s="1"/>
  <c r="AF213" i="100" s="1"/>
  <c r="AF268" i="100" s="1"/>
  <c r="AF276" i="100" s="1"/>
  <c r="AF297" i="100" s="1"/>
  <c r="AH154" i="100"/>
  <c r="AH171" i="100" s="1"/>
  <c r="AH179" i="100" s="1"/>
  <c r="AH195" i="100" s="1"/>
  <c r="AH213" i="100" s="1"/>
  <c r="AH268" i="100" s="1"/>
  <c r="AH276" i="100" s="1"/>
  <c r="AH297" i="100" s="1"/>
  <c r="AG154" i="100"/>
  <c r="AG171" i="100" s="1"/>
  <c r="AG179" i="100" s="1"/>
  <c r="AG195" i="100" s="1"/>
  <c r="AG213" i="100" s="1"/>
  <c r="AG268" i="100" s="1"/>
  <c r="AG276" i="100" s="1"/>
  <c r="AG297" i="100" s="1"/>
  <c r="AD154" i="100"/>
  <c r="AD171" i="100" s="1"/>
  <c r="AD179" i="100" s="1"/>
  <c r="AD195" i="100" s="1"/>
  <c r="AD213" i="100" s="1"/>
  <c r="AL154" i="100"/>
  <c r="AL171" i="100" s="1"/>
  <c r="AL179" i="100" s="1"/>
  <c r="AL195" i="100" s="1"/>
  <c r="AL213" i="100" s="1"/>
  <c r="Z154" i="100"/>
  <c r="Z171" i="100" s="1"/>
  <c r="Z179" i="100" s="1"/>
  <c r="Z195" i="100" s="1"/>
  <c r="Z213" i="100" s="1"/>
  <c r="Z268" i="100" s="1"/>
  <c r="Z276" i="100" s="1"/>
  <c r="Z297" i="100" s="1"/>
  <c r="AB154" i="100"/>
  <c r="AB171" i="100" s="1"/>
  <c r="AB179" i="100" s="1"/>
  <c r="AB195" i="100" s="1"/>
  <c r="AB213" i="100" s="1"/>
  <c r="AB268" i="100" s="1"/>
  <c r="AB276" i="100" s="1"/>
  <c r="AB297" i="100" s="1"/>
  <c r="AI154" i="100"/>
  <c r="AI171" i="100" s="1"/>
  <c r="AI179" i="100" s="1"/>
  <c r="AI195" i="100" s="1"/>
  <c r="AI213" i="100" s="1"/>
  <c r="AI268" i="100" s="1"/>
  <c r="AI276" i="100" s="1"/>
  <c r="AI297" i="100" s="1"/>
  <c r="AA154" i="100"/>
  <c r="AA171" i="100" s="1"/>
  <c r="AA179" i="100" s="1"/>
  <c r="AA195" i="100" s="1"/>
  <c r="AA213" i="100" s="1"/>
  <c r="AA268" i="100" s="1"/>
  <c r="AA276" i="100" s="1"/>
  <c r="AA297" i="100" s="1"/>
  <c r="AJ154" i="100"/>
  <c r="AJ171" i="100" s="1"/>
  <c r="AJ179" i="100" s="1"/>
  <c r="AJ195" i="100" s="1"/>
  <c r="AJ213" i="100" s="1"/>
  <c r="AJ268" i="100" s="1"/>
  <c r="AJ276" i="100" s="1"/>
  <c r="AJ297" i="100" s="1"/>
  <c r="AK154" i="100"/>
  <c r="AK171" i="100" s="1"/>
  <c r="AK179" i="100" s="1"/>
  <c r="AK195" i="100" s="1"/>
  <c r="AK213" i="100" s="1"/>
  <c r="AK268" i="100" s="1"/>
  <c r="AK276" i="100" s="1"/>
  <c r="AK297" i="100" s="1"/>
  <c r="AE154" i="100"/>
  <c r="AE171" i="100" s="1"/>
  <c r="AE179" i="100" s="1"/>
  <c r="AE195" i="100" s="1"/>
  <c r="AE213" i="100" s="1"/>
  <c r="AC154" i="100"/>
  <c r="AC171" i="100" s="1"/>
  <c r="AC179" i="100" s="1"/>
  <c r="AC195" i="100" s="1"/>
  <c r="AC213" i="100" s="1"/>
  <c r="AK155" i="100"/>
  <c r="AK172" i="100" s="1"/>
  <c r="AK180" i="100" s="1"/>
  <c r="AK196" i="100" s="1"/>
  <c r="AK214" i="100" s="1"/>
  <c r="AK269" i="100" s="1"/>
  <c r="AK277" i="100" s="1"/>
  <c r="AK298" i="100" s="1"/>
  <c r="Z155" i="100"/>
  <c r="Z172" i="100" s="1"/>
  <c r="Z180" i="100" s="1"/>
  <c r="Z196" i="100" s="1"/>
  <c r="Z214" i="100" s="1"/>
  <c r="Z269" i="100" s="1"/>
  <c r="Z277" i="100" s="1"/>
  <c r="Z298" i="100" s="1"/>
  <c r="AC155" i="100"/>
  <c r="AC172" i="100" s="1"/>
  <c r="AC180" i="100" s="1"/>
  <c r="AC196" i="100" s="1"/>
  <c r="AC214" i="100" s="1"/>
  <c r="AA155" i="100"/>
  <c r="AA172" i="100" s="1"/>
  <c r="AA180" i="100" s="1"/>
  <c r="AA196" i="100" s="1"/>
  <c r="AA214" i="100" s="1"/>
  <c r="AA269" i="100" s="1"/>
  <c r="AA277" i="100" s="1"/>
  <c r="AA298" i="100" s="1"/>
  <c r="AH155" i="100"/>
  <c r="AH172" i="100" s="1"/>
  <c r="AH180" i="100" s="1"/>
  <c r="AH196" i="100" s="1"/>
  <c r="AH214" i="100" s="1"/>
  <c r="AH269" i="100" s="1"/>
  <c r="AH277" i="100" s="1"/>
  <c r="AH298" i="100" s="1"/>
  <c r="AB155" i="100"/>
  <c r="AB172" i="100" s="1"/>
  <c r="AB180" i="100" s="1"/>
  <c r="AB196" i="100" s="1"/>
  <c r="AB214" i="100" s="1"/>
  <c r="AB269" i="100" s="1"/>
  <c r="AB277" i="100" s="1"/>
  <c r="AB298" i="100" s="1"/>
  <c r="S91" i="100"/>
  <c r="AL155" i="100"/>
  <c r="AL172" i="100" s="1"/>
  <c r="AL180" i="100" s="1"/>
  <c r="AL196" i="100" s="1"/>
  <c r="AL214" i="100" s="1"/>
  <c r="AI155" i="100"/>
  <c r="AI172" i="100" s="1"/>
  <c r="AI180" i="100" s="1"/>
  <c r="AI196" i="100" s="1"/>
  <c r="AI214" i="100" s="1"/>
  <c r="AI269" i="100" s="1"/>
  <c r="AI277" i="100" s="1"/>
  <c r="AI298" i="100" s="1"/>
  <c r="AG155" i="100"/>
  <c r="AG172" i="100" s="1"/>
  <c r="AG180" i="100" s="1"/>
  <c r="AG196" i="100" s="1"/>
  <c r="AG214" i="100" s="1"/>
  <c r="AG269" i="100" s="1"/>
  <c r="AG277" i="100" s="1"/>
  <c r="AG298" i="100" s="1"/>
  <c r="O91" i="100"/>
  <c r="U91" i="100"/>
  <c r="V91" i="100"/>
  <c r="AE155" i="100"/>
  <c r="AE172" i="100" s="1"/>
  <c r="AE180" i="100" s="1"/>
  <c r="AE196" i="100" s="1"/>
  <c r="AE214" i="100" s="1"/>
  <c r="AD155" i="100"/>
  <c r="AD172" i="100" s="1"/>
  <c r="AD180" i="100" s="1"/>
  <c r="AD196" i="100" s="1"/>
  <c r="AD214" i="100" s="1"/>
  <c r="AF155" i="100"/>
  <c r="AF172" i="100" s="1"/>
  <c r="AF180" i="100" s="1"/>
  <c r="AF196" i="100" s="1"/>
  <c r="AF214" i="100" s="1"/>
  <c r="AF269" i="100" s="1"/>
  <c r="AF277" i="100" s="1"/>
  <c r="AF298" i="100" s="1"/>
  <c r="AJ155" i="100"/>
  <c r="AJ172" i="100" s="1"/>
  <c r="AJ180" i="100" s="1"/>
  <c r="AJ196" i="100" s="1"/>
  <c r="AJ214" i="100" s="1"/>
  <c r="AJ269" i="100" s="1"/>
  <c r="AJ277" i="100" s="1"/>
  <c r="AJ298" i="100" s="1"/>
  <c r="AA156" i="100"/>
  <c r="AA173" i="100" s="1"/>
  <c r="AA181" i="100" s="1"/>
  <c r="AA197" i="100" s="1"/>
  <c r="AA215" i="100" s="1"/>
  <c r="AA270" i="100" s="1"/>
  <c r="AA278" i="100" s="1"/>
  <c r="AA299" i="100" s="1"/>
  <c r="AH156" i="100"/>
  <c r="AH173" i="100" s="1"/>
  <c r="AH181" i="100" s="1"/>
  <c r="AH197" i="100" s="1"/>
  <c r="AH215" i="100" s="1"/>
  <c r="AH270" i="100" s="1"/>
  <c r="AH278" i="100" s="1"/>
  <c r="AH299" i="100" s="1"/>
  <c r="AE156" i="100"/>
  <c r="AE173" i="100" s="1"/>
  <c r="AE181" i="100" s="1"/>
  <c r="AE197" i="100" s="1"/>
  <c r="AE215" i="100" s="1"/>
  <c r="AI156" i="100"/>
  <c r="AI173" i="100" s="1"/>
  <c r="AI181" i="100" s="1"/>
  <c r="AI197" i="100" s="1"/>
  <c r="AI215" i="100" s="1"/>
  <c r="AI270" i="100" s="1"/>
  <c r="AI278" i="100" s="1"/>
  <c r="AI299" i="100" s="1"/>
  <c r="AL156" i="100"/>
  <c r="AL173" i="100" s="1"/>
  <c r="AL181" i="100" s="1"/>
  <c r="AL197" i="100" s="1"/>
  <c r="AL215" i="100" s="1"/>
  <c r="AJ156" i="100"/>
  <c r="AJ173" i="100" s="1"/>
  <c r="AJ181" i="100" s="1"/>
  <c r="AC156" i="100"/>
  <c r="AC173" i="100" s="1"/>
  <c r="AC181" i="100" s="1"/>
  <c r="AC197" i="100" s="1"/>
  <c r="AC215" i="100" s="1"/>
  <c r="AD156" i="100"/>
  <c r="AD173" i="100" s="1"/>
  <c r="AD181" i="100" s="1"/>
  <c r="AD197" i="100" s="1"/>
  <c r="AD215" i="100" s="1"/>
  <c r="AF156" i="100"/>
  <c r="AF173" i="100" s="1"/>
  <c r="AF181" i="100" s="1"/>
  <c r="AF197" i="100" s="1"/>
  <c r="AF215" i="100" s="1"/>
  <c r="AF270" i="100" s="1"/>
  <c r="AF278" i="100" s="1"/>
  <c r="AF299" i="100" s="1"/>
  <c r="AG156" i="100"/>
  <c r="AG173" i="100" s="1"/>
  <c r="AG181" i="100" s="1"/>
  <c r="AG197" i="100" s="1"/>
  <c r="AG215" i="100" s="1"/>
  <c r="AG270" i="100" s="1"/>
  <c r="AG278" i="100" s="1"/>
  <c r="AG299" i="100" s="1"/>
  <c r="AB156" i="100"/>
  <c r="AB173" i="100" s="1"/>
  <c r="AB181" i="100" s="1"/>
  <c r="AB197" i="100" s="1"/>
  <c r="AB215" i="100" s="1"/>
  <c r="AB270" i="100" s="1"/>
  <c r="AB278" i="100" s="1"/>
  <c r="AB299" i="100" s="1"/>
  <c r="AK156" i="100"/>
  <c r="AK173" i="100" s="1"/>
  <c r="AK181" i="100" s="1"/>
  <c r="AK197" i="100" s="1"/>
  <c r="AK215" i="100" s="1"/>
  <c r="AK270" i="100" s="1"/>
  <c r="AK278" i="100" s="1"/>
  <c r="AK299" i="100" s="1"/>
  <c r="Z156" i="100"/>
  <c r="Z173" i="100" s="1"/>
  <c r="Z181" i="100" s="1"/>
  <c r="Z197" i="100" s="1"/>
  <c r="Z215" i="100" s="1"/>
  <c r="Z270" i="100" s="1"/>
  <c r="Z278" i="100" s="1"/>
  <c r="Z299" i="100" s="1"/>
  <c r="G88" i="105"/>
  <c r="G101" i="105"/>
  <c r="G87" i="105"/>
  <c r="AE61" i="178"/>
  <c r="T61" i="178"/>
  <c r="W61" i="178"/>
  <c r="K65" i="178"/>
  <c r="AE66" i="178"/>
  <c r="T66" i="178"/>
  <c r="W66" i="178"/>
  <c r="K70" i="178"/>
  <c r="W59" i="178"/>
  <c r="AE59" i="178"/>
  <c r="T59" i="178"/>
  <c r="W56" i="178"/>
  <c r="T56" i="178"/>
  <c r="AE56" i="178"/>
  <c r="K60" i="178"/>
  <c r="W58" i="178"/>
  <c r="T58" i="178"/>
  <c r="AE58" i="178"/>
  <c r="AE57" i="178"/>
  <c r="W57" i="178"/>
  <c r="T57" i="178"/>
  <c r="W55" i="178"/>
  <c r="AE55" i="178"/>
  <c r="T55" i="178"/>
  <c r="K63" i="178"/>
  <c r="W62" i="178"/>
  <c r="T62" i="178"/>
  <c r="AE62" i="178"/>
  <c r="AI82" i="3"/>
  <c r="AI39" i="3"/>
  <c r="AH35" i="3"/>
  <c r="AH136" i="3"/>
  <c r="AH133" i="3"/>
  <c r="AH134" i="3"/>
  <c r="AI169" i="3"/>
  <c r="AI179" i="3"/>
  <c r="AH137" i="3"/>
  <c r="AH135" i="3"/>
  <c r="AK35" i="3"/>
  <c r="AD218" i="100" l="1"/>
  <c r="AI83" i="3"/>
  <c r="AI194" i="3"/>
  <c r="AI216" i="3" s="1"/>
  <c r="AI191" i="3"/>
  <c r="AI193" i="3"/>
  <c r="AI195" i="3"/>
  <c r="AI217" i="3" s="1"/>
  <c r="AI196" i="3"/>
  <c r="AI218" i="3" s="1"/>
  <c r="AH153" i="3"/>
  <c r="AH194" i="3"/>
  <c r="AH162" i="3"/>
  <c r="AH155" i="3"/>
  <c r="AH196" i="3"/>
  <c r="AH164" i="3"/>
  <c r="AH151" i="3"/>
  <c r="AH160" i="3"/>
  <c r="AH192" i="3"/>
  <c r="AH28" i="3"/>
  <c r="AH152" i="3"/>
  <c r="AH161" i="3"/>
  <c r="AH193" i="3"/>
  <c r="AH154" i="3"/>
  <c r="AH163" i="3"/>
  <c r="AH195" i="3"/>
  <c r="AI40" i="3"/>
  <c r="E25" i="186"/>
  <c r="E78" i="186"/>
  <c r="E83" i="186"/>
  <c r="E52" i="186" s="1"/>
  <c r="E60" i="186" s="1"/>
  <c r="E81" i="186"/>
  <c r="E50" i="186" s="1"/>
  <c r="E58" i="186" s="1"/>
  <c r="E80" i="186"/>
  <c r="E49" i="186" s="1"/>
  <c r="E57" i="186" s="1"/>
  <c r="E82" i="186"/>
  <c r="E51" i="186" s="1"/>
  <c r="E59" i="186" s="1"/>
  <c r="G39" i="188"/>
  <c r="AH41" i="3"/>
  <c r="AH40" i="3"/>
  <c r="G76" i="186"/>
  <c r="D39" i="188"/>
  <c r="E39" i="188"/>
  <c r="AJ217" i="3"/>
  <c r="E48" i="186"/>
  <c r="E56" i="186" s="1"/>
  <c r="D28" i="186"/>
  <c r="D79" i="186"/>
  <c r="D48" i="186" s="1"/>
  <c r="D39" i="185"/>
  <c r="F39" i="188"/>
  <c r="D39" i="184"/>
  <c r="E63" i="32"/>
  <c r="AC218" i="100"/>
  <c r="AL218" i="100"/>
  <c r="AE218" i="100"/>
  <c r="AK28" i="3"/>
  <c r="G23" i="171"/>
  <c r="G24" i="90"/>
  <c r="G23" i="90" s="1"/>
  <c r="G24" i="22"/>
  <c r="G24" i="32"/>
  <c r="G24" i="33"/>
  <c r="G40" i="90"/>
  <c r="G80" i="90"/>
  <c r="G41" i="90" s="1"/>
  <c r="G40" i="22"/>
  <c r="G80" i="22"/>
  <c r="G41" i="22" s="1"/>
  <c r="G39" i="31"/>
  <c r="G33" i="94"/>
  <c r="G101" i="94" s="1"/>
  <c r="F101" i="94"/>
  <c r="E80" i="171"/>
  <c r="F67" i="171"/>
  <c r="G33" i="39"/>
  <c r="G101" i="39" s="1"/>
  <c r="F101" i="39"/>
  <c r="G87" i="161"/>
  <c r="G39" i="21"/>
  <c r="F126" i="160"/>
  <c r="F85" i="160" s="1"/>
  <c r="F87" i="160" s="1"/>
  <c r="E39" i="22"/>
  <c r="L26" i="32"/>
  <c r="F39" i="90"/>
  <c r="G39" i="33"/>
  <c r="F51" i="22"/>
  <c r="F59" i="191" s="1"/>
  <c r="F49" i="22"/>
  <c r="F57" i="191" s="1"/>
  <c r="F52" i="22"/>
  <c r="F60" i="191" s="1"/>
  <c r="F48" i="22"/>
  <c r="F56" i="191" s="1"/>
  <c r="F50" i="22"/>
  <c r="F58" i="191" s="1"/>
  <c r="G39" i="35"/>
  <c r="D39" i="171"/>
  <c r="F40" i="22"/>
  <c r="F80" i="22"/>
  <c r="F41" i="22" s="1"/>
  <c r="E88" i="160"/>
  <c r="E88" i="28"/>
  <c r="F126" i="159"/>
  <c r="F85" i="159" s="1"/>
  <c r="F88" i="159" s="1"/>
  <c r="F126" i="28"/>
  <c r="F85" i="28" s="1"/>
  <c r="F87" i="28" s="1"/>
  <c r="G127" i="28"/>
  <c r="G86" i="28" s="1"/>
  <c r="G62" i="28"/>
  <c r="G60" i="28"/>
  <c r="G167" i="159"/>
  <c r="G167" i="28"/>
  <c r="G167" i="160"/>
  <c r="G165" i="28"/>
  <c r="G165" i="159"/>
  <c r="G165" i="160"/>
  <c r="G126" i="25"/>
  <c r="G85" i="25" s="1"/>
  <c r="G87" i="25" s="1"/>
  <c r="G139" i="159"/>
  <c r="G139" i="160"/>
  <c r="G60" i="160" s="1"/>
  <c r="G139" i="28"/>
  <c r="G166" i="28"/>
  <c r="G166" i="160"/>
  <c r="G166" i="159"/>
  <c r="G127" i="159"/>
  <c r="G86" i="159" s="1"/>
  <c r="G62" i="159"/>
  <c r="G60" i="159"/>
  <c r="F88" i="25"/>
  <c r="G140" i="159"/>
  <c r="G140" i="160"/>
  <c r="G62" i="160" s="1"/>
  <c r="G140" i="28"/>
  <c r="G65" i="25"/>
  <c r="G141" i="28"/>
  <c r="G65" i="28" s="1"/>
  <c r="G141" i="159"/>
  <c r="G65" i="159" s="1"/>
  <c r="G141" i="160"/>
  <c r="G65" i="160" s="1"/>
  <c r="E88" i="159"/>
  <c r="G169" i="160"/>
  <c r="G169" i="159"/>
  <c r="G169" i="28"/>
  <c r="E101" i="161"/>
  <c r="D101" i="161"/>
  <c r="F101" i="161"/>
  <c r="G101" i="161"/>
  <c r="AJ197" i="100"/>
  <c r="AJ215" i="100" s="1"/>
  <c r="AJ270" i="100" s="1"/>
  <c r="AJ278" i="100" s="1"/>
  <c r="AJ299" i="100" s="1"/>
  <c r="T60" i="178"/>
  <c r="W60" i="178"/>
  <c r="AE60" i="178"/>
  <c r="K64" i="178"/>
  <c r="T70" i="178"/>
  <c r="W70" i="178"/>
  <c r="AE70" i="178"/>
  <c r="K74" i="178"/>
  <c r="K78" i="178" s="1"/>
  <c r="T65" i="178"/>
  <c r="AE65" i="178"/>
  <c r="W65" i="178"/>
  <c r="K69" i="178"/>
  <c r="T63" i="178"/>
  <c r="W63" i="178"/>
  <c r="AE63" i="178"/>
  <c r="K67" i="178"/>
  <c r="AI124" i="3"/>
  <c r="D41" i="186" l="1"/>
  <c r="D40" i="186"/>
  <c r="G78" i="186"/>
  <c r="G80" i="186"/>
  <c r="G49" i="186" s="1"/>
  <c r="G57" i="186" s="1"/>
  <c r="G83" i="186"/>
  <c r="G52" i="186" s="1"/>
  <c r="G60" i="186" s="1"/>
  <c r="G81" i="186"/>
  <c r="G50" i="186" s="1"/>
  <c r="G58" i="186" s="1"/>
  <c r="G82" i="186"/>
  <c r="G51" i="186" s="1"/>
  <c r="G59" i="186" s="1"/>
  <c r="G48" i="186"/>
  <c r="G56" i="186" s="1"/>
  <c r="AH216" i="3"/>
  <c r="G25" i="186"/>
  <c r="AH218" i="3"/>
  <c r="AH217" i="3"/>
  <c r="D56" i="186"/>
  <c r="F59" i="22"/>
  <c r="F59" i="32"/>
  <c r="F59" i="33"/>
  <c r="F39" i="22"/>
  <c r="F100" i="39"/>
  <c r="F56" i="22"/>
  <c r="F56" i="32"/>
  <c r="F56" i="33"/>
  <c r="G39" i="90"/>
  <c r="F57" i="22"/>
  <c r="F57" i="32"/>
  <c r="F57" i="33"/>
  <c r="G51" i="22"/>
  <c r="G59" i="191" s="1"/>
  <c r="G48" i="22"/>
  <c r="G56" i="191" s="1"/>
  <c r="G49" i="22"/>
  <c r="G57" i="191" s="1"/>
  <c r="G52" i="22"/>
  <c r="G60" i="191" s="1"/>
  <c r="G50" i="22"/>
  <c r="G58" i="191" s="1"/>
  <c r="G100" i="39"/>
  <c r="G39" i="22"/>
  <c r="F60" i="22"/>
  <c r="F60" i="33"/>
  <c r="F60" i="32"/>
  <c r="F100" i="94"/>
  <c r="F88" i="160"/>
  <c r="G100" i="94"/>
  <c r="F58" i="33"/>
  <c r="F58" i="22"/>
  <c r="F58" i="32"/>
  <c r="G67" i="171"/>
  <c r="G80" i="171" s="1"/>
  <c r="F80" i="171"/>
  <c r="K82" i="178"/>
  <c r="T78" i="178"/>
  <c r="AE78" i="178"/>
  <c r="W78" i="178"/>
  <c r="G126" i="160"/>
  <c r="G85" i="160" s="1"/>
  <c r="G87" i="160" s="1"/>
  <c r="F88" i="28"/>
  <c r="F87" i="159"/>
  <c r="G88" i="25"/>
  <c r="G126" i="159"/>
  <c r="G85" i="159" s="1"/>
  <c r="L85" i="159" s="1"/>
  <c r="G126" i="28"/>
  <c r="G85" i="28" s="1"/>
  <c r="G87" i="28" s="1"/>
  <c r="W64" i="178"/>
  <c r="AE64" i="178"/>
  <c r="T64" i="178"/>
  <c r="K68" i="178"/>
  <c r="W74" i="178"/>
  <c r="T74" i="178"/>
  <c r="AE74" i="178"/>
  <c r="W69" i="178"/>
  <c r="T69" i="178"/>
  <c r="AE69" i="178"/>
  <c r="K73" i="178"/>
  <c r="K77" i="178" s="1"/>
  <c r="AE67" i="178"/>
  <c r="W67" i="178"/>
  <c r="T67" i="178"/>
  <c r="K71" i="178"/>
  <c r="K75" i="178" s="1"/>
  <c r="AI133" i="3"/>
  <c r="AI35" i="3"/>
  <c r="AI28" i="3" l="1"/>
  <c r="AI151" i="3"/>
  <c r="AI160" i="3"/>
  <c r="AI192" i="3"/>
  <c r="D39" i="186"/>
  <c r="G58" i="22"/>
  <c r="G58" i="33"/>
  <c r="G58" i="32"/>
  <c r="G60" i="22"/>
  <c r="G60" i="32"/>
  <c r="G60" i="33"/>
  <c r="G59" i="22"/>
  <c r="G59" i="32"/>
  <c r="G59" i="33"/>
  <c r="G57" i="22"/>
  <c r="G57" i="32"/>
  <c r="G57" i="33"/>
  <c r="G56" i="22"/>
  <c r="G56" i="32"/>
  <c r="G56" i="33"/>
  <c r="K79" i="178"/>
  <c r="W75" i="178"/>
  <c r="AE75" i="178"/>
  <c r="T75" i="178"/>
  <c r="K81" i="178"/>
  <c r="T77" i="178"/>
  <c r="AE77" i="178"/>
  <c r="W77" i="178"/>
  <c r="T82" i="178"/>
  <c r="AE82" i="178"/>
  <c r="W82" i="178"/>
  <c r="G88" i="160"/>
  <c r="G87" i="159"/>
  <c r="G88" i="159"/>
  <c r="G88" i="28"/>
  <c r="W73" i="178"/>
  <c r="AE73" i="178"/>
  <c r="T73" i="178"/>
  <c r="AE68" i="178"/>
  <c r="W68" i="178"/>
  <c r="T68" i="178"/>
  <c r="K72" i="178"/>
  <c r="K76" i="178" s="1"/>
  <c r="W71" i="178"/>
  <c r="AE71" i="178"/>
  <c r="T71" i="178"/>
  <c r="K80" i="178" l="1"/>
  <c r="W76" i="178"/>
  <c r="T76" i="178"/>
  <c r="AE76" i="178"/>
  <c r="AE81" i="178"/>
  <c r="W81" i="178"/>
  <c r="T81" i="178"/>
  <c r="AE79" i="178"/>
  <c r="T79" i="178"/>
  <c r="W79" i="178"/>
  <c r="AE72" i="178"/>
  <c r="W72" i="178"/>
  <c r="T72" i="178"/>
  <c r="W80" i="178" l="1"/>
  <c r="T80" i="178"/>
  <c r="AE80" i="178"/>
  <c r="E41" i="171" l="1"/>
  <c r="E73" i="171"/>
  <c r="E28" i="171" s="1"/>
  <c r="E40" i="171" s="1"/>
  <c r="E39" i="171" l="1"/>
  <c r="G41" i="171"/>
  <c r="F41" i="171"/>
  <c r="G73" i="171"/>
  <c r="G28" i="171" s="1"/>
  <c r="G40" i="171" s="1"/>
  <c r="F73" i="171"/>
  <c r="F28" i="171" s="1"/>
  <c r="F40" i="171" s="1"/>
  <c r="F39" i="171" l="1"/>
  <c r="G39" i="171"/>
  <c r="E25" i="171"/>
  <c r="E24" i="171" l="1"/>
  <c r="F24" i="171"/>
  <c r="F25" i="171"/>
  <c r="G24" i="171"/>
  <c r="G25" i="171"/>
  <c r="Q46" i="7" l="1"/>
  <c r="R46" i="7" l="1"/>
  <c r="S46" i="7" s="1"/>
  <c r="T46" i="7" s="1"/>
  <c r="U46" i="7" s="1"/>
  <c r="V46" i="7" s="1"/>
  <c r="W46" i="7" s="1"/>
  <c r="X46" i="7" s="1"/>
  <c r="Y46" i="7" s="1"/>
  <c r="Z46" i="7" s="1"/>
  <c r="AA46" i="7" s="1"/>
  <c r="AB46" i="7" s="1"/>
  <c r="AC46" i="7" s="1"/>
  <c r="AD46" i="7" s="1"/>
  <c r="AE46" i="7" s="1"/>
  <c r="AF46" i="7" s="1"/>
  <c r="I8" i="76"/>
  <c r="I9" i="76"/>
  <c r="I28" i="76"/>
  <c r="D130" i="14"/>
  <c r="I26" i="76"/>
  <c r="D139" i="14"/>
  <c r="I18" i="76"/>
  <c r="I23" i="76"/>
  <c r="I15" i="76"/>
  <c r="I10" i="76"/>
  <c r="I11" i="76"/>
  <c r="I21" i="76"/>
  <c r="I27" i="76"/>
  <c r="I25" i="76"/>
  <c r="I6" i="76"/>
  <c r="I14" i="76"/>
  <c r="I22" i="76"/>
  <c r="I13" i="76"/>
  <c r="I20" i="76"/>
  <c r="I17" i="76"/>
  <c r="D131" i="14"/>
  <c r="I12" i="76"/>
  <c r="I7" i="76"/>
  <c r="I24" i="76"/>
  <c r="I19" i="76"/>
  <c r="I16" i="76"/>
  <c r="D132" i="14"/>
  <c r="P46" i="7"/>
  <c r="F21" i="14" l="1"/>
  <c r="R47" i="100" s="1"/>
  <c r="E21" i="14"/>
  <c r="O46" i="7"/>
  <c r="E93" i="173"/>
  <c r="D96" i="173"/>
  <c r="D93" i="173"/>
  <c r="D91" i="173"/>
  <c r="D94" i="173"/>
  <c r="E92" i="173"/>
  <c r="G92" i="173"/>
  <c r="E97" i="173"/>
  <c r="G97" i="173"/>
  <c r="G95" i="173"/>
  <c r="D97" i="173"/>
  <c r="G96" i="173"/>
  <c r="F93" i="173"/>
  <c r="F94" i="173"/>
  <c r="G91" i="173"/>
  <c r="E94" i="173"/>
  <c r="E95" i="173"/>
  <c r="E96" i="173"/>
  <c r="G93" i="173"/>
  <c r="F95" i="173"/>
  <c r="G94" i="173"/>
  <c r="D95" i="173"/>
  <c r="F92" i="173"/>
  <c r="E91" i="173"/>
  <c r="F97" i="173"/>
  <c r="D128" i="14"/>
  <c r="D92" i="173"/>
  <c r="F91" i="173"/>
  <c r="F96" i="173"/>
  <c r="E14" i="14"/>
  <c r="F14" i="14"/>
  <c r="E13" i="14"/>
  <c r="F13" i="14"/>
  <c r="X47" i="100" s="1"/>
  <c r="N48" i="178" l="1"/>
  <c r="O48" i="178"/>
  <c r="J47" i="100"/>
  <c r="K47" i="100"/>
  <c r="F11" i="14"/>
  <c r="Y47" i="100" s="1"/>
  <c r="E11" i="14"/>
  <c r="N46" i="7"/>
  <c r="F32" i="184"/>
  <c r="F36" i="185"/>
  <c r="G36" i="184"/>
  <c r="D36" i="185"/>
  <c r="D36" i="188"/>
  <c r="F31" i="188"/>
  <c r="F32" i="186"/>
  <c r="G31" i="188"/>
  <c r="F31" i="180"/>
  <c r="D33" i="181"/>
  <c r="E36" i="188"/>
  <c r="E31" i="184"/>
  <c r="F33" i="186"/>
  <c r="E34" i="188"/>
  <c r="E34" i="184"/>
  <c r="F34" i="184"/>
  <c r="G34" i="184"/>
  <c r="E32" i="187"/>
  <c r="G36" i="188"/>
  <c r="D32" i="187"/>
  <c r="G31" i="184"/>
  <c r="F31" i="185"/>
  <c r="F31" i="186"/>
  <c r="F36" i="184"/>
  <c r="D31" i="181"/>
  <c r="F32" i="188"/>
  <c r="D32" i="186"/>
  <c r="G32" i="188"/>
  <c r="F36" i="186"/>
  <c r="G33" i="181"/>
  <c r="E32" i="185"/>
  <c r="G31" i="179"/>
  <c r="D32" i="185"/>
  <c r="G31" i="185"/>
  <c r="G33" i="187"/>
  <c r="F34" i="183"/>
  <c r="E36" i="184"/>
  <c r="G31" i="183"/>
  <c r="E36" i="187"/>
  <c r="D34" i="184"/>
  <c r="E31" i="188"/>
  <c r="E31" i="181"/>
  <c r="F31" i="187"/>
  <c r="F33" i="180"/>
  <c r="F32" i="187"/>
  <c r="F36" i="188"/>
  <c r="E36" i="183"/>
  <c r="G33" i="179"/>
  <c r="E33" i="179"/>
  <c r="D33" i="185"/>
  <c r="G33" i="188"/>
  <c r="F33" i="179"/>
  <c r="D36" i="187"/>
  <c r="D34" i="183"/>
  <c r="D36" i="183"/>
  <c r="E31" i="185"/>
  <c r="G31" i="187"/>
  <c r="D31" i="185"/>
  <c r="E32" i="188"/>
  <c r="D34" i="188"/>
  <c r="E33" i="187"/>
  <c r="G34" i="187"/>
  <c r="G36" i="186"/>
  <c r="D32" i="188"/>
  <c r="D36" i="186"/>
  <c r="G31" i="180"/>
  <c r="D34" i="186"/>
  <c r="E33" i="186"/>
  <c r="E34" i="185"/>
  <c r="F33" i="187"/>
  <c r="D127" i="14"/>
  <c r="E33" i="180"/>
  <c r="E33" i="185"/>
  <c r="D32" i="184"/>
  <c r="E31" i="187"/>
  <c r="F36" i="183"/>
  <c r="E31" i="180"/>
  <c r="F33" i="188"/>
  <c r="F31" i="181"/>
  <c r="D31" i="183"/>
  <c r="F32" i="185"/>
  <c r="G33" i="185"/>
  <c r="F33" i="181"/>
  <c r="E33" i="183"/>
  <c r="D33" i="180"/>
  <c r="G32" i="186"/>
  <c r="E36" i="186"/>
  <c r="G36" i="187"/>
  <c r="G31" i="181"/>
  <c r="G32" i="185"/>
  <c r="F31" i="183"/>
  <c r="D34" i="187"/>
  <c r="F31" i="184"/>
  <c r="F36" i="187"/>
  <c r="D33" i="183"/>
  <c r="F32" i="183"/>
  <c r="G33" i="186"/>
  <c r="D31" i="187"/>
  <c r="E36" i="185"/>
  <c r="F33" i="185"/>
  <c r="G31" i="186"/>
  <c r="E33" i="181"/>
  <c r="D33" i="186"/>
  <c r="E34" i="186"/>
  <c r="E34" i="187"/>
  <c r="E31" i="179"/>
  <c r="E33" i="184"/>
  <c r="E34" i="183"/>
  <c r="G33" i="183"/>
  <c r="G36" i="185"/>
  <c r="D33" i="187"/>
  <c r="G32" i="184"/>
  <c r="D34" i="185"/>
  <c r="D33" i="179"/>
  <c r="E33" i="188"/>
  <c r="F33" i="183"/>
  <c r="E31" i="183"/>
  <c r="E32" i="186"/>
  <c r="G34" i="183"/>
  <c r="D31" i="186"/>
  <c r="D31" i="179"/>
  <c r="F34" i="185"/>
  <c r="D31" i="184"/>
  <c r="G34" i="186"/>
  <c r="G32" i="187"/>
  <c r="F33" i="184"/>
  <c r="G34" i="185"/>
  <c r="F34" i="187"/>
  <c r="D31" i="188"/>
  <c r="G36" i="183"/>
  <c r="D32" i="183"/>
  <c r="D33" i="184"/>
  <c r="D31" i="180"/>
  <c r="G32" i="183"/>
  <c r="G33" i="180"/>
  <c r="E32" i="184"/>
  <c r="D36" i="184"/>
  <c r="F34" i="188"/>
  <c r="G33" i="184"/>
  <c r="D142" i="14"/>
  <c r="E31" i="186"/>
  <c r="E32" i="183"/>
  <c r="D33" i="188"/>
  <c r="F34" i="186"/>
  <c r="F31" i="179"/>
  <c r="G34" i="188"/>
  <c r="D367" i="100"/>
  <c r="S244" i="100"/>
  <c r="N138" i="100"/>
  <c r="AA133" i="3"/>
  <c r="S107" i="100"/>
  <c r="AE38" i="3"/>
  <c r="K148" i="100"/>
  <c r="T249" i="100"/>
  <c r="N133" i="100"/>
  <c r="R131" i="100"/>
  <c r="J254" i="100"/>
  <c r="J109" i="100"/>
  <c r="J66" i="100"/>
  <c r="Y168" i="3"/>
  <c r="U124" i="3"/>
  <c r="G112" i="100"/>
  <c r="AB127" i="3"/>
  <c r="O82" i="3"/>
  <c r="P167" i="100"/>
  <c r="D370" i="100"/>
  <c r="J247" i="100"/>
  <c r="AE34" i="3"/>
  <c r="R112" i="100"/>
  <c r="H144" i="100"/>
  <c r="AJ34" i="3"/>
  <c r="Q108" i="100"/>
  <c r="AE255" i="100"/>
  <c r="O168" i="3"/>
  <c r="M102" i="100"/>
  <c r="L133" i="3"/>
  <c r="L38" i="3"/>
  <c r="F32" i="3"/>
  <c r="U249" i="100"/>
  <c r="X32" i="3"/>
  <c r="S256" i="100"/>
  <c r="O79" i="100"/>
  <c r="V137" i="3"/>
  <c r="S118" i="100"/>
  <c r="Y164" i="100"/>
  <c r="O113" i="100"/>
  <c r="S136" i="100"/>
  <c r="W34" i="3"/>
  <c r="T132" i="100"/>
  <c r="Y148" i="100"/>
  <c r="AE238" i="100"/>
  <c r="Y134" i="100"/>
  <c r="F103" i="100"/>
  <c r="AC244" i="100"/>
  <c r="M164" i="100"/>
  <c r="N35" i="3"/>
  <c r="O109" i="100"/>
  <c r="G82" i="3"/>
  <c r="AE237" i="100"/>
  <c r="W168" i="3"/>
  <c r="H106" i="100"/>
  <c r="J256" i="100"/>
  <c r="AE72" i="3"/>
  <c r="G119" i="100"/>
  <c r="L37" i="3"/>
  <c r="V37" i="3"/>
  <c r="F168" i="3"/>
  <c r="B361" i="7"/>
  <c r="W116" i="100"/>
  <c r="AC168" i="3"/>
  <c r="V119" i="100"/>
  <c r="S166" i="100"/>
  <c r="V136" i="3"/>
  <c r="M35" i="3"/>
  <c r="J135" i="3"/>
  <c r="O165" i="100"/>
  <c r="P33" i="3"/>
  <c r="L107" i="100"/>
  <c r="D385" i="100"/>
  <c r="H145" i="100"/>
  <c r="Q179" i="3"/>
  <c r="AD38" i="3"/>
  <c r="U224" i="100"/>
  <c r="AB38" i="3"/>
  <c r="AC137" i="3"/>
  <c r="O108" i="100"/>
  <c r="B359" i="7"/>
  <c r="U248" i="100"/>
  <c r="S249" i="100"/>
  <c r="K119" i="100"/>
  <c r="T135" i="100"/>
  <c r="K255" i="100"/>
  <c r="I167" i="100"/>
  <c r="N107" i="100"/>
  <c r="M106" i="100"/>
  <c r="Q169" i="3"/>
  <c r="N134" i="100"/>
  <c r="J126" i="3"/>
  <c r="M114" i="100"/>
  <c r="S248" i="100"/>
  <c r="U101" i="100"/>
  <c r="S253" i="100"/>
  <c r="R38" i="3"/>
  <c r="N116" i="100"/>
  <c r="V136" i="100"/>
  <c r="I164" i="100"/>
  <c r="R139" i="100"/>
  <c r="K107" i="100"/>
  <c r="S35" i="3"/>
  <c r="K136" i="100"/>
  <c r="F162" i="100"/>
  <c r="V108" i="100"/>
  <c r="AN37" i="3"/>
  <c r="N136" i="100"/>
  <c r="L134" i="100"/>
  <c r="Q131" i="100"/>
  <c r="D378" i="100"/>
  <c r="M110" i="100"/>
  <c r="K246" i="100"/>
  <c r="T224" i="100"/>
  <c r="Q35" i="3"/>
  <c r="W112" i="100"/>
  <c r="AE230" i="100"/>
  <c r="U145" i="100"/>
  <c r="R244" i="100"/>
  <c r="U82" i="3"/>
  <c r="AF37" i="3"/>
  <c r="T62" i="100"/>
  <c r="AD238" i="100"/>
  <c r="K108" i="100"/>
  <c r="F124" i="3"/>
  <c r="J242" i="100"/>
  <c r="K124" i="3"/>
  <c r="I37" i="3"/>
  <c r="K147" i="100"/>
  <c r="X101" i="100"/>
  <c r="K166" i="100"/>
  <c r="Y147" i="100"/>
  <c r="X108" i="100"/>
  <c r="N118" i="100"/>
  <c r="K32" i="3"/>
  <c r="R242" i="100"/>
  <c r="R103" i="100"/>
  <c r="N163" i="100"/>
  <c r="O33" i="3"/>
  <c r="H147" i="100"/>
  <c r="O143" i="100"/>
  <c r="S66" i="100"/>
  <c r="O111" i="100"/>
  <c r="O83" i="100"/>
  <c r="B381" i="7"/>
  <c r="J165" i="100"/>
  <c r="W145" i="100"/>
  <c r="F131" i="100"/>
  <c r="AA39" i="3"/>
  <c r="T118" i="100"/>
  <c r="O249" i="100"/>
  <c r="U107" i="100"/>
  <c r="K252" i="100"/>
  <c r="I169" i="3"/>
  <c r="H100" i="100"/>
  <c r="AC246" i="100"/>
  <c r="L82" i="3"/>
  <c r="G164" i="100"/>
  <c r="AE33" i="3"/>
  <c r="P79" i="100"/>
  <c r="M136" i="3"/>
  <c r="R133" i="3"/>
  <c r="W137" i="100"/>
  <c r="AF134" i="3"/>
  <c r="M101" i="100"/>
  <c r="T133" i="3"/>
  <c r="Y135" i="100"/>
  <c r="F138" i="100"/>
  <c r="AF124" i="3"/>
  <c r="P117" i="100"/>
  <c r="B353" i="7"/>
  <c r="M134" i="100"/>
  <c r="P111" i="100"/>
  <c r="AL246" i="100"/>
  <c r="M72" i="3"/>
  <c r="AL126" i="3"/>
  <c r="B340" i="7"/>
  <c r="AJ72" i="3"/>
  <c r="R162" i="100"/>
  <c r="B388" i="7"/>
  <c r="X106" i="100"/>
  <c r="T104" i="100"/>
  <c r="W35" i="3"/>
  <c r="P147" i="100"/>
  <c r="J110" i="100"/>
  <c r="K247" i="100"/>
  <c r="AM82" i="3"/>
  <c r="AE66" i="100"/>
  <c r="AE136" i="3"/>
  <c r="S144" i="100"/>
  <c r="AL240" i="100"/>
  <c r="R149" i="100"/>
  <c r="B333" i="7"/>
  <c r="S142" i="100"/>
  <c r="J117" i="100"/>
  <c r="B325" i="7"/>
  <c r="T145" i="100"/>
  <c r="P35" i="3"/>
  <c r="N148" i="100"/>
  <c r="M33" i="3"/>
  <c r="V252" i="100"/>
  <c r="U147" i="100"/>
  <c r="D432" i="100"/>
  <c r="J141" i="100"/>
  <c r="S102" i="100"/>
  <c r="Y133" i="3"/>
  <c r="J134" i="3"/>
  <c r="V132" i="100"/>
  <c r="W146" i="100"/>
  <c r="M109" i="100"/>
  <c r="AE248" i="100"/>
  <c r="AF136" i="3"/>
  <c r="B389" i="7"/>
  <c r="T112" i="100"/>
  <c r="D396" i="100"/>
  <c r="G127" i="3"/>
  <c r="AL244" i="100"/>
  <c r="S62" i="100"/>
  <c r="Q168" i="3"/>
  <c r="V245" i="100"/>
  <c r="M167" i="100"/>
  <c r="H124" i="3"/>
  <c r="AL133" i="3"/>
  <c r="AA82" i="3"/>
  <c r="L111" i="100"/>
  <c r="S34" i="3"/>
  <c r="J167" i="100"/>
  <c r="AG137" i="3"/>
  <c r="Y136" i="100"/>
  <c r="Q101" i="100"/>
  <c r="O32" i="3"/>
  <c r="S168" i="3"/>
  <c r="Q32" i="3"/>
  <c r="AD224" i="100"/>
  <c r="F149" i="100"/>
  <c r="L146" i="100"/>
  <c r="V137" i="100"/>
  <c r="H162" i="100"/>
  <c r="M179" i="3"/>
  <c r="AB135" i="3"/>
  <c r="Y35" i="3"/>
  <c r="U106" i="100"/>
  <c r="P100" i="100"/>
  <c r="U241" i="100"/>
  <c r="H132" i="100"/>
  <c r="M144" i="100"/>
  <c r="K72" i="3"/>
  <c r="V110" i="100"/>
  <c r="M118" i="100"/>
  <c r="T143" i="100"/>
  <c r="P134" i="100"/>
  <c r="U138" i="100"/>
  <c r="W163" i="100"/>
  <c r="AD246" i="100"/>
  <c r="AF126" i="3"/>
  <c r="B398" i="7"/>
  <c r="P128" i="3"/>
  <c r="W141" i="100"/>
  <c r="AE245" i="100"/>
  <c r="G117" i="100"/>
  <c r="O110" i="100"/>
  <c r="K238" i="100"/>
  <c r="P138" i="100"/>
  <c r="N39" i="3"/>
  <c r="U102" i="100"/>
  <c r="F163" i="100"/>
  <c r="AL179" i="3"/>
  <c r="P134" i="3"/>
  <c r="J133" i="100"/>
  <c r="G135" i="3"/>
  <c r="V118" i="100"/>
  <c r="X62" i="100"/>
  <c r="Y131" i="100"/>
  <c r="D414" i="100"/>
  <c r="I145" i="100"/>
  <c r="K105" i="100"/>
  <c r="B410" i="7"/>
  <c r="L140" i="100"/>
  <c r="N109" i="100"/>
  <c r="S111" i="100"/>
  <c r="N134" i="3"/>
  <c r="R241" i="100"/>
  <c r="B338" i="7"/>
  <c r="X148" i="100"/>
  <c r="Z134" i="3"/>
  <c r="X140" i="100"/>
  <c r="R237" i="100"/>
  <c r="O62" i="100"/>
  <c r="I140" i="100"/>
  <c r="X33" i="3"/>
  <c r="H164" i="100"/>
  <c r="L162" i="100"/>
  <c r="U109" i="100"/>
  <c r="AI34" i="3"/>
  <c r="F126" i="3"/>
  <c r="O128" i="3"/>
  <c r="AE32" i="3"/>
  <c r="D377" i="100"/>
  <c r="AA125" i="3"/>
  <c r="D375" i="100"/>
  <c r="AA33" i="3"/>
  <c r="S100" i="100"/>
  <c r="M128" i="3"/>
  <c r="J134" i="100"/>
  <c r="P150" i="100"/>
  <c r="M143" i="100"/>
  <c r="K137" i="3"/>
  <c r="W169" i="3"/>
  <c r="AN134" i="3"/>
  <c r="X139" i="100"/>
  <c r="J133" i="3"/>
  <c r="K140" i="100"/>
  <c r="J38" i="3"/>
  <c r="Q132" i="100"/>
  <c r="U162" i="100"/>
  <c r="U133" i="100"/>
  <c r="I114" i="100"/>
  <c r="P136" i="100"/>
  <c r="N117" i="100"/>
  <c r="Y102" i="100"/>
  <c r="R62" i="100"/>
  <c r="G140" i="100"/>
  <c r="AE39" i="3"/>
  <c r="AM125" i="3"/>
  <c r="I108" i="100"/>
  <c r="L116" i="100"/>
  <c r="V32" i="3"/>
  <c r="X134" i="100"/>
  <c r="D401" i="100"/>
  <c r="Z33" i="3"/>
  <c r="B331" i="7"/>
  <c r="O167" i="100"/>
  <c r="M150" i="100"/>
  <c r="AE244" i="100"/>
  <c r="D433" i="100"/>
  <c r="P109" i="100"/>
  <c r="AN137" i="3"/>
  <c r="V33" i="3"/>
  <c r="P168" i="3"/>
  <c r="N125" i="3"/>
  <c r="X113" i="100"/>
  <c r="P137" i="3"/>
  <c r="Q107" i="100"/>
  <c r="K142" i="100"/>
  <c r="O239" i="100"/>
  <c r="I113" i="100"/>
  <c r="T139" i="100"/>
  <c r="J146" i="100"/>
  <c r="AC38" i="3"/>
  <c r="H140" i="100"/>
  <c r="H125" i="3"/>
  <c r="L147" i="100"/>
  <c r="W166" i="100"/>
  <c r="T240" i="100"/>
  <c r="X119" i="100"/>
  <c r="Y109" i="100"/>
  <c r="N38" i="3"/>
  <c r="Y119" i="100"/>
  <c r="M146" i="100"/>
  <c r="R113" i="100"/>
  <c r="Q137" i="100"/>
  <c r="O101" i="100"/>
  <c r="T38" i="3"/>
  <c r="AE169" i="3"/>
  <c r="W100" i="100"/>
  <c r="M149" i="100"/>
  <c r="F133" i="3"/>
  <c r="Z127" i="3"/>
  <c r="AN179" i="3"/>
  <c r="T137" i="3"/>
  <c r="T150" i="100"/>
  <c r="U116" i="100"/>
  <c r="AL251" i="100"/>
  <c r="M34" i="3"/>
  <c r="AB125" i="3"/>
  <c r="L167" i="100"/>
  <c r="AL250" i="100"/>
  <c r="U230" i="100"/>
  <c r="U100" i="100"/>
  <c r="J124" i="3"/>
  <c r="AG35" i="3"/>
  <c r="M131" i="100"/>
  <c r="V101" i="100"/>
  <c r="D390" i="100"/>
  <c r="V224" i="100"/>
  <c r="V104" i="100"/>
  <c r="G35" i="3"/>
  <c r="S112" i="100"/>
  <c r="I133" i="100"/>
  <c r="AL239" i="100"/>
  <c r="P125" i="3"/>
  <c r="U136" i="100"/>
  <c r="U35" i="3"/>
  <c r="F164" i="100"/>
  <c r="AD34" i="3"/>
  <c r="B391" i="7"/>
  <c r="K244" i="100"/>
  <c r="T256" i="100"/>
  <c r="P165" i="100"/>
  <c r="B330" i="7"/>
  <c r="U72" i="3"/>
  <c r="J107" i="100"/>
  <c r="Y162" i="100"/>
  <c r="I179" i="3"/>
  <c r="AL247" i="100"/>
  <c r="W135" i="3"/>
  <c r="D394" i="100"/>
  <c r="I128" i="3"/>
  <c r="S115" i="100"/>
  <c r="G136" i="100"/>
  <c r="T110" i="100"/>
  <c r="L104" i="100"/>
  <c r="T138" i="100"/>
  <c r="X136" i="3"/>
  <c r="M115" i="100"/>
  <c r="AG126" i="3"/>
  <c r="P144" i="100"/>
  <c r="W110" i="100"/>
  <c r="Q114" i="100"/>
  <c r="Y79" i="100"/>
  <c r="J103" i="100"/>
  <c r="O139" i="100"/>
  <c r="K106" i="100"/>
  <c r="H135" i="100"/>
  <c r="P110" i="100"/>
  <c r="R37" i="3"/>
  <c r="G163" i="100"/>
  <c r="U104" i="100"/>
  <c r="AL72" i="3"/>
  <c r="AM137" i="3"/>
  <c r="P119" i="100"/>
  <c r="W138" i="100"/>
  <c r="W128" i="3"/>
  <c r="T166" i="100"/>
  <c r="S134" i="3"/>
  <c r="F104" i="100"/>
  <c r="T245" i="100"/>
  <c r="AA134" i="3"/>
  <c r="X102" i="100"/>
  <c r="L35" i="3"/>
  <c r="U128" i="3"/>
  <c r="K39" i="3"/>
  <c r="O132" i="100"/>
  <c r="AD126" i="3"/>
  <c r="Z169" i="3"/>
  <c r="O137" i="100"/>
  <c r="K138" i="100"/>
  <c r="J119" i="100"/>
  <c r="B342" i="7"/>
  <c r="G141" i="100"/>
  <c r="Q119" i="100"/>
  <c r="F109" i="100"/>
  <c r="S255" i="100"/>
  <c r="AB35" i="3"/>
  <c r="D421" i="100"/>
  <c r="M137" i="100"/>
  <c r="D423" i="100"/>
  <c r="I168" i="3"/>
  <c r="T137" i="100"/>
  <c r="I111" i="100"/>
  <c r="B352" i="7"/>
  <c r="U246" i="100"/>
  <c r="R82" i="3"/>
  <c r="L102" i="100"/>
  <c r="D404" i="100"/>
  <c r="AD72" i="3"/>
  <c r="Z128" i="3"/>
  <c r="L131" i="100"/>
  <c r="B343" i="7"/>
  <c r="AN124" i="3"/>
  <c r="S72" i="3"/>
  <c r="K100" i="100"/>
  <c r="G133" i="100"/>
  <c r="S110" i="100"/>
  <c r="H137" i="3"/>
  <c r="V142" i="100"/>
  <c r="I135" i="100"/>
  <c r="O115" i="100"/>
  <c r="R251" i="100"/>
  <c r="AC169" i="3"/>
  <c r="B349" i="7"/>
  <c r="X39" i="3"/>
  <c r="L109" i="100"/>
  <c r="N82" i="3"/>
  <c r="F142" i="100"/>
  <c r="K134" i="3"/>
  <c r="G79" i="100"/>
  <c r="I125" i="3"/>
  <c r="I132" i="100"/>
  <c r="AM33" i="3"/>
  <c r="B385" i="7"/>
  <c r="O127" i="3"/>
  <c r="AL38" i="3"/>
  <c r="P101" i="100"/>
  <c r="G134" i="100"/>
  <c r="J237" i="100"/>
  <c r="AB34" i="3"/>
  <c r="O133" i="3"/>
  <c r="M105" i="100"/>
  <c r="H163" i="100"/>
  <c r="T238" i="100"/>
  <c r="AC248" i="100"/>
  <c r="T162" i="100"/>
  <c r="O125" i="3"/>
  <c r="I146" i="100"/>
  <c r="V237" i="100"/>
  <c r="F135" i="3"/>
  <c r="O179" i="3"/>
  <c r="AL37" i="3"/>
  <c r="G125" i="3"/>
  <c r="L144" i="100"/>
  <c r="Y149" i="100"/>
  <c r="Q147" i="100"/>
  <c r="R111" i="100"/>
  <c r="T72" i="3"/>
  <c r="AD127" i="3"/>
  <c r="K101" i="100"/>
  <c r="AG82" i="3"/>
  <c r="N135" i="3"/>
  <c r="K164" i="100"/>
  <c r="Z168" i="3"/>
  <c r="U164" i="100"/>
  <c r="AC127" i="3"/>
  <c r="AJ37" i="3"/>
  <c r="F114" i="100"/>
  <c r="B407" i="7"/>
  <c r="B376" i="7"/>
  <c r="AD137" i="3"/>
  <c r="U126" i="3"/>
  <c r="B363" i="7"/>
  <c r="J163" i="100"/>
  <c r="K134" i="100"/>
  <c r="AL134" i="3"/>
  <c r="Y115" i="100"/>
  <c r="X38" i="3"/>
  <c r="T116" i="100"/>
  <c r="D428" i="100"/>
  <c r="I82" i="3"/>
  <c r="R110" i="100"/>
  <c r="P139" i="100"/>
  <c r="L136" i="3"/>
  <c r="AL241" i="100"/>
  <c r="V165" i="100"/>
  <c r="M133" i="3"/>
  <c r="G150" i="100"/>
  <c r="L115" i="100"/>
  <c r="O150" i="100"/>
  <c r="K243" i="100"/>
  <c r="K239" i="100"/>
  <c r="N133" i="3"/>
  <c r="K248" i="100"/>
  <c r="G166" i="100"/>
  <c r="D430" i="100"/>
  <c r="Y169" i="3"/>
  <c r="P135" i="100"/>
  <c r="K253" i="100"/>
  <c r="N124" i="3"/>
  <c r="AB82" i="3"/>
  <c r="B357" i="7"/>
  <c r="Q116" i="100"/>
  <c r="Q150" i="100"/>
  <c r="B380" i="7"/>
  <c r="Q115" i="100"/>
  <c r="AL254" i="100"/>
  <c r="J138" i="100"/>
  <c r="U33" i="3"/>
  <c r="AL39" i="3"/>
  <c r="AD82" i="3"/>
  <c r="AE179" i="3"/>
  <c r="I144" i="100"/>
  <c r="V115" i="100"/>
  <c r="S109" i="100"/>
  <c r="F133" i="100"/>
  <c r="B405" i="7"/>
  <c r="L166" i="100"/>
  <c r="AF169" i="3"/>
  <c r="J127" i="3"/>
  <c r="T142" i="100"/>
  <c r="O242" i="100"/>
  <c r="L32" i="3"/>
  <c r="K149" i="100"/>
  <c r="H104" i="100"/>
  <c r="V38" i="3"/>
  <c r="AE37" i="3"/>
  <c r="AC239" i="100"/>
  <c r="O112" i="100"/>
  <c r="AG168" i="3"/>
  <c r="AE125" i="3"/>
  <c r="T140" i="100"/>
  <c r="AF33" i="3"/>
  <c r="AD239" i="100"/>
  <c r="U39" i="3"/>
  <c r="F140" i="100"/>
  <c r="Q105" i="100"/>
  <c r="W164" i="100"/>
  <c r="W142" i="100"/>
  <c r="AB137" i="3"/>
  <c r="G131" i="100"/>
  <c r="D417" i="100"/>
  <c r="P149" i="100"/>
  <c r="H33" i="3"/>
  <c r="O252" i="100"/>
  <c r="H115" i="100"/>
  <c r="K242" i="100"/>
  <c r="M127" i="3"/>
  <c r="X117" i="100"/>
  <c r="T253" i="100"/>
  <c r="AF135" i="3"/>
  <c r="AD253" i="100"/>
  <c r="W119" i="100"/>
  <c r="R141" i="100"/>
  <c r="AC126" i="3"/>
  <c r="B383" i="7"/>
  <c r="N143" i="100"/>
  <c r="M141" i="100"/>
  <c r="H133" i="100"/>
  <c r="R101" i="100"/>
  <c r="M147" i="100"/>
  <c r="U136" i="3"/>
  <c r="J166" i="100"/>
  <c r="U127" i="3"/>
  <c r="T251" i="100"/>
  <c r="O118" i="100"/>
  <c r="W115" i="100"/>
  <c r="K114" i="100"/>
  <c r="O251" i="100"/>
  <c r="K169" i="3"/>
  <c r="G33" i="3"/>
  <c r="G118" i="100"/>
  <c r="AC253" i="100"/>
  <c r="I163" i="100"/>
  <c r="AE246" i="100"/>
  <c r="S137" i="3"/>
  <c r="AF32" i="3"/>
  <c r="S119" i="100"/>
  <c r="T32" i="3"/>
  <c r="AF34" i="3"/>
  <c r="H113" i="100"/>
  <c r="G38" i="3"/>
  <c r="AM136" i="3"/>
  <c r="H32" i="3"/>
  <c r="X115" i="100"/>
  <c r="S241" i="100"/>
  <c r="D425" i="100"/>
  <c r="R108" i="100"/>
  <c r="AE243" i="100"/>
  <c r="N141" i="100"/>
  <c r="Y111" i="100"/>
  <c r="N162" i="100"/>
  <c r="L127" i="3"/>
  <c r="Y166" i="100"/>
  <c r="B366" i="7"/>
  <c r="AN133" i="3"/>
  <c r="R114" i="100"/>
  <c r="K256" i="100"/>
  <c r="L112" i="100"/>
  <c r="F137" i="100"/>
  <c r="V238" i="100"/>
  <c r="AC125" i="3"/>
  <c r="Y106" i="100"/>
  <c r="B372" i="7"/>
  <c r="N79" i="100"/>
  <c r="M168" i="3"/>
  <c r="H109" i="100"/>
  <c r="O37" i="3"/>
  <c r="N146" i="100"/>
  <c r="H39" i="3"/>
  <c r="H118" i="100"/>
  <c r="T254" i="100"/>
  <c r="T117" i="100"/>
  <c r="J83" i="100"/>
  <c r="F108" i="100"/>
  <c r="L110" i="100"/>
  <c r="F33" i="3"/>
  <c r="AL35" i="3"/>
  <c r="D388" i="100"/>
  <c r="H82" i="3"/>
  <c r="P126" i="3"/>
  <c r="O38" i="3"/>
  <c r="L118" i="100"/>
  <c r="W114" i="100"/>
  <c r="K237" i="100"/>
  <c r="K146" i="100"/>
  <c r="G128" i="3"/>
  <c r="X126" i="3"/>
  <c r="I141" i="100"/>
  <c r="O246" i="100"/>
  <c r="N166" i="100"/>
  <c r="H110" i="100"/>
  <c r="Y39" i="3"/>
  <c r="Q140" i="100"/>
  <c r="AN128" i="3"/>
  <c r="M139" i="100"/>
  <c r="L119" i="100"/>
  <c r="T101" i="100"/>
  <c r="F37" i="3"/>
  <c r="Q128" i="3"/>
  <c r="Y38" i="3"/>
  <c r="R33" i="3"/>
  <c r="I79" i="100"/>
  <c r="X128" i="3"/>
  <c r="J62" i="100"/>
  <c r="AB134" i="3"/>
  <c r="V128" i="3"/>
  <c r="K33" i="3"/>
  <c r="T148" i="100"/>
  <c r="R140" i="100"/>
  <c r="B402" i="7"/>
  <c r="U137" i="3"/>
  <c r="W111" i="100"/>
  <c r="P34" i="3"/>
  <c r="D376" i="100"/>
  <c r="J82" i="3"/>
  <c r="X137" i="3"/>
  <c r="AB33" i="3"/>
  <c r="G83" i="100"/>
  <c r="U167" i="100"/>
  <c r="AD168" i="3"/>
  <c r="W37" i="3"/>
  <c r="L169" i="3"/>
  <c r="N110" i="100"/>
  <c r="O100" i="100"/>
  <c r="D374" i="100"/>
  <c r="G145" i="100"/>
  <c r="N32" i="3"/>
  <c r="AN168" i="3"/>
  <c r="S32" i="3"/>
  <c r="B351" i="7"/>
  <c r="S117" i="100"/>
  <c r="AD179" i="3"/>
  <c r="M169" i="3"/>
  <c r="W62" i="100"/>
  <c r="V164" i="100"/>
  <c r="U143" i="100"/>
  <c r="N100" i="100"/>
  <c r="I139" i="100"/>
  <c r="AA32" i="3"/>
  <c r="AK33" i="3"/>
  <c r="I137" i="3"/>
  <c r="T134" i="3"/>
  <c r="K254" i="100"/>
  <c r="W107" i="100"/>
  <c r="W79" i="100"/>
  <c r="X162" i="100"/>
  <c r="AA179" i="3"/>
  <c r="P133" i="100"/>
  <c r="Y100" i="100"/>
  <c r="K249" i="100"/>
  <c r="F83" i="100"/>
  <c r="G32" i="3"/>
  <c r="U165" i="100"/>
  <c r="U32" i="3"/>
  <c r="I124" i="3"/>
  <c r="Z124" i="3"/>
  <c r="N127" i="3"/>
  <c r="F146" i="100"/>
  <c r="AM135" i="3"/>
  <c r="AD134" i="3"/>
  <c r="AA137" i="3"/>
  <c r="M140" i="100"/>
  <c r="V169" i="3"/>
  <c r="W132" i="100"/>
  <c r="Y116" i="100"/>
  <c r="F127" i="3"/>
  <c r="F82" i="3"/>
  <c r="S150" i="100"/>
  <c r="R117" i="100"/>
  <c r="AG128" i="3"/>
  <c r="S138" i="100"/>
  <c r="AC243" i="100"/>
  <c r="Y114" i="100"/>
  <c r="S167" i="100"/>
  <c r="G138" i="100"/>
  <c r="Y108" i="100"/>
  <c r="Q134" i="100"/>
  <c r="L137" i="3"/>
  <c r="X100" i="100"/>
  <c r="S113" i="100"/>
  <c r="Y107" i="100"/>
  <c r="I136" i="3"/>
  <c r="K128" i="3"/>
  <c r="AD32" i="3"/>
  <c r="J230" i="100"/>
  <c r="U133" i="3"/>
  <c r="D369" i="100"/>
  <c r="M133" i="100"/>
  <c r="J137" i="100"/>
  <c r="F116" i="100"/>
  <c r="AA34" i="3"/>
  <c r="D415" i="100"/>
  <c r="G107" i="100"/>
  <c r="G169" i="3"/>
  <c r="M135" i="100"/>
  <c r="S250" i="100"/>
  <c r="L126" i="3"/>
  <c r="Y127" i="3"/>
  <c r="P62" i="100"/>
  <c r="X103" i="100"/>
  <c r="F165" i="100"/>
  <c r="J113" i="100"/>
  <c r="Y142" i="100"/>
  <c r="G135" i="100"/>
  <c r="AJ39" i="3"/>
  <c r="S133" i="100"/>
  <c r="P103" i="100"/>
  <c r="X83" i="100"/>
  <c r="R163" i="100"/>
  <c r="T255" i="100"/>
  <c r="AL136" i="3"/>
  <c r="O145" i="100"/>
  <c r="O135" i="3"/>
  <c r="Q138" i="100"/>
  <c r="D395" i="100"/>
  <c r="N164" i="100"/>
  <c r="O106" i="100"/>
  <c r="Y138" i="100"/>
  <c r="M104" i="100"/>
  <c r="K104" i="100"/>
  <c r="AN136" i="3"/>
  <c r="X165" i="100"/>
  <c r="R72" i="3"/>
  <c r="AD247" i="100"/>
  <c r="M137" i="3"/>
  <c r="W113" i="100"/>
  <c r="T131" i="100"/>
  <c r="X79" i="100"/>
  <c r="L100" i="100"/>
  <c r="AB128" i="3"/>
  <c r="S105" i="100"/>
  <c r="K240" i="100"/>
  <c r="AM169" i="3"/>
  <c r="AM133" i="3"/>
  <c r="O39" i="3"/>
  <c r="R116" i="100"/>
  <c r="U242" i="100"/>
  <c r="F141" i="100"/>
  <c r="N102" i="100"/>
  <c r="H169" i="3"/>
  <c r="AM39" i="3"/>
  <c r="D379" i="100"/>
  <c r="S79" i="100"/>
  <c r="AC136" i="3"/>
  <c r="P104" i="100"/>
  <c r="U250" i="100"/>
  <c r="R136" i="100"/>
  <c r="K145" i="100"/>
  <c r="Q125" i="3"/>
  <c r="F79" i="100"/>
  <c r="O133" i="100"/>
  <c r="AF168" i="3"/>
  <c r="L108" i="100"/>
  <c r="M117" i="100"/>
  <c r="R79" i="100"/>
  <c r="I131" i="100"/>
  <c r="V243" i="100"/>
  <c r="S116" i="100"/>
  <c r="Z135" i="3"/>
  <c r="V106" i="100"/>
  <c r="H102" i="100"/>
  <c r="F134" i="3"/>
  <c r="T169" i="3"/>
  <c r="AL242" i="100"/>
  <c r="J105" i="100"/>
  <c r="U169" i="3"/>
  <c r="M113" i="100"/>
  <c r="X114" i="100"/>
  <c r="N62" i="100"/>
  <c r="D409" i="100"/>
  <c r="I107" i="100"/>
  <c r="X146" i="100"/>
  <c r="G126" i="3"/>
  <c r="Y133" i="100"/>
  <c r="O140" i="100"/>
  <c r="O107" i="100"/>
  <c r="J145" i="100"/>
  <c r="B341" i="7"/>
  <c r="AE249" i="100"/>
  <c r="X132" i="100"/>
  <c r="L113" i="100"/>
  <c r="D416" i="100"/>
  <c r="Z32" i="3"/>
  <c r="R243" i="100"/>
  <c r="G114" i="100"/>
  <c r="V143" i="100"/>
  <c r="AN126" i="3"/>
  <c r="U131" i="100"/>
  <c r="S139" i="100"/>
  <c r="S114" i="100"/>
  <c r="U140" i="100"/>
  <c r="S149" i="100"/>
  <c r="J37" i="3"/>
  <c r="AC66" i="100"/>
  <c r="N165" i="100"/>
  <c r="Q33" i="3"/>
  <c r="U253" i="100"/>
  <c r="U108" i="100"/>
  <c r="Q136" i="100"/>
  <c r="I62" i="100"/>
  <c r="O164" i="100"/>
  <c r="F102" i="100"/>
  <c r="AL253" i="100"/>
  <c r="R238" i="100"/>
  <c r="L143" i="100"/>
  <c r="N135" i="100"/>
  <c r="K179" i="3"/>
  <c r="R245" i="100"/>
  <c r="B408" i="7"/>
  <c r="O124" i="3"/>
  <c r="I137" i="100"/>
  <c r="R168" i="3"/>
  <c r="V131" i="100"/>
  <c r="F167" i="100"/>
  <c r="D422" i="100"/>
  <c r="U135" i="3"/>
  <c r="AG38" i="3"/>
  <c r="V242" i="100"/>
  <c r="Q124" i="3"/>
  <c r="V124" i="3"/>
  <c r="W147" i="100"/>
  <c r="AE242" i="100"/>
  <c r="T134" i="100"/>
  <c r="AD248" i="100"/>
  <c r="AC124" i="3"/>
  <c r="X166" i="100"/>
  <c r="F106" i="100"/>
  <c r="D412" i="100"/>
  <c r="Q143" i="100"/>
  <c r="V39" i="3"/>
  <c r="V168" i="3"/>
  <c r="I135" i="3"/>
  <c r="AL127" i="3"/>
  <c r="J106" i="100"/>
  <c r="AE251" i="100"/>
  <c r="R246" i="100"/>
  <c r="G37" i="3"/>
  <c r="G108" i="100"/>
  <c r="H146" i="100"/>
  <c r="AC35" i="3"/>
  <c r="Z37" i="3"/>
  <c r="O131" i="100"/>
  <c r="P179" i="3"/>
  <c r="K23" i="100"/>
  <c r="P83" i="100"/>
  <c r="Y144" i="100"/>
  <c r="Y163" i="100"/>
  <c r="AE247" i="100"/>
  <c r="J255" i="100"/>
  <c r="R142" i="100"/>
  <c r="I106" i="100"/>
  <c r="Y118" i="100"/>
  <c r="U163" i="100"/>
  <c r="O135" i="100"/>
  <c r="X34" i="3"/>
  <c r="T241" i="100"/>
  <c r="G136" i="3"/>
  <c r="S163" i="100"/>
  <c r="AE168" i="3"/>
  <c r="T34" i="3"/>
  <c r="H38" i="3"/>
  <c r="B355" i="7"/>
  <c r="P133" i="3"/>
  <c r="AD128" i="3"/>
  <c r="T100" i="100"/>
  <c r="AL168" i="3"/>
  <c r="S237" i="100"/>
  <c r="AL248" i="100"/>
  <c r="B356" i="7"/>
  <c r="T146" i="100"/>
  <c r="S101" i="100"/>
  <c r="L150" i="100"/>
  <c r="V250" i="100"/>
  <c r="AC37" i="3"/>
  <c r="Q102" i="100"/>
  <c r="AB169" i="3"/>
  <c r="AE124" i="3"/>
  <c r="S238" i="100"/>
  <c r="N147" i="100"/>
  <c r="K113" i="100"/>
  <c r="V139" i="100"/>
  <c r="U256" i="100"/>
  <c r="K168" i="3"/>
  <c r="AN33" i="3"/>
  <c r="N105" i="100"/>
  <c r="O72" i="3"/>
  <c r="AL32" i="3"/>
  <c r="AC245" i="100"/>
  <c r="J243" i="100"/>
  <c r="N140" i="100"/>
  <c r="AF137" i="3"/>
  <c r="I133" i="3"/>
  <c r="Y128" i="3"/>
  <c r="P140" i="100"/>
  <c r="L168" i="3"/>
  <c r="B397" i="7"/>
  <c r="H131" i="100"/>
  <c r="Q103" i="100"/>
  <c r="J240" i="100"/>
  <c r="F137" i="3"/>
  <c r="AF179" i="3"/>
  <c r="Q141" i="100"/>
  <c r="L164" i="100"/>
  <c r="J162" i="100"/>
  <c r="J108" i="100"/>
  <c r="U66" i="100"/>
  <c r="V248" i="100"/>
  <c r="S128" i="3"/>
  <c r="AL66" i="100"/>
  <c r="AC247" i="100"/>
  <c r="S127" i="3"/>
  <c r="AC251" i="100"/>
  <c r="B390" i="7"/>
  <c r="R148" i="100"/>
  <c r="AG34" i="3"/>
  <c r="S141" i="100"/>
  <c r="B404" i="7"/>
  <c r="AD37" i="3"/>
  <c r="L149" i="100"/>
  <c r="L165" i="100"/>
  <c r="M145" i="100"/>
  <c r="AC254" i="100"/>
  <c r="T109" i="100"/>
  <c r="Y134" i="3"/>
  <c r="N131" i="100"/>
  <c r="R137" i="3"/>
  <c r="J238" i="100"/>
  <c r="Z72" i="3"/>
  <c r="M119" i="100"/>
  <c r="R134" i="3"/>
  <c r="G104" i="100"/>
  <c r="O162" i="100"/>
  <c r="G113" i="100"/>
  <c r="AB32" i="3"/>
  <c r="V239" i="100"/>
  <c r="AB72" i="3"/>
  <c r="B406" i="7"/>
  <c r="T115" i="100"/>
  <c r="K82" i="3"/>
  <c r="U240" i="100"/>
  <c r="AL34" i="3"/>
  <c r="D400" i="100"/>
  <c r="H127" i="3"/>
  <c r="W82" i="3"/>
  <c r="L128" i="3"/>
  <c r="M124" i="3"/>
  <c r="X35" i="3"/>
  <c r="AD240" i="100"/>
  <c r="W117" i="100"/>
  <c r="F144" i="100"/>
  <c r="Q117" i="100"/>
  <c r="AJ38" i="3"/>
  <c r="G144" i="100"/>
  <c r="X141" i="100"/>
  <c r="P107" i="100"/>
  <c r="AH33" i="3"/>
  <c r="V112" i="100"/>
  <c r="W165" i="100"/>
  <c r="M135" i="3"/>
  <c r="AB126" i="3"/>
  <c r="H167" i="100"/>
  <c r="R137" i="100"/>
  <c r="H137" i="100"/>
  <c r="AC255" i="100"/>
  <c r="W106" i="100"/>
  <c r="R102" i="100"/>
  <c r="X143" i="100"/>
  <c r="K165" i="100"/>
  <c r="G34" i="3"/>
  <c r="F101" i="100"/>
  <c r="W108" i="100"/>
  <c r="K110" i="100"/>
  <c r="Y82" i="3"/>
  <c r="K163" i="100"/>
  <c r="F118" i="100"/>
  <c r="U142" i="100"/>
  <c r="P39" i="3"/>
  <c r="T35" i="3"/>
  <c r="B403" i="7"/>
  <c r="Q165" i="100"/>
  <c r="G167" i="100"/>
  <c r="V82" i="3"/>
  <c r="O146" i="100"/>
  <c r="AJ82" i="3"/>
  <c r="S134" i="100"/>
  <c r="V145" i="100"/>
  <c r="J248" i="100"/>
  <c r="AF39" i="3"/>
  <c r="S254" i="100"/>
  <c r="AE128" i="3"/>
  <c r="AC72" i="3"/>
  <c r="H149" i="100"/>
  <c r="N139" i="100"/>
  <c r="O136" i="3"/>
  <c r="AG32" i="3"/>
  <c r="P141" i="100"/>
  <c r="B371" i="7"/>
  <c r="I118" i="100"/>
  <c r="P142" i="100"/>
  <c r="F125" i="3"/>
  <c r="V127" i="3"/>
  <c r="AN72" i="3"/>
  <c r="S240" i="100"/>
  <c r="D380" i="100"/>
  <c r="Y179" i="3"/>
  <c r="X112" i="100"/>
  <c r="U105" i="100"/>
  <c r="R106" i="100"/>
  <c r="O224" i="100"/>
  <c r="S126" i="3"/>
  <c r="W144" i="100"/>
  <c r="F135" i="100"/>
  <c r="P148" i="100"/>
  <c r="R34" i="3"/>
  <c r="K66" i="100"/>
  <c r="P164" i="100"/>
  <c r="B362" i="7"/>
  <c r="AM72" i="3"/>
  <c r="M125" i="3"/>
  <c r="Z133" i="3"/>
  <c r="H165" i="100"/>
  <c r="D387" i="100"/>
  <c r="R138" i="100"/>
  <c r="K38" i="3"/>
  <c r="V72" i="3"/>
  <c r="AH34" i="3"/>
  <c r="X144" i="100"/>
  <c r="V34" i="3"/>
  <c r="Q118" i="100"/>
  <c r="W39" i="3"/>
  <c r="R133" i="100"/>
  <c r="B350" i="7"/>
  <c r="J246" i="100"/>
  <c r="F110" i="100"/>
  <c r="K230" i="100"/>
  <c r="G168" i="3"/>
  <c r="B326" i="7"/>
  <c r="AL124" i="3"/>
  <c r="L105" i="100"/>
  <c r="F111" i="100"/>
  <c r="I166" i="100"/>
  <c r="S137" i="100"/>
  <c r="D427" i="100"/>
  <c r="H133" i="3"/>
  <c r="R144" i="100"/>
  <c r="AF125" i="3"/>
  <c r="W109" i="100"/>
  <c r="U38" i="3"/>
  <c r="F107" i="100"/>
  <c r="M162" i="100"/>
  <c r="R83" i="100"/>
  <c r="H128" i="3"/>
  <c r="AE254" i="100"/>
  <c r="M116" i="100"/>
  <c r="V133" i="100"/>
  <c r="F100" i="100"/>
  <c r="G115" i="100"/>
  <c r="D408" i="100"/>
  <c r="AC82" i="3"/>
  <c r="L106" i="100"/>
  <c r="AM34" i="3"/>
  <c r="U139" i="100"/>
  <c r="D411" i="100"/>
  <c r="M62" i="100"/>
  <c r="G132" i="100"/>
  <c r="I119" i="100"/>
  <c r="B368" i="7"/>
  <c r="AA127" i="3"/>
  <c r="X125" i="3"/>
  <c r="W143" i="100"/>
  <c r="M163" i="100"/>
  <c r="O138" i="100"/>
  <c r="G179" i="3"/>
  <c r="X105" i="100"/>
  <c r="D381" i="100"/>
  <c r="R167" i="100"/>
  <c r="B401" i="7"/>
  <c r="U141" i="100"/>
  <c r="AI33" i="3"/>
  <c r="N72" i="3"/>
  <c r="O114" i="100"/>
  <c r="J147" i="100"/>
  <c r="D386" i="100"/>
  <c r="S147" i="100"/>
  <c r="D392" i="100"/>
  <c r="V125" i="3"/>
  <c r="AE241" i="100"/>
  <c r="L145" i="100"/>
  <c r="J149" i="100"/>
  <c r="R136" i="3"/>
  <c r="T107" i="100"/>
  <c r="Y139" i="100"/>
  <c r="N33" i="3"/>
  <c r="W127" i="3"/>
  <c r="P115" i="100"/>
  <c r="H179" i="3"/>
  <c r="R224" i="100"/>
  <c r="V147" i="100"/>
  <c r="L62" i="100"/>
  <c r="G100" i="100"/>
  <c r="AD255" i="100"/>
  <c r="I150" i="100"/>
  <c r="AA168" i="3"/>
  <c r="V230" i="100"/>
  <c r="V62" i="100"/>
  <c r="U137" i="100"/>
  <c r="N132" i="100"/>
  <c r="O104" i="100"/>
  <c r="R125" i="3"/>
  <c r="M108" i="100"/>
  <c r="T237" i="100"/>
  <c r="B324" i="7"/>
  <c r="O142" i="100"/>
  <c r="O105" i="100"/>
  <c r="S125" i="3"/>
  <c r="H135" i="3"/>
  <c r="B332" i="7"/>
  <c r="M103" i="100"/>
  <c r="I102" i="100"/>
  <c r="AN34" i="3"/>
  <c r="T164" i="100"/>
  <c r="J115" i="100"/>
  <c r="Z82" i="3"/>
  <c r="V166" i="100"/>
  <c r="R240" i="100"/>
  <c r="K133" i="100"/>
  <c r="X134" i="3"/>
  <c r="S243" i="100"/>
  <c r="K139" i="100"/>
  <c r="H107" i="100"/>
  <c r="M132" i="100"/>
  <c r="K109" i="100"/>
  <c r="H35" i="3"/>
  <c r="M136" i="100"/>
  <c r="L135" i="3"/>
  <c r="AD241" i="100"/>
  <c r="O241" i="100"/>
  <c r="S124" i="3"/>
  <c r="N119" i="100"/>
  <c r="Y83" i="100"/>
  <c r="AD256" i="100"/>
  <c r="AD33" i="3"/>
  <c r="M165" i="100"/>
  <c r="AE250" i="100"/>
  <c r="S135" i="3"/>
  <c r="B399" i="7"/>
  <c r="B348" i="7"/>
  <c r="G109" i="100"/>
  <c r="N101" i="100"/>
  <c r="P169" i="3"/>
  <c r="D397" i="100"/>
  <c r="G116" i="100"/>
  <c r="N104" i="100"/>
  <c r="I143" i="100"/>
  <c r="X137" i="100"/>
  <c r="J33" i="3"/>
  <c r="G165" i="100"/>
  <c r="V134" i="3"/>
  <c r="V244" i="100"/>
  <c r="T248" i="100"/>
  <c r="B329" i="7"/>
  <c r="T33" i="3"/>
  <c r="R254" i="100"/>
  <c r="V102" i="100"/>
  <c r="W140" i="100"/>
  <c r="P127" i="3"/>
  <c r="AN125" i="3"/>
  <c r="P145" i="100"/>
  <c r="P108" i="100"/>
  <c r="I142" i="100"/>
  <c r="Q135" i="100"/>
  <c r="G39" i="3"/>
  <c r="I33" i="3"/>
  <c r="B346" i="7"/>
  <c r="O66" i="100"/>
  <c r="P143" i="100"/>
  <c r="K79" i="100"/>
  <c r="Y135" i="3"/>
  <c r="L83" i="100"/>
  <c r="R134" i="100"/>
  <c r="O230" i="100"/>
  <c r="B396" i="7"/>
  <c r="F136" i="3"/>
  <c r="M112" i="100"/>
  <c r="T113" i="100"/>
  <c r="J150" i="100"/>
  <c r="J39" i="3"/>
  <c r="AE137" i="3"/>
  <c r="T83" i="100"/>
  <c r="W137" i="3"/>
  <c r="X168" i="3"/>
  <c r="B378" i="7"/>
  <c r="V256" i="100"/>
  <c r="AL33" i="3"/>
  <c r="K118" i="100"/>
  <c r="Z136" i="3"/>
  <c r="Y33" i="3"/>
  <c r="U119" i="100"/>
  <c r="S239" i="100"/>
  <c r="AF38" i="3"/>
  <c r="G101" i="100"/>
  <c r="O255" i="100"/>
  <c r="N113" i="100"/>
  <c r="G62" i="100"/>
  <c r="V144" i="100"/>
  <c r="T136" i="3"/>
  <c r="T103" i="100"/>
  <c r="AM124" i="3"/>
  <c r="J144" i="100"/>
  <c r="U144" i="100"/>
  <c r="B334" i="7"/>
  <c r="W134" i="100"/>
  <c r="B392" i="7"/>
  <c r="G134" i="3"/>
  <c r="AF35" i="3"/>
  <c r="N144" i="100"/>
  <c r="R124" i="3"/>
  <c r="J251" i="100"/>
  <c r="AM128" i="3"/>
  <c r="P114" i="100"/>
  <c r="B365" i="7"/>
  <c r="K136" i="3"/>
  <c r="V253" i="100"/>
  <c r="W133" i="3"/>
  <c r="U103" i="100"/>
  <c r="H111" i="100"/>
  <c r="U135" i="100"/>
  <c r="H143" i="100"/>
  <c r="J111" i="100"/>
  <c r="U115" i="100"/>
  <c r="AM35" i="3"/>
  <c r="J125" i="3"/>
  <c r="H168" i="3"/>
  <c r="D389" i="100"/>
  <c r="Q79" i="100"/>
  <c r="Y72" i="3"/>
  <c r="I112" i="100"/>
  <c r="U125" i="3"/>
  <c r="N114" i="100"/>
  <c r="G137" i="3"/>
  <c r="O134" i="100"/>
  <c r="J32" i="3"/>
  <c r="AA124" i="3"/>
  <c r="D424" i="100"/>
  <c r="U134" i="100"/>
  <c r="P146" i="100"/>
  <c r="D393" i="100"/>
  <c r="H112" i="100"/>
  <c r="U168" i="3"/>
  <c r="R127" i="3"/>
  <c r="K34" i="3"/>
  <c r="V135" i="3"/>
  <c r="AL169" i="3"/>
  <c r="V141" i="100"/>
  <c r="AE82" i="3"/>
  <c r="L34" i="3"/>
  <c r="M148" i="100"/>
  <c r="D420" i="100"/>
  <c r="N106" i="100"/>
  <c r="U114" i="100"/>
  <c r="M111" i="100"/>
  <c r="N128" i="3"/>
  <c r="V240" i="100"/>
  <c r="B387" i="7"/>
  <c r="R119" i="100"/>
  <c r="O147" i="100"/>
  <c r="Q145" i="100"/>
  <c r="U254" i="100"/>
  <c r="X145" i="100"/>
  <c r="R143" i="100"/>
  <c r="L39" i="3"/>
  <c r="H117" i="100"/>
  <c r="L148" i="100"/>
  <c r="AC179" i="3"/>
  <c r="P135" i="3"/>
  <c r="U179" i="3"/>
  <c r="AD125" i="3"/>
  <c r="Y141" i="100"/>
  <c r="AG33" i="3"/>
  <c r="AB168" i="3"/>
  <c r="AB133" i="3"/>
  <c r="Q162" i="100"/>
  <c r="R165" i="100"/>
  <c r="K245" i="100"/>
  <c r="P136" i="3"/>
  <c r="W72" i="3"/>
  <c r="R145" i="100"/>
  <c r="S179" i="3"/>
  <c r="N111" i="100"/>
  <c r="AC134" i="3"/>
  <c r="AD251" i="100"/>
  <c r="S145" i="100"/>
  <c r="B364" i="7"/>
  <c r="H139" i="100"/>
  <c r="AD250" i="100"/>
  <c r="S146" i="100"/>
  <c r="N150" i="100"/>
  <c r="AE126" i="3"/>
  <c r="V105" i="100"/>
  <c r="T243" i="100"/>
  <c r="AA72" i="3"/>
  <c r="W167" i="100"/>
  <c r="J179" i="3"/>
  <c r="AG136" i="3"/>
  <c r="K135" i="3"/>
  <c r="T128" i="3"/>
  <c r="K111" i="100"/>
  <c r="S140" i="100"/>
  <c r="Y117" i="100"/>
  <c r="Q166" i="100"/>
  <c r="U62" i="100"/>
  <c r="AL230" i="100"/>
  <c r="O247" i="100"/>
  <c r="H62" i="100"/>
  <c r="P116" i="100"/>
  <c r="AA128" i="3"/>
  <c r="B354" i="7"/>
  <c r="T149" i="100"/>
  <c r="Y125" i="3"/>
  <c r="AL237" i="100"/>
  <c r="R105" i="100"/>
  <c r="H142" i="100"/>
  <c r="J114" i="100"/>
  <c r="AD133" i="3"/>
  <c r="T167" i="100"/>
  <c r="AM134" i="3"/>
  <c r="Q83" i="100"/>
  <c r="AC33" i="3"/>
  <c r="R107" i="100"/>
  <c r="Q164" i="100"/>
  <c r="I38" i="3"/>
  <c r="D368" i="100"/>
  <c r="X149" i="100"/>
  <c r="S103" i="100"/>
  <c r="AJ35" i="3"/>
  <c r="AM127" i="3"/>
  <c r="P32" i="3"/>
  <c r="AM168" i="3"/>
  <c r="AF82" i="3"/>
  <c r="R169" i="3"/>
  <c r="R146" i="100"/>
  <c r="M32" i="3"/>
  <c r="V247" i="100"/>
  <c r="K251" i="100"/>
  <c r="AK34" i="3"/>
  <c r="T79" i="100"/>
  <c r="L139" i="100"/>
  <c r="H119" i="100"/>
  <c r="AG134" i="3"/>
  <c r="X133" i="3"/>
  <c r="H166" i="100"/>
  <c r="U244" i="100"/>
  <c r="AL125" i="3"/>
  <c r="V66" i="100"/>
  <c r="V140" i="100"/>
  <c r="O245" i="100"/>
  <c r="R230" i="100"/>
  <c r="S224" i="100"/>
  <c r="O34" i="3"/>
  <c r="N103" i="100"/>
  <c r="F143" i="100"/>
  <c r="J135" i="100"/>
  <c r="AF72" i="3"/>
  <c r="F35" i="3"/>
  <c r="Z38" i="3"/>
  <c r="AL256" i="100"/>
  <c r="B328" i="7"/>
  <c r="Q72" i="3"/>
  <c r="AM179" i="3"/>
  <c r="X124" i="3"/>
  <c r="F166" i="100"/>
  <c r="F39" i="3"/>
  <c r="J34" i="3"/>
  <c r="V133" i="3"/>
  <c r="T165" i="100"/>
  <c r="Y104" i="100"/>
  <c r="I32" i="3"/>
  <c r="Z126" i="3"/>
  <c r="O166" i="100"/>
  <c r="Q126" i="3"/>
  <c r="W162" i="100"/>
  <c r="W83" i="100"/>
  <c r="I104" i="100"/>
  <c r="X167" i="100"/>
  <c r="Q149" i="100"/>
  <c r="S133" i="3"/>
  <c r="G139" i="100"/>
  <c r="K241" i="100"/>
  <c r="X72" i="3"/>
  <c r="Y132" i="100"/>
  <c r="T133" i="100"/>
  <c r="W133" i="100"/>
  <c r="AG169" i="3"/>
  <c r="H101" i="100"/>
  <c r="Q106" i="100"/>
  <c r="AL255" i="100"/>
  <c r="V146" i="100"/>
  <c r="M39" i="3"/>
  <c r="AG39" i="3"/>
  <c r="K141" i="100"/>
  <c r="B384" i="7"/>
  <c r="U247" i="100"/>
  <c r="AN169" i="3"/>
  <c r="T135" i="3"/>
  <c r="L132" i="100"/>
  <c r="V135" i="100"/>
  <c r="F105" i="100"/>
  <c r="I34" i="3"/>
  <c r="U132" i="100"/>
  <c r="Y165" i="100"/>
  <c r="U112" i="100"/>
  <c r="U148" i="100"/>
  <c r="Y150" i="100"/>
  <c r="J136" i="3"/>
  <c r="R104" i="100"/>
  <c r="Q62" i="100"/>
  <c r="I109" i="100"/>
  <c r="G106" i="100"/>
  <c r="B344" i="7"/>
  <c r="O116" i="100"/>
  <c r="H141" i="100"/>
  <c r="AA135" i="3"/>
  <c r="V179" i="3"/>
  <c r="Q100" i="100"/>
  <c r="V113" i="100"/>
  <c r="K35" i="3"/>
  <c r="U117" i="100"/>
  <c r="V167" i="100"/>
  <c r="M166" i="100"/>
  <c r="P118" i="100"/>
  <c r="G142" i="100"/>
  <c r="G110" i="100"/>
  <c r="R247" i="100"/>
  <c r="M134" i="3"/>
  <c r="Y105" i="100"/>
  <c r="AD249" i="100"/>
  <c r="N179" i="3"/>
  <c r="P102" i="100"/>
  <c r="U37" i="3"/>
  <c r="AG37" i="3"/>
  <c r="T141" i="100"/>
  <c r="N83" i="100"/>
  <c r="I116" i="100"/>
  <c r="AD136" i="3"/>
  <c r="W104" i="100"/>
  <c r="G124" i="3"/>
  <c r="F115" i="100"/>
  <c r="V100" i="100"/>
  <c r="K103" i="100"/>
  <c r="I117" i="100"/>
  <c r="Q113" i="100"/>
  <c r="U237" i="100"/>
  <c r="W125" i="3"/>
  <c r="K143" i="100"/>
  <c r="J35" i="3"/>
  <c r="AD39" i="3"/>
  <c r="D410" i="100"/>
  <c r="I134" i="3"/>
  <c r="L114" i="100"/>
  <c r="K150" i="100"/>
  <c r="K25" i="100"/>
  <c r="D382" i="100"/>
  <c r="W126" i="3"/>
  <c r="W105" i="100"/>
  <c r="Q37" i="3"/>
  <c r="Q133" i="3"/>
  <c r="O243" i="100"/>
  <c r="AB179" i="3"/>
  <c r="O169" i="3"/>
  <c r="R115" i="100"/>
  <c r="Q111" i="100"/>
  <c r="W150" i="100"/>
  <c r="D418" i="100"/>
  <c r="AC34" i="3"/>
  <c r="T126" i="3"/>
  <c r="AB124" i="3"/>
  <c r="O248" i="100"/>
  <c r="Q148" i="100"/>
  <c r="S169" i="3"/>
  <c r="G146" i="100"/>
  <c r="G105" i="100"/>
  <c r="G102" i="100"/>
  <c r="S39" i="3"/>
  <c r="B345" i="7"/>
  <c r="B337" i="7"/>
  <c r="S136" i="3"/>
  <c r="AC135" i="3"/>
  <c r="AD244" i="100"/>
  <c r="J137" i="3"/>
  <c r="V134" i="100"/>
  <c r="J168" i="3"/>
  <c r="I162" i="100"/>
  <c r="AB39" i="3"/>
  <c r="W139" i="100"/>
  <c r="S148" i="100"/>
  <c r="G162" i="100"/>
  <c r="J139" i="100"/>
  <c r="J142" i="100"/>
  <c r="R126" i="3"/>
  <c r="U146" i="100"/>
  <c r="N167" i="100"/>
  <c r="Z179" i="3"/>
  <c r="V148" i="100"/>
  <c r="Q134" i="3"/>
  <c r="AD245" i="100"/>
  <c r="J116" i="100"/>
  <c r="J79" i="100"/>
  <c r="F145" i="100"/>
  <c r="R250" i="100"/>
  <c r="P162" i="100"/>
  <c r="R128" i="3"/>
  <c r="Q142" i="100"/>
  <c r="AE127" i="3"/>
  <c r="Y34" i="3"/>
  <c r="B377" i="7"/>
  <c r="B374" i="7"/>
  <c r="R132" i="100"/>
  <c r="AG127" i="3"/>
  <c r="N112" i="100"/>
  <c r="J148" i="100"/>
  <c r="J239" i="100"/>
  <c r="J104" i="100"/>
  <c r="T242" i="100"/>
  <c r="AJ32" i="3"/>
  <c r="L33" i="3"/>
  <c r="L133" i="100"/>
  <c r="AN35" i="3"/>
  <c r="O148" i="100"/>
  <c r="H138" i="100"/>
  <c r="AD252" i="100"/>
  <c r="G72" i="3"/>
  <c r="D405" i="100"/>
  <c r="T247" i="100"/>
  <c r="D391" i="100"/>
  <c r="AC242" i="100"/>
  <c r="T124" i="3"/>
  <c r="AJ33" i="3"/>
  <c r="W134" i="3"/>
  <c r="R249" i="100"/>
  <c r="AE253" i="100"/>
  <c r="T250" i="100"/>
  <c r="AC224" i="100"/>
  <c r="L125" i="3"/>
  <c r="K22" i="100"/>
  <c r="L124" i="3"/>
  <c r="K126" i="3"/>
  <c r="Y146" i="100"/>
  <c r="AM38" i="3"/>
  <c r="Q146" i="100"/>
  <c r="T82" i="3"/>
  <c r="G143" i="100"/>
  <c r="R109" i="100"/>
  <c r="M82" i="3"/>
  <c r="Q163" i="100"/>
  <c r="O144" i="100"/>
  <c r="F34" i="3"/>
  <c r="AE239" i="100"/>
  <c r="H79" i="100"/>
  <c r="I148" i="100"/>
  <c r="F128" i="3"/>
  <c r="S83" i="100"/>
  <c r="X163" i="100"/>
  <c r="L72" i="3"/>
  <c r="T147" i="100"/>
  <c r="N37" i="3"/>
  <c r="AF127" i="3"/>
  <c r="R164" i="100"/>
  <c r="V111" i="100"/>
  <c r="D403" i="100"/>
  <c r="AE256" i="100"/>
  <c r="O250" i="100"/>
  <c r="M100" i="100"/>
  <c r="S162" i="100"/>
  <c r="J136" i="100"/>
  <c r="J252" i="100"/>
  <c r="S82" i="3"/>
  <c r="V251" i="100"/>
  <c r="AA126" i="3"/>
  <c r="J164" i="100"/>
  <c r="V35" i="3"/>
  <c r="H126" i="3"/>
  <c r="I138" i="100"/>
  <c r="X116" i="100"/>
  <c r="R32" i="3"/>
  <c r="X150" i="100"/>
  <c r="M126" i="3"/>
  <c r="Q167" i="100"/>
  <c r="N145" i="100"/>
  <c r="B327" i="7"/>
  <c r="V116" i="100"/>
  <c r="I103" i="100"/>
  <c r="X37" i="3"/>
  <c r="J244" i="100"/>
  <c r="Y167" i="100"/>
  <c r="L137" i="100"/>
  <c r="AF133" i="3"/>
  <c r="S37" i="3"/>
  <c r="H108" i="100"/>
  <c r="I39" i="3"/>
  <c r="M37" i="3"/>
  <c r="G103" i="100"/>
  <c r="AD243" i="100"/>
  <c r="AB37" i="3"/>
  <c r="B367" i="7"/>
  <c r="T127" i="3"/>
  <c r="J241" i="100"/>
  <c r="AF128" i="3"/>
  <c r="S230" i="100"/>
  <c r="T168" i="3"/>
  <c r="Y112" i="100"/>
  <c r="D426" i="100"/>
  <c r="W148" i="100"/>
  <c r="O134" i="3"/>
  <c r="B395" i="7"/>
  <c r="O240" i="100"/>
  <c r="U83" i="100"/>
  <c r="B393" i="7"/>
  <c r="S131" i="100"/>
  <c r="V163" i="100"/>
  <c r="U166" i="100"/>
  <c r="W149" i="100"/>
  <c r="V241" i="100"/>
  <c r="B335" i="7"/>
  <c r="O136" i="100"/>
  <c r="Q109" i="100"/>
  <c r="AM37" i="3"/>
  <c r="F179" i="3"/>
  <c r="R239" i="100"/>
  <c r="T106" i="100"/>
  <c r="N34" i="3"/>
  <c r="I134" i="100"/>
  <c r="B400" i="7"/>
  <c r="K127" i="3"/>
  <c r="I165" i="100"/>
  <c r="R100" i="100"/>
  <c r="Y113" i="100"/>
  <c r="Q82" i="3"/>
  <c r="J169" i="3"/>
  <c r="V107" i="100"/>
  <c r="AC237" i="100"/>
  <c r="AL137" i="3"/>
  <c r="P113" i="100"/>
  <c r="W103" i="100"/>
  <c r="AE35" i="3"/>
  <c r="R66" i="100"/>
  <c r="Y136" i="3"/>
  <c r="AL128" i="3"/>
  <c r="U149" i="100"/>
  <c r="P124" i="3"/>
  <c r="AL238" i="100"/>
  <c r="H83" i="100"/>
  <c r="AL252" i="100"/>
  <c r="D431" i="100"/>
  <c r="V103" i="100"/>
  <c r="U252" i="100"/>
  <c r="R135" i="3"/>
  <c r="R253" i="100"/>
  <c r="V79" i="100"/>
  <c r="AA136" i="3"/>
  <c r="Q137" i="3"/>
  <c r="B370" i="7"/>
  <c r="F117" i="100"/>
  <c r="K132" i="100"/>
  <c r="W102" i="100"/>
  <c r="T246" i="100"/>
  <c r="AE224" i="100"/>
  <c r="N137" i="100"/>
  <c r="R252" i="100"/>
  <c r="T244" i="100"/>
  <c r="J224" i="100"/>
  <c r="U255" i="100"/>
  <c r="I100" i="100"/>
  <c r="AL249" i="100"/>
  <c r="I110" i="100"/>
  <c r="O253" i="100"/>
  <c r="F148" i="100"/>
  <c r="O238" i="100"/>
  <c r="AN127" i="3"/>
  <c r="S251" i="100"/>
  <c r="Y137" i="3"/>
  <c r="AC240" i="100"/>
  <c r="J100" i="100"/>
  <c r="B386" i="7"/>
  <c r="S245" i="100"/>
  <c r="P38" i="3"/>
  <c r="K24" i="100"/>
  <c r="N126" i="3"/>
  <c r="W38" i="3"/>
  <c r="AC249" i="100"/>
  <c r="Q39" i="3"/>
  <c r="K224" i="100"/>
  <c r="AC39" i="3"/>
  <c r="K116" i="100"/>
  <c r="S132" i="100"/>
  <c r="L138" i="100"/>
  <c r="N142" i="100"/>
  <c r="W131" i="100"/>
  <c r="U150" i="100"/>
  <c r="R39" i="3"/>
  <c r="AN38" i="3"/>
  <c r="R135" i="100"/>
  <c r="T163" i="100"/>
  <c r="U34" i="3"/>
  <c r="F134" i="100"/>
  <c r="AC241" i="100"/>
  <c r="AG133" i="3"/>
  <c r="S106" i="100"/>
  <c r="T39" i="3"/>
  <c r="F113" i="100"/>
  <c r="Q127" i="3"/>
  <c r="D402" i="100"/>
  <c r="Q34" i="3"/>
  <c r="Y37" i="3"/>
  <c r="G137" i="100"/>
  <c r="P131" i="100"/>
  <c r="H116" i="100"/>
  <c r="AN135" i="3"/>
  <c r="S135" i="100"/>
  <c r="O254" i="100"/>
  <c r="W136" i="3"/>
  <c r="L141" i="100"/>
  <c r="AM126" i="3"/>
  <c r="X109" i="100"/>
  <c r="J245" i="100"/>
  <c r="B360" i="7"/>
  <c r="Y101" i="100"/>
  <c r="D419" i="100"/>
  <c r="L101" i="100"/>
  <c r="P72" i="3"/>
  <c r="O244" i="100"/>
  <c r="AA37" i="3"/>
  <c r="V109" i="100"/>
  <c r="X136" i="100"/>
  <c r="F112" i="100"/>
  <c r="G147" i="100"/>
  <c r="X138" i="100"/>
  <c r="O163" i="100"/>
  <c r="H136" i="3"/>
  <c r="G111" i="100"/>
  <c r="M107" i="100"/>
  <c r="AG179" i="3"/>
  <c r="I126" i="3"/>
  <c r="AC250" i="100"/>
  <c r="L79" i="100"/>
  <c r="R150" i="100"/>
  <c r="H134" i="100"/>
  <c r="AC256" i="100"/>
  <c r="I147" i="100"/>
  <c r="J112" i="100"/>
  <c r="X147" i="100"/>
  <c r="Q139" i="100"/>
  <c r="Q144" i="100"/>
  <c r="V126" i="3"/>
  <c r="L179" i="3"/>
  <c r="W136" i="100"/>
  <c r="J143" i="100"/>
  <c r="X110" i="100"/>
  <c r="K131" i="100"/>
  <c r="F72" i="3"/>
  <c r="X133" i="100"/>
  <c r="AE133" i="3"/>
  <c r="V249" i="100"/>
  <c r="U79" i="100"/>
  <c r="AM32" i="3"/>
  <c r="J102" i="100"/>
  <c r="N149" i="100"/>
  <c r="K125" i="3"/>
  <c r="T125" i="3"/>
  <c r="R147" i="100"/>
  <c r="W179" i="3"/>
  <c r="J253" i="100"/>
  <c r="F119" i="100"/>
  <c r="AD230" i="100"/>
  <c r="K133" i="3"/>
  <c r="V117" i="100"/>
  <c r="B369" i="7"/>
  <c r="B347" i="7"/>
  <c r="AB136" i="3"/>
  <c r="AD135" i="3"/>
  <c r="J128" i="3"/>
  <c r="L134" i="3"/>
  <c r="O126" i="3"/>
  <c r="K167" i="100"/>
  <c r="S108" i="100"/>
  <c r="X135" i="3"/>
  <c r="P105" i="100"/>
  <c r="V246" i="100"/>
  <c r="Z34" i="3"/>
  <c r="AC230" i="100"/>
  <c r="AE252" i="100"/>
  <c r="T119" i="100"/>
  <c r="B336" i="7"/>
  <c r="Y137" i="100"/>
  <c r="H105" i="100"/>
  <c r="T37" i="3"/>
  <c r="P166" i="100"/>
  <c r="Y62" i="100"/>
  <c r="V138" i="100"/>
  <c r="S33" i="3"/>
  <c r="AD169" i="3"/>
  <c r="AD242" i="100"/>
  <c r="U110" i="100"/>
  <c r="U134" i="3"/>
  <c r="T230" i="100"/>
  <c r="H37" i="3"/>
  <c r="F62" i="100"/>
  <c r="T252" i="100"/>
  <c r="L136" i="100"/>
  <c r="L117" i="100"/>
  <c r="X82" i="3"/>
  <c r="V254" i="100"/>
  <c r="B358" i="7"/>
  <c r="Z137" i="3"/>
  <c r="Y103" i="100"/>
  <c r="X127" i="3"/>
  <c r="J250" i="100"/>
  <c r="K162" i="100"/>
  <c r="X142" i="100"/>
  <c r="Q136" i="3"/>
  <c r="N168" i="3"/>
  <c r="AL245" i="100"/>
  <c r="AG124" i="3"/>
  <c r="U113" i="100"/>
  <c r="AC32" i="3"/>
  <c r="H72" i="3"/>
  <c r="U111" i="100"/>
  <c r="H150" i="100"/>
  <c r="U118" i="100"/>
  <c r="F150" i="100"/>
  <c r="K144" i="100"/>
  <c r="D407" i="100"/>
  <c r="O119" i="100"/>
  <c r="W135" i="100"/>
  <c r="Y143" i="100"/>
  <c r="Z125" i="3"/>
  <c r="P37" i="3"/>
  <c r="J132" i="100"/>
  <c r="T102" i="100"/>
  <c r="S246" i="100"/>
  <c r="AC128" i="3"/>
  <c r="AN82" i="3"/>
  <c r="X164" i="100"/>
  <c r="K62" i="100"/>
  <c r="AD66" i="100"/>
  <c r="P112" i="100"/>
  <c r="Q133" i="100"/>
  <c r="D399" i="100"/>
  <c r="AG125" i="3"/>
  <c r="R256" i="100"/>
  <c r="M138" i="100"/>
  <c r="D398" i="100"/>
  <c r="B382" i="7"/>
  <c r="AL82" i="3"/>
  <c r="Q110" i="100"/>
  <c r="S104" i="100"/>
  <c r="O35" i="3"/>
  <c r="M79" i="100"/>
  <c r="W32" i="3"/>
  <c r="B373" i="7"/>
  <c r="B394" i="7"/>
  <c r="R166" i="100"/>
  <c r="X169" i="3"/>
  <c r="T114" i="100"/>
  <c r="D406" i="100"/>
  <c r="B375" i="7"/>
  <c r="O117" i="100"/>
  <c r="S38" i="3"/>
  <c r="AA169" i="3"/>
  <c r="B339" i="7"/>
  <c r="AC252" i="100"/>
  <c r="H148" i="100"/>
  <c r="G133" i="3"/>
  <c r="X135" i="100"/>
  <c r="D371" i="100"/>
  <c r="T144" i="100"/>
  <c r="AD237" i="100"/>
  <c r="R179" i="3"/>
  <c r="B409" i="7"/>
  <c r="F147" i="100"/>
  <c r="Q112" i="100"/>
  <c r="O237" i="100"/>
  <c r="F139" i="100"/>
  <c r="Q104" i="100"/>
  <c r="AL243" i="100"/>
  <c r="I35" i="3"/>
  <c r="T179" i="3"/>
  <c r="R35" i="3"/>
  <c r="X118" i="100"/>
  <c r="N136" i="3"/>
  <c r="L163" i="100"/>
  <c r="Q38" i="3"/>
  <c r="AE240" i="100"/>
  <c r="X131" i="100"/>
  <c r="I83" i="100"/>
  <c r="S143" i="100"/>
  <c r="L142" i="100"/>
  <c r="F38" i="3"/>
  <c r="N169" i="3"/>
  <c r="N137" i="3"/>
  <c r="K250" i="100"/>
  <c r="N115" i="100"/>
  <c r="M38" i="3"/>
  <c r="AD124" i="3"/>
  <c r="L135" i="100"/>
  <c r="I149" i="100"/>
  <c r="J118" i="100"/>
  <c r="AG72" i="3"/>
  <c r="V150" i="100"/>
  <c r="H136" i="100"/>
  <c r="J140" i="100"/>
  <c r="O141" i="100"/>
  <c r="F169" i="3"/>
  <c r="Z35" i="3"/>
  <c r="AL224" i="100"/>
  <c r="D413" i="100"/>
  <c r="O149" i="100"/>
  <c r="I72" i="3"/>
  <c r="Y110" i="100"/>
  <c r="I127" i="3"/>
  <c r="Z39" i="3"/>
  <c r="AE135" i="3"/>
  <c r="I136" i="100"/>
  <c r="L103" i="100"/>
  <c r="V162" i="100"/>
  <c r="V149" i="100"/>
  <c r="P132" i="100"/>
  <c r="I115" i="100"/>
  <c r="P163" i="100"/>
  <c r="D373" i="100"/>
  <c r="K37" i="3"/>
  <c r="D429" i="100"/>
  <c r="T136" i="100"/>
  <c r="AC133" i="3"/>
  <c r="AA38" i="3"/>
  <c r="V114" i="100"/>
  <c r="J72" i="3"/>
  <c r="K102" i="100"/>
  <c r="D384" i="100"/>
  <c r="R118" i="100"/>
  <c r="V83" i="100"/>
  <c r="H114" i="100"/>
  <c r="F136" i="100"/>
  <c r="W118" i="100"/>
  <c r="W124" i="3"/>
  <c r="S247" i="100"/>
  <c r="J101" i="100"/>
  <c r="U245" i="100"/>
  <c r="Y145" i="100"/>
  <c r="S242" i="100"/>
  <c r="AC238" i="100"/>
  <c r="O103" i="100"/>
  <c r="P137" i="100"/>
  <c r="M83" i="100"/>
  <c r="X111" i="100"/>
  <c r="G149" i="100"/>
  <c r="P106" i="100"/>
  <c r="X104" i="100"/>
  <c r="U238" i="100"/>
  <c r="J249" i="100"/>
  <c r="AA35" i="3"/>
  <c r="Y124" i="3"/>
  <c r="K112" i="100"/>
  <c r="AN39" i="3"/>
  <c r="T105" i="100"/>
  <c r="W101" i="100"/>
  <c r="J131" i="100"/>
  <c r="O256" i="100"/>
  <c r="T239" i="100"/>
  <c r="O102" i="100"/>
  <c r="AG135" i="3"/>
  <c r="U251" i="100"/>
  <c r="D383" i="100"/>
  <c r="F132" i="100"/>
  <c r="K115" i="100"/>
  <c r="Y140" i="100"/>
  <c r="K117" i="100"/>
  <c r="P82" i="3"/>
  <c r="S164" i="100"/>
  <c r="R255" i="100"/>
  <c r="H103" i="100"/>
  <c r="AE134" i="3"/>
  <c r="B379" i="7"/>
  <c r="S252" i="100"/>
  <c r="K135" i="100"/>
  <c r="S165" i="100"/>
  <c r="T108" i="100"/>
  <c r="AD254" i="100"/>
  <c r="X179" i="3"/>
  <c r="H134" i="3"/>
  <c r="H34" i="3"/>
  <c r="O137" i="3"/>
  <c r="W33" i="3"/>
  <c r="D372" i="100"/>
  <c r="AN32" i="3"/>
  <c r="M142" i="100"/>
  <c r="K83" i="100"/>
  <c r="V255" i="100"/>
  <c r="U239" i="100"/>
  <c r="Y32" i="3"/>
  <c r="I105" i="100"/>
  <c r="T66" i="100"/>
  <c r="R248" i="100"/>
  <c r="Q135" i="3"/>
  <c r="T111" i="100"/>
  <c r="AL135" i="3"/>
  <c r="AD35" i="3"/>
  <c r="K137" i="100"/>
  <c r="N108" i="100"/>
  <c r="G148" i="100"/>
  <c r="U243" i="100"/>
  <c r="X107" i="100"/>
  <c r="I101" i="100"/>
  <c r="I51" i="100" l="1"/>
  <c r="AD28" i="3"/>
  <c r="AL153" i="3"/>
  <c r="R70" i="3"/>
  <c r="K87" i="100"/>
  <c r="O155" i="3"/>
  <c r="H29" i="3"/>
  <c r="AE152" i="3"/>
  <c r="AG153" i="3"/>
  <c r="J157" i="100"/>
  <c r="J155" i="100"/>
  <c r="J156" i="100"/>
  <c r="J158" i="100"/>
  <c r="J159" i="100"/>
  <c r="J154" i="100"/>
  <c r="W51" i="100"/>
  <c r="W52" i="100" s="1"/>
  <c r="Y160" i="3"/>
  <c r="Y192" i="3"/>
  <c r="AA28" i="3"/>
  <c r="U33" i="100"/>
  <c r="U34" i="100" s="1"/>
  <c r="M87" i="100"/>
  <c r="AC33" i="100"/>
  <c r="AC34" i="100" s="1"/>
  <c r="J51" i="100"/>
  <c r="W192" i="3"/>
  <c r="W160" i="3"/>
  <c r="V87" i="100"/>
  <c r="AC151" i="3"/>
  <c r="K36" i="3"/>
  <c r="K41" i="3" s="1"/>
  <c r="AE153" i="3"/>
  <c r="I195" i="3"/>
  <c r="I217" i="3" s="1"/>
  <c r="I163" i="3"/>
  <c r="AL227" i="100"/>
  <c r="Z28" i="3"/>
  <c r="AD160" i="3"/>
  <c r="AD192" i="3"/>
  <c r="N155" i="3"/>
  <c r="X159" i="100"/>
  <c r="X155" i="100"/>
  <c r="X157" i="100"/>
  <c r="X158" i="100"/>
  <c r="X156" i="100"/>
  <c r="X154" i="100"/>
  <c r="N154" i="3"/>
  <c r="R28" i="3"/>
  <c r="I28" i="3"/>
  <c r="O265" i="100"/>
  <c r="O260" i="100"/>
  <c r="O261" i="100"/>
  <c r="O262" i="100"/>
  <c r="O263" i="100"/>
  <c r="O264" i="100"/>
  <c r="AD265" i="100"/>
  <c r="AD261" i="100"/>
  <c r="AD262" i="100"/>
  <c r="AD263" i="100"/>
  <c r="AD260" i="100"/>
  <c r="AD264" i="100"/>
  <c r="G151" i="3"/>
  <c r="M48" i="100"/>
  <c r="O28" i="3"/>
  <c r="AL83" i="3"/>
  <c r="AG193" i="3"/>
  <c r="AG161" i="3"/>
  <c r="K60" i="100"/>
  <c r="Z68" i="3" s="1"/>
  <c r="AN83" i="3"/>
  <c r="AC164" i="3"/>
  <c r="AC196" i="3"/>
  <c r="AC218" i="3" s="1"/>
  <c r="P36" i="3"/>
  <c r="P41" i="3" s="1"/>
  <c r="Z193" i="3"/>
  <c r="Z161" i="3"/>
  <c r="AG160" i="3"/>
  <c r="AG192" i="3"/>
  <c r="N191" i="3"/>
  <c r="X195" i="3"/>
  <c r="X217" i="3" s="1"/>
  <c r="X163" i="3"/>
  <c r="X83" i="3"/>
  <c r="F60" i="100"/>
  <c r="X68" i="3" s="1"/>
  <c r="X73" i="3" s="1"/>
  <c r="H36" i="3"/>
  <c r="H41" i="3" s="1"/>
  <c r="T30" i="100"/>
  <c r="U152" i="3"/>
  <c r="Y60" i="100"/>
  <c r="I68" i="3" s="1"/>
  <c r="I73" i="3" s="1"/>
  <c r="T36" i="3"/>
  <c r="T41" i="3" s="1"/>
  <c r="AC30" i="100"/>
  <c r="Z29" i="3"/>
  <c r="X153" i="3"/>
  <c r="O194" i="3"/>
  <c r="O216" i="3" s="1"/>
  <c r="O162" i="3"/>
  <c r="L152" i="3"/>
  <c r="J196" i="3"/>
  <c r="J218" i="3" s="1"/>
  <c r="J164" i="3"/>
  <c r="AD153" i="3"/>
  <c r="AB154" i="3"/>
  <c r="K151" i="3"/>
  <c r="AD30" i="100"/>
  <c r="T161" i="3"/>
  <c r="T193" i="3"/>
  <c r="K193" i="3"/>
  <c r="K161" i="3"/>
  <c r="U48" i="100"/>
  <c r="AE151" i="3"/>
  <c r="R54" i="122"/>
  <c r="K158" i="100"/>
  <c r="K155" i="100"/>
  <c r="K157" i="100"/>
  <c r="K156" i="100"/>
  <c r="K159" i="100"/>
  <c r="K154" i="100"/>
  <c r="V162" i="3"/>
  <c r="V194" i="3"/>
  <c r="V216" i="3" s="1"/>
  <c r="L48" i="100"/>
  <c r="I162" i="3"/>
  <c r="I194" i="3"/>
  <c r="I216" i="3" s="1"/>
  <c r="AA36" i="3"/>
  <c r="AA41" i="3" s="1"/>
  <c r="L51" i="100"/>
  <c r="L52" i="100" s="1"/>
  <c r="Y51" i="100"/>
  <c r="AM162" i="3"/>
  <c r="AM194" i="3"/>
  <c r="AM216" i="3" s="1"/>
  <c r="W154" i="3"/>
  <c r="AN153" i="3"/>
  <c r="P158" i="100"/>
  <c r="P159" i="100"/>
  <c r="P156" i="100"/>
  <c r="P157" i="100"/>
  <c r="P154" i="100"/>
  <c r="P155" i="100"/>
  <c r="Y36" i="3"/>
  <c r="Y41" i="3" s="1"/>
  <c r="Q29" i="3"/>
  <c r="Q195" i="3"/>
  <c r="Q217" i="3" s="1"/>
  <c r="Q163" i="3"/>
  <c r="T40" i="3"/>
  <c r="AG151" i="3"/>
  <c r="U29" i="3"/>
  <c r="W157" i="100"/>
  <c r="W155" i="100"/>
  <c r="W156" i="100"/>
  <c r="W159" i="100"/>
  <c r="W154" i="100"/>
  <c r="W158" i="100"/>
  <c r="N162" i="3"/>
  <c r="N194" i="3"/>
  <c r="N216" i="3" s="1"/>
  <c r="K226" i="100"/>
  <c r="J128" i="100"/>
  <c r="J126" i="100"/>
  <c r="J125" i="100"/>
  <c r="J127" i="100"/>
  <c r="J124" i="100"/>
  <c r="J123" i="100"/>
  <c r="Y155" i="3"/>
  <c r="AN163" i="3"/>
  <c r="AN195" i="3"/>
  <c r="AN217" i="3" s="1"/>
  <c r="O33" i="100"/>
  <c r="O34" i="100" s="1"/>
  <c r="I128" i="100"/>
  <c r="I126" i="100"/>
  <c r="I127" i="100"/>
  <c r="I124" i="100"/>
  <c r="I123" i="100"/>
  <c r="I125" i="100"/>
  <c r="AE227" i="100"/>
  <c r="AA154" i="3"/>
  <c r="V48" i="100"/>
  <c r="R153" i="3"/>
  <c r="AL33" i="100"/>
  <c r="AL34" i="100" s="1"/>
  <c r="P192" i="3"/>
  <c r="P160" i="3"/>
  <c r="AL196" i="3"/>
  <c r="AL218" i="3" s="1"/>
  <c r="AL164" i="3"/>
  <c r="Y154" i="3"/>
  <c r="O70" i="3"/>
  <c r="AE28" i="3"/>
  <c r="AL155" i="3"/>
  <c r="AC265" i="100"/>
  <c r="AC264" i="100"/>
  <c r="AC262" i="100"/>
  <c r="AC260" i="100"/>
  <c r="AC261" i="100"/>
  <c r="AC263" i="100"/>
  <c r="R124" i="100"/>
  <c r="R127" i="100"/>
  <c r="R128" i="100"/>
  <c r="R126" i="100"/>
  <c r="R123" i="100"/>
  <c r="R125" i="100"/>
  <c r="K195" i="3"/>
  <c r="K217" i="3" s="1"/>
  <c r="K163" i="3"/>
  <c r="N29" i="3"/>
  <c r="AM36" i="3"/>
  <c r="AM41" i="3" s="1"/>
  <c r="S159" i="100"/>
  <c r="S157" i="100"/>
  <c r="S156" i="100"/>
  <c r="S154" i="100"/>
  <c r="S155" i="100"/>
  <c r="S158" i="100"/>
  <c r="U87" i="100"/>
  <c r="O152" i="3"/>
  <c r="T191" i="3"/>
  <c r="S30" i="100"/>
  <c r="AF164" i="3"/>
  <c r="AF196" i="3"/>
  <c r="AF218" i="3" s="1"/>
  <c r="T163" i="3"/>
  <c r="T195" i="3"/>
  <c r="T217" i="3" s="1"/>
  <c r="AB36" i="3"/>
  <c r="AB41" i="3" s="1"/>
  <c r="M36" i="3"/>
  <c r="M41" i="3" s="1"/>
  <c r="S36" i="3"/>
  <c r="S41" i="3" s="1"/>
  <c r="X36" i="3"/>
  <c r="X41" i="3" s="1"/>
  <c r="M162" i="3"/>
  <c r="M194" i="3"/>
  <c r="M216" i="3" s="1"/>
  <c r="H194" i="3"/>
  <c r="H216" i="3" s="1"/>
  <c r="H162" i="3"/>
  <c r="V28" i="3"/>
  <c r="AA162" i="3"/>
  <c r="AA194" i="3"/>
  <c r="AA216" i="3" s="1"/>
  <c r="M125" i="100"/>
  <c r="M128" i="100"/>
  <c r="M124" i="100"/>
  <c r="M126" i="100"/>
  <c r="M127" i="100"/>
  <c r="M175" i="100" s="1"/>
  <c r="M183" i="100" s="1"/>
  <c r="M199" i="100" s="1"/>
  <c r="M217" i="100" s="1"/>
  <c r="M272" i="100" s="1"/>
  <c r="M280" i="100" s="1"/>
  <c r="M301" i="100" s="1"/>
  <c r="J95" i="3" s="1"/>
  <c r="J145" i="3" s="1"/>
  <c r="M123" i="100"/>
  <c r="AF163" i="3"/>
  <c r="AF195" i="3"/>
  <c r="AF217" i="3" s="1"/>
  <c r="N36" i="3"/>
  <c r="N41" i="3" s="1"/>
  <c r="S87" i="100"/>
  <c r="F164" i="3"/>
  <c r="F196" i="3"/>
  <c r="F218" i="3" s="1"/>
  <c r="H48" i="100"/>
  <c r="F29" i="3"/>
  <c r="R13" i="122" s="1"/>
  <c r="M83" i="3"/>
  <c r="T83" i="3"/>
  <c r="K162" i="3"/>
  <c r="K194" i="3"/>
  <c r="K216" i="3" s="1"/>
  <c r="L192" i="3"/>
  <c r="L160" i="3"/>
  <c r="L193" i="3"/>
  <c r="L161" i="3"/>
  <c r="AC227" i="100"/>
  <c r="W152" i="3"/>
  <c r="T160" i="3"/>
  <c r="T192" i="3"/>
  <c r="AN28" i="3"/>
  <c r="AG163" i="3"/>
  <c r="AG195" i="3"/>
  <c r="AG217" i="3" s="1"/>
  <c r="Y29" i="3"/>
  <c r="AE163" i="3"/>
  <c r="AE195" i="3"/>
  <c r="AE217" i="3" s="1"/>
  <c r="R196" i="3"/>
  <c r="R218" i="3" s="1"/>
  <c r="R164" i="3"/>
  <c r="J48" i="100"/>
  <c r="J40" i="100" s="1"/>
  <c r="R194" i="3"/>
  <c r="R216" i="3" s="1"/>
  <c r="R162" i="3"/>
  <c r="AB40" i="3"/>
  <c r="J191" i="3"/>
  <c r="AC153" i="3"/>
  <c r="AB192" i="3"/>
  <c r="AB160" i="3"/>
  <c r="T162" i="3"/>
  <c r="T194" i="3"/>
  <c r="T216" i="3" s="1"/>
  <c r="AC29" i="3"/>
  <c r="Q36" i="3"/>
  <c r="Q41" i="3" s="1"/>
  <c r="W194" i="3"/>
  <c r="W216" i="3" s="1"/>
  <c r="W162" i="3"/>
  <c r="Z56" i="3"/>
  <c r="AF56" i="3"/>
  <c r="J28" i="3"/>
  <c r="W161" i="3"/>
  <c r="W193" i="3"/>
  <c r="U265" i="100"/>
  <c r="U264" i="100"/>
  <c r="U261" i="100"/>
  <c r="U263" i="100"/>
  <c r="U262" i="100"/>
  <c r="U260" i="100"/>
  <c r="V125" i="100"/>
  <c r="V123" i="100"/>
  <c r="V128" i="100"/>
  <c r="V127" i="100"/>
  <c r="V124" i="100"/>
  <c r="V126" i="100"/>
  <c r="G160" i="3"/>
  <c r="G192" i="3"/>
  <c r="AD154" i="3"/>
  <c r="N87" i="100"/>
  <c r="AG36" i="3"/>
  <c r="AG41" i="3" s="1"/>
  <c r="U36" i="3"/>
  <c r="U41" i="3" s="1"/>
  <c r="M152" i="3"/>
  <c r="K28" i="3"/>
  <c r="Q124" i="100"/>
  <c r="Q127" i="100"/>
  <c r="Q126" i="100"/>
  <c r="Q123" i="100"/>
  <c r="Q125" i="100"/>
  <c r="Q128" i="100"/>
  <c r="AA153" i="3"/>
  <c r="Q60" i="100"/>
  <c r="M68" i="3" s="1"/>
  <c r="M73" i="3" s="1"/>
  <c r="M63" i="3" s="1"/>
  <c r="CL14" i="99" s="1"/>
  <c r="CL16" i="99" s="1"/>
  <c r="I29" i="3"/>
  <c r="T153" i="3"/>
  <c r="H51" i="100"/>
  <c r="Q162" i="3"/>
  <c r="Q194" i="3"/>
  <c r="Q216" i="3" s="1"/>
  <c r="Z162" i="3"/>
  <c r="Z194" i="3"/>
  <c r="Z216" i="3" s="1"/>
  <c r="V151" i="3"/>
  <c r="J29" i="3"/>
  <c r="X192" i="3"/>
  <c r="X160" i="3"/>
  <c r="F28" i="3"/>
  <c r="R12" i="122" s="1"/>
  <c r="O29" i="3"/>
  <c r="S227" i="100"/>
  <c r="R30" i="100"/>
  <c r="AC70" i="3"/>
  <c r="AC73" i="3" s="1"/>
  <c r="AL193" i="3"/>
  <c r="AL161" i="3"/>
  <c r="X151" i="3"/>
  <c r="AG152" i="3"/>
  <c r="T48" i="100"/>
  <c r="AK29" i="3"/>
  <c r="AM191" i="3"/>
  <c r="AM163" i="3"/>
  <c r="AM195" i="3"/>
  <c r="AM217" i="3" s="1"/>
  <c r="AJ28" i="3"/>
  <c r="Q87" i="100"/>
  <c r="AM152" i="3"/>
  <c r="AD151" i="3"/>
  <c r="AL263" i="100"/>
  <c r="AL264" i="100"/>
  <c r="AL261" i="100"/>
  <c r="AL269" i="100" s="1"/>
  <c r="AL277" i="100" s="1"/>
  <c r="AL298" i="100" s="1"/>
  <c r="AL260" i="100"/>
  <c r="AL265" i="100"/>
  <c r="AL262" i="100"/>
  <c r="Y193" i="3"/>
  <c r="Y161" i="3"/>
  <c r="AA196" i="3"/>
  <c r="AA218" i="3" s="1"/>
  <c r="AA164" i="3"/>
  <c r="H60" i="100"/>
  <c r="U68" i="3" s="1"/>
  <c r="U73" i="3" s="1"/>
  <c r="AL30" i="100"/>
  <c r="U60" i="100"/>
  <c r="S78" i="3" s="1"/>
  <c r="T164" i="3"/>
  <c r="T196" i="3"/>
  <c r="T218" i="3" s="1"/>
  <c r="K153" i="3"/>
  <c r="AG154" i="3"/>
  <c r="AE194" i="3"/>
  <c r="AE216" i="3" s="1"/>
  <c r="AE162" i="3"/>
  <c r="AC152" i="3"/>
  <c r="AB151" i="3"/>
  <c r="AB191" i="3"/>
  <c r="AD161" i="3"/>
  <c r="AD193" i="3"/>
  <c r="N164" i="3"/>
  <c r="N196" i="3"/>
  <c r="N218" i="3" s="1"/>
  <c r="L29" i="3"/>
  <c r="AE83" i="3"/>
  <c r="V153" i="3"/>
  <c r="K29" i="3"/>
  <c r="R195" i="3"/>
  <c r="R217" i="3" s="1"/>
  <c r="R163" i="3"/>
  <c r="U191" i="3"/>
  <c r="AA160" i="3"/>
  <c r="AA192" i="3"/>
  <c r="G155" i="3"/>
  <c r="U193" i="3"/>
  <c r="U161" i="3"/>
  <c r="Q48" i="100"/>
  <c r="H191" i="3"/>
  <c r="J161" i="3"/>
  <c r="J193" i="3"/>
  <c r="AM28" i="3"/>
  <c r="W151" i="3"/>
  <c r="K154" i="3"/>
  <c r="AM164" i="3"/>
  <c r="AM196" i="3"/>
  <c r="AM218" i="3" s="1"/>
  <c r="R192" i="3"/>
  <c r="R160" i="3"/>
  <c r="AF28" i="3"/>
  <c r="G152" i="3"/>
  <c r="AM160" i="3"/>
  <c r="AM192" i="3"/>
  <c r="T154" i="3"/>
  <c r="G60" i="100"/>
  <c r="S68" i="3" s="1"/>
  <c r="S73" i="3" s="1"/>
  <c r="G51" i="100"/>
  <c r="X191" i="3"/>
  <c r="W155" i="3"/>
  <c r="T87" i="100"/>
  <c r="AE155" i="3"/>
  <c r="F154" i="3"/>
  <c r="O30" i="100"/>
  <c r="L87" i="100"/>
  <c r="Y162" i="3"/>
  <c r="Y153" i="3"/>
  <c r="K48" i="100"/>
  <c r="K40" i="100" s="1"/>
  <c r="AN161" i="3"/>
  <c r="AN193" i="3"/>
  <c r="P163" i="3"/>
  <c r="P195" i="3"/>
  <c r="P217" i="3" s="1"/>
  <c r="V152" i="3"/>
  <c r="N51" i="100"/>
  <c r="Y87" i="100"/>
  <c r="S160" i="3"/>
  <c r="S192" i="3"/>
  <c r="L153" i="3"/>
  <c r="H28" i="3"/>
  <c r="X152" i="3"/>
  <c r="AN29" i="3"/>
  <c r="S193" i="3"/>
  <c r="S161" i="3"/>
  <c r="T260" i="100"/>
  <c r="T262" i="100"/>
  <c r="T265" i="100"/>
  <c r="T261" i="100"/>
  <c r="T263" i="100"/>
  <c r="T264" i="100"/>
  <c r="R161" i="3"/>
  <c r="R193" i="3"/>
  <c r="V60" i="100"/>
  <c r="AC68" i="3" s="1"/>
  <c r="V30" i="100"/>
  <c r="AA191" i="3"/>
  <c r="G123" i="100"/>
  <c r="G128" i="100"/>
  <c r="G124" i="100"/>
  <c r="G126" i="100"/>
  <c r="G125" i="100"/>
  <c r="G127" i="100"/>
  <c r="L60" i="100"/>
  <c r="H68" i="3" s="1"/>
  <c r="H73" i="3" s="1"/>
  <c r="R227" i="100"/>
  <c r="W163" i="3"/>
  <c r="W195" i="3"/>
  <c r="W217" i="3" s="1"/>
  <c r="R154" i="3"/>
  <c r="V161" i="3"/>
  <c r="V193" i="3"/>
  <c r="X161" i="3"/>
  <c r="X193" i="3"/>
  <c r="AA163" i="3"/>
  <c r="AA195" i="3"/>
  <c r="AA217" i="3" s="1"/>
  <c r="M60" i="100"/>
  <c r="J68" i="3" s="1"/>
  <c r="J73" i="3" s="1"/>
  <c r="AM29" i="3"/>
  <c r="AC83" i="3"/>
  <c r="F125" i="100"/>
  <c r="F127" i="100"/>
  <c r="F124" i="100"/>
  <c r="F123" i="100"/>
  <c r="R68" i="122" s="1"/>
  <c r="F128" i="100"/>
  <c r="F126" i="100"/>
  <c r="H164" i="3"/>
  <c r="H196" i="3"/>
  <c r="H218" i="3" s="1"/>
  <c r="R87" i="100"/>
  <c r="AF161" i="3"/>
  <c r="AF193" i="3"/>
  <c r="AL192" i="3"/>
  <c r="AL160" i="3"/>
  <c r="G191" i="3"/>
  <c r="K30" i="100"/>
  <c r="V29" i="3"/>
  <c r="AH29" i="3"/>
  <c r="M161" i="3"/>
  <c r="M193" i="3"/>
  <c r="Z70" i="3"/>
  <c r="AF70" i="3"/>
  <c r="R29" i="3"/>
  <c r="S162" i="3"/>
  <c r="S194" i="3"/>
  <c r="S216" i="3" s="1"/>
  <c r="O227" i="100"/>
  <c r="V163" i="3"/>
  <c r="V195" i="3"/>
  <c r="V217" i="3" s="1"/>
  <c r="F193" i="3"/>
  <c r="F161" i="3"/>
  <c r="O154" i="3"/>
  <c r="AE196" i="3"/>
  <c r="AE218" i="3" s="1"/>
  <c r="AE164" i="3"/>
  <c r="AJ83" i="3"/>
  <c r="V83" i="3"/>
  <c r="T28" i="3"/>
  <c r="Y83" i="3"/>
  <c r="F51" i="100"/>
  <c r="G29" i="3"/>
  <c r="AB194" i="3"/>
  <c r="AB216" i="3" s="1"/>
  <c r="AB162" i="3"/>
  <c r="M153" i="3"/>
  <c r="X28" i="3"/>
  <c r="M192" i="3"/>
  <c r="M160" i="3"/>
  <c r="L164" i="3"/>
  <c r="L196" i="3"/>
  <c r="L218" i="3" s="1"/>
  <c r="W83" i="3"/>
  <c r="H195" i="3"/>
  <c r="H217" i="3" s="1"/>
  <c r="H163" i="3"/>
  <c r="AL29" i="3"/>
  <c r="K83" i="3"/>
  <c r="R152" i="3"/>
  <c r="J33" i="100"/>
  <c r="J34" i="100" s="1"/>
  <c r="R155" i="3"/>
  <c r="N159" i="100"/>
  <c r="N154" i="100"/>
  <c r="N158" i="100"/>
  <c r="N155" i="100"/>
  <c r="N156" i="100"/>
  <c r="N157" i="100"/>
  <c r="Y152" i="3"/>
  <c r="AD36" i="3"/>
  <c r="AD41" i="3" s="1"/>
  <c r="AG29" i="3"/>
  <c r="S163" i="3"/>
  <c r="S195" i="3"/>
  <c r="S217" i="3" s="1"/>
  <c r="S196" i="3"/>
  <c r="S218" i="3" s="1"/>
  <c r="S164" i="3"/>
  <c r="P80" i="3"/>
  <c r="S80" i="3"/>
  <c r="Q80" i="3"/>
  <c r="F155" i="3"/>
  <c r="H157" i="100"/>
  <c r="H156" i="100"/>
  <c r="H154" i="100"/>
  <c r="H155" i="100"/>
  <c r="H158" i="100"/>
  <c r="H159" i="100"/>
  <c r="L191" i="3"/>
  <c r="Y164" i="3"/>
  <c r="Y196" i="3"/>
  <c r="Y218" i="3" s="1"/>
  <c r="K191" i="3"/>
  <c r="S33" i="100"/>
  <c r="S34" i="100" s="1"/>
  <c r="AE192" i="3"/>
  <c r="AE160" i="3"/>
  <c r="AC36" i="3"/>
  <c r="AC41" i="3" s="1"/>
  <c r="S51" i="100"/>
  <c r="S265" i="100"/>
  <c r="S263" i="100"/>
  <c r="S262" i="100"/>
  <c r="S261" i="100"/>
  <c r="S260" i="100"/>
  <c r="S264" i="100"/>
  <c r="AL191" i="3"/>
  <c r="T124" i="100"/>
  <c r="T125" i="100"/>
  <c r="T128" i="100"/>
  <c r="T126" i="100"/>
  <c r="T123" i="100"/>
  <c r="T127" i="100"/>
  <c r="AD196" i="3"/>
  <c r="AD218" i="3" s="1"/>
  <c r="AD164" i="3"/>
  <c r="T29" i="3"/>
  <c r="AE191" i="3"/>
  <c r="G154" i="3"/>
  <c r="X29" i="3"/>
  <c r="P87" i="100"/>
  <c r="Z55" i="3"/>
  <c r="AF55" i="3"/>
  <c r="O154" i="100"/>
  <c r="O156" i="100"/>
  <c r="O155" i="100"/>
  <c r="O158" i="100"/>
  <c r="O159" i="100"/>
  <c r="O157" i="100"/>
  <c r="Z36" i="3"/>
  <c r="Z41" i="3" s="1"/>
  <c r="AC28" i="3"/>
  <c r="G36" i="3"/>
  <c r="G41" i="3" s="1"/>
  <c r="AL195" i="3"/>
  <c r="AL217" i="3" s="1"/>
  <c r="AL163" i="3"/>
  <c r="V191" i="3"/>
  <c r="AC160" i="3"/>
  <c r="AC192" i="3"/>
  <c r="V192" i="3"/>
  <c r="V160" i="3"/>
  <c r="Q192" i="3"/>
  <c r="Q160" i="3"/>
  <c r="U153" i="3"/>
  <c r="V156" i="100"/>
  <c r="V154" i="100"/>
  <c r="V155" i="100"/>
  <c r="V159" i="100"/>
  <c r="V158" i="100"/>
  <c r="V157" i="100"/>
  <c r="R191" i="3"/>
  <c r="O160" i="3"/>
  <c r="O192" i="3"/>
  <c r="R33" i="100"/>
  <c r="R34" i="100" s="1"/>
  <c r="I60" i="100"/>
  <c r="W68" i="3" s="1"/>
  <c r="W73" i="3" s="1"/>
  <c r="J36" i="3"/>
  <c r="J41" i="3" s="1"/>
  <c r="U156" i="100"/>
  <c r="U158" i="100"/>
  <c r="U155" i="100"/>
  <c r="U154" i="100"/>
  <c r="U159" i="100"/>
  <c r="U157" i="100"/>
  <c r="AN194" i="3"/>
  <c r="AN216" i="3" s="1"/>
  <c r="AN162" i="3"/>
  <c r="G194" i="3"/>
  <c r="G216" i="3" s="1"/>
  <c r="G162" i="3"/>
  <c r="N60" i="100"/>
  <c r="P68" i="3" s="1"/>
  <c r="P73" i="3" s="1"/>
  <c r="F152" i="3"/>
  <c r="I156" i="100"/>
  <c r="I159" i="100"/>
  <c r="I157" i="100"/>
  <c r="I158" i="100"/>
  <c r="I154" i="100"/>
  <c r="I155" i="100"/>
  <c r="R48" i="100"/>
  <c r="R40" i="100" s="1"/>
  <c r="AF191" i="3"/>
  <c r="R58" i="122"/>
  <c r="F48" i="100"/>
  <c r="Q161" i="3"/>
  <c r="Q193" i="3"/>
  <c r="AC154" i="3"/>
  <c r="S48" i="100"/>
  <c r="AM151" i="3"/>
  <c r="AB196" i="3"/>
  <c r="AB218" i="3" s="1"/>
  <c r="AB164" i="3"/>
  <c r="L123" i="100"/>
  <c r="L124" i="100"/>
  <c r="L126" i="100"/>
  <c r="L125" i="100"/>
  <c r="L128" i="100"/>
  <c r="L127" i="100"/>
  <c r="X48" i="100"/>
  <c r="X40" i="100" s="1"/>
  <c r="T156" i="100"/>
  <c r="T157" i="100"/>
  <c r="T154" i="100"/>
  <c r="T155" i="100"/>
  <c r="T158" i="100"/>
  <c r="T159" i="100"/>
  <c r="M155" i="3"/>
  <c r="AN154" i="3"/>
  <c r="O153" i="3"/>
  <c r="AL154" i="3"/>
  <c r="X87" i="100"/>
  <c r="P60" i="100"/>
  <c r="AO68" i="3" s="1"/>
  <c r="AO73" i="3" s="1"/>
  <c r="AO63" i="3" s="1"/>
  <c r="DN14" i="97" s="1"/>
  <c r="DN16" i="97" s="1"/>
  <c r="Y195" i="3"/>
  <c r="Y217" i="3" s="1"/>
  <c r="Y163" i="3"/>
  <c r="L194" i="3"/>
  <c r="L216" i="3" s="1"/>
  <c r="L162" i="3"/>
  <c r="AA29" i="3"/>
  <c r="U151" i="3"/>
  <c r="J30" i="100"/>
  <c r="K164" i="3"/>
  <c r="K196" i="3"/>
  <c r="K218" i="3" s="1"/>
  <c r="X124" i="100"/>
  <c r="X127" i="100"/>
  <c r="X126" i="100"/>
  <c r="X128" i="100"/>
  <c r="X123" i="100"/>
  <c r="X125" i="100"/>
  <c r="X173" i="100" s="1"/>
  <c r="X181" i="100" s="1"/>
  <c r="X197" i="100" s="1"/>
  <c r="X215" i="100" s="1"/>
  <c r="X270" i="100" s="1"/>
  <c r="X278" i="100" s="1"/>
  <c r="X299" i="100" s="1"/>
  <c r="L155" i="3"/>
  <c r="AG164" i="3"/>
  <c r="AG196" i="3"/>
  <c r="AG218" i="3" s="1"/>
  <c r="F83" i="3"/>
  <c r="F195" i="3"/>
  <c r="F217" i="3" s="1"/>
  <c r="F163" i="3"/>
  <c r="AA155" i="3"/>
  <c r="AD152" i="3"/>
  <c r="AM153" i="3"/>
  <c r="N163" i="3"/>
  <c r="N195" i="3"/>
  <c r="N217" i="3" s="1"/>
  <c r="Z160" i="3"/>
  <c r="Z192" i="3"/>
  <c r="I192" i="3"/>
  <c r="I160" i="3"/>
  <c r="Y127" i="100"/>
  <c r="Y128" i="100"/>
  <c r="Y126" i="100"/>
  <c r="Y124" i="100"/>
  <c r="Y125" i="100"/>
  <c r="Y123" i="100"/>
  <c r="W48" i="100"/>
  <c r="T152" i="3"/>
  <c r="N123" i="100"/>
  <c r="N128" i="100"/>
  <c r="N127" i="100"/>
  <c r="N125" i="100"/>
  <c r="N124" i="100"/>
  <c r="N126" i="100"/>
  <c r="W60" i="100"/>
  <c r="V68" i="3" s="1"/>
  <c r="V73" i="3" s="1"/>
  <c r="AN191" i="3"/>
  <c r="O125" i="100"/>
  <c r="O123" i="100"/>
  <c r="O128" i="100"/>
  <c r="O126" i="100"/>
  <c r="O127" i="100"/>
  <c r="O124" i="100"/>
  <c r="W36" i="3"/>
  <c r="W41" i="3" s="1"/>
  <c r="AD191" i="3"/>
  <c r="X155" i="3"/>
  <c r="P29" i="3"/>
  <c r="U155" i="3"/>
  <c r="V164" i="3"/>
  <c r="V196" i="3"/>
  <c r="V218" i="3" s="1"/>
  <c r="AB152" i="3"/>
  <c r="J60" i="100"/>
  <c r="X196" i="3"/>
  <c r="X218" i="3" s="1"/>
  <c r="X164" i="3"/>
  <c r="I48" i="100"/>
  <c r="I52" i="100" s="1"/>
  <c r="Q196" i="3"/>
  <c r="Q218" i="3" s="1"/>
  <c r="Q164" i="3"/>
  <c r="F36" i="3"/>
  <c r="F41" i="3" s="1"/>
  <c r="R18" i="122" s="1"/>
  <c r="T51" i="100"/>
  <c r="T52" i="100" s="1"/>
  <c r="AN164" i="3"/>
  <c r="AN196" i="3"/>
  <c r="AN218" i="3" s="1"/>
  <c r="X162" i="3"/>
  <c r="X194" i="3"/>
  <c r="X216" i="3" s="1"/>
  <c r="G196" i="3"/>
  <c r="G218" i="3" s="1"/>
  <c r="G164" i="3"/>
  <c r="K262" i="100"/>
  <c r="K261" i="100"/>
  <c r="K260" i="100"/>
  <c r="K263" i="100"/>
  <c r="K264" i="100"/>
  <c r="K265" i="100"/>
  <c r="P162" i="3"/>
  <c r="P194" i="3"/>
  <c r="P216" i="3" s="1"/>
  <c r="AL28" i="3"/>
  <c r="J87" i="100"/>
  <c r="J174" i="100" s="1"/>
  <c r="J182" i="100" s="1"/>
  <c r="J198" i="100" s="1"/>
  <c r="J216" i="100" s="1"/>
  <c r="O36" i="3"/>
  <c r="O41" i="3" s="1"/>
  <c r="M191" i="3"/>
  <c r="N48" i="100"/>
  <c r="AC161" i="3"/>
  <c r="AC193" i="3"/>
  <c r="V33" i="100"/>
  <c r="V34" i="100" s="1"/>
  <c r="AN151" i="3"/>
  <c r="L195" i="3"/>
  <c r="L217" i="3" s="1"/>
  <c r="L163" i="3"/>
  <c r="AM154" i="3"/>
  <c r="AF29" i="3"/>
  <c r="U195" i="3"/>
  <c r="U217" i="3" s="1"/>
  <c r="U163" i="3"/>
  <c r="U154" i="3"/>
  <c r="R51" i="100"/>
  <c r="R52" i="100" s="1"/>
  <c r="AC194" i="3"/>
  <c r="AC216" i="3" s="1"/>
  <c r="AC162" i="3"/>
  <c r="M195" i="3"/>
  <c r="M217" i="3" s="1"/>
  <c r="M163" i="3"/>
  <c r="G157" i="100"/>
  <c r="G155" i="100"/>
  <c r="G159" i="100"/>
  <c r="G156" i="100"/>
  <c r="G158" i="100"/>
  <c r="G154" i="100"/>
  <c r="AB155" i="3"/>
  <c r="AE193" i="3"/>
  <c r="AE161" i="3"/>
  <c r="AG191" i="3"/>
  <c r="AE36" i="3"/>
  <c r="AE41" i="3" s="1"/>
  <c r="J163" i="3"/>
  <c r="J195" i="3"/>
  <c r="J217" i="3" s="1"/>
  <c r="AD83" i="3"/>
  <c r="AB83" i="3"/>
  <c r="N160" i="3"/>
  <c r="N192" i="3"/>
  <c r="N151" i="3"/>
  <c r="M151" i="3"/>
  <c r="L154" i="3"/>
  <c r="AL152" i="3"/>
  <c r="U162" i="3"/>
  <c r="U194" i="3"/>
  <c r="U216" i="3" s="1"/>
  <c r="AD155" i="3"/>
  <c r="AJ36" i="3"/>
  <c r="AJ41" i="3" s="1"/>
  <c r="AC163" i="3"/>
  <c r="AC195" i="3"/>
  <c r="AC217" i="3" s="1"/>
  <c r="Z191" i="3"/>
  <c r="N153" i="3"/>
  <c r="AG83" i="3"/>
  <c r="K51" i="100"/>
  <c r="AD195" i="3"/>
  <c r="AD217" i="3" s="1"/>
  <c r="AD163" i="3"/>
  <c r="G193" i="3"/>
  <c r="G161" i="3"/>
  <c r="AL36" i="3"/>
  <c r="AL41" i="3" s="1"/>
  <c r="F153" i="3"/>
  <c r="V262" i="100"/>
  <c r="V260" i="100"/>
  <c r="V264" i="100"/>
  <c r="V263" i="100"/>
  <c r="V261" i="100"/>
  <c r="V265" i="100"/>
  <c r="O193" i="3"/>
  <c r="O161" i="3"/>
  <c r="T33" i="100"/>
  <c r="T34" i="100" s="1"/>
  <c r="O151" i="3"/>
  <c r="AB29" i="3"/>
  <c r="J265" i="100"/>
  <c r="J264" i="100"/>
  <c r="J262" i="100"/>
  <c r="J263" i="100"/>
  <c r="J261" i="100"/>
  <c r="J260" i="100"/>
  <c r="P51" i="100"/>
  <c r="O163" i="3"/>
  <c r="O195" i="3"/>
  <c r="O217" i="3" s="1"/>
  <c r="I193" i="3"/>
  <c r="I161" i="3"/>
  <c r="G48" i="100"/>
  <c r="G52" i="100" s="1"/>
  <c r="K152" i="3"/>
  <c r="N83" i="3"/>
  <c r="K124" i="100"/>
  <c r="K128" i="100"/>
  <c r="K126" i="100"/>
  <c r="K174" i="100" s="1"/>
  <c r="K182" i="100" s="1"/>
  <c r="K198" i="100" s="1"/>
  <c r="K216" i="100" s="1"/>
  <c r="K127" i="100"/>
  <c r="K125" i="100"/>
  <c r="K173" i="100" s="1"/>
  <c r="K181" i="100" s="1"/>
  <c r="K197" i="100" s="1"/>
  <c r="K215" i="100" s="1"/>
  <c r="K123" i="100"/>
  <c r="K171" i="100" s="1"/>
  <c r="K179" i="100" s="1"/>
  <c r="K195" i="100" s="1"/>
  <c r="K213" i="100" s="1"/>
  <c r="AN160" i="3"/>
  <c r="AN192" i="3"/>
  <c r="L156" i="100"/>
  <c r="L158" i="100"/>
  <c r="L159" i="100"/>
  <c r="L176" i="100" s="1"/>
  <c r="L184" i="100" s="1"/>
  <c r="L200" i="100" s="1"/>
  <c r="L218" i="100" s="1"/>
  <c r="L273" i="100" s="1"/>
  <c r="L281" i="100" s="1"/>
  <c r="L302" i="100" s="1"/>
  <c r="H96" i="3" s="1"/>
  <c r="H146" i="3" s="1"/>
  <c r="L154" i="100"/>
  <c r="L157" i="100"/>
  <c r="L155" i="100"/>
  <c r="Z196" i="3"/>
  <c r="Z218" i="3" s="1"/>
  <c r="Z164" i="3"/>
  <c r="R83" i="3"/>
  <c r="I191" i="3"/>
  <c r="AB28" i="3"/>
  <c r="AD194" i="3"/>
  <c r="AD216" i="3" s="1"/>
  <c r="AD162" i="3"/>
  <c r="U196" i="3"/>
  <c r="U218" i="3" s="1"/>
  <c r="U164" i="3"/>
  <c r="L28" i="3"/>
  <c r="AA152" i="3"/>
  <c r="W164" i="3"/>
  <c r="W196" i="3"/>
  <c r="W218" i="3" s="1"/>
  <c r="AM155" i="3"/>
  <c r="R36" i="3"/>
  <c r="R41" i="3" s="1"/>
  <c r="Y48" i="100"/>
  <c r="Y52" i="100" s="1"/>
  <c r="AG162" i="3"/>
  <c r="AG194" i="3"/>
  <c r="AG216" i="3" s="1"/>
  <c r="X154" i="3"/>
  <c r="I196" i="3"/>
  <c r="I218" i="3" s="1"/>
  <c r="I164" i="3"/>
  <c r="W153" i="3"/>
  <c r="AD29" i="3"/>
  <c r="U28" i="3"/>
  <c r="P193" i="3"/>
  <c r="P161" i="3"/>
  <c r="G28" i="3"/>
  <c r="V227" i="100"/>
  <c r="V51" i="100"/>
  <c r="M154" i="100"/>
  <c r="M155" i="100"/>
  <c r="M157" i="100"/>
  <c r="M156" i="100"/>
  <c r="M158" i="100"/>
  <c r="M159" i="100"/>
  <c r="M176" i="100" s="1"/>
  <c r="M184" i="100" s="1"/>
  <c r="M200" i="100" s="1"/>
  <c r="M218" i="100" s="1"/>
  <c r="M273" i="100" s="1"/>
  <c r="M281" i="100" s="1"/>
  <c r="M302" i="100" s="1"/>
  <c r="J96" i="3" s="1"/>
  <c r="J146" i="3" s="1"/>
  <c r="AG28" i="3"/>
  <c r="J160" i="3"/>
  <c r="J192" i="3"/>
  <c r="U125" i="100"/>
  <c r="U173" i="100" s="1"/>
  <c r="U181" i="100" s="1"/>
  <c r="U197" i="100" s="1"/>
  <c r="U215" i="100" s="1"/>
  <c r="U124" i="100"/>
  <c r="U126" i="100"/>
  <c r="U128" i="100"/>
  <c r="U123" i="100"/>
  <c r="U127" i="100"/>
  <c r="U30" i="100"/>
  <c r="AB193" i="3"/>
  <c r="AB161" i="3"/>
  <c r="M29" i="3"/>
  <c r="T155" i="3"/>
  <c r="Z163" i="3"/>
  <c r="Z195" i="3"/>
  <c r="Z217" i="3" s="1"/>
  <c r="F151" i="3"/>
  <c r="W123" i="100"/>
  <c r="W124" i="100"/>
  <c r="W126" i="100"/>
  <c r="W128" i="100"/>
  <c r="W125" i="100"/>
  <c r="W127" i="100"/>
  <c r="O51" i="100"/>
  <c r="H161" i="3"/>
  <c r="H193" i="3"/>
  <c r="N161" i="3"/>
  <c r="N193" i="3"/>
  <c r="P191" i="3"/>
  <c r="AN155" i="3"/>
  <c r="AM161" i="3"/>
  <c r="AM193" i="3"/>
  <c r="R60" i="100"/>
  <c r="O68" i="3" s="1"/>
  <c r="AN152" i="3"/>
  <c r="K155" i="3"/>
  <c r="M196" i="3"/>
  <c r="M218" i="3" s="1"/>
  <c r="M164" i="3"/>
  <c r="S125" i="100"/>
  <c r="S127" i="100"/>
  <c r="S126" i="100"/>
  <c r="S128" i="100"/>
  <c r="S124" i="100"/>
  <c r="S123" i="100"/>
  <c r="AA193" i="3"/>
  <c r="AA161" i="3"/>
  <c r="O196" i="3"/>
  <c r="O218" i="3" s="1"/>
  <c r="O164" i="3"/>
  <c r="F194" i="3"/>
  <c r="F216" i="3" s="1"/>
  <c r="F162" i="3"/>
  <c r="AI29" i="3"/>
  <c r="O60" i="100"/>
  <c r="R264" i="100"/>
  <c r="R265" i="100"/>
  <c r="R260" i="100"/>
  <c r="R262" i="100"/>
  <c r="R261" i="100"/>
  <c r="R263" i="100"/>
  <c r="N152" i="3"/>
  <c r="Y155" i="100"/>
  <c r="Y159" i="100"/>
  <c r="Y158" i="100"/>
  <c r="Y154" i="100"/>
  <c r="Y157" i="100"/>
  <c r="Y156" i="100"/>
  <c r="X60" i="100"/>
  <c r="AH68" i="3" s="1"/>
  <c r="AH73" i="3" s="1"/>
  <c r="AH63" i="3" s="1"/>
  <c r="G153" i="3"/>
  <c r="K33" i="100"/>
  <c r="K34" i="100" s="1"/>
  <c r="P196" i="3"/>
  <c r="P218" i="3" s="1"/>
  <c r="P164" i="3"/>
  <c r="AF162" i="3"/>
  <c r="AF194" i="3"/>
  <c r="AF216" i="3" s="1"/>
  <c r="P126" i="100"/>
  <c r="P124" i="100"/>
  <c r="P125" i="100"/>
  <c r="P127" i="100"/>
  <c r="P123" i="100"/>
  <c r="P128" i="100"/>
  <c r="P176" i="100" s="1"/>
  <c r="P184" i="100" s="1"/>
  <c r="P200" i="100" s="1"/>
  <c r="P218" i="100" s="1"/>
  <c r="P273" i="100" s="1"/>
  <c r="P281" i="100" s="1"/>
  <c r="P302" i="100" s="1"/>
  <c r="AB96" i="3" s="1"/>
  <c r="AB146" i="3" s="1"/>
  <c r="Y28" i="3"/>
  <c r="AB153" i="3"/>
  <c r="AD227" i="100"/>
  <c r="S191" i="3"/>
  <c r="Q51" i="100"/>
  <c r="AG155" i="3"/>
  <c r="S29" i="3"/>
  <c r="AA83" i="3"/>
  <c r="AL151" i="3"/>
  <c r="H192" i="3"/>
  <c r="H160" i="3"/>
  <c r="Q191" i="3"/>
  <c r="S60" i="100"/>
  <c r="Q68" i="3" s="1"/>
  <c r="G163" i="3"/>
  <c r="G195" i="3"/>
  <c r="G217" i="3" s="1"/>
  <c r="Y151" i="3"/>
  <c r="P28" i="3"/>
  <c r="AE154" i="3"/>
  <c r="AM83" i="3"/>
  <c r="W28" i="3"/>
  <c r="AL162" i="3"/>
  <c r="AL194" i="3"/>
  <c r="AL216" i="3" s="1"/>
  <c r="AF160" i="3"/>
  <c r="AF192" i="3"/>
  <c r="T151" i="3"/>
  <c r="M51" i="100"/>
  <c r="R151" i="3"/>
  <c r="M154" i="3"/>
  <c r="P48" i="100"/>
  <c r="L83" i="3"/>
  <c r="H125" i="100"/>
  <c r="H126" i="100"/>
  <c r="H128" i="100"/>
  <c r="H124" i="100"/>
  <c r="H127" i="100"/>
  <c r="H123" i="100"/>
  <c r="F157" i="100"/>
  <c r="F159" i="100"/>
  <c r="F158" i="100"/>
  <c r="F155" i="100"/>
  <c r="F156" i="100"/>
  <c r="F154" i="100"/>
  <c r="O87" i="100"/>
  <c r="Q70" i="3"/>
  <c r="AP70" i="3"/>
  <c r="X51" i="100"/>
  <c r="I36" i="3"/>
  <c r="I41" i="3" s="1"/>
  <c r="K160" i="3"/>
  <c r="K192" i="3"/>
  <c r="F160" i="3"/>
  <c r="F192" i="3"/>
  <c r="AD33" i="100"/>
  <c r="AD34" i="100" s="1"/>
  <c r="T60" i="100"/>
  <c r="R68" i="3" s="1"/>
  <c r="AF36" i="3"/>
  <c r="AF41" i="3" s="1"/>
  <c r="U83" i="3"/>
  <c r="AE30" i="100"/>
  <c r="Q28" i="3"/>
  <c r="T227" i="100"/>
  <c r="Q159" i="100"/>
  <c r="Q157" i="100"/>
  <c r="Q154" i="100"/>
  <c r="Q155" i="100"/>
  <c r="Q156" i="100"/>
  <c r="Q158" i="100"/>
  <c r="AN36" i="3"/>
  <c r="AN41" i="3" s="1"/>
  <c r="R69" i="122"/>
  <c r="S28" i="3"/>
  <c r="U51" i="100"/>
  <c r="J162" i="3"/>
  <c r="J194" i="3"/>
  <c r="J216" i="3" s="1"/>
  <c r="AC155" i="3"/>
  <c r="U227" i="100"/>
  <c r="M28" i="3"/>
  <c r="V154" i="3"/>
  <c r="AC191" i="3"/>
  <c r="F191" i="3"/>
  <c r="V36" i="3"/>
  <c r="V41" i="3" s="1"/>
  <c r="L36" i="3"/>
  <c r="L41" i="3" s="1"/>
  <c r="W191" i="3"/>
  <c r="AE264" i="100"/>
  <c r="AE263" i="100"/>
  <c r="AE265" i="100"/>
  <c r="AE260" i="100"/>
  <c r="AE262" i="100"/>
  <c r="AE261" i="100"/>
  <c r="G83" i="3"/>
  <c r="N28" i="3"/>
  <c r="AE33" i="100"/>
  <c r="AE34" i="100" s="1"/>
  <c r="W29" i="3"/>
  <c r="V155" i="3"/>
  <c r="O48" i="100"/>
  <c r="R17" i="122"/>
  <c r="L151" i="3"/>
  <c r="O191" i="3"/>
  <c r="AJ29" i="3"/>
  <c r="AE29" i="3"/>
  <c r="O83" i="3"/>
  <c r="AB195" i="3"/>
  <c r="AB217" i="3" s="1"/>
  <c r="AB163" i="3"/>
  <c r="U192" i="3"/>
  <c r="U160" i="3"/>
  <c r="Y191" i="3"/>
  <c r="Y194" i="3"/>
  <c r="Y216" i="3" s="1"/>
  <c r="AI70" i="3"/>
  <c r="N70" i="3"/>
  <c r="AM70" i="3"/>
  <c r="R154" i="100"/>
  <c r="R155" i="100"/>
  <c r="R156" i="100"/>
  <c r="R158" i="100"/>
  <c r="R157" i="100"/>
  <c r="R159" i="100"/>
  <c r="AA151" i="3"/>
  <c r="U176" i="100"/>
  <c r="U184" i="100" s="1"/>
  <c r="U200" i="100" s="1"/>
  <c r="U218" i="100" s="1"/>
  <c r="M171" i="100"/>
  <c r="M179" i="100" s="1"/>
  <c r="M195" i="100" s="1"/>
  <c r="M213" i="100" s="1"/>
  <c r="M268" i="100" s="1"/>
  <c r="M276" i="100" s="1"/>
  <c r="M297" i="100" s="1"/>
  <c r="J91" i="3" s="1"/>
  <c r="J141" i="3" s="1"/>
  <c r="O40" i="3"/>
  <c r="W40" i="3"/>
  <c r="N68" i="3"/>
  <c r="AI68" i="3"/>
  <c r="AM68" i="3"/>
  <c r="Q78" i="3"/>
  <c r="AG68" i="3"/>
  <c r="AG73" i="3" s="1"/>
  <c r="AG63" i="3" s="1"/>
  <c r="DF14" i="99" s="1"/>
  <c r="DF16" i="99" s="1"/>
  <c r="F68" i="3"/>
  <c r="T68" i="3"/>
  <c r="T73" i="3" s="1"/>
  <c r="Z78" i="3"/>
  <c r="Z83" i="3" s="1"/>
  <c r="AF78" i="3"/>
  <c r="AF83" i="3" s="1"/>
  <c r="M46" i="7"/>
  <c r="F33" i="164"/>
  <c r="F31" i="164"/>
  <c r="F34" i="164"/>
  <c r="G31" i="164"/>
  <c r="D129" i="14"/>
  <c r="F32" i="179"/>
  <c r="E32" i="164"/>
  <c r="G32" i="180"/>
  <c r="E32" i="181"/>
  <c r="F36" i="164"/>
  <c r="D32" i="179"/>
  <c r="E34" i="164"/>
  <c r="F32" i="181"/>
  <c r="F32" i="164"/>
  <c r="G34" i="164"/>
  <c r="D31" i="164"/>
  <c r="D32" i="164"/>
  <c r="D34" i="164"/>
  <c r="E31" i="164"/>
  <c r="G32" i="164"/>
  <c r="D36" i="164"/>
  <c r="G32" i="181"/>
  <c r="E32" i="179"/>
  <c r="F32" i="180"/>
  <c r="D133" i="14"/>
  <c r="G33" i="164"/>
  <c r="D32" i="181"/>
  <c r="D32" i="180"/>
  <c r="D33" i="164"/>
  <c r="D134" i="14"/>
  <c r="E32" i="180"/>
  <c r="E33" i="164"/>
  <c r="G32" i="179"/>
  <c r="E36" i="164"/>
  <c r="G36" i="164"/>
  <c r="F10" i="14"/>
  <c r="L47" i="100" s="1"/>
  <c r="E10" i="14"/>
  <c r="Q173" i="100" l="1"/>
  <c r="Q181" i="100" s="1"/>
  <c r="Q197" i="100" s="1"/>
  <c r="Q215" i="100" s="1"/>
  <c r="Q270" i="100" s="1"/>
  <c r="Q278" i="100" s="1"/>
  <c r="Q299" i="100" s="1"/>
  <c r="AJ93" i="3" s="1"/>
  <c r="AJ143" i="3" s="1"/>
  <c r="AJ174" i="3" s="1"/>
  <c r="AJ184" i="3" s="1"/>
  <c r="P174" i="100"/>
  <c r="P182" i="100" s="1"/>
  <c r="P198" i="100" s="1"/>
  <c r="P216" i="100" s="1"/>
  <c r="P271" i="100" s="1"/>
  <c r="P279" i="100" s="1"/>
  <c r="P300" i="100" s="1"/>
  <c r="AB94" i="3" s="1"/>
  <c r="AB144" i="3" s="1"/>
  <c r="G40" i="3"/>
  <c r="U40" i="3"/>
  <c r="F52" i="100"/>
  <c r="Y171" i="100"/>
  <c r="Y179" i="100" s="1"/>
  <c r="Y195" i="100" s="1"/>
  <c r="Y213" i="100" s="1"/>
  <c r="Y268" i="100" s="1"/>
  <c r="Y276" i="100" s="1"/>
  <c r="Y297" i="100" s="1"/>
  <c r="I91" i="3" s="1"/>
  <c r="I141" i="3" s="1"/>
  <c r="Y176" i="100"/>
  <c r="Y184" i="100" s="1"/>
  <c r="Y200" i="100" s="1"/>
  <c r="Y218" i="100" s="1"/>
  <c r="Y273" i="100" s="1"/>
  <c r="Y281" i="100" s="1"/>
  <c r="Y302" i="100" s="1"/>
  <c r="I96" i="3" s="1"/>
  <c r="I146" i="3" s="1"/>
  <c r="Q52" i="100"/>
  <c r="U63" i="3"/>
  <c r="CT14" i="97" s="1"/>
  <c r="AP68" i="3"/>
  <c r="AP73" i="3" s="1"/>
  <c r="AP63" i="3" s="1"/>
  <c r="DO14" i="97" s="1"/>
  <c r="DO16" i="97" s="1"/>
  <c r="Q73" i="3"/>
  <c r="AB177" i="3"/>
  <c r="AB187" i="3" s="1"/>
  <c r="AB208" i="3" s="1"/>
  <c r="N73" i="3"/>
  <c r="N63" i="3" s="1"/>
  <c r="CM14" i="99" s="1"/>
  <c r="CM16" i="99" s="1"/>
  <c r="V40" i="3"/>
  <c r="P52" i="100"/>
  <c r="AC40" i="3"/>
  <c r="R175" i="100"/>
  <c r="R183" i="100" s="1"/>
  <c r="R199" i="100" s="1"/>
  <c r="R217" i="100" s="1"/>
  <c r="R272" i="100" s="1"/>
  <c r="R280" i="100" s="1"/>
  <c r="R301" i="100" s="1"/>
  <c r="O95" i="3" s="1"/>
  <c r="O145" i="3" s="1"/>
  <c r="O176" i="3" s="1"/>
  <c r="O186" i="3" s="1"/>
  <c r="O207" i="3" s="1"/>
  <c r="Y174" i="100"/>
  <c r="Y182" i="100" s="1"/>
  <c r="Y198" i="100" s="1"/>
  <c r="Y216" i="100" s="1"/>
  <c r="Y271" i="100" s="1"/>
  <c r="Y279" i="100" s="1"/>
  <c r="Y300" i="100" s="1"/>
  <c r="I94" i="3" s="1"/>
  <c r="I144" i="3" s="1"/>
  <c r="Y172" i="100"/>
  <c r="Y180" i="100" s="1"/>
  <c r="Y196" i="100" s="1"/>
  <c r="Y214" i="100" s="1"/>
  <c r="Y269" i="100" s="1"/>
  <c r="Y277" i="100" s="1"/>
  <c r="Y298" i="100" s="1"/>
  <c r="I92" i="3" s="1"/>
  <c r="I142" i="3" s="1"/>
  <c r="S171" i="100"/>
  <c r="S179" i="100" s="1"/>
  <c r="S195" i="100" s="1"/>
  <c r="S213" i="100" s="1"/>
  <c r="S268" i="100" s="1"/>
  <c r="S276" i="100" s="1"/>
  <c r="S297" i="100" s="1"/>
  <c r="AP91" i="3" s="1"/>
  <c r="AP141" i="3" s="1"/>
  <c r="AP172" i="3" s="1"/>
  <c r="AP182" i="3" s="1"/>
  <c r="L174" i="100"/>
  <c r="L182" i="100" s="1"/>
  <c r="L198" i="100" s="1"/>
  <c r="L216" i="100" s="1"/>
  <c r="L271" i="100" s="1"/>
  <c r="L279" i="100" s="1"/>
  <c r="L300" i="100" s="1"/>
  <c r="H94" i="3" s="1"/>
  <c r="H144" i="3" s="1"/>
  <c r="L173" i="100"/>
  <c r="L181" i="100" s="1"/>
  <c r="L197" i="100" s="1"/>
  <c r="L215" i="100" s="1"/>
  <c r="L270" i="100" s="1"/>
  <c r="L278" i="100" s="1"/>
  <c r="L299" i="100" s="1"/>
  <c r="H93" i="3" s="1"/>
  <c r="H143" i="3" s="1"/>
  <c r="T176" i="100"/>
  <c r="T184" i="100" s="1"/>
  <c r="T200" i="100" s="1"/>
  <c r="T218" i="100" s="1"/>
  <c r="T273" i="100" s="1"/>
  <c r="T281" i="100" s="1"/>
  <c r="T302" i="100" s="1"/>
  <c r="R96" i="3" s="1"/>
  <c r="R146" i="3" s="1"/>
  <c r="R177" i="3" s="1"/>
  <c r="R187" i="3" s="1"/>
  <c r="R208" i="3" s="1"/>
  <c r="N175" i="100"/>
  <c r="N183" i="100" s="1"/>
  <c r="N199" i="100" s="1"/>
  <c r="N217" i="100" s="1"/>
  <c r="N272" i="100" s="1"/>
  <c r="N280" i="100" s="1"/>
  <c r="N301" i="100" s="1"/>
  <c r="P95" i="3" s="1"/>
  <c r="P145" i="3" s="1"/>
  <c r="V174" i="100"/>
  <c r="V182" i="100" s="1"/>
  <c r="V198" i="100" s="1"/>
  <c r="V216" i="100" s="1"/>
  <c r="V271" i="100" s="1"/>
  <c r="V279" i="100" s="1"/>
  <c r="V300" i="100" s="1"/>
  <c r="AC94" i="3" s="1"/>
  <c r="AC144" i="3" s="1"/>
  <c r="AC175" i="3" s="1"/>
  <c r="AC185" i="3" s="1"/>
  <c r="AC206" i="3" s="1"/>
  <c r="V171" i="100"/>
  <c r="V179" i="100" s="1"/>
  <c r="V195" i="100" s="1"/>
  <c r="V213" i="100" s="1"/>
  <c r="AL273" i="100"/>
  <c r="AL281" i="100" s="1"/>
  <c r="AL302" i="100" s="1"/>
  <c r="P78" i="3"/>
  <c r="P83" i="3" s="1"/>
  <c r="P63" i="3" s="1"/>
  <c r="H40" i="3"/>
  <c r="U273" i="100"/>
  <c r="U281" i="100" s="1"/>
  <c r="U302" i="100" s="1"/>
  <c r="Q104" i="3" s="1"/>
  <c r="Q155" i="3" s="1"/>
  <c r="AE268" i="100"/>
  <c r="AE276" i="100" s="1"/>
  <c r="AE297" i="100" s="1"/>
  <c r="Q176" i="100"/>
  <c r="Q184" i="100" s="1"/>
  <c r="Q200" i="100" s="1"/>
  <c r="Q218" i="100" s="1"/>
  <c r="Q273" i="100" s="1"/>
  <c r="Q281" i="100" s="1"/>
  <c r="Q302" i="100" s="1"/>
  <c r="AJ96" i="3" s="1"/>
  <c r="AJ146" i="3" s="1"/>
  <c r="AJ177" i="3" s="1"/>
  <c r="AJ187" i="3" s="1"/>
  <c r="AJ208" i="3" s="1"/>
  <c r="O176" i="100"/>
  <c r="O184" i="100" s="1"/>
  <c r="O200" i="100" s="1"/>
  <c r="O218" i="100" s="1"/>
  <c r="O273" i="100" s="1"/>
  <c r="O281" i="100" s="1"/>
  <c r="O302" i="100" s="1"/>
  <c r="AB175" i="3"/>
  <c r="AB185" i="3" s="1"/>
  <c r="AB206" i="3" s="1"/>
  <c r="AE40" i="3"/>
  <c r="U175" i="100"/>
  <c r="U183" i="100" s="1"/>
  <c r="U199" i="100" s="1"/>
  <c r="U217" i="100" s="1"/>
  <c r="U272" i="100" s="1"/>
  <c r="U280" i="100" s="1"/>
  <c r="U301" i="100" s="1"/>
  <c r="K176" i="100"/>
  <c r="K184" i="100" s="1"/>
  <c r="K200" i="100" s="1"/>
  <c r="K218" i="100" s="1"/>
  <c r="P173" i="100"/>
  <c r="P181" i="100" s="1"/>
  <c r="P197" i="100" s="1"/>
  <c r="P215" i="100" s="1"/>
  <c r="P270" i="100" s="1"/>
  <c r="P278" i="100" s="1"/>
  <c r="P299" i="100" s="1"/>
  <c r="AB93" i="3" s="1"/>
  <c r="AB143" i="3" s="1"/>
  <c r="S52" i="100"/>
  <c r="V63" i="3"/>
  <c r="CU14" i="99" s="1"/>
  <c r="CU16" i="99" s="1"/>
  <c r="K68" i="3"/>
  <c r="K73" i="3" s="1"/>
  <c r="J172" i="100"/>
  <c r="J180" i="100" s="1"/>
  <c r="J196" i="100" s="1"/>
  <c r="J214" i="100" s="1"/>
  <c r="P171" i="100"/>
  <c r="P179" i="100" s="1"/>
  <c r="P195" i="100" s="1"/>
  <c r="P213" i="100" s="1"/>
  <c r="P268" i="100" s="1"/>
  <c r="P276" i="100" s="1"/>
  <c r="P297" i="100" s="1"/>
  <c r="Y91" i="3" s="1"/>
  <c r="Y141" i="3" s="1"/>
  <c r="Y172" i="3" s="1"/>
  <c r="Y182" i="3" s="1"/>
  <c r="N172" i="100"/>
  <c r="N180" i="100" s="1"/>
  <c r="N196" i="100" s="1"/>
  <c r="N214" i="100" s="1"/>
  <c r="N269" i="100" s="1"/>
  <c r="N277" i="100" s="1"/>
  <c r="N298" i="100" s="1"/>
  <c r="P92" i="3" s="1"/>
  <c r="P142" i="3" s="1"/>
  <c r="M173" i="100"/>
  <c r="M181" i="100" s="1"/>
  <c r="M197" i="100" s="1"/>
  <c r="M215" i="100" s="1"/>
  <c r="M270" i="100" s="1"/>
  <c r="M278" i="100" s="1"/>
  <c r="M299" i="100" s="1"/>
  <c r="J93" i="3" s="1"/>
  <c r="J143" i="3" s="1"/>
  <c r="J173" i="100"/>
  <c r="J181" i="100" s="1"/>
  <c r="J197" i="100" s="1"/>
  <c r="J215" i="100" s="1"/>
  <c r="AD273" i="100"/>
  <c r="AD281" i="100" s="1"/>
  <c r="AD302" i="100" s="1"/>
  <c r="M174" i="100"/>
  <c r="M182" i="100" s="1"/>
  <c r="M198" i="100" s="1"/>
  <c r="M216" i="100" s="1"/>
  <c r="M271" i="100" s="1"/>
  <c r="M279" i="100" s="1"/>
  <c r="M300" i="100" s="1"/>
  <c r="J94" i="3" s="1"/>
  <c r="J144" i="3" s="1"/>
  <c r="M52" i="100"/>
  <c r="U270" i="100"/>
  <c r="U278" i="100" s="1"/>
  <c r="U299" i="100" s="1"/>
  <c r="P101" i="3" s="1"/>
  <c r="P152" i="3" s="1"/>
  <c r="O73" i="3"/>
  <c r="O63" i="3" s="1"/>
  <c r="CN14" i="98" s="1"/>
  <c r="CN16" i="98" s="1"/>
  <c r="V52" i="100"/>
  <c r="G68" i="3"/>
  <c r="G73" i="3" s="1"/>
  <c r="G63" i="3" s="1"/>
  <c r="CF14" i="97" s="1"/>
  <c r="AL68" i="3"/>
  <c r="AL73" i="3" s="1"/>
  <c r="R174" i="100"/>
  <c r="R182" i="100" s="1"/>
  <c r="R198" i="100" s="1"/>
  <c r="R216" i="100" s="1"/>
  <c r="R271" i="100" s="1"/>
  <c r="R279" i="100" s="1"/>
  <c r="R300" i="100" s="1"/>
  <c r="O94" i="3" s="1"/>
  <c r="O144" i="3" s="1"/>
  <c r="O175" i="3" s="1"/>
  <c r="O185" i="3" s="1"/>
  <c r="O206" i="3" s="1"/>
  <c r="S174" i="100"/>
  <c r="S182" i="100" s="1"/>
  <c r="S198" i="100" s="1"/>
  <c r="S216" i="100" s="1"/>
  <c r="S271" i="100" s="1"/>
  <c r="S279" i="100" s="1"/>
  <c r="S300" i="100" s="1"/>
  <c r="AP94" i="3" s="1"/>
  <c r="AP144" i="3" s="1"/>
  <c r="AP175" i="3" s="1"/>
  <c r="AP185" i="3" s="1"/>
  <c r="AP206" i="3" s="1"/>
  <c r="Y175" i="100"/>
  <c r="Y183" i="100" s="1"/>
  <c r="Y199" i="100" s="1"/>
  <c r="Y217" i="100" s="1"/>
  <c r="Y272" i="100" s="1"/>
  <c r="Y280" i="100" s="1"/>
  <c r="Y301" i="100" s="1"/>
  <c r="I95" i="3" s="1"/>
  <c r="I145" i="3" s="1"/>
  <c r="T171" i="100"/>
  <c r="T179" i="100" s="1"/>
  <c r="T195" i="100" s="1"/>
  <c r="T213" i="100" s="1"/>
  <c r="T268" i="100" s="1"/>
  <c r="T276" i="100" s="1"/>
  <c r="T297" i="100" s="1"/>
  <c r="R91" i="3" s="1"/>
  <c r="R141" i="3" s="1"/>
  <c r="R172" i="3" s="1"/>
  <c r="R182" i="3" s="1"/>
  <c r="V172" i="100"/>
  <c r="V180" i="100" s="1"/>
  <c r="V196" i="100" s="1"/>
  <c r="V214" i="100" s="1"/>
  <c r="V269" i="100" s="1"/>
  <c r="V277" i="100" s="1"/>
  <c r="V298" i="100" s="1"/>
  <c r="AC92" i="3" s="1"/>
  <c r="AC142" i="3" s="1"/>
  <c r="AC173" i="3" s="1"/>
  <c r="AC183" i="3" s="1"/>
  <c r="AI73" i="3"/>
  <c r="AI63" i="3" s="1"/>
  <c r="DH14" i="98" s="1"/>
  <c r="DH16" i="98" s="1"/>
  <c r="N40" i="3"/>
  <c r="CL14" i="97"/>
  <c r="CL16" i="97" s="1"/>
  <c r="K52" i="100"/>
  <c r="V268" i="100"/>
  <c r="V276" i="100" s="1"/>
  <c r="V297" i="100" s="1"/>
  <c r="AC91" i="3" s="1"/>
  <c r="AC141" i="3" s="1"/>
  <c r="AC172" i="3" s="1"/>
  <c r="AC182" i="3" s="1"/>
  <c r="H78" i="3"/>
  <c r="H83" i="3" s="1"/>
  <c r="H63" i="3" s="1"/>
  <c r="CG14" i="98" s="1"/>
  <c r="CG16" i="98" s="1"/>
  <c r="AL268" i="100"/>
  <c r="AL276" i="100" s="1"/>
  <c r="AL297" i="100" s="1"/>
  <c r="S175" i="100"/>
  <c r="S183" i="100" s="1"/>
  <c r="S199" i="100" s="1"/>
  <c r="S217" i="100" s="1"/>
  <c r="S272" i="100" s="1"/>
  <c r="S280" i="100" s="1"/>
  <c r="S301" i="100" s="1"/>
  <c r="AP95" i="3" s="1"/>
  <c r="AP145" i="3" s="1"/>
  <c r="AP176" i="3" s="1"/>
  <c r="AP186" i="3" s="1"/>
  <c r="AP207" i="3" s="1"/>
  <c r="K40" i="3"/>
  <c r="L175" i="100"/>
  <c r="L183" i="100" s="1"/>
  <c r="L199" i="100" s="1"/>
  <c r="L217" i="100" s="1"/>
  <c r="L272" i="100" s="1"/>
  <c r="L280" i="100" s="1"/>
  <c r="L301" i="100" s="1"/>
  <c r="H95" i="3" s="1"/>
  <c r="H145" i="3" s="1"/>
  <c r="O175" i="100"/>
  <c r="O183" i="100" s="1"/>
  <c r="O199" i="100" s="1"/>
  <c r="O217" i="100" s="1"/>
  <c r="O272" i="100" s="1"/>
  <c r="O280" i="100" s="1"/>
  <c r="O301" i="100" s="1"/>
  <c r="X175" i="100"/>
  <c r="X183" i="100" s="1"/>
  <c r="X199" i="100" s="1"/>
  <c r="X217" i="100" s="1"/>
  <c r="X272" i="100" s="1"/>
  <c r="X280" i="100" s="1"/>
  <c r="X301" i="100" s="1"/>
  <c r="K95" i="3" s="1"/>
  <c r="K145" i="3" s="1"/>
  <c r="K176" i="3" s="1"/>
  <c r="K186" i="3" s="1"/>
  <c r="K207" i="3" s="1"/>
  <c r="AB174" i="3"/>
  <c r="AB184" i="3" s="1"/>
  <c r="AL272" i="100"/>
  <c r="AL280" i="100" s="1"/>
  <c r="AL301" i="100" s="1"/>
  <c r="J78" i="3"/>
  <c r="J83" i="3" s="1"/>
  <c r="J63" i="3" s="1"/>
  <c r="CI14" i="140" s="1"/>
  <c r="CI16" i="140" s="1"/>
  <c r="I78" i="3"/>
  <c r="I83" i="3" s="1"/>
  <c r="I63" i="3" s="1"/>
  <c r="CH14" i="140" s="1"/>
  <c r="CH16" i="140" s="1"/>
  <c r="K63" i="3"/>
  <c r="CJ14" i="97" s="1"/>
  <c r="CJ16" i="97" s="1"/>
  <c r="F40" i="3"/>
  <c r="R19" i="122" s="1"/>
  <c r="X40" i="3"/>
  <c r="Y40" i="100"/>
  <c r="T174" i="100"/>
  <c r="T182" i="100" s="1"/>
  <c r="T198" i="100" s="1"/>
  <c r="T216" i="100" s="1"/>
  <c r="T271" i="100" s="1"/>
  <c r="T279" i="100" s="1"/>
  <c r="T300" i="100" s="1"/>
  <c r="R94" i="3" s="1"/>
  <c r="R144" i="3" s="1"/>
  <c r="R175" i="3" s="1"/>
  <c r="R185" i="3" s="1"/>
  <c r="R206" i="3" s="1"/>
  <c r="P40" i="3"/>
  <c r="K172" i="100"/>
  <c r="K180" i="100" s="1"/>
  <c r="K196" i="100" s="1"/>
  <c r="K214" i="100" s="1"/>
  <c r="AD268" i="100"/>
  <c r="AD276" i="100" s="1"/>
  <c r="AD297" i="100" s="1"/>
  <c r="AF68" i="3"/>
  <c r="AF73" i="3" s="1"/>
  <c r="AF63" i="3" s="1"/>
  <c r="DE14" i="99" s="1"/>
  <c r="DE16" i="99" s="1"/>
  <c r="AE68" i="3"/>
  <c r="AE73" i="3" s="1"/>
  <c r="AE63" i="3" s="1"/>
  <c r="DD14" i="98" s="1"/>
  <c r="DD16" i="98" s="1"/>
  <c r="DN14" i="98"/>
  <c r="DN16" i="98" s="1"/>
  <c r="P175" i="100"/>
  <c r="P183" i="100" s="1"/>
  <c r="P199" i="100" s="1"/>
  <c r="P217" i="100" s="1"/>
  <c r="P272" i="100" s="1"/>
  <c r="P280" i="100" s="1"/>
  <c r="P301" i="100" s="1"/>
  <c r="AE95" i="3" s="1"/>
  <c r="AE145" i="3" s="1"/>
  <c r="AE176" i="3" s="1"/>
  <c r="AE186" i="3" s="1"/>
  <c r="AE207" i="3" s="1"/>
  <c r="U171" i="100"/>
  <c r="U179" i="100" s="1"/>
  <c r="U195" i="100" s="1"/>
  <c r="U213" i="100" s="1"/>
  <c r="U268" i="100" s="1"/>
  <c r="U276" i="100" s="1"/>
  <c r="U297" i="100" s="1"/>
  <c r="P99" i="3" s="1"/>
  <c r="P150" i="3" s="1"/>
  <c r="O173" i="100"/>
  <c r="O181" i="100" s="1"/>
  <c r="O197" i="100" s="1"/>
  <c r="O215" i="100" s="1"/>
  <c r="O270" i="100" s="1"/>
  <c r="O278" i="100" s="1"/>
  <c r="O299" i="100" s="1"/>
  <c r="N171" i="100"/>
  <c r="N179" i="100" s="1"/>
  <c r="N195" i="100" s="1"/>
  <c r="N213" i="100" s="1"/>
  <c r="N268" i="100" s="1"/>
  <c r="N276" i="100" s="1"/>
  <c r="N297" i="100" s="1"/>
  <c r="P91" i="3" s="1"/>
  <c r="P141" i="3" s="1"/>
  <c r="Y173" i="100"/>
  <c r="Y181" i="100" s="1"/>
  <c r="Y197" i="100" s="1"/>
  <c r="Y215" i="100" s="1"/>
  <c r="Y270" i="100" s="1"/>
  <c r="Y278" i="100" s="1"/>
  <c r="Y299" i="100" s="1"/>
  <c r="I93" i="3" s="1"/>
  <c r="I143" i="3" s="1"/>
  <c r="W63" i="3"/>
  <c r="CV14" i="99" s="1"/>
  <c r="CV16" i="99" s="1"/>
  <c r="O174" i="100"/>
  <c r="O182" i="100" s="1"/>
  <c r="O198" i="100" s="1"/>
  <c r="O216" i="100" s="1"/>
  <c r="O271" i="100" s="1"/>
  <c r="O279" i="100" s="1"/>
  <c r="O300" i="100" s="1"/>
  <c r="AL270" i="100"/>
  <c r="AL278" i="100" s="1"/>
  <c r="AL299" i="100" s="1"/>
  <c r="H52" i="100"/>
  <c r="T63" i="3"/>
  <c r="CS14" i="97" s="1"/>
  <c r="CS16" i="97" s="1"/>
  <c r="AD272" i="100"/>
  <c r="AD280" i="100" s="1"/>
  <c r="AD301" i="100" s="1"/>
  <c r="Y68" i="3"/>
  <c r="Y73" i="3" s="1"/>
  <c r="Y63" i="3" s="1"/>
  <c r="CX14" i="99" s="1"/>
  <c r="CX16" i="99" s="1"/>
  <c r="R176" i="100"/>
  <c r="R184" i="100" s="1"/>
  <c r="R200" i="100" s="1"/>
  <c r="R218" i="100" s="1"/>
  <c r="R273" i="100" s="1"/>
  <c r="R281" i="100" s="1"/>
  <c r="R302" i="100" s="1"/>
  <c r="O96" i="3" s="1"/>
  <c r="O146" i="3" s="1"/>
  <c r="O177" i="3" s="1"/>
  <c r="O187" i="3" s="1"/>
  <c r="O208" i="3" s="1"/>
  <c r="U52" i="100"/>
  <c r="Q172" i="100"/>
  <c r="Q180" i="100" s="1"/>
  <c r="Q196" i="100" s="1"/>
  <c r="Q214" i="100" s="1"/>
  <c r="Q269" i="100" s="1"/>
  <c r="Q277" i="100" s="1"/>
  <c r="Q298" i="100" s="1"/>
  <c r="M92" i="3" s="1"/>
  <c r="M142" i="3" s="1"/>
  <c r="M173" i="3" s="1"/>
  <c r="M183" i="3" s="1"/>
  <c r="Q171" i="100"/>
  <c r="Q179" i="100" s="1"/>
  <c r="Q195" i="100" s="1"/>
  <c r="Q213" i="100" s="1"/>
  <c r="Q268" i="100" s="1"/>
  <c r="Q276" i="100" s="1"/>
  <c r="Q297" i="100" s="1"/>
  <c r="AJ91" i="3" s="1"/>
  <c r="AJ141" i="3" s="1"/>
  <c r="AJ172" i="3" s="1"/>
  <c r="AJ182" i="3" s="1"/>
  <c r="J175" i="100"/>
  <c r="J183" i="100" s="1"/>
  <c r="J199" i="100" s="1"/>
  <c r="J217" i="100" s="1"/>
  <c r="AM73" i="3"/>
  <c r="AM63" i="3" s="1"/>
  <c r="DL14" i="99" s="1"/>
  <c r="DL16" i="99" s="1"/>
  <c r="I40" i="3"/>
  <c r="S83" i="3"/>
  <c r="S63" i="3" s="1"/>
  <c r="CR14" i="98" s="1"/>
  <c r="CR16" i="98" s="1"/>
  <c r="AG40" i="3"/>
  <c r="V173" i="100"/>
  <c r="V181" i="100" s="1"/>
  <c r="V197" i="100" s="1"/>
  <c r="V215" i="100" s="1"/>
  <c r="V270" i="100" s="1"/>
  <c r="V278" i="100" s="1"/>
  <c r="V299" i="100" s="1"/>
  <c r="AC93" i="3" s="1"/>
  <c r="AC143" i="3" s="1"/>
  <c r="AC174" i="3" s="1"/>
  <c r="AC184" i="3" s="1"/>
  <c r="L172" i="100"/>
  <c r="L180" i="100" s="1"/>
  <c r="L196" i="100" s="1"/>
  <c r="L214" i="100" s="1"/>
  <c r="L269" i="100" s="1"/>
  <c r="L277" i="100" s="1"/>
  <c r="L298" i="100" s="1"/>
  <c r="H92" i="3" s="1"/>
  <c r="H142" i="3" s="1"/>
  <c r="Q83" i="3"/>
  <c r="P172" i="100"/>
  <c r="P180" i="100" s="1"/>
  <c r="P196" i="100" s="1"/>
  <c r="P214" i="100" s="1"/>
  <c r="P269" i="100" s="1"/>
  <c r="P277" i="100" s="1"/>
  <c r="P298" i="100" s="1"/>
  <c r="AO92" i="3" s="1"/>
  <c r="AO142" i="3" s="1"/>
  <c r="AO173" i="3" s="1"/>
  <c r="AO183" i="3" s="1"/>
  <c r="N52" i="100"/>
  <c r="AC271" i="100"/>
  <c r="AC279" i="100" s="1"/>
  <c r="AC300" i="100" s="1"/>
  <c r="M172" i="100"/>
  <c r="M180" i="100" s="1"/>
  <c r="M196" i="100" s="1"/>
  <c r="M214" i="100" s="1"/>
  <c r="M269" i="100" s="1"/>
  <c r="M277" i="100" s="1"/>
  <c r="M298" i="100" s="1"/>
  <c r="J92" i="3" s="1"/>
  <c r="J142" i="3" s="1"/>
  <c r="R173" i="100"/>
  <c r="R181" i="100" s="1"/>
  <c r="R197" i="100" s="1"/>
  <c r="R215" i="100" s="1"/>
  <c r="R270" i="100" s="1"/>
  <c r="R278" i="100" s="1"/>
  <c r="R299" i="100" s="1"/>
  <c r="O93" i="3" s="1"/>
  <c r="O143" i="3" s="1"/>
  <c r="O174" i="3" s="1"/>
  <c r="O184" i="3" s="1"/>
  <c r="AC268" i="100"/>
  <c r="AC276" i="100" s="1"/>
  <c r="AC297" i="100" s="1"/>
  <c r="AE270" i="100"/>
  <c r="AE278" i="100" s="1"/>
  <c r="AE299" i="100" s="1"/>
  <c r="J176" i="100"/>
  <c r="J184" i="100" s="1"/>
  <c r="J200" i="100" s="1"/>
  <c r="J218" i="100" s="1"/>
  <c r="K175" i="100"/>
  <c r="K183" i="100" s="1"/>
  <c r="K199" i="100" s="1"/>
  <c r="K217" i="100" s="1"/>
  <c r="AD270" i="100"/>
  <c r="AD278" i="100" s="1"/>
  <c r="AD299" i="100" s="1"/>
  <c r="X171" i="100"/>
  <c r="X179" i="100" s="1"/>
  <c r="X195" i="100" s="1"/>
  <c r="X213" i="100" s="1"/>
  <c r="X268" i="100" s="1"/>
  <c r="X276" i="100" s="1"/>
  <c r="X297" i="100" s="1"/>
  <c r="K91" i="3" s="1"/>
  <c r="K141" i="3" s="1"/>
  <c r="K172" i="3" s="1"/>
  <c r="K182" i="3" s="1"/>
  <c r="X172" i="100"/>
  <c r="X180" i="100" s="1"/>
  <c r="X196" i="100" s="1"/>
  <c r="X214" i="100" s="1"/>
  <c r="X269" i="100" s="1"/>
  <c r="X277" i="100" s="1"/>
  <c r="X298" i="100" s="1"/>
  <c r="K92" i="3" s="1"/>
  <c r="K142" i="3" s="1"/>
  <c r="K173" i="3" s="1"/>
  <c r="K183" i="3" s="1"/>
  <c r="U172" i="100"/>
  <c r="U180" i="100" s="1"/>
  <c r="U196" i="100" s="1"/>
  <c r="U214" i="100" s="1"/>
  <c r="U269" i="100" s="1"/>
  <c r="U277" i="100" s="1"/>
  <c r="U298" i="100" s="1"/>
  <c r="Q100" i="3" s="1"/>
  <c r="Q151" i="3" s="1"/>
  <c r="O172" i="100"/>
  <c r="O180" i="100" s="1"/>
  <c r="O196" i="100" s="1"/>
  <c r="O214" i="100" s="1"/>
  <c r="O269" i="100" s="1"/>
  <c r="O277" i="100" s="1"/>
  <c r="O298" i="100" s="1"/>
  <c r="O171" i="100"/>
  <c r="O179" i="100" s="1"/>
  <c r="O195" i="100" s="1"/>
  <c r="O213" i="100" s="1"/>
  <c r="O268" i="100" s="1"/>
  <c r="O276" i="100" s="1"/>
  <c r="O297" i="100" s="1"/>
  <c r="N174" i="100"/>
  <c r="N182" i="100" s="1"/>
  <c r="N198" i="100" s="1"/>
  <c r="N216" i="100" s="1"/>
  <c r="N271" i="100" s="1"/>
  <c r="N279" i="100" s="1"/>
  <c r="N300" i="100" s="1"/>
  <c r="P94" i="3" s="1"/>
  <c r="P144" i="3" s="1"/>
  <c r="N176" i="100"/>
  <c r="N184" i="100" s="1"/>
  <c r="N200" i="100" s="1"/>
  <c r="N218" i="100" s="1"/>
  <c r="N273" i="100" s="1"/>
  <c r="N281" i="100" s="1"/>
  <c r="N302" i="100" s="1"/>
  <c r="P96" i="3" s="1"/>
  <c r="P146" i="3" s="1"/>
  <c r="X174" i="100"/>
  <c r="X182" i="100" s="1"/>
  <c r="X198" i="100" s="1"/>
  <c r="X216" i="100" s="1"/>
  <c r="X271" i="100" s="1"/>
  <c r="X279" i="100" s="1"/>
  <c r="X300" i="100" s="1"/>
  <c r="AL94" i="3" s="1"/>
  <c r="AL144" i="3" s="1"/>
  <c r="AL175" i="3" s="1"/>
  <c r="AL185" i="3" s="1"/>
  <c r="AL206" i="3" s="1"/>
  <c r="T175" i="100"/>
  <c r="T183" i="100" s="1"/>
  <c r="T199" i="100" s="1"/>
  <c r="T217" i="100" s="1"/>
  <c r="T272" i="100" s="1"/>
  <c r="T280" i="100" s="1"/>
  <c r="T301" i="100" s="1"/>
  <c r="R95" i="3" s="1"/>
  <c r="R145" i="3" s="1"/>
  <c r="R176" i="3" s="1"/>
  <c r="R186" i="3" s="1"/>
  <c r="R207" i="3" s="1"/>
  <c r="T173" i="100"/>
  <c r="T181" i="100" s="1"/>
  <c r="T197" i="100" s="1"/>
  <c r="T215" i="100" s="1"/>
  <c r="T270" i="100" s="1"/>
  <c r="T278" i="100" s="1"/>
  <c r="T299" i="100" s="1"/>
  <c r="R93" i="3" s="1"/>
  <c r="R143" i="3" s="1"/>
  <c r="R174" i="3" s="1"/>
  <c r="R184" i="3" s="1"/>
  <c r="N173" i="100"/>
  <c r="N181" i="100" s="1"/>
  <c r="N197" i="100" s="1"/>
  <c r="N215" i="100" s="1"/>
  <c r="N270" i="100" s="1"/>
  <c r="N278" i="100" s="1"/>
  <c r="N299" i="100" s="1"/>
  <c r="P93" i="3" s="1"/>
  <c r="P143" i="3" s="1"/>
  <c r="L171" i="100"/>
  <c r="L179" i="100" s="1"/>
  <c r="L195" i="100" s="1"/>
  <c r="L213" i="100" s="1"/>
  <c r="L268" i="100" s="1"/>
  <c r="L276" i="100" s="1"/>
  <c r="L297" i="100" s="1"/>
  <c r="H91" i="3" s="1"/>
  <c r="H141" i="3" s="1"/>
  <c r="S176" i="100"/>
  <c r="S184" i="100" s="1"/>
  <c r="S200" i="100" s="1"/>
  <c r="S218" i="100" s="1"/>
  <c r="S273" i="100" s="1"/>
  <c r="S281" i="100" s="1"/>
  <c r="S302" i="100" s="1"/>
  <c r="Q96" i="3" s="1"/>
  <c r="Q146" i="3" s="1"/>
  <c r="U174" i="100"/>
  <c r="U182" i="100" s="1"/>
  <c r="U198" i="100" s="1"/>
  <c r="U216" i="100" s="1"/>
  <c r="U271" i="100" s="1"/>
  <c r="U279" i="100" s="1"/>
  <c r="U300" i="100" s="1"/>
  <c r="S102" i="3" s="1"/>
  <c r="S153" i="3" s="1"/>
  <c r="S173" i="100"/>
  <c r="S181" i="100" s="1"/>
  <c r="S197" i="100" s="1"/>
  <c r="S215" i="100" s="1"/>
  <c r="S270" i="100" s="1"/>
  <c r="S278" i="100" s="1"/>
  <c r="S299" i="100" s="1"/>
  <c r="Q93" i="3" s="1"/>
  <c r="Q143" i="3" s="1"/>
  <c r="R171" i="100"/>
  <c r="R179" i="100" s="1"/>
  <c r="R195" i="100" s="1"/>
  <c r="R213" i="100" s="1"/>
  <c r="R268" i="100" s="1"/>
  <c r="R276" i="100" s="1"/>
  <c r="R297" i="100" s="1"/>
  <c r="O91" i="3" s="1"/>
  <c r="O141" i="3" s="1"/>
  <c r="O172" i="3" s="1"/>
  <c r="O182" i="3" s="1"/>
  <c r="R172" i="100"/>
  <c r="R180" i="100" s="1"/>
  <c r="R196" i="100" s="1"/>
  <c r="R214" i="100" s="1"/>
  <c r="R269" i="100" s="1"/>
  <c r="R277" i="100" s="1"/>
  <c r="R298" i="100" s="1"/>
  <c r="O92" i="3" s="1"/>
  <c r="O142" i="3" s="1"/>
  <c r="O173" i="3" s="1"/>
  <c r="O183" i="3" s="1"/>
  <c r="X63" i="3"/>
  <c r="CW14" i="98" s="1"/>
  <c r="CW16" i="98" s="1"/>
  <c r="AD269" i="100"/>
  <c r="AD277" i="100" s="1"/>
  <c r="AD298" i="100" s="1"/>
  <c r="X176" i="100"/>
  <c r="X184" i="100" s="1"/>
  <c r="X200" i="100" s="1"/>
  <c r="X218" i="100" s="1"/>
  <c r="X273" i="100" s="1"/>
  <c r="X281" i="100" s="1"/>
  <c r="X302" i="100" s="1"/>
  <c r="K96" i="3" s="1"/>
  <c r="K146" i="3" s="1"/>
  <c r="K177" i="3" s="1"/>
  <c r="K187" i="3" s="1"/>
  <c r="K208" i="3" s="1"/>
  <c r="J52" i="100"/>
  <c r="Q174" i="100"/>
  <c r="Q182" i="100" s="1"/>
  <c r="Q198" i="100" s="1"/>
  <c r="Q216" i="100" s="1"/>
  <c r="Q271" i="100" s="1"/>
  <c r="Q279" i="100" s="1"/>
  <c r="Q300" i="100" s="1"/>
  <c r="M94" i="3" s="1"/>
  <c r="M144" i="3" s="1"/>
  <c r="M175" i="3" s="1"/>
  <c r="M185" i="3" s="1"/>
  <c r="M206" i="3" s="1"/>
  <c r="AM40" i="3"/>
  <c r="AC270" i="100"/>
  <c r="AC278" i="100" s="1"/>
  <c r="AC299" i="100" s="1"/>
  <c r="AE273" i="100"/>
  <c r="AE281" i="100" s="1"/>
  <c r="AE302" i="100" s="1"/>
  <c r="X52" i="100"/>
  <c r="L40" i="3"/>
  <c r="Z40" i="3"/>
  <c r="CL14" i="140"/>
  <c r="CL16" i="140" s="1"/>
  <c r="AD68" i="3"/>
  <c r="AD73" i="3" s="1"/>
  <c r="AD63" i="3" s="1"/>
  <c r="DC14" i="140" s="1"/>
  <c r="DC16" i="140" s="1"/>
  <c r="AK68" i="3"/>
  <c r="AK73" i="3" s="1"/>
  <c r="AK63" i="3" s="1"/>
  <c r="DJ14" i="98" s="1"/>
  <c r="DJ16" i="98" s="1"/>
  <c r="AL63" i="3"/>
  <c r="DK14" i="140" s="1"/>
  <c r="DK16" i="140" s="1"/>
  <c r="Q175" i="100"/>
  <c r="Q183" i="100" s="1"/>
  <c r="Q199" i="100" s="1"/>
  <c r="Q217" i="100" s="1"/>
  <c r="Q272" i="100" s="1"/>
  <c r="Q280" i="100" s="1"/>
  <c r="Q301" i="100" s="1"/>
  <c r="AJ95" i="3" s="1"/>
  <c r="AJ145" i="3" s="1"/>
  <c r="AJ176" i="3" s="1"/>
  <c r="AJ186" i="3" s="1"/>
  <c r="AJ207" i="3" s="1"/>
  <c r="Q40" i="3"/>
  <c r="AE272" i="100"/>
  <c r="AE280" i="100" s="1"/>
  <c r="AE301" i="100" s="1"/>
  <c r="AC63" i="3"/>
  <c r="DB14" i="97" s="1"/>
  <c r="DB16" i="97" s="1"/>
  <c r="R40" i="3"/>
  <c r="AA40" i="3"/>
  <c r="AL40" i="3"/>
  <c r="R73" i="3"/>
  <c r="R63" i="3" s="1"/>
  <c r="S172" i="100"/>
  <c r="S180" i="100" s="1"/>
  <c r="S196" i="100" s="1"/>
  <c r="S214" i="100" s="1"/>
  <c r="S269" i="100" s="1"/>
  <c r="S277" i="100" s="1"/>
  <c r="S298" i="100" s="1"/>
  <c r="Q92" i="3" s="1"/>
  <c r="Q142" i="3" s="1"/>
  <c r="V175" i="100"/>
  <c r="V183" i="100" s="1"/>
  <c r="V199" i="100" s="1"/>
  <c r="V217" i="100" s="1"/>
  <c r="V272" i="100" s="1"/>
  <c r="V280" i="100" s="1"/>
  <c r="V301" i="100" s="1"/>
  <c r="AC95" i="3" s="1"/>
  <c r="AC145" i="3" s="1"/>
  <c r="AC176" i="3" s="1"/>
  <c r="AC186" i="3" s="1"/>
  <c r="AC207" i="3" s="1"/>
  <c r="S40" i="3"/>
  <c r="Z73" i="3"/>
  <c r="Z63" i="3" s="1"/>
  <c r="AL271" i="100"/>
  <c r="AL279" i="100" s="1"/>
  <c r="AL300" i="100" s="1"/>
  <c r="J40" i="3"/>
  <c r="L40" i="100"/>
  <c r="CL14" i="98"/>
  <c r="CL16" i="98" s="1"/>
  <c r="AE269" i="100"/>
  <c r="AE277" i="100" s="1"/>
  <c r="AE298" i="100" s="1"/>
  <c r="Y40" i="3"/>
  <c r="AC272" i="100"/>
  <c r="AC280" i="100" s="1"/>
  <c r="AC301" i="100" s="1"/>
  <c r="AC273" i="100"/>
  <c r="AC281" i="100" s="1"/>
  <c r="AC302" i="100" s="1"/>
  <c r="AC269" i="100"/>
  <c r="AC277" i="100" s="1"/>
  <c r="AC298" i="100" s="1"/>
  <c r="AJ40" i="3"/>
  <c r="DN14" i="99"/>
  <c r="DN16" i="99" s="1"/>
  <c r="AB68" i="3"/>
  <c r="AB73" i="3" s="1"/>
  <c r="AB63" i="3" s="1"/>
  <c r="DA14" i="97" s="1"/>
  <c r="DA16" i="97" s="1"/>
  <c r="O52" i="100"/>
  <c r="T172" i="100"/>
  <c r="T180" i="100" s="1"/>
  <c r="T196" i="100" s="1"/>
  <c r="T214" i="100" s="1"/>
  <c r="T269" i="100" s="1"/>
  <c r="T277" i="100" s="1"/>
  <c r="T298" i="100" s="1"/>
  <c r="R92" i="3" s="1"/>
  <c r="R142" i="3" s="1"/>
  <c r="R173" i="3" s="1"/>
  <c r="R183" i="3" s="1"/>
  <c r="M40" i="3"/>
  <c r="AN68" i="3"/>
  <c r="AN73" i="3" s="1"/>
  <c r="AN63" i="3" s="1"/>
  <c r="DM14" i="99" s="1"/>
  <c r="DM16" i="99" s="1"/>
  <c r="AA68" i="3"/>
  <c r="AA73" i="3" s="1"/>
  <c r="AA63" i="3" s="1"/>
  <c r="CZ14" i="97" s="1"/>
  <c r="CZ16" i="97" s="1"/>
  <c r="AE271" i="100"/>
  <c r="AE279" i="100" s="1"/>
  <c r="AE300" i="100" s="1"/>
  <c r="AJ68" i="3"/>
  <c r="AJ73" i="3" s="1"/>
  <c r="AJ63" i="3" s="1"/>
  <c r="DI14" i="98" s="1"/>
  <c r="DI16" i="98" s="1"/>
  <c r="AD271" i="100"/>
  <c r="AD279" i="100" s="1"/>
  <c r="AD300" i="100" s="1"/>
  <c r="L68" i="3"/>
  <c r="L73" i="3" s="1"/>
  <c r="L63" i="3" s="1"/>
  <c r="CK14" i="99" s="1"/>
  <c r="CK16" i="99" s="1"/>
  <c r="DN14" i="140"/>
  <c r="DN16" i="140" s="1"/>
  <c r="AF40" i="3"/>
  <c r="V176" i="100"/>
  <c r="V184" i="100" s="1"/>
  <c r="V200" i="100" s="1"/>
  <c r="V218" i="100" s="1"/>
  <c r="V273" i="100" s="1"/>
  <c r="V281" i="100" s="1"/>
  <c r="V302" i="100" s="1"/>
  <c r="AC96" i="3" s="1"/>
  <c r="AC146" i="3" s="1"/>
  <c r="AC177" i="3" s="1"/>
  <c r="AC187" i="3" s="1"/>
  <c r="AC208" i="3" s="1"/>
  <c r="AD40" i="3"/>
  <c r="J171" i="100"/>
  <c r="J179" i="100" s="1"/>
  <c r="J195" i="100" s="1"/>
  <c r="J213" i="100" s="1"/>
  <c r="AN40" i="3"/>
  <c r="AH94" i="3"/>
  <c r="AH144" i="3" s="1"/>
  <c r="AH175" i="3" s="1"/>
  <c r="AH185" i="3" s="1"/>
  <c r="AH206" i="3" s="1"/>
  <c r="L96" i="3"/>
  <c r="L146" i="3" s="1"/>
  <c r="L177" i="3" s="1"/>
  <c r="L187" i="3" s="1"/>
  <c r="L208" i="3" s="1"/>
  <c r="M93" i="3"/>
  <c r="M143" i="3" s="1"/>
  <c r="M174" i="3" s="1"/>
  <c r="M184" i="3" s="1"/>
  <c r="AE96" i="3"/>
  <c r="AE146" i="3" s="1"/>
  <c r="AE177" i="3" s="1"/>
  <c r="AE187" i="3" s="1"/>
  <c r="AE208" i="3" s="1"/>
  <c r="Y96" i="3"/>
  <c r="Y146" i="3" s="1"/>
  <c r="Y177" i="3" s="1"/>
  <c r="Y187" i="3" s="1"/>
  <c r="Y208" i="3" s="1"/>
  <c r="AO96" i="3"/>
  <c r="AO146" i="3" s="1"/>
  <c r="AO177" i="3" s="1"/>
  <c r="AO187" i="3" s="1"/>
  <c r="AO208" i="3" s="1"/>
  <c r="CM14" i="140"/>
  <c r="CM16" i="140" s="1"/>
  <c r="DF14" i="140"/>
  <c r="DF16" i="140" s="1"/>
  <c r="DF14" i="98"/>
  <c r="DF16" i="98" s="1"/>
  <c r="CT14" i="140"/>
  <c r="CT16" i="140" s="1"/>
  <c r="DF14" i="97"/>
  <c r="DF16" i="97" s="1"/>
  <c r="AO95" i="3"/>
  <c r="AO145" i="3" s="1"/>
  <c r="AO176" i="3" s="1"/>
  <c r="AO186" i="3" s="1"/>
  <c r="AO207" i="3" s="1"/>
  <c r="DG14" i="99"/>
  <c r="DG16" i="99" s="1"/>
  <c r="DG14" i="140"/>
  <c r="DG16" i="140" s="1"/>
  <c r="DG14" i="97"/>
  <c r="DG16" i="97" s="1"/>
  <c r="DG14" i="98"/>
  <c r="DG16" i="98" s="1"/>
  <c r="R50" i="122"/>
  <c r="F73" i="3"/>
  <c r="AL93" i="3"/>
  <c r="AL143" i="3" s="1"/>
  <c r="AL174" i="3" s="1"/>
  <c r="AL184" i="3" s="1"/>
  <c r="AH93" i="3"/>
  <c r="AH143" i="3" s="1"/>
  <c r="AH174" i="3" s="1"/>
  <c r="AH184" i="3" s="1"/>
  <c r="K93" i="3"/>
  <c r="K143" i="3" s="1"/>
  <c r="K174" i="3" s="1"/>
  <c r="K184" i="3" s="1"/>
  <c r="I5" i="76"/>
  <c r="E36" i="191"/>
  <c r="G36" i="191"/>
  <c r="D36" i="191"/>
  <c r="F36" i="191"/>
  <c r="E31" i="191"/>
  <c r="D31" i="191"/>
  <c r="G31" i="191"/>
  <c r="F31" i="191"/>
  <c r="E34" i="191"/>
  <c r="D34" i="191"/>
  <c r="F34" i="191"/>
  <c r="G34" i="191"/>
  <c r="F33" i="191"/>
  <c r="D33" i="191"/>
  <c r="G33" i="191"/>
  <c r="E33" i="191"/>
  <c r="E32" i="191"/>
  <c r="G32" i="191"/>
  <c r="F32" i="191"/>
  <c r="D32" i="191"/>
  <c r="F15" i="14"/>
  <c r="E15" i="14"/>
  <c r="F12" i="14"/>
  <c r="E12" i="14"/>
  <c r="G95" i="145"/>
  <c r="D96" i="159"/>
  <c r="F95" i="150"/>
  <c r="E31" i="182"/>
  <c r="G31" i="168"/>
  <c r="F95" i="145"/>
  <c r="G36" i="23"/>
  <c r="E36" i="31"/>
  <c r="F94" i="158"/>
  <c r="D94" i="155"/>
  <c r="E92" i="80"/>
  <c r="D95" i="105"/>
  <c r="D94" i="158"/>
  <c r="G93" i="80"/>
  <c r="F96" i="80"/>
  <c r="J24" i="76"/>
  <c r="G97" i="103"/>
  <c r="E36" i="169"/>
  <c r="G95" i="175"/>
  <c r="F95" i="148"/>
  <c r="D91" i="94"/>
  <c r="J23" i="76"/>
  <c r="D36" i="179"/>
  <c r="G94" i="158"/>
  <c r="G36" i="21"/>
  <c r="D94" i="146"/>
  <c r="G95" i="106"/>
  <c r="D94" i="159"/>
  <c r="D95" i="148"/>
  <c r="D97" i="39"/>
  <c r="D93" i="29"/>
  <c r="J7" i="76"/>
  <c r="E94" i="172"/>
  <c r="E95" i="29"/>
  <c r="E36" i="180"/>
  <c r="E36" i="90"/>
  <c r="J19" i="76"/>
  <c r="G95" i="143"/>
  <c r="E91" i="25"/>
  <c r="G95" i="94"/>
  <c r="E90" i="154"/>
  <c r="F94" i="149"/>
  <c r="G97" i="29"/>
  <c r="D31" i="33"/>
  <c r="E91" i="80"/>
  <c r="G94" i="144"/>
  <c r="D31" i="168"/>
  <c r="J14" i="76"/>
  <c r="F92" i="29"/>
  <c r="F34" i="21"/>
  <c r="D94" i="28"/>
  <c r="F91" i="105"/>
  <c r="F31" i="35"/>
  <c r="F94" i="25"/>
  <c r="E34" i="21"/>
  <c r="D36" i="171"/>
  <c r="G36" i="90"/>
  <c r="F91" i="172"/>
  <c r="G36" i="32"/>
  <c r="E31" i="170"/>
  <c r="D36" i="23"/>
  <c r="E31" i="35"/>
  <c r="G91" i="160"/>
  <c r="E36" i="21"/>
  <c r="G95" i="148"/>
  <c r="F34" i="179"/>
  <c r="D95" i="29"/>
  <c r="F36" i="180"/>
  <c r="F96" i="103"/>
  <c r="F96" i="172"/>
  <c r="J25" i="76"/>
  <c r="D92" i="80"/>
  <c r="F94" i="146"/>
  <c r="G97" i="39"/>
  <c r="F36" i="171"/>
  <c r="F36" i="182"/>
  <c r="D90" i="155"/>
  <c r="G34" i="179"/>
  <c r="D94" i="39"/>
  <c r="E36" i="23"/>
  <c r="G96" i="29"/>
  <c r="J26" i="76"/>
  <c r="D31" i="31"/>
  <c r="F94" i="29"/>
  <c r="E36" i="189"/>
  <c r="E95" i="142"/>
  <c r="E91" i="28"/>
  <c r="F31" i="170"/>
  <c r="F34" i="170"/>
  <c r="F94" i="28"/>
  <c r="D94" i="160"/>
  <c r="G34" i="35"/>
  <c r="F36" i="179"/>
  <c r="F94" i="94"/>
  <c r="G91" i="103"/>
  <c r="F96" i="29"/>
  <c r="D34" i="179"/>
  <c r="D31" i="23"/>
  <c r="G31" i="22"/>
  <c r="G96" i="160"/>
  <c r="D91" i="160"/>
  <c r="D91" i="105"/>
  <c r="F96" i="25"/>
  <c r="D33" i="182"/>
  <c r="G96" i="144"/>
  <c r="G95" i="105"/>
  <c r="G95" i="153"/>
  <c r="G94" i="160"/>
  <c r="D96" i="106"/>
  <c r="D94" i="147"/>
  <c r="D95" i="143"/>
  <c r="D94" i="103"/>
  <c r="D95" i="172"/>
  <c r="D94" i="157"/>
  <c r="F95" i="175"/>
  <c r="E91" i="103"/>
  <c r="F97" i="80"/>
  <c r="E33" i="182"/>
  <c r="G94" i="94"/>
  <c r="E95" i="143"/>
  <c r="G33" i="182"/>
  <c r="G91" i="28"/>
  <c r="E96" i="160"/>
  <c r="D36" i="181"/>
  <c r="D97" i="172"/>
  <c r="D36" i="90"/>
  <c r="G36" i="181"/>
  <c r="F96" i="159"/>
  <c r="E96" i="103"/>
  <c r="E94" i="106"/>
  <c r="E97" i="105"/>
  <c r="E94" i="159"/>
  <c r="D95" i="145"/>
  <c r="F94" i="156"/>
  <c r="D94" i="156"/>
  <c r="G95" i="149"/>
  <c r="G36" i="168"/>
  <c r="D91" i="159"/>
  <c r="D95" i="94"/>
  <c r="E93" i="154"/>
  <c r="F36" i="23"/>
  <c r="G91" i="80"/>
  <c r="G91" i="172"/>
  <c r="E95" i="155"/>
  <c r="E96" i="94"/>
  <c r="G36" i="169"/>
  <c r="D91" i="28"/>
  <c r="F94" i="154"/>
  <c r="E95" i="106"/>
  <c r="J11" i="76"/>
  <c r="E36" i="170"/>
  <c r="E31" i="169"/>
  <c r="G96" i="80"/>
  <c r="D96" i="160"/>
  <c r="D97" i="105"/>
  <c r="D31" i="90"/>
  <c r="E94" i="25"/>
  <c r="G31" i="90"/>
  <c r="G96" i="105"/>
  <c r="E31" i="171"/>
  <c r="E36" i="179"/>
  <c r="E97" i="29"/>
  <c r="D94" i="152"/>
  <c r="E95" i="103"/>
  <c r="G36" i="179"/>
  <c r="E97" i="106"/>
  <c r="G92" i="106"/>
  <c r="G31" i="169"/>
  <c r="F94" i="106"/>
  <c r="D97" i="29"/>
  <c r="E96" i="28"/>
  <c r="F95" i="174"/>
  <c r="J12" i="76"/>
  <c r="F94" i="160"/>
  <c r="G91" i="39"/>
  <c r="D95" i="39"/>
  <c r="F36" i="90"/>
  <c r="D94" i="80"/>
  <c r="G94" i="103"/>
  <c r="G96" i="106"/>
  <c r="J9" i="76"/>
  <c r="J15" i="76"/>
  <c r="F36" i="169"/>
  <c r="F97" i="94"/>
  <c r="E36" i="181"/>
  <c r="D94" i="154"/>
  <c r="D95" i="142"/>
  <c r="D94" i="153"/>
  <c r="F36" i="21"/>
  <c r="D93" i="155"/>
  <c r="E96" i="80"/>
  <c r="G34" i="21"/>
  <c r="D95" i="144"/>
  <c r="J20" i="76"/>
  <c r="E95" i="154"/>
  <c r="F91" i="39"/>
  <c r="G97" i="106"/>
  <c r="E94" i="174"/>
  <c r="F93" i="153"/>
  <c r="G96" i="175"/>
  <c r="G93" i="103"/>
  <c r="F90" i="157"/>
  <c r="G91" i="176"/>
  <c r="D94" i="143"/>
  <c r="G94" i="176"/>
  <c r="E96" i="106"/>
  <c r="E91" i="39"/>
  <c r="F36" i="189"/>
  <c r="E95" i="172"/>
  <c r="E97" i="172"/>
  <c r="D92" i="29"/>
  <c r="D95" i="155"/>
  <c r="G94" i="155"/>
  <c r="E95" i="144"/>
  <c r="F31" i="31"/>
  <c r="F91" i="160"/>
  <c r="D36" i="31"/>
  <c r="G31" i="170"/>
  <c r="D93" i="154"/>
  <c r="E91" i="174"/>
  <c r="G94" i="175"/>
  <c r="D93" i="172"/>
  <c r="G90" i="158"/>
  <c r="G96" i="94"/>
  <c r="G96" i="150"/>
  <c r="E94" i="150"/>
  <c r="E91" i="142"/>
  <c r="G91" i="145"/>
  <c r="E96" i="145"/>
  <c r="D90" i="158"/>
  <c r="G96" i="25"/>
  <c r="E31" i="31"/>
  <c r="F31" i="168"/>
  <c r="E36" i="33"/>
  <c r="F94" i="153"/>
  <c r="G36" i="22"/>
  <c r="G96" i="172"/>
  <c r="G36" i="189"/>
  <c r="E31" i="90"/>
  <c r="G95" i="142"/>
  <c r="F97" i="103"/>
  <c r="G91" i="25"/>
  <c r="D95" i="103"/>
  <c r="F36" i="181"/>
  <c r="G95" i="29"/>
  <c r="J18" i="76"/>
  <c r="G91" i="94"/>
  <c r="F91" i="159"/>
  <c r="F36" i="32"/>
  <c r="G95" i="80"/>
  <c r="E31" i="168"/>
  <c r="E36" i="171"/>
  <c r="E94" i="149"/>
  <c r="E92" i="106"/>
  <c r="D95" i="175"/>
  <c r="F97" i="29"/>
  <c r="D94" i="25"/>
  <c r="E31" i="22"/>
  <c r="G94" i="146"/>
  <c r="F33" i="182"/>
  <c r="J6" i="76"/>
  <c r="F31" i="21"/>
  <c r="E94" i="146"/>
  <c r="D91" i="39"/>
  <c r="E94" i="155"/>
  <c r="D97" i="103"/>
  <c r="F91" i="25"/>
  <c r="E36" i="32"/>
  <c r="G94" i="29"/>
  <c r="J16" i="76"/>
  <c r="D31" i="182"/>
  <c r="G94" i="106"/>
  <c r="E91" i="159"/>
  <c r="G90" i="149"/>
  <c r="G94" i="39"/>
  <c r="F94" i="105"/>
  <c r="G91" i="144"/>
  <c r="F91" i="29"/>
  <c r="E94" i="176"/>
  <c r="E95" i="151"/>
  <c r="G91" i="174"/>
  <c r="G93" i="153"/>
  <c r="G91" i="142"/>
  <c r="G31" i="33"/>
  <c r="E95" i="156"/>
  <c r="D36" i="189"/>
  <c r="G31" i="182"/>
  <c r="G31" i="35"/>
  <c r="G94" i="28"/>
  <c r="D96" i="105"/>
  <c r="F93" i="106"/>
  <c r="E96" i="105"/>
  <c r="G93" i="29"/>
  <c r="E36" i="182"/>
  <c r="F97" i="106"/>
  <c r="G31" i="31"/>
  <c r="J10" i="76"/>
  <c r="G94" i="152"/>
  <c r="F95" i="143"/>
  <c r="E95" i="146"/>
  <c r="F94" i="143"/>
  <c r="G95" i="154"/>
  <c r="D95" i="151"/>
  <c r="G90" i="154"/>
  <c r="G96" i="142"/>
  <c r="E93" i="172"/>
  <c r="E96" i="143"/>
  <c r="F91" i="142"/>
  <c r="F96" i="175"/>
  <c r="E90" i="156"/>
  <c r="D31" i="32"/>
  <c r="F91" i="103"/>
  <c r="F95" i="80"/>
  <c r="F31" i="169"/>
  <c r="F31" i="22"/>
  <c r="E31" i="23"/>
  <c r="G95" i="150"/>
  <c r="F95" i="29"/>
  <c r="F94" i="152"/>
  <c r="G96" i="159"/>
  <c r="E94" i="158"/>
  <c r="D91" i="25"/>
  <c r="E94" i="152"/>
  <c r="G93" i="106"/>
  <c r="D97" i="106"/>
  <c r="E34" i="23"/>
  <c r="F95" i="172"/>
  <c r="F94" i="147"/>
  <c r="D97" i="94"/>
  <c r="E94" i="160"/>
  <c r="G31" i="21"/>
  <c r="F97" i="172"/>
  <c r="E34" i="170"/>
  <c r="G97" i="80"/>
  <c r="D91" i="172"/>
  <c r="F91" i="28"/>
  <c r="D93" i="152"/>
  <c r="D36" i="170"/>
  <c r="G96" i="143"/>
  <c r="D90" i="146"/>
  <c r="D90" i="149"/>
  <c r="F93" i="157"/>
  <c r="E91" i="29"/>
  <c r="D94" i="29"/>
  <c r="G97" i="105"/>
  <c r="E96" i="29"/>
  <c r="E97" i="39"/>
  <c r="F93" i="29"/>
  <c r="D95" i="146"/>
  <c r="F91" i="143"/>
  <c r="F94" i="174"/>
  <c r="G95" i="146"/>
  <c r="E93" i="146"/>
  <c r="F90" i="154"/>
  <c r="J5" i="76"/>
  <c r="D36" i="35"/>
  <c r="J17" i="76"/>
  <c r="E91" i="105"/>
  <c r="E96" i="150"/>
  <c r="E95" i="149"/>
  <c r="D92" i="152"/>
  <c r="G93" i="158"/>
  <c r="E94" i="148"/>
  <c r="F31" i="33"/>
  <c r="D92" i="149"/>
  <c r="E91" i="150"/>
  <c r="G94" i="143"/>
  <c r="E93" i="103"/>
  <c r="G93" i="145"/>
  <c r="F34" i="181"/>
  <c r="F92" i="158"/>
  <c r="D34" i="189"/>
  <c r="E92" i="146"/>
  <c r="D33" i="21"/>
  <c r="D33" i="35"/>
  <c r="D94" i="175"/>
  <c r="D34" i="181"/>
  <c r="F33" i="169"/>
  <c r="G33" i="189"/>
  <c r="F33" i="168"/>
  <c r="F33" i="31"/>
  <c r="F96" i="161"/>
  <c r="D91" i="103"/>
  <c r="G97" i="94"/>
  <c r="G94" i="151"/>
  <c r="G91" i="159"/>
  <c r="D95" i="147"/>
  <c r="E96" i="148"/>
  <c r="G32" i="90"/>
  <c r="E96" i="159"/>
  <c r="G95" i="103"/>
  <c r="E95" i="145"/>
  <c r="D95" i="152"/>
  <c r="E94" i="94"/>
  <c r="E34" i="35"/>
  <c r="F96" i="94"/>
  <c r="G95" i="151"/>
  <c r="F93" i="149"/>
  <c r="D34" i="169"/>
  <c r="G90" i="155"/>
  <c r="E91" i="175"/>
  <c r="D95" i="157"/>
  <c r="F96" i="145"/>
  <c r="D96" i="143"/>
  <c r="D93" i="143"/>
  <c r="G92" i="149"/>
  <c r="F34" i="180"/>
  <c r="E93" i="143"/>
  <c r="G92" i="156"/>
  <c r="E93" i="174"/>
  <c r="G93" i="144"/>
  <c r="G92" i="103"/>
  <c r="D91" i="142"/>
  <c r="D34" i="182"/>
  <c r="E33" i="189"/>
  <c r="D32" i="168"/>
  <c r="D92" i="94"/>
  <c r="E33" i="90"/>
  <c r="F92" i="105"/>
  <c r="G32" i="32"/>
  <c r="G32" i="168"/>
  <c r="G34" i="90"/>
  <c r="E93" i="39"/>
  <c r="G33" i="31"/>
  <c r="F32" i="35"/>
  <c r="G92" i="80"/>
  <c r="F96" i="160"/>
  <c r="G31" i="23"/>
  <c r="E93" i="158"/>
  <c r="G93" i="147"/>
  <c r="G95" i="157"/>
  <c r="D94" i="176"/>
  <c r="G90" i="152"/>
  <c r="D33" i="170"/>
  <c r="D93" i="149"/>
  <c r="G91" i="175"/>
  <c r="E92" i="103"/>
  <c r="D32" i="169"/>
  <c r="G92" i="157"/>
  <c r="E91" i="161"/>
  <c r="D32" i="32"/>
  <c r="E34" i="32"/>
  <c r="F32" i="32"/>
  <c r="F33" i="22"/>
  <c r="D92" i="156"/>
  <c r="D96" i="39"/>
  <c r="F92" i="154"/>
  <c r="E93" i="145"/>
  <c r="D32" i="35"/>
  <c r="F33" i="35"/>
  <c r="F92" i="39"/>
  <c r="F93" i="151"/>
  <c r="E90" i="155"/>
  <c r="G93" i="175"/>
  <c r="G92" i="146"/>
  <c r="D94" i="142"/>
  <c r="E95" i="161"/>
  <c r="E32" i="22"/>
  <c r="E97" i="103"/>
  <c r="G93" i="155"/>
  <c r="F94" i="148"/>
  <c r="F96" i="143"/>
  <c r="D33" i="23"/>
  <c r="G92" i="151"/>
  <c r="D96" i="150"/>
  <c r="G93" i="142"/>
  <c r="E92" i="152"/>
  <c r="D93" i="174"/>
  <c r="E33" i="168"/>
  <c r="G33" i="168"/>
  <c r="E34" i="22"/>
  <c r="G33" i="90"/>
  <c r="F32" i="22"/>
  <c r="D91" i="106"/>
  <c r="G93" i="152"/>
  <c r="G94" i="142"/>
  <c r="F93" i="175"/>
  <c r="D94" i="145"/>
  <c r="D92" i="39"/>
  <c r="G92" i="105"/>
  <c r="F96" i="28"/>
  <c r="D90" i="156"/>
  <c r="D93" i="157"/>
  <c r="E93" i="148"/>
  <c r="E34" i="182"/>
  <c r="F36" i="35"/>
  <c r="F31" i="23"/>
  <c r="D34" i="170"/>
  <c r="G94" i="154"/>
  <c r="E95" i="94"/>
  <c r="F34" i="35"/>
  <c r="J8" i="76"/>
  <c r="E36" i="35"/>
  <c r="F94" i="80"/>
  <c r="D95" i="174"/>
  <c r="E96" i="172"/>
  <c r="E95" i="148"/>
  <c r="D36" i="22"/>
  <c r="G36" i="170"/>
  <c r="E91" i="160"/>
  <c r="G91" i="105"/>
  <c r="E94" i="156"/>
  <c r="E94" i="103"/>
  <c r="D31" i="171"/>
  <c r="E95" i="39"/>
  <c r="F95" i="146"/>
  <c r="E93" i="151"/>
  <c r="F93" i="154"/>
  <c r="F95" i="152"/>
  <c r="F91" i="150"/>
  <c r="D93" i="106"/>
  <c r="D36" i="169"/>
  <c r="E96" i="144"/>
  <c r="F94" i="39"/>
  <c r="G94" i="153"/>
  <c r="F94" i="157"/>
  <c r="G93" i="157"/>
  <c r="G95" i="152"/>
  <c r="E94" i="175"/>
  <c r="E95" i="147"/>
  <c r="E90" i="158"/>
  <c r="G94" i="148"/>
  <c r="E94" i="157"/>
  <c r="G97" i="172"/>
  <c r="F91" i="94"/>
  <c r="E94" i="147"/>
  <c r="F93" i="155"/>
  <c r="E93" i="155"/>
  <c r="G93" i="156"/>
  <c r="F94" i="176"/>
  <c r="F90" i="147"/>
  <c r="E94" i="145"/>
  <c r="D33" i="169"/>
  <c r="D95" i="149"/>
  <c r="F93" i="148"/>
  <c r="G94" i="174"/>
  <c r="D34" i="90"/>
  <c r="D93" i="145"/>
  <c r="E34" i="180"/>
  <c r="F92" i="146"/>
  <c r="F93" i="143"/>
  <c r="G34" i="180"/>
  <c r="D92" i="103"/>
  <c r="E92" i="153"/>
  <c r="D94" i="148"/>
  <c r="G33" i="23"/>
  <c r="E33" i="31"/>
  <c r="G32" i="23"/>
  <c r="F32" i="31"/>
  <c r="F32" i="90"/>
  <c r="D94" i="149"/>
  <c r="G95" i="174"/>
  <c r="E95" i="150"/>
  <c r="F36" i="31"/>
  <c r="G95" i="155"/>
  <c r="G93" i="154"/>
  <c r="E94" i="80"/>
  <c r="D95" i="150"/>
  <c r="D96" i="103"/>
  <c r="F95" i="176"/>
  <c r="D31" i="35"/>
  <c r="E91" i="172"/>
  <c r="E94" i="39"/>
  <c r="F91" i="176"/>
  <c r="E33" i="23"/>
  <c r="F93" i="172"/>
  <c r="F90" i="153"/>
  <c r="D90" i="154"/>
  <c r="F94" i="144"/>
  <c r="D92" i="158"/>
  <c r="G93" i="151"/>
  <c r="G91" i="143"/>
  <c r="G90" i="156"/>
  <c r="D34" i="168"/>
  <c r="D33" i="33"/>
  <c r="F34" i="189"/>
  <c r="E92" i="155"/>
  <c r="F92" i="157"/>
  <c r="E34" i="181"/>
  <c r="E32" i="169"/>
  <c r="G92" i="152"/>
  <c r="D91" i="161"/>
  <c r="E92" i="105"/>
  <c r="E33" i="33"/>
  <c r="F34" i="31"/>
  <c r="F33" i="33"/>
  <c r="E92" i="39"/>
  <c r="F32" i="33"/>
  <c r="F34" i="168"/>
  <c r="G32" i="33"/>
  <c r="F32" i="169"/>
  <c r="D32" i="22"/>
  <c r="D32" i="171"/>
  <c r="F95" i="39"/>
  <c r="F96" i="105"/>
  <c r="D96" i="172"/>
  <c r="E31" i="32"/>
  <c r="E91" i="143"/>
  <c r="E34" i="179"/>
  <c r="G94" i="25"/>
  <c r="D93" i="146"/>
  <c r="E31" i="33"/>
  <c r="E96" i="175"/>
  <c r="F90" i="155"/>
  <c r="G33" i="170"/>
  <c r="G92" i="154"/>
  <c r="E31" i="189"/>
  <c r="D93" i="175"/>
  <c r="E33" i="35"/>
  <c r="E32" i="168"/>
  <c r="G93" i="161"/>
  <c r="D96" i="80"/>
  <c r="E95" i="153"/>
  <c r="F94" i="145"/>
  <c r="D32" i="23"/>
  <c r="D96" i="175"/>
  <c r="G34" i="23"/>
  <c r="E94" i="161"/>
  <c r="E97" i="80"/>
  <c r="G93" i="149"/>
  <c r="G96" i="145"/>
  <c r="D91" i="144"/>
  <c r="G34" i="181"/>
  <c r="D93" i="39"/>
  <c r="G96" i="161"/>
  <c r="E96" i="25"/>
  <c r="D95" i="176"/>
  <c r="D90" i="153"/>
  <c r="F91" i="144"/>
  <c r="F91" i="145"/>
  <c r="D92" i="154"/>
  <c r="G34" i="182"/>
  <c r="G92" i="147"/>
  <c r="F92" i="151"/>
  <c r="E33" i="32"/>
  <c r="D33" i="189"/>
  <c r="G34" i="32"/>
  <c r="G32" i="189"/>
  <c r="E32" i="90"/>
  <c r="F33" i="90"/>
  <c r="E94" i="154"/>
  <c r="F93" i="147"/>
  <c r="D92" i="147"/>
  <c r="D94" i="150"/>
  <c r="E93" i="176"/>
  <c r="D93" i="142"/>
  <c r="E32" i="33"/>
  <c r="F93" i="94"/>
  <c r="G95" i="172"/>
  <c r="E94" i="142"/>
  <c r="E34" i="189"/>
  <c r="G92" i="155"/>
  <c r="G91" i="161"/>
  <c r="F31" i="182"/>
  <c r="G92" i="29"/>
  <c r="D96" i="29"/>
  <c r="G95" i="144"/>
  <c r="G95" i="39"/>
  <c r="E95" i="176"/>
  <c r="G96" i="28"/>
  <c r="D94" i="151"/>
  <c r="D34" i="23"/>
  <c r="D96" i="94"/>
  <c r="F90" i="158"/>
  <c r="F96" i="39"/>
  <c r="F97" i="105"/>
  <c r="D36" i="180"/>
  <c r="F97" i="39"/>
  <c r="G31" i="171"/>
  <c r="F90" i="149"/>
  <c r="E93" i="149"/>
  <c r="E90" i="149"/>
  <c r="E95" i="80"/>
  <c r="G90" i="153"/>
  <c r="E93" i="157"/>
  <c r="D93" i="151"/>
  <c r="E90" i="152"/>
  <c r="F96" i="148"/>
  <c r="F93" i="176"/>
  <c r="D96" i="148"/>
  <c r="G33" i="169"/>
  <c r="D91" i="175"/>
  <c r="F91" i="161"/>
  <c r="F32" i="182"/>
  <c r="D34" i="22"/>
  <c r="G93" i="94"/>
  <c r="G94" i="80"/>
  <c r="G96" i="39"/>
  <c r="G95" i="147"/>
  <c r="F92" i="106"/>
  <c r="D94" i="94"/>
  <c r="G94" i="156"/>
  <c r="E90" i="151"/>
  <c r="F95" i="149"/>
  <c r="F95" i="147"/>
  <c r="D93" i="147"/>
  <c r="D92" i="157"/>
  <c r="E92" i="158"/>
  <c r="D91" i="148"/>
  <c r="D34" i="21"/>
  <c r="E34" i="169"/>
  <c r="D32" i="33"/>
  <c r="E32" i="189"/>
  <c r="F32" i="189"/>
  <c r="F93" i="161"/>
  <c r="G33" i="22"/>
  <c r="D93" i="161"/>
  <c r="E93" i="106"/>
  <c r="E92" i="29"/>
  <c r="D34" i="32"/>
  <c r="D91" i="80"/>
  <c r="D90" i="151"/>
  <c r="D92" i="105"/>
  <c r="D93" i="148"/>
  <c r="G34" i="170"/>
  <c r="E34" i="90"/>
  <c r="E97" i="94"/>
  <c r="F90" i="151"/>
  <c r="E92" i="157"/>
  <c r="G94" i="161"/>
  <c r="E90" i="157"/>
  <c r="D33" i="168"/>
  <c r="E33" i="21"/>
  <c r="E36" i="22"/>
  <c r="E92" i="172"/>
  <c r="F96" i="150"/>
  <c r="D94" i="144"/>
  <c r="D96" i="145"/>
  <c r="F93" i="105"/>
  <c r="E96" i="161"/>
  <c r="F94" i="161"/>
  <c r="F96" i="142"/>
  <c r="D34" i="35"/>
  <c r="D93" i="94"/>
  <c r="G94" i="105"/>
  <c r="F91" i="148"/>
  <c r="F92" i="147"/>
  <c r="E34" i="168"/>
  <c r="D33" i="171"/>
  <c r="E33" i="171"/>
  <c r="G34" i="171"/>
  <c r="G36" i="35"/>
  <c r="D96" i="25"/>
  <c r="D91" i="143"/>
  <c r="F94" i="103"/>
  <c r="D34" i="33"/>
  <c r="F93" i="103"/>
  <c r="F96" i="144"/>
  <c r="F94" i="172"/>
  <c r="D93" i="153"/>
  <c r="F32" i="170"/>
  <c r="F34" i="23"/>
  <c r="F33" i="189"/>
  <c r="F32" i="21"/>
  <c r="F94" i="151"/>
  <c r="G36" i="180"/>
  <c r="D31" i="21"/>
  <c r="F31" i="171"/>
  <c r="G90" i="146"/>
  <c r="E93" i="147"/>
  <c r="D96" i="144"/>
  <c r="D91" i="174"/>
  <c r="F34" i="169"/>
  <c r="G34" i="31"/>
  <c r="F95" i="161"/>
  <c r="F96" i="106"/>
  <c r="F92" i="80"/>
  <c r="E33" i="170"/>
  <c r="D91" i="150"/>
  <c r="E32" i="182"/>
  <c r="D92" i="155"/>
  <c r="G32" i="169"/>
  <c r="D92" i="146"/>
  <c r="E92" i="94"/>
  <c r="F93" i="152"/>
  <c r="F34" i="182"/>
  <c r="G33" i="32"/>
  <c r="G94" i="147"/>
  <c r="D31" i="189"/>
  <c r="F95" i="155"/>
  <c r="D32" i="182"/>
  <c r="F92" i="94"/>
  <c r="F32" i="171"/>
  <c r="D31" i="169"/>
  <c r="E94" i="28"/>
  <c r="E95" i="175"/>
  <c r="F95" i="106"/>
  <c r="F95" i="144"/>
  <c r="F95" i="153"/>
  <c r="F91" i="80"/>
  <c r="F36" i="22"/>
  <c r="F90" i="146"/>
  <c r="F94" i="155"/>
  <c r="E93" i="156"/>
  <c r="E96" i="142"/>
  <c r="F94" i="175"/>
  <c r="F93" i="144"/>
  <c r="G34" i="169"/>
  <c r="D32" i="21"/>
  <c r="E91" i="106"/>
  <c r="D93" i="103"/>
  <c r="D91" i="176"/>
  <c r="D90" i="157"/>
  <c r="D93" i="158"/>
  <c r="F92" i="103"/>
  <c r="E92" i="149"/>
  <c r="F33" i="23"/>
  <c r="E32" i="35"/>
  <c r="F34" i="90"/>
  <c r="D32" i="189"/>
  <c r="D31" i="170"/>
  <c r="G94" i="157"/>
  <c r="F90" i="156"/>
  <c r="F92" i="155"/>
  <c r="G34" i="33"/>
  <c r="F92" i="156"/>
  <c r="E31" i="21"/>
  <c r="E95" i="105"/>
  <c r="D36" i="33"/>
  <c r="F93" i="80"/>
  <c r="G95" i="176"/>
  <c r="J22" i="76"/>
  <c r="D92" i="106"/>
  <c r="D95" i="106"/>
  <c r="G36" i="31"/>
  <c r="F94" i="159"/>
  <c r="D96" i="28"/>
  <c r="F95" i="151"/>
  <c r="G93" i="148"/>
  <c r="E36" i="168"/>
  <c r="G94" i="159"/>
  <c r="D94" i="106"/>
  <c r="E91" i="94"/>
  <c r="D93" i="176"/>
  <c r="G91" i="148"/>
  <c r="D92" i="153"/>
  <c r="G36" i="171"/>
  <c r="F93" i="146"/>
  <c r="F95" i="157"/>
  <c r="G91" i="150"/>
  <c r="E91" i="148"/>
  <c r="D95" i="154"/>
  <c r="F93" i="142"/>
  <c r="G93" i="174"/>
  <c r="E92" i="147"/>
  <c r="D32" i="170"/>
  <c r="G93" i="143"/>
  <c r="F34" i="32"/>
  <c r="F34" i="33"/>
  <c r="G92" i="94"/>
  <c r="D97" i="80"/>
  <c r="E91" i="145"/>
  <c r="D95" i="156"/>
  <c r="F36" i="33"/>
  <c r="G91" i="29"/>
  <c r="D93" i="80"/>
  <c r="G90" i="157"/>
  <c r="E96" i="39"/>
  <c r="G31" i="32"/>
  <c r="F95" i="156"/>
  <c r="G94" i="150"/>
  <c r="F92" i="152"/>
  <c r="D34" i="31"/>
  <c r="E32" i="170"/>
  <c r="F93" i="145"/>
  <c r="E34" i="33"/>
  <c r="E32" i="32"/>
  <c r="F33" i="21"/>
  <c r="G34" i="168"/>
  <c r="G92" i="39"/>
  <c r="G33" i="33"/>
  <c r="E94" i="153"/>
  <c r="F91" i="106"/>
  <c r="E93" i="152"/>
  <c r="D94" i="172"/>
  <c r="D93" i="105"/>
  <c r="E93" i="144"/>
  <c r="D93" i="144"/>
  <c r="E33" i="169"/>
  <c r="E32" i="21"/>
  <c r="D94" i="105"/>
  <c r="D33" i="32"/>
  <c r="G93" i="176"/>
  <c r="G93" i="39"/>
  <c r="E90" i="153"/>
  <c r="D33" i="31"/>
  <c r="E93" i="94"/>
  <c r="F31" i="90"/>
  <c r="D93" i="156"/>
  <c r="D95" i="153"/>
  <c r="G31" i="189"/>
  <c r="G93" i="150"/>
  <c r="E34" i="31"/>
  <c r="E93" i="161"/>
  <c r="G32" i="31"/>
  <c r="F91" i="175"/>
  <c r="E93" i="105"/>
  <c r="F33" i="32"/>
  <c r="G36" i="33"/>
  <c r="G90" i="151"/>
  <c r="E93" i="142"/>
  <c r="E32" i="31"/>
  <c r="G34" i="22"/>
  <c r="F34" i="171"/>
  <c r="E32" i="171"/>
  <c r="D36" i="182"/>
  <c r="D31" i="22"/>
  <c r="D95" i="80"/>
  <c r="F95" i="142"/>
  <c r="D36" i="32"/>
  <c r="F36" i="170"/>
  <c r="J13" i="76"/>
  <c r="G36" i="182"/>
  <c r="E93" i="80"/>
  <c r="E95" i="152"/>
  <c r="E94" i="29"/>
  <c r="E94" i="151"/>
  <c r="F93" i="158"/>
  <c r="D90" i="152"/>
  <c r="E94" i="143"/>
  <c r="D92" i="151"/>
  <c r="E93" i="153"/>
  <c r="D94" i="174"/>
  <c r="F31" i="189"/>
  <c r="F32" i="23"/>
  <c r="F95" i="103"/>
  <c r="G90" i="147"/>
  <c r="F95" i="105"/>
  <c r="E91" i="144"/>
  <c r="G94" i="145"/>
  <c r="G92" i="158"/>
  <c r="D34" i="180"/>
  <c r="E92" i="154"/>
  <c r="G93" i="105"/>
  <c r="F34" i="22"/>
  <c r="F93" i="39"/>
  <c r="G93" i="146"/>
  <c r="G96" i="148"/>
  <c r="D91" i="145"/>
  <c r="G33" i="35"/>
  <c r="D92" i="172"/>
  <c r="G91" i="106"/>
  <c r="E93" i="150"/>
  <c r="F95" i="94"/>
  <c r="F93" i="174"/>
  <c r="E93" i="175"/>
  <c r="D96" i="161"/>
  <c r="D90" i="147"/>
  <c r="D94" i="161"/>
  <c r="D33" i="90"/>
  <c r="G95" i="161"/>
  <c r="F33" i="171"/>
  <c r="J27" i="76"/>
  <c r="E94" i="105"/>
  <c r="E95" i="174"/>
  <c r="D36" i="21"/>
  <c r="G94" i="149"/>
  <c r="D36" i="168"/>
  <c r="E90" i="146"/>
  <c r="G96" i="103"/>
  <c r="F90" i="152"/>
  <c r="F33" i="170"/>
  <c r="J21" i="76"/>
  <c r="G93" i="172"/>
  <c r="G94" i="172"/>
  <c r="D96" i="142"/>
  <c r="G92" i="153"/>
  <c r="G32" i="182"/>
  <c r="F32" i="168"/>
  <c r="F36" i="168"/>
  <c r="D91" i="29"/>
  <c r="E93" i="29"/>
  <c r="F95" i="154"/>
  <c r="G95" i="156"/>
  <c r="F94" i="150"/>
  <c r="E32" i="23"/>
  <c r="D93" i="150"/>
  <c r="G32" i="170"/>
  <c r="G32" i="35"/>
  <c r="G32" i="22"/>
  <c r="F94" i="142"/>
  <c r="E90" i="147"/>
  <c r="F92" i="149"/>
  <c r="D32" i="90"/>
  <c r="F91" i="174"/>
  <c r="D95" i="161"/>
  <c r="E92" i="151"/>
  <c r="E95" i="157"/>
  <c r="D33" i="22"/>
  <c r="E92" i="156"/>
  <c r="G32" i="171"/>
  <c r="F92" i="153"/>
  <c r="E33" i="22"/>
  <c r="F92" i="172"/>
  <c r="F31" i="32"/>
  <c r="E91" i="176"/>
  <c r="E34" i="171"/>
  <c r="E94" i="144"/>
  <c r="G34" i="189"/>
  <c r="F93" i="156"/>
  <c r="G92" i="172"/>
  <c r="G33" i="171"/>
  <c r="D32" i="31"/>
  <c r="F93" i="150"/>
  <c r="G32" i="21"/>
  <c r="D34" i="171"/>
  <c r="G33" i="21"/>
  <c r="F16" i="14"/>
  <c r="E16" i="14"/>
  <c r="AE25" i="100"/>
  <c r="V46" i="100"/>
  <c r="AL22" i="100"/>
  <c r="T45" i="100"/>
  <c r="U24" i="100"/>
  <c r="O45" i="100"/>
  <c r="O23" i="100"/>
  <c r="AC23" i="100"/>
  <c r="AD22" i="100"/>
  <c r="J45" i="100"/>
  <c r="O44" i="100"/>
  <c r="R44" i="100"/>
  <c r="AL25" i="100"/>
  <c r="AE23" i="100"/>
  <c r="AD25" i="100"/>
  <c r="H44" i="100"/>
  <c r="I43" i="100"/>
  <c r="V25" i="100"/>
  <c r="P46" i="100"/>
  <c r="G44" i="100"/>
  <c r="AL23" i="100"/>
  <c r="L44" i="100"/>
  <c r="AL24" i="100"/>
  <c r="N44" i="100"/>
  <c r="M43" i="100"/>
  <c r="J44" i="100"/>
  <c r="J46" i="100"/>
  <c r="AC22" i="100"/>
  <c r="W46" i="100"/>
  <c r="F43" i="100"/>
  <c r="AD24" i="100"/>
  <c r="P44" i="100"/>
  <c r="R46" i="100"/>
  <c r="W44" i="100"/>
  <c r="L43" i="100"/>
  <c r="O25" i="100"/>
  <c r="M46" i="100"/>
  <c r="T25" i="100"/>
  <c r="I44" i="100"/>
  <c r="V24" i="100"/>
  <c r="U44" i="100"/>
  <c r="S45" i="100"/>
  <c r="X46" i="100"/>
  <c r="J43" i="100"/>
  <c r="T43" i="100"/>
  <c r="Y44" i="100"/>
  <c r="AE22" i="100"/>
  <c r="O46" i="100"/>
  <c r="S43" i="100"/>
  <c r="U46" i="100"/>
  <c r="P43" i="100"/>
  <c r="K43" i="100"/>
  <c r="G43" i="100"/>
  <c r="U43" i="100"/>
  <c r="R43" i="100"/>
  <c r="V23" i="100"/>
  <c r="T23" i="100"/>
  <c r="U23" i="100"/>
  <c r="AE24" i="100"/>
  <c r="X43" i="100"/>
  <c r="AC25" i="100"/>
  <c r="S46" i="100"/>
  <c r="U45" i="100"/>
  <c r="U25" i="100"/>
  <c r="V45" i="100"/>
  <c r="V44" i="100"/>
  <c r="L46" i="100"/>
  <c r="K46" i="100"/>
  <c r="V43" i="100"/>
  <c r="F44" i="100"/>
  <c r="Q46" i="100"/>
  <c r="S44" i="100"/>
  <c r="N46" i="100"/>
  <c r="T22" i="100"/>
  <c r="X44" i="100"/>
  <c r="U22" i="100"/>
  <c r="T44" i="100"/>
  <c r="O43" i="100"/>
  <c r="K45" i="100"/>
  <c r="Q44" i="100"/>
  <c r="M44" i="100"/>
  <c r="Q43" i="100"/>
  <c r="V22" i="100"/>
  <c r="H43" i="100"/>
  <c r="Y46" i="100"/>
  <c r="O22" i="100"/>
  <c r="T24" i="100"/>
  <c r="T46" i="100"/>
  <c r="K44" i="100"/>
  <c r="AD23" i="100"/>
  <c r="N43" i="100"/>
  <c r="AC24" i="100"/>
  <c r="Y95" i="3" l="1"/>
  <c r="Y145" i="3" s="1"/>
  <c r="Y176" i="3" s="1"/>
  <c r="Y186" i="3" s="1"/>
  <c r="Y207" i="3" s="1"/>
  <c r="Y94" i="3"/>
  <c r="Y144" i="3" s="1"/>
  <c r="Y175" i="3" s="1"/>
  <c r="Y185" i="3" s="1"/>
  <c r="Y206" i="3" s="1"/>
  <c r="Q63" i="3"/>
  <c r="CP14" i="99" s="1"/>
  <c r="CP16" i="99" s="1"/>
  <c r="P174" i="3"/>
  <c r="P184" i="3" s="1"/>
  <c r="L91" i="3"/>
  <c r="L141" i="3" s="1"/>
  <c r="L172" i="3" s="1"/>
  <c r="L182" i="3" s="1"/>
  <c r="CU14" i="97"/>
  <c r="CU16" i="97" s="1"/>
  <c r="AE93" i="3"/>
  <c r="AE143" i="3" s="1"/>
  <c r="AE174" i="3" s="1"/>
  <c r="AE184" i="3" s="1"/>
  <c r="CU14" i="140"/>
  <c r="CU16" i="140" s="1"/>
  <c r="P100" i="3"/>
  <c r="P151" i="3" s="1"/>
  <c r="Q173" i="3"/>
  <c r="Q183" i="3" s="1"/>
  <c r="AO94" i="3"/>
  <c r="AO144" i="3" s="1"/>
  <c r="AO175" i="3" s="1"/>
  <c r="AO185" i="3" s="1"/>
  <c r="AO206" i="3" s="1"/>
  <c r="AO223" i="3" s="1"/>
  <c r="L94" i="3"/>
  <c r="L144" i="3" s="1"/>
  <c r="L175" i="3" s="1"/>
  <c r="L185" i="3" s="1"/>
  <c r="L206" i="3" s="1"/>
  <c r="AE94" i="3"/>
  <c r="AE144" i="3" s="1"/>
  <c r="AE175" i="3" s="1"/>
  <c r="AE185" i="3" s="1"/>
  <c r="AE206" i="3" s="1"/>
  <c r="AE223" i="3" s="1"/>
  <c r="CJ14" i="99"/>
  <c r="CJ16" i="99" s="1"/>
  <c r="S101" i="3"/>
  <c r="S152" i="3" s="1"/>
  <c r="DO14" i="99"/>
  <c r="DO16" i="99" s="1"/>
  <c r="DO14" i="140"/>
  <c r="DO16" i="140" s="1"/>
  <c r="Q101" i="3"/>
  <c r="Q152" i="3" s="1"/>
  <c r="P104" i="3"/>
  <c r="P155" i="3" s="1"/>
  <c r="P177" i="3" s="1"/>
  <c r="P187" i="3" s="1"/>
  <c r="P208" i="3" s="1"/>
  <c r="Y93" i="3"/>
  <c r="Y143" i="3" s="1"/>
  <c r="Y174" i="3" s="1"/>
  <c r="Y184" i="3" s="1"/>
  <c r="Q177" i="3"/>
  <c r="Q187" i="3" s="1"/>
  <c r="Q208" i="3" s="1"/>
  <c r="CL19" i="97"/>
  <c r="S104" i="3"/>
  <c r="S155" i="3" s="1"/>
  <c r="DO14" i="98"/>
  <c r="DO16" i="98" s="1"/>
  <c r="AO93" i="3"/>
  <c r="AO143" i="3" s="1"/>
  <c r="AO174" i="3" s="1"/>
  <c r="AO184" i="3" s="1"/>
  <c r="L93" i="3"/>
  <c r="L143" i="3" s="1"/>
  <c r="L174" i="3" s="1"/>
  <c r="L184" i="3" s="1"/>
  <c r="M95" i="3"/>
  <c r="M145" i="3" s="1"/>
  <c r="M176" i="3" s="1"/>
  <c r="M186" i="3" s="1"/>
  <c r="M207" i="3" s="1"/>
  <c r="CX14" i="140"/>
  <c r="CX16" i="140" s="1"/>
  <c r="CJ14" i="140"/>
  <c r="CJ16" i="140" s="1"/>
  <c r="CT14" i="99"/>
  <c r="CT16" i="99" s="1"/>
  <c r="CU14" i="98"/>
  <c r="CU16" i="98" s="1"/>
  <c r="AL95" i="3"/>
  <c r="AL145" i="3" s="1"/>
  <c r="AL176" i="3" s="1"/>
  <c r="AL186" i="3" s="1"/>
  <c r="AL207" i="3" s="1"/>
  <c r="CM14" i="97"/>
  <c r="CM19" i="97" s="1"/>
  <c r="CX14" i="97"/>
  <c r="CX16" i="97" s="1"/>
  <c r="M91" i="3"/>
  <c r="M141" i="3" s="1"/>
  <c r="M172" i="3" s="1"/>
  <c r="M182" i="3" s="1"/>
  <c r="M188" i="3" s="1"/>
  <c r="AX14" i="97" s="1"/>
  <c r="AX16" i="97" s="1"/>
  <c r="AX17" i="97" s="1"/>
  <c r="P172" i="3"/>
  <c r="P182" i="3" s="1"/>
  <c r="CT14" i="98"/>
  <c r="CT16" i="98" s="1"/>
  <c r="CM14" i="98"/>
  <c r="CM16" i="98" s="1"/>
  <c r="AB95" i="3"/>
  <c r="AB145" i="3" s="1"/>
  <c r="AB176" i="3" s="1"/>
  <c r="AB186" i="3" s="1"/>
  <c r="AB207" i="3" s="1"/>
  <c r="AB223" i="3" s="1"/>
  <c r="L95" i="3"/>
  <c r="L145" i="3" s="1"/>
  <c r="L176" i="3" s="1"/>
  <c r="L186" i="3" s="1"/>
  <c r="L207" i="3" s="1"/>
  <c r="Q95" i="3"/>
  <c r="Q145" i="3" s="1"/>
  <c r="CJ14" i="98"/>
  <c r="CJ16" i="98" s="1"/>
  <c r="AH91" i="3"/>
  <c r="AH141" i="3" s="1"/>
  <c r="AH172" i="3" s="1"/>
  <c r="AH182" i="3" s="1"/>
  <c r="CX14" i="98"/>
  <c r="CX16" i="98" s="1"/>
  <c r="P173" i="3"/>
  <c r="P183" i="3" s="1"/>
  <c r="Q103" i="3"/>
  <c r="Q154" i="3" s="1"/>
  <c r="S103" i="3"/>
  <c r="S154" i="3" s="1"/>
  <c r="CO14" i="140"/>
  <c r="CO16" i="140" s="1"/>
  <c r="CO14" i="99"/>
  <c r="CO16" i="99" s="1"/>
  <c r="Q102" i="3"/>
  <c r="Q153" i="3" s="1"/>
  <c r="S100" i="3"/>
  <c r="S151" i="3" s="1"/>
  <c r="DA14" i="140"/>
  <c r="DA16" i="140" s="1"/>
  <c r="R188" i="3"/>
  <c r="BC14" i="97" s="1"/>
  <c r="CW14" i="97"/>
  <c r="CW16" i="97" s="1"/>
  <c r="DL14" i="97"/>
  <c r="DL19" i="97" s="1"/>
  <c r="DH14" i="140"/>
  <c r="DH16" i="140" s="1"/>
  <c r="M96" i="3"/>
  <c r="M146" i="3" s="1"/>
  <c r="M177" i="3" s="1"/>
  <c r="M187" i="3" s="1"/>
  <c r="M208" i="3" s="1"/>
  <c r="Q174" i="3"/>
  <c r="Q184" i="3" s="1"/>
  <c r="DL14" i="140"/>
  <c r="DL16" i="140" s="1"/>
  <c r="CN14" i="99"/>
  <c r="CN16" i="99" s="1"/>
  <c r="DA14" i="98"/>
  <c r="DA16" i="98" s="1"/>
  <c r="AP93" i="3"/>
  <c r="AP143" i="3" s="1"/>
  <c r="AP174" i="3" s="1"/>
  <c r="AP184" i="3" s="1"/>
  <c r="AE91" i="3"/>
  <c r="AE141" i="3" s="1"/>
  <c r="AE172" i="3" s="1"/>
  <c r="AE182" i="3" s="1"/>
  <c r="CN14" i="97"/>
  <c r="CN19" i="97" s="1"/>
  <c r="Q91" i="3"/>
  <c r="Q141" i="3" s="1"/>
  <c r="AJ92" i="3"/>
  <c r="AJ142" i="3" s="1"/>
  <c r="AJ173" i="3" s="1"/>
  <c r="AJ183" i="3" s="1"/>
  <c r="AJ188" i="3" s="1"/>
  <c r="AO91" i="3"/>
  <c r="AO141" i="3" s="1"/>
  <c r="AO172" i="3" s="1"/>
  <c r="AO182" i="3" s="1"/>
  <c r="O223" i="3"/>
  <c r="AC188" i="3"/>
  <c r="BN14" i="97" s="1"/>
  <c r="BN16" i="97" s="1"/>
  <c r="BN17" i="97" s="1"/>
  <c r="AP92" i="3"/>
  <c r="AP142" i="3" s="1"/>
  <c r="AP173" i="3" s="1"/>
  <c r="AP183" i="3" s="1"/>
  <c r="DL14" i="98"/>
  <c r="DL16" i="98" s="1"/>
  <c r="AB91" i="3"/>
  <c r="AB141" i="3" s="1"/>
  <c r="AB172" i="3" s="1"/>
  <c r="AB182" i="3" s="1"/>
  <c r="DC14" i="99"/>
  <c r="DC16" i="99" s="1"/>
  <c r="AH95" i="3"/>
  <c r="AH145" i="3" s="1"/>
  <c r="AH176" i="3" s="1"/>
  <c r="AH186" i="3" s="1"/>
  <c r="AH207" i="3" s="1"/>
  <c r="DA14" i="99"/>
  <c r="DA16" i="99" s="1"/>
  <c r="AC223" i="3"/>
  <c r="DH14" i="97"/>
  <c r="DH16" i="97" s="1"/>
  <c r="AJ94" i="3"/>
  <c r="AJ144" i="3" s="1"/>
  <c r="AJ175" i="3" s="1"/>
  <c r="AJ185" i="3" s="1"/>
  <c r="AJ206" i="3" s="1"/>
  <c r="AJ223" i="3" s="1"/>
  <c r="DH14" i="99"/>
  <c r="DH16" i="99" s="1"/>
  <c r="CS14" i="140"/>
  <c r="CS16" i="140" s="1"/>
  <c r="P102" i="3"/>
  <c r="P153" i="3" s="1"/>
  <c r="P175" i="3" s="1"/>
  <c r="P185" i="3" s="1"/>
  <c r="P206" i="3" s="1"/>
  <c r="CN14" i="140"/>
  <c r="CN16" i="140" s="1"/>
  <c r="P103" i="3"/>
  <c r="P154" i="3" s="1"/>
  <c r="P176" i="3" s="1"/>
  <c r="P186" i="3" s="1"/>
  <c r="P207" i="3" s="1"/>
  <c r="CO14" i="97"/>
  <c r="CO16" i="97" s="1"/>
  <c r="Q94" i="3"/>
  <c r="Q144" i="3" s="1"/>
  <c r="O188" i="3"/>
  <c r="AZ14" i="99" s="1"/>
  <c r="AZ16" i="99" s="1"/>
  <c r="CI14" i="97"/>
  <c r="CI16" i="97" s="1"/>
  <c r="CZ14" i="140"/>
  <c r="CZ16" i="140" s="1"/>
  <c r="CZ14" i="99"/>
  <c r="CZ16" i="99" s="1"/>
  <c r="AE92" i="3"/>
  <c r="AE142" i="3" s="1"/>
  <c r="AE173" i="3" s="1"/>
  <c r="AE183" i="3" s="1"/>
  <c r="CO14" i="98"/>
  <c r="CO16" i="98" s="1"/>
  <c r="DD14" i="99"/>
  <c r="DD16" i="99" s="1"/>
  <c r="DD14" i="140"/>
  <c r="DD16" i="140" s="1"/>
  <c r="CI14" i="99"/>
  <c r="CI16" i="99" s="1"/>
  <c r="DI14" i="140"/>
  <c r="DI16" i="140" s="1"/>
  <c r="CI14" i="98"/>
  <c r="CI16" i="98" s="1"/>
  <c r="DJ14" i="97"/>
  <c r="DJ19" i="97" s="1"/>
  <c r="DC14" i="97"/>
  <c r="DC16" i="97" s="1"/>
  <c r="CS14" i="98"/>
  <c r="CS16" i="98" s="1"/>
  <c r="AL91" i="3"/>
  <c r="AL141" i="3" s="1"/>
  <c r="AL172" i="3" s="1"/>
  <c r="AL182" i="3" s="1"/>
  <c r="CS14" i="99"/>
  <c r="CS16" i="99" s="1"/>
  <c r="Y92" i="3"/>
  <c r="Y142" i="3" s="1"/>
  <c r="Y173" i="3" s="1"/>
  <c r="Y183" i="3" s="1"/>
  <c r="K94" i="3"/>
  <c r="K144" i="3" s="1"/>
  <c r="K175" i="3" s="1"/>
  <c r="K185" i="3" s="1"/>
  <c r="K206" i="3" s="1"/>
  <c r="K223" i="3" s="1"/>
  <c r="CV14" i="98"/>
  <c r="CV16" i="98" s="1"/>
  <c r="AL96" i="3"/>
  <c r="AL146" i="3" s="1"/>
  <c r="AL177" i="3" s="1"/>
  <c r="AL187" i="3" s="1"/>
  <c r="AL208" i="3" s="1"/>
  <c r="CV14" i="97"/>
  <c r="CV19" i="97" s="1"/>
  <c r="CF14" i="140"/>
  <c r="CF16" i="140" s="1"/>
  <c r="DM14" i="140"/>
  <c r="DM16" i="140" s="1"/>
  <c r="DC14" i="98"/>
  <c r="DC16" i="98" s="1"/>
  <c r="DD14" i="97"/>
  <c r="DD16" i="97" s="1"/>
  <c r="S99" i="3"/>
  <c r="S150" i="3" s="1"/>
  <c r="Q99" i="3"/>
  <c r="Q150" i="3" s="1"/>
  <c r="CV14" i="140"/>
  <c r="CV16" i="140" s="1"/>
  <c r="AH96" i="3"/>
  <c r="AH146" i="3" s="1"/>
  <c r="AH177" i="3" s="1"/>
  <c r="AH187" i="3" s="1"/>
  <c r="AH208" i="3" s="1"/>
  <c r="CF14" i="99"/>
  <c r="CF16" i="99" s="1"/>
  <c r="DJ14" i="99"/>
  <c r="DJ16" i="99" s="1"/>
  <c r="DI14" i="97"/>
  <c r="DI16" i="97" s="1"/>
  <c r="AL92" i="3"/>
  <c r="AL142" i="3" s="1"/>
  <c r="AL173" i="3" s="1"/>
  <c r="AL183" i="3" s="1"/>
  <c r="AP96" i="3"/>
  <c r="AP146" i="3" s="1"/>
  <c r="AP177" i="3" s="1"/>
  <c r="AP187" i="3" s="1"/>
  <c r="AP208" i="3" s="1"/>
  <c r="AP223" i="3" s="1"/>
  <c r="CK14" i="97"/>
  <c r="CK16" i="97" s="1"/>
  <c r="AB92" i="3"/>
  <c r="AB142" i="3" s="1"/>
  <c r="AB173" i="3" s="1"/>
  <c r="AB183" i="3" s="1"/>
  <c r="L92" i="3"/>
  <c r="L142" i="3" s="1"/>
  <c r="L173" i="3" s="1"/>
  <c r="L183" i="3" s="1"/>
  <c r="DI14" i="99"/>
  <c r="DI16" i="99" s="1"/>
  <c r="CF14" i="98"/>
  <c r="CF16" i="98" s="1"/>
  <c r="DJ14" i="140"/>
  <c r="DJ16" i="140" s="1"/>
  <c r="DM14" i="98"/>
  <c r="DM16" i="98" s="1"/>
  <c r="DM14" i="97"/>
  <c r="DM19" i="97" s="1"/>
  <c r="AH92" i="3"/>
  <c r="AH142" i="3" s="1"/>
  <c r="AH173" i="3" s="1"/>
  <c r="AH183" i="3" s="1"/>
  <c r="CK14" i="98"/>
  <c r="CK16" i="98" s="1"/>
  <c r="CK14" i="140"/>
  <c r="CK16" i="140" s="1"/>
  <c r="R223" i="3"/>
  <c r="K188" i="3"/>
  <c r="AV14" i="140" s="1"/>
  <c r="AV16" i="140" s="1"/>
  <c r="CW14" i="140"/>
  <c r="CW16" i="140" s="1"/>
  <c r="CW14" i="99"/>
  <c r="CW16" i="99" s="1"/>
  <c r="CY14" i="97"/>
  <c r="CY16" i="97" s="1"/>
  <c r="CY14" i="98"/>
  <c r="CY16" i="98" s="1"/>
  <c r="CY14" i="140"/>
  <c r="CY16" i="140" s="1"/>
  <c r="CY14" i="99"/>
  <c r="CY16" i="99" s="1"/>
  <c r="CQ14" i="98"/>
  <c r="CQ16" i="98" s="1"/>
  <c r="CQ14" i="99"/>
  <c r="CQ16" i="99" s="1"/>
  <c r="CQ14" i="97"/>
  <c r="CQ14" i="140"/>
  <c r="CQ16" i="140" s="1"/>
  <c r="DK14" i="97"/>
  <c r="DK19" i="97" s="1"/>
  <c r="DK14" i="98"/>
  <c r="DK16" i="98" s="1"/>
  <c r="CG14" i="99"/>
  <c r="CG16" i="99" s="1"/>
  <c r="CH14" i="98"/>
  <c r="CH16" i="98" s="1"/>
  <c r="CH14" i="97"/>
  <c r="CH16" i="97" s="1"/>
  <c r="CG14" i="140"/>
  <c r="CG16" i="140" s="1"/>
  <c r="DB14" i="99"/>
  <c r="DB16" i="99" s="1"/>
  <c r="DB14" i="140"/>
  <c r="DB16" i="140" s="1"/>
  <c r="DK14" i="99"/>
  <c r="DK16" i="99" s="1"/>
  <c r="CG14" i="97"/>
  <c r="CG16" i="97" s="1"/>
  <c r="CZ14" i="98"/>
  <c r="CZ16" i="98" s="1"/>
  <c r="CH14" i="99"/>
  <c r="CH16" i="99" s="1"/>
  <c r="DB14" i="98"/>
  <c r="DB16" i="98" s="1"/>
  <c r="DE14" i="97"/>
  <c r="DE19" i="97" s="1"/>
  <c r="DE14" i="140"/>
  <c r="DE16" i="140" s="1"/>
  <c r="DE14" i="98"/>
  <c r="DE16" i="98" s="1"/>
  <c r="CR14" i="97"/>
  <c r="CR16" i="97" s="1"/>
  <c r="CR14" i="140"/>
  <c r="CR16" i="140" s="1"/>
  <c r="CR14" i="99"/>
  <c r="CR16" i="99" s="1"/>
  <c r="CT16" i="97"/>
  <c r="CT19" i="97"/>
  <c r="CF16" i="97"/>
  <c r="CF19" i="97"/>
  <c r="R55" i="122"/>
  <c r="F63" i="3"/>
  <c r="K27" i="76"/>
  <c r="P27" i="76"/>
  <c r="N27" i="76"/>
  <c r="M27" i="76"/>
  <c r="O27" i="76"/>
  <c r="K17" i="76"/>
  <c r="P17" i="76"/>
  <c r="G174" i="25" s="1"/>
  <c r="O17" i="76"/>
  <c r="F174" i="25" s="1"/>
  <c r="N17" i="76"/>
  <c r="E174" i="25" s="1"/>
  <c r="M17" i="76"/>
  <c r="K10" i="76"/>
  <c r="P10" i="76"/>
  <c r="N10" i="76"/>
  <c r="M10" i="76"/>
  <c r="O10" i="76"/>
  <c r="K6" i="76"/>
  <c r="P6" i="76"/>
  <c r="H154" i="14" s="1"/>
  <c r="H156" i="14" s="1"/>
  <c r="M6" i="76"/>
  <c r="O6" i="76"/>
  <c r="G154" i="14" s="1"/>
  <c r="G156" i="14" s="1"/>
  <c r="N6" i="76"/>
  <c r="F154" i="14" s="1"/>
  <c r="F156" i="14" s="1"/>
  <c r="K9" i="76"/>
  <c r="P9" i="76"/>
  <c r="O9" i="76"/>
  <c r="N9" i="76"/>
  <c r="M9" i="76"/>
  <c r="K12" i="76"/>
  <c r="P12" i="76"/>
  <c r="O12" i="76"/>
  <c r="M12" i="76"/>
  <c r="N12" i="76"/>
  <c r="K19" i="76"/>
  <c r="M19" i="76"/>
  <c r="P19" i="76"/>
  <c r="O19" i="76"/>
  <c r="N19" i="76"/>
  <c r="K13" i="76"/>
  <c r="M13" i="76"/>
  <c r="P13" i="76"/>
  <c r="O13" i="76"/>
  <c r="N13" i="76"/>
  <c r="K8" i="76"/>
  <c r="P8" i="76"/>
  <c r="M8" i="76"/>
  <c r="O8" i="76"/>
  <c r="N8" i="76"/>
  <c r="K14" i="76"/>
  <c r="P14" i="76"/>
  <c r="P40" i="108" s="1"/>
  <c r="O14" i="76"/>
  <c r="O40" i="108" s="1"/>
  <c r="M14" i="76"/>
  <c r="N14" i="76"/>
  <c r="N40" i="108" s="1"/>
  <c r="K7" i="76"/>
  <c r="P7" i="76"/>
  <c r="O7" i="76"/>
  <c r="N7" i="76"/>
  <c r="M7" i="76"/>
  <c r="K24" i="76"/>
  <c r="M24" i="76"/>
  <c r="P24" i="76"/>
  <c r="O24" i="76"/>
  <c r="N24" i="76"/>
  <c r="Q24" i="76" s="1"/>
  <c r="K21" i="76"/>
  <c r="M21" i="76"/>
  <c r="P21" i="76"/>
  <c r="O21" i="76"/>
  <c r="N21" i="76"/>
  <c r="K5" i="76"/>
  <c r="M5" i="76"/>
  <c r="P5" i="76"/>
  <c r="H137" i="7" s="1"/>
  <c r="O5" i="76"/>
  <c r="G137" i="7" s="1"/>
  <c r="N5" i="76"/>
  <c r="F137" i="7" s="1"/>
  <c r="K25" i="76"/>
  <c r="M25" i="76"/>
  <c r="P25" i="76"/>
  <c r="O25" i="76"/>
  <c r="N25" i="76"/>
  <c r="Q25" i="76" s="1"/>
  <c r="V25" i="101" s="1"/>
  <c r="K22" i="76"/>
  <c r="P22" i="76"/>
  <c r="M22" i="76"/>
  <c r="O22" i="76"/>
  <c r="N22" i="76"/>
  <c r="K16" i="76"/>
  <c r="P16" i="76"/>
  <c r="M16" i="76"/>
  <c r="O16" i="76"/>
  <c r="N16" i="76"/>
  <c r="K18" i="76"/>
  <c r="P18" i="76"/>
  <c r="G176" i="25" s="1"/>
  <c r="M18" i="76"/>
  <c r="O18" i="76"/>
  <c r="F176" i="25" s="1"/>
  <c r="N18" i="76"/>
  <c r="E176" i="25" s="1"/>
  <c r="K20" i="76"/>
  <c r="M20" i="76"/>
  <c r="P20" i="76"/>
  <c r="O20" i="76"/>
  <c r="N20" i="76"/>
  <c r="K15" i="76"/>
  <c r="P15" i="76"/>
  <c r="O15" i="76"/>
  <c r="N15" i="76"/>
  <c r="M15" i="76"/>
  <c r="K11" i="76"/>
  <c r="P11" i="76"/>
  <c r="O11" i="76"/>
  <c r="M11" i="76"/>
  <c r="N11" i="76"/>
  <c r="K26" i="76"/>
  <c r="P26" i="76"/>
  <c r="O26" i="76"/>
  <c r="M26" i="76"/>
  <c r="N26" i="76"/>
  <c r="K23" i="76"/>
  <c r="P23" i="76"/>
  <c r="O23" i="76"/>
  <c r="N23" i="76"/>
  <c r="M23" i="76"/>
  <c r="O85" i="100"/>
  <c r="S85" i="100"/>
  <c r="V85" i="100"/>
  <c r="AC56" i="3"/>
  <c r="J85" i="100"/>
  <c r="K85" i="100"/>
  <c r="T226" i="100"/>
  <c r="U226" i="100"/>
  <c r="R40" i="122"/>
  <c r="V226" i="100"/>
  <c r="R56" i="3"/>
  <c r="AC55" i="3"/>
  <c r="AD226" i="100"/>
  <c r="AL226" i="100"/>
  <c r="AE226" i="100"/>
  <c r="AC226" i="100"/>
  <c r="R39" i="122"/>
  <c r="T85" i="100"/>
  <c r="U85" i="100"/>
  <c r="R55" i="3"/>
  <c r="AD29" i="100"/>
  <c r="AD26" i="100" s="1"/>
  <c r="AD47" i="100"/>
  <c r="AD40" i="100" s="1"/>
  <c r="N47" i="100"/>
  <c r="N40" i="100" s="1"/>
  <c r="AL47" i="100"/>
  <c r="AL40" i="100" s="1"/>
  <c r="Q47" i="100"/>
  <c r="Q40" i="100" s="1"/>
  <c r="AL29" i="100"/>
  <c r="AL26" i="100" s="1"/>
  <c r="M47" i="100"/>
  <c r="M40" i="100" s="1"/>
  <c r="AE29" i="100"/>
  <c r="AE26" i="100" s="1"/>
  <c r="AE47" i="100"/>
  <c r="AE40" i="100" s="1"/>
  <c r="W47" i="100"/>
  <c r="W40" i="100" s="1"/>
  <c r="P47" i="100"/>
  <c r="P40" i="100" s="1"/>
  <c r="CX19" i="97" l="1"/>
  <c r="Y223" i="3"/>
  <c r="CP14" i="140"/>
  <c r="CP16" i="140" s="1"/>
  <c r="AO188" i="3"/>
  <c r="CP14" i="97"/>
  <c r="CP16" i="97" s="1"/>
  <c r="CP14" i="98"/>
  <c r="CP16" i="98" s="1"/>
  <c r="L188" i="3"/>
  <c r="AW14" i="140" s="1"/>
  <c r="AW16" i="140" s="1"/>
  <c r="L223" i="3"/>
  <c r="Y188" i="3"/>
  <c r="Q175" i="3"/>
  <c r="Q185" i="3" s="1"/>
  <c r="Q206" i="3" s="1"/>
  <c r="P188" i="3"/>
  <c r="BA14" i="98" s="1"/>
  <c r="BA16" i="98" s="1"/>
  <c r="DJ16" i="97"/>
  <c r="AH188" i="3"/>
  <c r="AZ14" i="97"/>
  <c r="AZ19" i="97" s="1"/>
  <c r="M223" i="3"/>
  <c r="AP188" i="3"/>
  <c r="CA14" i="99" s="1"/>
  <c r="CA16" i="99" s="1"/>
  <c r="DL16" i="97"/>
  <c r="CM16" i="97"/>
  <c r="Q176" i="3"/>
  <c r="Q186" i="3" s="1"/>
  <c r="Q207" i="3" s="1"/>
  <c r="BC14" i="99"/>
  <c r="BC16" i="99" s="1"/>
  <c r="CN16" i="97"/>
  <c r="AL223" i="3"/>
  <c r="BC14" i="98"/>
  <c r="BC16" i="98" s="1"/>
  <c r="AE188" i="3"/>
  <c r="AH223" i="3"/>
  <c r="BN14" i="98"/>
  <c r="BN16" i="98" s="1"/>
  <c r="CW19" i="97"/>
  <c r="BC14" i="140"/>
  <c r="BC16" i="140" s="1"/>
  <c r="AZ14" i="140"/>
  <c r="AZ16" i="140" s="1"/>
  <c r="AV14" i="97"/>
  <c r="AV16" i="97" s="1"/>
  <c r="AV17" i="97" s="1"/>
  <c r="CO19" i="97"/>
  <c r="AB188" i="3"/>
  <c r="Q172" i="3"/>
  <c r="Q182" i="3" s="1"/>
  <c r="Q188" i="3" s="1"/>
  <c r="BB14" i="98" s="1"/>
  <c r="BB16" i="98" s="1"/>
  <c r="CI19" i="97"/>
  <c r="AV14" i="98"/>
  <c r="AV16" i="98" s="1"/>
  <c r="AL188" i="3"/>
  <c r="P223" i="3"/>
  <c r="BN14" i="140"/>
  <c r="BN16" i="140" s="1"/>
  <c r="AZ14" i="98"/>
  <c r="AZ16" i="98" s="1"/>
  <c r="BN14" i="99"/>
  <c r="BN16" i="99" s="1"/>
  <c r="CK19" i="97"/>
  <c r="DM16" i="97"/>
  <c r="CG19" i="97"/>
  <c r="AV14" i="99"/>
  <c r="AV16" i="99" s="1"/>
  <c r="DK16" i="97"/>
  <c r="CV16" i="97"/>
  <c r="AX19" i="97"/>
  <c r="CQ19" i="97"/>
  <c r="CQ16" i="97"/>
  <c r="AX14" i="98"/>
  <c r="AX16" i="98" s="1"/>
  <c r="AX14" i="99"/>
  <c r="AX16" i="99" s="1"/>
  <c r="AX14" i="140"/>
  <c r="AX16" i="140" s="1"/>
  <c r="CP19" i="97"/>
  <c r="DE16" i="97"/>
  <c r="CR19" i="97"/>
  <c r="Q20" i="76"/>
  <c r="R19" i="101" s="1"/>
  <c r="C19" i="101" s="1"/>
  <c r="F19" i="100" s="1"/>
  <c r="Q21" i="76"/>
  <c r="R21" i="101" s="1"/>
  <c r="C21" i="101" s="1"/>
  <c r="I19" i="100" s="1"/>
  <c r="CE14" i="98"/>
  <c r="CE16" i="98" s="1"/>
  <c r="R47" i="122"/>
  <c r="CE14" i="140"/>
  <c r="CE16" i="140" s="1"/>
  <c r="CE14" i="97"/>
  <c r="CE14" i="99"/>
  <c r="CE16" i="99" s="1"/>
  <c r="Q27" i="76"/>
  <c r="I7" i="108" s="1"/>
  <c r="Q9" i="76"/>
  <c r="BC19" i="97"/>
  <c r="BC16" i="97"/>
  <c r="BC17" i="97" s="1"/>
  <c r="Q26" i="76"/>
  <c r="I16" i="108" s="1"/>
  <c r="Q11" i="76"/>
  <c r="Q22" i="76"/>
  <c r="T37" i="108" s="1"/>
  <c r="N37" i="108" s="1"/>
  <c r="N38" i="108" s="1"/>
  <c r="Q8" i="76"/>
  <c r="Q23" i="76"/>
  <c r="V23" i="101" s="1"/>
  <c r="Q10" i="76"/>
  <c r="Q19" i="76"/>
  <c r="O31" i="101" s="1"/>
  <c r="R18" i="101" s="1"/>
  <c r="C18" i="101" s="1"/>
  <c r="Q19" i="100" s="1"/>
  <c r="G138" i="7"/>
  <c r="G139" i="7"/>
  <c r="F105" i="174"/>
  <c r="F96" i="174" s="1"/>
  <c r="F104" i="158"/>
  <c r="F95" i="158" s="1"/>
  <c r="F105" i="176"/>
  <c r="F96" i="176" s="1"/>
  <c r="N39" i="108"/>
  <c r="G137" i="14"/>
  <c r="R10" i="101"/>
  <c r="C10" i="101" s="1"/>
  <c r="M19" i="100" s="1"/>
  <c r="J54" i="3" s="1"/>
  <c r="Q12" i="76"/>
  <c r="I9" i="108" s="1"/>
  <c r="F138" i="14"/>
  <c r="D172" i="25"/>
  <c r="G136" i="14"/>
  <c r="G135" i="14"/>
  <c r="F183" i="25"/>
  <c r="F174" i="159"/>
  <c r="F174" i="160"/>
  <c r="F101" i="160" s="1"/>
  <c r="F174" i="28"/>
  <c r="G173" i="25"/>
  <c r="P36" i="108"/>
  <c r="E176" i="160"/>
  <c r="E176" i="159"/>
  <c r="E101" i="159" s="1"/>
  <c r="E176" i="28"/>
  <c r="E185" i="25"/>
  <c r="E175" i="25"/>
  <c r="N35" i="108"/>
  <c r="H138" i="7"/>
  <c r="H139" i="7"/>
  <c r="G105" i="174"/>
  <c r="G96" i="174" s="1"/>
  <c r="G104" i="158"/>
  <c r="G95" i="158" s="1"/>
  <c r="G105" i="176"/>
  <c r="G96" i="176" s="1"/>
  <c r="M39" i="108"/>
  <c r="F137" i="14"/>
  <c r="D137" i="14" s="1"/>
  <c r="Q13" i="76"/>
  <c r="I10" i="108" s="1"/>
  <c r="H138" i="14"/>
  <c r="F172" i="25"/>
  <c r="E154" i="14"/>
  <c r="E156" i="14" s="1"/>
  <c r="Q6" i="76"/>
  <c r="I6" i="108" s="1"/>
  <c r="G174" i="28"/>
  <c r="G174" i="160"/>
  <c r="G101" i="160" s="1"/>
  <c r="G174" i="159"/>
  <c r="G183" i="25"/>
  <c r="M36" i="108"/>
  <c r="D173" i="25"/>
  <c r="Q15" i="76"/>
  <c r="G185" i="25"/>
  <c r="G176" i="160"/>
  <c r="G176" i="28"/>
  <c r="G176" i="159"/>
  <c r="G101" i="159" s="1"/>
  <c r="F175" i="25"/>
  <c r="O35" i="108"/>
  <c r="Q5" i="76"/>
  <c r="E137" i="7"/>
  <c r="D105" i="174"/>
  <c r="D96" i="174" s="1"/>
  <c r="Q7" i="76"/>
  <c r="D104" i="158"/>
  <c r="D95" i="158" s="1"/>
  <c r="D105" i="176"/>
  <c r="D96" i="176" s="1"/>
  <c r="M40" i="108"/>
  <c r="Q14" i="76"/>
  <c r="I11" i="108" s="1"/>
  <c r="H137" i="14"/>
  <c r="O39" i="108"/>
  <c r="G138" i="14"/>
  <c r="E172" i="25"/>
  <c r="I136" i="14"/>
  <c r="I135" i="14"/>
  <c r="E183" i="25"/>
  <c r="E174" i="159"/>
  <c r="E174" i="160"/>
  <c r="E101" i="160" s="1"/>
  <c r="E174" i="28"/>
  <c r="N36" i="108"/>
  <c r="E173" i="25"/>
  <c r="F176" i="28"/>
  <c r="F185" i="25"/>
  <c r="F176" i="159"/>
  <c r="F101" i="159" s="1"/>
  <c r="F176" i="160"/>
  <c r="P35" i="108"/>
  <c r="G175" i="25"/>
  <c r="F139" i="7"/>
  <c r="F138" i="7"/>
  <c r="E105" i="174"/>
  <c r="E96" i="174" s="1"/>
  <c r="E104" i="158"/>
  <c r="E95" i="158" s="1"/>
  <c r="E105" i="176"/>
  <c r="E96" i="176" s="1"/>
  <c r="I137" i="14"/>
  <c r="P39" i="108"/>
  <c r="I138" i="14"/>
  <c r="G172" i="25"/>
  <c r="H135" i="14"/>
  <c r="H136" i="14"/>
  <c r="D174" i="25"/>
  <c r="Q17" i="76"/>
  <c r="F173" i="25"/>
  <c r="O36" i="108"/>
  <c r="Q18" i="76"/>
  <c r="D176" i="25"/>
  <c r="D175" i="25"/>
  <c r="Q16" i="76"/>
  <c r="M35" i="108"/>
  <c r="W43" i="100"/>
  <c r="Y43" i="100"/>
  <c r="BA14" i="97" l="1"/>
  <c r="BA19" i="97" s="1"/>
  <c r="AW14" i="98"/>
  <c r="AW16" i="98" s="1"/>
  <c r="AW14" i="97"/>
  <c r="AW19" i="97" s="1"/>
  <c r="AW14" i="99"/>
  <c r="AW16" i="99" s="1"/>
  <c r="BA14" i="99"/>
  <c r="BA16" i="99" s="1"/>
  <c r="BA14" i="140"/>
  <c r="BA16" i="140" s="1"/>
  <c r="Q223" i="3"/>
  <c r="AZ16" i="97"/>
  <c r="AZ17" i="97" s="1"/>
  <c r="BB14" i="140"/>
  <c r="BB16" i="140" s="1"/>
  <c r="CA14" i="140"/>
  <c r="CA16" i="140" s="1"/>
  <c r="CA14" i="98"/>
  <c r="CA16" i="98" s="1"/>
  <c r="CA14" i="97"/>
  <c r="CA16" i="97" s="1"/>
  <c r="CA17" i="97" s="1"/>
  <c r="BB14" i="99"/>
  <c r="BB16" i="99" s="1"/>
  <c r="BB14" i="97"/>
  <c r="BB16" i="97" s="1"/>
  <c r="BB17" i="97" s="1"/>
  <c r="P19" i="100"/>
  <c r="AE54" i="3" s="1"/>
  <c r="R22" i="101"/>
  <c r="C22" i="101" s="1"/>
  <c r="H19" i="100" s="1"/>
  <c r="CE16" i="97"/>
  <c r="CE19" i="97"/>
  <c r="T38" i="108"/>
  <c r="V24" i="101"/>
  <c r="R14" i="101"/>
  <c r="C14" i="101" s="1"/>
  <c r="R19" i="100" s="1"/>
  <c r="O54" i="3" s="1"/>
  <c r="D138" i="14"/>
  <c r="E20" i="14" s="1"/>
  <c r="R13" i="101"/>
  <c r="C13" i="101" s="1"/>
  <c r="R8" i="101"/>
  <c r="C8" i="101" s="1"/>
  <c r="G39" i="100" s="1"/>
  <c r="R27" i="101"/>
  <c r="C27" i="101" s="1"/>
  <c r="K19" i="100" s="1"/>
  <c r="Z54" i="3" s="1"/>
  <c r="R24" i="101"/>
  <c r="C24" i="101" s="1"/>
  <c r="T39" i="100" s="1"/>
  <c r="R16" i="101"/>
  <c r="C16" i="101" s="1"/>
  <c r="S19" i="100" s="1"/>
  <c r="AP54" i="3" s="1"/>
  <c r="R11" i="101"/>
  <c r="C11" i="101" s="1"/>
  <c r="R9" i="101"/>
  <c r="C9" i="101" s="1"/>
  <c r="L19" i="100" s="1"/>
  <c r="H54" i="3" s="1"/>
  <c r="R17" i="101"/>
  <c r="C17" i="101" s="1"/>
  <c r="U19" i="100" s="1"/>
  <c r="R23" i="101"/>
  <c r="C23" i="101" s="1"/>
  <c r="S39" i="100" s="1"/>
  <c r="R20" i="101"/>
  <c r="C20" i="101" s="1"/>
  <c r="G19" i="100" s="1"/>
  <c r="S54" i="3" s="1"/>
  <c r="R15" i="101"/>
  <c r="C15" i="101" s="1"/>
  <c r="O19" i="100" s="1"/>
  <c r="R26" i="101"/>
  <c r="C26" i="101" s="1"/>
  <c r="R12" i="101"/>
  <c r="C12" i="101" s="1"/>
  <c r="X19" i="100" s="1"/>
  <c r="AL54" i="3" s="1"/>
  <c r="R25" i="101"/>
  <c r="C25" i="101" s="1"/>
  <c r="J39" i="100" s="1"/>
  <c r="O37" i="108"/>
  <c r="O38" i="108" s="1"/>
  <c r="E92" i="160"/>
  <c r="F135" i="14"/>
  <c r="D135" i="14" s="1"/>
  <c r="F136" i="14"/>
  <c r="D136" i="14" s="1"/>
  <c r="F18" i="14" s="1"/>
  <c r="E92" i="159"/>
  <c r="D184" i="25"/>
  <c r="D175" i="159"/>
  <c r="D101" i="25"/>
  <c r="D175" i="160"/>
  <c r="D175" i="28"/>
  <c r="F182" i="25"/>
  <c r="F173" i="159"/>
  <c r="F173" i="28"/>
  <c r="F101" i="28" s="1"/>
  <c r="F173" i="160"/>
  <c r="E182" i="25"/>
  <c r="E173" i="159"/>
  <c r="E173" i="28"/>
  <c r="E101" i="28" s="1"/>
  <c r="E173" i="160"/>
  <c r="E172" i="160"/>
  <c r="E172" i="28"/>
  <c r="E179" i="25"/>
  <c r="E172" i="159"/>
  <c r="W54" i="3"/>
  <c r="D182" i="25"/>
  <c r="D173" i="28"/>
  <c r="D101" i="28" s="1"/>
  <c r="D173" i="159"/>
  <c r="D173" i="160"/>
  <c r="G92" i="160"/>
  <c r="E175" i="28"/>
  <c r="E175" i="159"/>
  <c r="E175" i="160"/>
  <c r="E101" i="25"/>
  <c r="E184" i="25"/>
  <c r="F92" i="160"/>
  <c r="J53" i="3"/>
  <c r="J52" i="3"/>
  <c r="J51" i="3"/>
  <c r="D176" i="160"/>
  <c r="D185" i="25"/>
  <c r="D176" i="159"/>
  <c r="D101" i="159" s="1"/>
  <c r="D176" i="28"/>
  <c r="G179" i="25"/>
  <c r="G172" i="28"/>
  <c r="G172" i="159"/>
  <c r="G172" i="160"/>
  <c r="F92" i="159"/>
  <c r="E183" i="160"/>
  <c r="E183" i="28"/>
  <c r="E183" i="159"/>
  <c r="E139" i="7"/>
  <c r="D139" i="7" s="1"/>
  <c r="E138" i="7"/>
  <c r="D138" i="7" s="1"/>
  <c r="D137" i="7"/>
  <c r="G92" i="159"/>
  <c r="P37" i="108"/>
  <c r="P38" i="108" s="1"/>
  <c r="E185" i="160"/>
  <c r="E185" i="159"/>
  <c r="E185" i="28"/>
  <c r="D172" i="159"/>
  <c r="D172" i="160"/>
  <c r="D179" i="25"/>
  <c r="D172" i="28"/>
  <c r="D174" i="28"/>
  <c r="D183" i="25"/>
  <c r="D174" i="160"/>
  <c r="D101" i="160" s="1"/>
  <c r="D174" i="159"/>
  <c r="G175" i="159"/>
  <c r="G101" i="25"/>
  <c r="G184" i="25"/>
  <c r="G175" i="28"/>
  <c r="G175" i="160"/>
  <c r="F185" i="160"/>
  <c r="F185" i="28"/>
  <c r="F185" i="159"/>
  <c r="M37" i="108"/>
  <c r="M38" i="108" s="1"/>
  <c r="AG54" i="3"/>
  <c r="AK54" i="3"/>
  <c r="AD54" i="3"/>
  <c r="T54" i="3"/>
  <c r="AN54" i="3"/>
  <c r="AA54" i="3"/>
  <c r="R27" i="122"/>
  <c r="F54" i="3"/>
  <c r="X54" i="3"/>
  <c r="G183" i="159"/>
  <c r="G183" i="160"/>
  <c r="G183" i="28"/>
  <c r="I8" i="108"/>
  <c r="I5" i="108"/>
  <c r="G173" i="159"/>
  <c r="G173" i="160"/>
  <c r="G173" i="28"/>
  <c r="G101" i="28" s="1"/>
  <c r="G182" i="25"/>
  <c r="F183" i="28"/>
  <c r="F183" i="160"/>
  <c r="F183" i="159"/>
  <c r="AJ54" i="3"/>
  <c r="M54" i="3"/>
  <c r="F19" i="14"/>
  <c r="E19" i="14"/>
  <c r="F175" i="160"/>
  <c r="F101" i="25"/>
  <c r="F175" i="28"/>
  <c r="F175" i="159"/>
  <c r="F184" i="25"/>
  <c r="G185" i="159"/>
  <c r="G185" i="28"/>
  <c r="G185" i="160"/>
  <c r="F179" i="25"/>
  <c r="F172" i="159"/>
  <c r="F172" i="28"/>
  <c r="F172" i="160"/>
  <c r="W19" i="100" l="1"/>
  <c r="V54" i="3" s="1"/>
  <c r="BA16" i="97"/>
  <c r="BA17" i="97" s="1"/>
  <c r="BB19" i="97"/>
  <c r="AW16" i="97"/>
  <c r="AW17" i="97" s="1"/>
  <c r="L54" i="3"/>
  <c r="L51" i="3" s="1"/>
  <c r="Y54" i="3"/>
  <c r="Y53" i="3" s="1"/>
  <c r="AO54" i="3"/>
  <c r="AO51" i="3" s="1"/>
  <c r="AB54" i="3"/>
  <c r="AB51" i="3" s="1"/>
  <c r="AP214" i="3"/>
  <c r="AP204" i="3"/>
  <c r="AP213" i="3"/>
  <c r="AP203" i="3"/>
  <c r="AP215" i="3"/>
  <c r="AP205" i="3"/>
  <c r="Q54" i="3"/>
  <c r="J19" i="100"/>
  <c r="AI54" i="3" s="1"/>
  <c r="F20" i="14"/>
  <c r="G47" i="100" s="1"/>
  <c r="G40" i="100" s="1"/>
  <c r="AD19" i="100"/>
  <c r="AD39" i="100"/>
  <c r="P39" i="100"/>
  <c r="X39" i="100"/>
  <c r="AE19" i="100"/>
  <c r="AL19" i="100"/>
  <c r="N39" i="100"/>
  <c r="AL39" i="100"/>
  <c r="M39" i="100"/>
  <c r="H39" i="100"/>
  <c r="AC39" i="100"/>
  <c r="Q39" i="100"/>
  <c r="F39" i="100"/>
  <c r="R36" i="122" s="1"/>
  <c r="Y39" i="100"/>
  <c r="AE39" i="100"/>
  <c r="L39" i="100"/>
  <c r="W39" i="100"/>
  <c r="AC19" i="100"/>
  <c r="V19" i="100"/>
  <c r="AC54" i="3" s="1"/>
  <c r="I39" i="100"/>
  <c r="U39" i="100"/>
  <c r="AF54" i="3"/>
  <c r="AF53" i="3" s="1"/>
  <c r="T19" i="100"/>
  <c r="R54" i="3" s="1"/>
  <c r="Y19" i="100"/>
  <c r="I54" i="3" s="1"/>
  <c r="I53" i="3" s="1"/>
  <c r="O39" i="100"/>
  <c r="AH54" i="3"/>
  <c r="AH52" i="3" s="1"/>
  <c r="K54" i="3"/>
  <c r="K51" i="3" s="1"/>
  <c r="G54" i="3"/>
  <c r="G52" i="3" s="1"/>
  <c r="R39" i="100"/>
  <c r="V39" i="100"/>
  <c r="K39" i="100"/>
  <c r="N19" i="100"/>
  <c r="P54" i="3" s="1"/>
  <c r="P52" i="3" s="1"/>
  <c r="F179" i="28"/>
  <c r="F104" i="28" s="1"/>
  <c r="F95" i="28" s="1"/>
  <c r="F179" i="159"/>
  <c r="F104" i="159" s="1"/>
  <c r="F179" i="160"/>
  <c r="F104" i="160" s="1"/>
  <c r="F104" i="25"/>
  <c r="F95" i="25" s="1"/>
  <c r="F184" i="28"/>
  <c r="F106" i="28" s="1"/>
  <c r="F97" i="28" s="1"/>
  <c r="F184" i="159"/>
  <c r="F184" i="160"/>
  <c r="X51" i="3"/>
  <c r="X53" i="3"/>
  <c r="X52" i="3"/>
  <c r="AN53" i="3"/>
  <c r="AN52" i="3"/>
  <c r="AN51" i="3"/>
  <c r="AG52" i="3"/>
  <c r="AG53" i="3"/>
  <c r="AG51" i="3"/>
  <c r="G92" i="25"/>
  <c r="D183" i="160"/>
  <c r="D183" i="159"/>
  <c r="D183" i="28"/>
  <c r="Z52" i="3"/>
  <c r="Z53" i="3"/>
  <c r="AE52" i="3"/>
  <c r="AE53" i="3"/>
  <c r="AE51" i="3"/>
  <c r="G179" i="160"/>
  <c r="G104" i="160" s="1"/>
  <c r="G179" i="159"/>
  <c r="G104" i="159" s="1"/>
  <c r="G179" i="28"/>
  <c r="G104" i="28" s="1"/>
  <c r="G95" i="28" s="1"/>
  <c r="G104" i="25"/>
  <c r="G95" i="25" s="1"/>
  <c r="D92" i="25"/>
  <c r="U54" i="3"/>
  <c r="M52" i="3"/>
  <c r="M53" i="3"/>
  <c r="M51" i="3"/>
  <c r="F53" i="3"/>
  <c r="F51" i="3"/>
  <c r="R14" i="122" s="1"/>
  <c r="F52" i="3"/>
  <c r="T51" i="3"/>
  <c r="T52" i="3"/>
  <c r="T53" i="3"/>
  <c r="Y51" i="3"/>
  <c r="AI213" i="3"/>
  <c r="AF213" i="3"/>
  <c r="AL213" i="3"/>
  <c r="R213" i="3"/>
  <c r="V213" i="3"/>
  <c r="I213" i="3"/>
  <c r="AG213" i="3"/>
  <c r="O213" i="3"/>
  <c r="K213" i="3"/>
  <c r="O203" i="3"/>
  <c r="AH203" i="3"/>
  <c r="K203" i="3"/>
  <c r="AO213" i="3"/>
  <c r="J6" i="108"/>
  <c r="S213" i="3"/>
  <c r="L213" i="3"/>
  <c r="AN213" i="3"/>
  <c r="F213" i="3"/>
  <c r="G213" i="3"/>
  <c r="W213" i="3"/>
  <c r="AE213" i="3"/>
  <c r="T213" i="3"/>
  <c r="AC203" i="3"/>
  <c r="Q203" i="3"/>
  <c r="Y203" i="3"/>
  <c r="AH213" i="3"/>
  <c r="AK213" i="3"/>
  <c r="U213" i="3"/>
  <c r="Z213" i="3"/>
  <c r="J213" i="3"/>
  <c r="AA213" i="3"/>
  <c r="AM213" i="3"/>
  <c r="H213" i="3"/>
  <c r="AD213" i="3"/>
  <c r="AB203" i="3"/>
  <c r="AE203" i="3"/>
  <c r="AJ203" i="3"/>
  <c r="AL203" i="3"/>
  <c r="AJ213" i="3"/>
  <c r="AC213" i="3"/>
  <c r="X213" i="3"/>
  <c r="M213" i="3"/>
  <c r="Q213" i="3"/>
  <c r="P213" i="3"/>
  <c r="AB213" i="3"/>
  <c r="Y213" i="3"/>
  <c r="N213" i="3"/>
  <c r="R203" i="3"/>
  <c r="L203" i="3"/>
  <c r="M203" i="3"/>
  <c r="P203" i="3"/>
  <c r="AO203" i="3"/>
  <c r="H51" i="3"/>
  <c r="H53" i="3"/>
  <c r="H52" i="3"/>
  <c r="E184" i="28"/>
  <c r="E106" i="28" s="1"/>
  <c r="E97" i="28" s="1"/>
  <c r="E184" i="160"/>
  <c r="E184" i="159"/>
  <c r="W53" i="3"/>
  <c r="W52" i="3"/>
  <c r="W51" i="3"/>
  <c r="E106" i="25"/>
  <c r="E97" i="25" s="1"/>
  <c r="E182" i="28"/>
  <c r="E182" i="160"/>
  <c r="E182" i="159"/>
  <c r="F182" i="159"/>
  <c r="F106" i="25"/>
  <c r="F97" i="25" s="1"/>
  <c r="F182" i="28"/>
  <c r="F182" i="160"/>
  <c r="V53" i="3"/>
  <c r="V51" i="3"/>
  <c r="V52" i="3"/>
  <c r="S53" i="3"/>
  <c r="S52" i="3"/>
  <c r="S51" i="3"/>
  <c r="AC29" i="100"/>
  <c r="AC26" i="100" s="1"/>
  <c r="AC47" i="100"/>
  <c r="AC40" i="100" s="1"/>
  <c r="AJ52" i="3"/>
  <c r="AJ51" i="3"/>
  <c r="AJ53" i="3"/>
  <c r="G106" i="25"/>
  <c r="G97" i="25" s="1"/>
  <c r="G182" i="160"/>
  <c r="G182" i="28"/>
  <c r="G182" i="159"/>
  <c r="I21" i="100"/>
  <c r="AI42" i="100"/>
  <c r="H21" i="100"/>
  <c r="G21" i="100"/>
  <c r="AJ21" i="100"/>
  <c r="AF42" i="100"/>
  <c r="AG42" i="100"/>
  <c r="AC42" i="100"/>
  <c r="L42" i="100"/>
  <c r="W42" i="100"/>
  <c r="T42" i="100"/>
  <c r="AC21" i="100"/>
  <c r="O42" i="100"/>
  <c r="AL21" i="100"/>
  <c r="AB42" i="100"/>
  <c r="Z21" i="100"/>
  <c r="M21" i="100"/>
  <c r="AK21" i="100"/>
  <c r="X21" i="100"/>
  <c r="P21" i="100"/>
  <c r="AI21" i="100"/>
  <c r="AG21" i="100"/>
  <c r="AE42" i="100"/>
  <c r="Q21" i="100"/>
  <c r="N21" i="100"/>
  <c r="AH21" i="100"/>
  <c r="AA42" i="100"/>
  <c r="AD42" i="100"/>
  <c r="AF21" i="100"/>
  <c r="AK42" i="100"/>
  <c r="AJ42" i="100"/>
  <c r="AE21" i="100"/>
  <c r="O21" i="100"/>
  <c r="P42" i="100"/>
  <c r="X42" i="100"/>
  <c r="V42" i="100"/>
  <c r="R42" i="100"/>
  <c r="AB21" i="100"/>
  <c r="AH42" i="100"/>
  <c r="Z42" i="100"/>
  <c r="L21" i="100"/>
  <c r="Y21" i="100"/>
  <c r="F21" i="100"/>
  <c r="AA21" i="100"/>
  <c r="W21" i="100"/>
  <c r="AL42" i="100"/>
  <c r="AD21" i="100"/>
  <c r="M42" i="100"/>
  <c r="J42" i="100"/>
  <c r="U42" i="100"/>
  <c r="K21" i="100"/>
  <c r="Q42" i="100"/>
  <c r="N42" i="100"/>
  <c r="R21" i="100"/>
  <c r="K42" i="100"/>
  <c r="Y42" i="100"/>
  <c r="J21" i="100"/>
  <c r="S42" i="100"/>
  <c r="AD51" i="3"/>
  <c r="AD52" i="3"/>
  <c r="AD53" i="3"/>
  <c r="AO214" i="3"/>
  <c r="AN214" i="3"/>
  <c r="AA214" i="3"/>
  <c r="M214" i="3"/>
  <c r="X214" i="3"/>
  <c r="V214" i="3"/>
  <c r="K214" i="3"/>
  <c r="Q214" i="3"/>
  <c r="G214" i="3"/>
  <c r="Y204" i="3"/>
  <c r="AH204" i="3"/>
  <c r="P204" i="3"/>
  <c r="AJ214" i="3"/>
  <c r="AI214" i="3"/>
  <c r="P214" i="3"/>
  <c r="Y214" i="3"/>
  <c r="O214" i="3"/>
  <c r="W214" i="3"/>
  <c r="I214" i="3"/>
  <c r="N214" i="3"/>
  <c r="AE214" i="3"/>
  <c r="O204" i="3"/>
  <c r="R204" i="3"/>
  <c r="K204" i="3"/>
  <c r="AB204" i="3"/>
  <c r="AK214" i="3"/>
  <c r="Z214" i="3"/>
  <c r="AD214" i="3"/>
  <c r="L214" i="3"/>
  <c r="U214" i="3"/>
  <c r="AL214" i="3"/>
  <c r="AC214" i="3"/>
  <c r="T214" i="3"/>
  <c r="AB214" i="3"/>
  <c r="AJ204" i="3"/>
  <c r="AE204" i="3"/>
  <c r="AL204" i="3"/>
  <c r="M204" i="3"/>
  <c r="AH214" i="3"/>
  <c r="H214" i="3"/>
  <c r="S214" i="3"/>
  <c r="R214" i="3"/>
  <c r="AM214" i="3"/>
  <c r="AG214" i="3"/>
  <c r="J214" i="3"/>
  <c r="F214" i="3"/>
  <c r="AF214" i="3"/>
  <c r="AC204" i="3"/>
  <c r="L204" i="3"/>
  <c r="Q204" i="3"/>
  <c r="AO204" i="3"/>
  <c r="D92" i="159"/>
  <c r="E92" i="25"/>
  <c r="D92" i="28"/>
  <c r="D184" i="28"/>
  <c r="D184" i="160"/>
  <c r="D184" i="159"/>
  <c r="F92" i="25"/>
  <c r="AL52" i="3"/>
  <c r="AL51" i="3"/>
  <c r="AL53" i="3"/>
  <c r="G92" i="28"/>
  <c r="AA53" i="3"/>
  <c r="AA51" i="3"/>
  <c r="AA52" i="3"/>
  <c r="AK53" i="3"/>
  <c r="AK52" i="3"/>
  <c r="AK51" i="3"/>
  <c r="G184" i="160"/>
  <c r="G184" i="159"/>
  <c r="G184" i="28"/>
  <c r="G106" i="28" s="1"/>
  <c r="G97" i="28" s="1"/>
  <c r="D92" i="160"/>
  <c r="D179" i="160"/>
  <c r="D104" i="160" s="1"/>
  <c r="D95" i="160" s="1"/>
  <c r="D179" i="28"/>
  <c r="D104" i="28" s="1"/>
  <c r="D95" i="28" s="1"/>
  <c r="D179" i="159"/>
  <c r="D104" i="159" s="1"/>
  <c r="D95" i="159" s="1"/>
  <c r="D104" i="25"/>
  <c r="D95" i="25" s="1"/>
  <c r="L52" i="3"/>
  <c r="AJ215" i="3"/>
  <c r="K215" i="3"/>
  <c r="AD215" i="3"/>
  <c r="T215" i="3"/>
  <c r="Z215" i="3"/>
  <c r="AN215" i="3"/>
  <c r="P215" i="3"/>
  <c r="AL215" i="3"/>
  <c r="AC215" i="3"/>
  <c r="R205" i="3"/>
  <c r="Y205" i="3"/>
  <c r="AJ205" i="3"/>
  <c r="AO205" i="3"/>
  <c r="AK215" i="3"/>
  <c r="X215" i="3"/>
  <c r="AE215" i="3"/>
  <c r="J215" i="3"/>
  <c r="G215" i="3"/>
  <c r="F215" i="3"/>
  <c r="AG215" i="3"/>
  <c r="AM215" i="3"/>
  <c r="H215" i="3"/>
  <c r="M205" i="3"/>
  <c r="AL205" i="3"/>
  <c r="AB205" i="3"/>
  <c r="AO215" i="3"/>
  <c r="AH215" i="3"/>
  <c r="W215" i="3"/>
  <c r="AF215" i="3"/>
  <c r="V215" i="3"/>
  <c r="Y215" i="3"/>
  <c r="N215" i="3"/>
  <c r="M215" i="3"/>
  <c r="O215" i="3"/>
  <c r="O205" i="3"/>
  <c r="P205" i="3"/>
  <c r="Q205" i="3"/>
  <c r="AE205" i="3"/>
  <c r="AI215" i="3"/>
  <c r="S215" i="3"/>
  <c r="U215" i="3"/>
  <c r="L215" i="3"/>
  <c r="Q215" i="3"/>
  <c r="AB215" i="3"/>
  <c r="R215" i="3"/>
  <c r="AA215" i="3"/>
  <c r="I215" i="3"/>
  <c r="AC205" i="3"/>
  <c r="K205" i="3"/>
  <c r="L205" i="3"/>
  <c r="AH205" i="3"/>
  <c r="D185" i="160"/>
  <c r="D185" i="159"/>
  <c r="D185" i="28"/>
  <c r="D182" i="159"/>
  <c r="D182" i="28"/>
  <c r="D106" i="25"/>
  <c r="D97" i="25" s="1"/>
  <c r="D182" i="160"/>
  <c r="E179" i="160"/>
  <c r="E104" i="160" s="1"/>
  <c r="E179" i="28"/>
  <c r="E104" i="28" s="1"/>
  <c r="E95" i="28" s="1"/>
  <c r="E104" i="25"/>
  <c r="E95" i="25" s="1"/>
  <c r="E179" i="159"/>
  <c r="E104" i="159" s="1"/>
  <c r="E92" i="28"/>
  <c r="F92" i="28"/>
  <c r="F17" i="14"/>
  <c r="E17" i="14"/>
  <c r="W87" i="100"/>
  <c r="W173" i="100" s="1"/>
  <c r="W181" i="100" s="1"/>
  <c r="F45" i="100"/>
  <c r="AO53" i="3" l="1"/>
  <c r="L53" i="3"/>
  <c r="Y52" i="3"/>
  <c r="AO52" i="3"/>
  <c r="AB53" i="3"/>
  <c r="AB52" i="3"/>
  <c r="AP210" i="3"/>
  <c r="AP25" i="3" s="1"/>
  <c r="N54" i="3"/>
  <c r="AP222" i="3"/>
  <c r="AP220" i="3"/>
  <c r="AM54" i="3"/>
  <c r="I47" i="100"/>
  <c r="I40" i="100" s="1"/>
  <c r="F47" i="100"/>
  <c r="R43" i="122" s="1"/>
  <c r="H47" i="100"/>
  <c r="H40" i="100" s="1"/>
  <c r="G106" i="159"/>
  <c r="G97" i="159" s="1"/>
  <c r="AH51" i="3"/>
  <c r="AF52" i="3"/>
  <c r="AF51" i="3" s="1"/>
  <c r="I51" i="3"/>
  <c r="G53" i="3"/>
  <c r="P51" i="3"/>
  <c r="G51" i="3"/>
  <c r="P53" i="3"/>
  <c r="I52" i="3"/>
  <c r="AH53" i="3"/>
  <c r="F102" i="28"/>
  <c r="F93" i="28" s="1"/>
  <c r="K52" i="3"/>
  <c r="K53" i="3"/>
  <c r="Z51" i="3"/>
  <c r="E102" i="28"/>
  <c r="E93" i="28" s="1"/>
  <c r="G106" i="160"/>
  <c r="G97" i="160" s="1"/>
  <c r="F102" i="25"/>
  <c r="F93" i="25" s="1"/>
  <c r="E106" i="159"/>
  <c r="E97" i="159" s="1"/>
  <c r="P210" i="3"/>
  <c r="P25" i="3" s="1"/>
  <c r="N220" i="3"/>
  <c r="AK220" i="3"/>
  <c r="AC210" i="3"/>
  <c r="AC25" i="3" s="1"/>
  <c r="AG220" i="3"/>
  <c r="F106" i="160"/>
  <c r="F97" i="160" s="1"/>
  <c r="D106" i="28"/>
  <c r="D97" i="28" s="1"/>
  <c r="H220" i="3"/>
  <c r="AN220" i="3"/>
  <c r="V220" i="3"/>
  <c r="F85" i="100"/>
  <c r="R41" i="122"/>
  <c r="R52" i="3"/>
  <c r="R53" i="3"/>
  <c r="E95" i="160"/>
  <c r="G102" i="28"/>
  <c r="G93" i="28" s="1"/>
  <c r="E102" i="25"/>
  <c r="E93" i="25" s="1"/>
  <c r="AC53" i="3"/>
  <c r="AC52" i="3"/>
  <c r="Q220" i="3"/>
  <c r="Q222" i="3"/>
  <c r="AJ220" i="3"/>
  <c r="AJ222" i="3"/>
  <c r="AB210" i="3"/>
  <c r="AB25" i="3" s="1"/>
  <c r="AA220" i="3"/>
  <c r="G220" i="3"/>
  <c r="S220" i="3"/>
  <c r="AH210" i="3"/>
  <c r="AH25" i="3" s="1"/>
  <c r="AL222" i="3"/>
  <c r="AL220" i="3"/>
  <c r="U53" i="3"/>
  <c r="U52" i="3"/>
  <c r="U51" i="3"/>
  <c r="G95" i="160"/>
  <c r="F95" i="160"/>
  <c r="T47" i="100"/>
  <c r="T40" i="100" s="1"/>
  <c r="O47" i="100"/>
  <c r="O40" i="100" s="1"/>
  <c r="U47" i="100"/>
  <c r="U40" i="100" s="1"/>
  <c r="V47" i="100"/>
  <c r="V40" i="100" s="1"/>
  <c r="S47" i="100"/>
  <c r="S40" i="100" s="1"/>
  <c r="E95" i="159"/>
  <c r="M210" i="3"/>
  <c r="M25" i="3" s="1"/>
  <c r="Y220" i="3"/>
  <c r="Y222" i="3"/>
  <c r="M220" i="3"/>
  <c r="M222" i="3"/>
  <c r="AL210" i="3"/>
  <c r="AL25" i="3" s="1"/>
  <c r="AD220" i="3"/>
  <c r="J220" i="3"/>
  <c r="AH220" i="3"/>
  <c r="AH222" i="3"/>
  <c r="T220" i="3"/>
  <c r="F220" i="3"/>
  <c r="I35" i="100"/>
  <c r="I20" i="100" s="1"/>
  <c r="AE41" i="100"/>
  <c r="AE38" i="100" s="1"/>
  <c r="AE84" i="100" s="1"/>
  <c r="P35" i="100"/>
  <c r="P20" i="100" s="1"/>
  <c r="AA35" i="100"/>
  <c r="AA20" i="100" s="1"/>
  <c r="AI41" i="100"/>
  <c r="AI38" i="100" s="1"/>
  <c r="AI84" i="100" s="1"/>
  <c r="H35" i="100"/>
  <c r="H20" i="100" s="1"/>
  <c r="AH41" i="100"/>
  <c r="AH38" i="100" s="1"/>
  <c r="AH84" i="100" s="1"/>
  <c r="Y35" i="100"/>
  <c r="Y20" i="100" s="1"/>
  <c r="AB35" i="100"/>
  <c r="AB20" i="100" s="1"/>
  <c r="AL35" i="100"/>
  <c r="AL20" i="100" s="1"/>
  <c r="O35" i="100"/>
  <c r="O20" i="100" s="1"/>
  <c r="V35" i="100"/>
  <c r="V20" i="100" s="1"/>
  <c r="I41" i="100"/>
  <c r="R41" i="100"/>
  <c r="Y41" i="100"/>
  <c r="O41" i="100"/>
  <c r="L41" i="100"/>
  <c r="AG41" i="100"/>
  <c r="AG38" i="100" s="1"/>
  <c r="AG84" i="100" s="1"/>
  <c r="AH35" i="100"/>
  <c r="AH20" i="100" s="1"/>
  <c r="AB41" i="100"/>
  <c r="AB38" i="100" s="1"/>
  <c r="AB84" i="100" s="1"/>
  <c r="AD41" i="100"/>
  <c r="AD38" i="100" s="1"/>
  <c r="AD84" i="100" s="1"/>
  <c r="X35" i="100"/>
  <c r="X20" i="100" s="1"/>
  <c r="AI35" i="100"/>
  <c r="AI20" i="100" s="1"/>
  <c r="Q35" i="100"/>
  <c r="Q20" i="100" s="1"/>
  <c r="Z35" i="100"/>
  <c r="Z20" i="100" s="1"/>
  <c r="L35" i="100"/>
  <c r="L20" i="100" s="1"/>
  <c r="AE35" i="100"/>
  <c r="AE20" i="100" s="1"/>
  <c r="AD35" i="100"/>
  <c r="AD20" i="100" s="1"/>
  <c r="J35" i="100"/>
  <c r="J20" i="100" s="1"/>
  <c r="F41" i="100"/>
  <c r="R38" i="122" s="1"/>
  <c r="P41" i="100"/>
  <c r="K41" i="100"/>
  <c r="K38" i="100" s="1"/>
  <c r="T41" i="100"/>
  <c r="X41" i="100"/>
  <c r="AF41" i="100"/>
  <c r="AF38" i="100" s="1"/>
  <c r="AF84" i="100" s="1"/>
  <c r="AG35" i="100"/>
  <c r="AG20" i="100" s="1"/>
  <c r="AK35" i="100"/>
  <c r="AK20" i="100" s="1"/>
  <c r="W35" i="100"/>
  <c r="W20" i="100" s="1"/>
  <c r="AF35" i="100"/>
  <c r="AF20" i="100" s="1"/>
  <c r="Z41" i="100"/>
  <c r="Z38" i="100" s="1"/>
  <c r="Z84" i="100" s="1"/>
  <c r="AJ41" i="100"/>
  <c r="AJ38" i="100" s="1"/>
  <c r="AJ84" i="100" s="1"/>
  <c r="N35" i="100"/>
  <c r="N20" i="100" s="1"/>
  <c r="T35" i="100"/>
  <c r="T20" i="100" s="1"/>
  <c r="K35" i="100"/>
  <c r="K20" i="100" s="1"/>
  <c r="U35" i="100"/>
  <c r="U20" i="100" s="1"/>
  <c r="G41" i="100"/>
  <c r="W41" i="100"/>
  <c r="J41" i="100"/>
  <c r="J38" i="100" s="1"/>
  <c r="N41" i="100"/>
  <c r="Q41" i="100"/>
  <c r="AJ35" i="100"/>
  <c r="AJ20" i="100" s="1"/>
  <c r="AC41" i="100"/>
  <c r="AC38" i="100" s="1"/>
  <c r="AC84" i="100" s="1"/>
  <c r="AA41" i="100"/>
  <c r="AA38" i="100" s="1"/>
  <c r="AA84" i="100" s="1"/>
  <c r="M35" i="100"/>
  <c r="M20" i="100" s="1"/>
  <c r="F35" i="100"/>
  <c r="F20" i="100" s="1"/>
  <c r="J5" i="108"/>
  <c r="G35" i="100"/>
  <c r="G20" i="100" s="1"/>
  <c r="AL41" i="100"/>
  <c r="AL38" i="100" s="1"/>
  <c r="AL84" i="100" s="1"/>
  <c r="AK41" i="100"/>
  <c r="AK38" i="100" s="1"/>
  <c r="AK84" i="100" s="1"/>
  <c r="S35" i="100"/>
  <c r="S20" i="100" s="1"/>
  <c r="AC35" i="100"/>
  <c r="AC20" i="100" s="1"/>
  <c r="R35" i="100"/>
  <c r="R20" i="100" s="1"/>
  <c r="U41" i="100"/>
  <c r="H41" i="100"/>
  <c r="S41" i="100"/>
  <c r="V41" i="100"/>
  <c r="M41" i="100"/>
  <c r="O210" i="3"/>
  <c r="O25" i="3" s="1"/>
  <c r="I220" i="3"/>
  <c r="AF220" i="3"/>
  <c r="F106" i="159"/>
  <c r="F97" i="159" s="1"/>
  <c r="F95" i="159"/>
  <c r="D106" i="159"/>
  <c r="D97" i="159" s="1"/>
  <c r="L210" i="3"/>
  <c r="L25" i="3" s="1"/>
  <c r="AB220" i="3"/>
  <c r="AB222" i="3"/>
  <c r="X220" i="3"/>
  <c r="AJ210" i="3"/>
  <c r="AJ25" i="3" s="1"/>
  <c r="Z220" i="3"/>
  <c r="Y210" i="3"/>
  <c r="Y25" i="3" s="1"/>
  <c r="AE220" i="3"/>
  <c r="AE222" i="3"/>
  <c r="AO220" i="3"/>
  <c r="AO222" i="3"/>
  <c r="K220" i="3"/>
  <c r="K222" i="3"/>
  <c r="AI220" i="3"/>
  <c r="D106" i="160"/>
  <c r="D97" i="160" s="1"/>
  <c r="E106" i="160"/>
  <c r="E97" i="160" s="1"/>
  <c r="AO210" i="3"/>
  <c r="AO25" i="3" s="1"/>
  <c r="R210" i="3"/>
  <c r="R25" i="3" s="1"/>
  <c r="P220" i="3"/>
  <c r="P222" i="3"/>
  <c r="AC222" i="3"/>
  <c r="AC220" i="3"/>
  <c r="AE210" i="3"/>
  <c r="AE25" i="3" s="1"/>
  <c r="AM220" i="3"/>
  <c r="U220" i="3"/>
  <c r="Q210" i="3"/>
  <c r="Q25" i="3" s="1"/>
  <c r="W220" i="3"/>
  <c r="L220" i="3"/>
  <c r="L222" i="3"/>
  <c r="K210" i="3"/>
  <c r="K25" i="3" s="1"/>
  <c r="O220" i="3"/>
  <c r="O222" i="3"/>
  <c r="R220" i="3"/>
  <c r="R222" i="3"/>
  <c r="D102" i="25"/>
  <c r="D93" i="25" s="1"/>
  <c r="G95" i="159"/>
  <c r="G102" i="25"/>
  <c r="G93" i="25" s="1"/>
  <c r="W172" i="100"/>
  <c r="W180" i="100" s="1"/>
  <c r="W196" i="100" s="1"/>
  <c r="W214" i="100" s="1"/>
  <c r="W269" i="100" s="1"/>
  <c r="W277" i="100" s="1"/>
  <c r="W298" i="100" s="1"/>
  <c r="V92" i="3" s="1"/>
  <c r="V142" i="3" s="1"/>
  <c r="V173" i="3" s="1"/>
  <c r="V183" i="3" s="1"/>
  <c r="W171" i="100"/>
  <c r="W179" i="100" s="1"/>
  <c r="W195" i="100" s="1"/>
  <c r="W213" i="100" s="1"/>
  <c r="W268" i="100" s="1"/>
  <c r="W276" i="100" s="1"/>
  <c r="W297" i="100" s="1"/>
  <c r="V91" i="3" s="1"/>
  <c r="V141" i="3" s="1"/>
  <c r="V172" i="3" s="1"/>
  <c r="V182" i="3" s="1"/>
  <c r="W176" i="100"/>
  <c r="W184" i="100" s="1"/>
  <c r="W200" i="100" s="1"/>
  <c r="W218" i="100" s="1"/>
  <c r="W273" i="100" s="1"/>
  <c r="W281" i="100" s="1"/>
  <c r="W302" i="100" s="1"/>
  <c r="V96" i="3" s="1"/>
  <c r="V146" i="3" s="1"/>
  <c r="V177" i="3" s="1"/>
  <c r="V187" i="3" s="1"/>
  <c r="W175" i="100"/>
  <c r="W183" i="100" s="1"/>
  <c r="W199" i="100" s="1"/>
  <c r="W217" i="100" s="1"/>
  <c r="W272" i="100" s="1"/>
  <c r="W280" i="100" s="1"/>
  <c r="W301" i="100" s="1"/>
  <c r="V95" i="3" s="1"/>
  <c r="V145" i="3" s="1"/>
  <c r="V176" i="3" s="1"/>
  <c r="V186" i="3" s="1"/>
  <c r="W174" i="100"/>
  <c r="W182" i="100" s="1"/>
  <c r="W198" i="100" s="1"/>
  <c r="W216" i="100" s="1"/>
  <c r="W271" i="100" s="1"/>
  <c r="W279" i="100" s="1"/>
  <c r="W300" i="100" s="1"/>
  <c r="V94" i="3" s="1"/>
  <c r="V144" i="3" s="1"/>
  <c r="V175" i="3" s="1"/>
  <c r="V185" i="3" s="1"/>
  <c r="W197" i="100"/>
  <c r="W215" i="100" s="1"/>
  <c r="W270" i="100" s="1"/>
  <c r="W278" i="100" s="1"/>
  <c r="W299" i="100" s="1"/>
  <c r="V93" i="3" s="1"/>
  <c r="V143" i="3" s="1"/>
  <c r="V174" i="3" s="1"/>
  <c r="V184" i="3" s="1"/>
  <c r="H45" i="100"/>
  <c r="G45" i="100"/>
  <c r="I45" i="100"/>
  <c r="F46" i="100"/>
  <c r="AP221" i="3" l="1"/>
  <c r="F40" i="100"/>
  <c r="R37" i="122" s="1"/>
  <c r="G102" i="159"/>
  <c r="G93" i="159" s="1"/>
  <c r="P221" i="3"/>
  <c r="O221" i="3"/>
  <c r="G102" i="160"/>
  <c r="G93" i="160" s="1"/>
  <c r="AC51" i="3"/>
  <c r="R51" i="3"/>
  <c r="AH221" i="3"/>
  <c r="AB221" i="3"/>
  <c r="R221" i="3"/>
  <c r="D102" i="159"/>
  <c r="D93" i="159" s="1"/>
  <c r="D102" i="28"/>
  <c r="D93" i="28" s="1"/>
  <c r="G85" i="100"/>
  <c r="F102" i="159"/>
  <c r="F93" i="159" s="1"/>
  <c r="E102" i="159"/>
  <c r="E93" i="159" s="1"/>
  <c r="O38" i="100"/>
  <c r="O84" i="100" s="1"/>
  <c r="O86" i="100" s="1"/>
  <c r="AC221" i="3"/>
  <c r="M221" i="3"/>
  <c r="D102" i="160"/>
  <c r="D93" i="160" s="1"/>
  <c r="D99" i="160" s="1"/>
  <c r="F102" i="160"/>
  <c r="F93" i="160" s="1"/>
  <c r="R42" i="122"/>
  <c r="I85" i="100"/>
  <c r="H85" i="100"/>
  <c r="AL225" i="100"/>
  <c r="AL18" i="100"/>
  <c r="Y221" i="3"/>
  <c r="K221" i="3"/>
  <c r="AE221" i="3"/>
  <c r="AC225" i="100"/>
  <c r="AC18" i="100"/>
  <c r="AK225" i="100"/>
  <c r="AK18" i="100"/>
  <c r="Z18" i="100"/>
  <c r="Z225" i="100"/>
  <c r="AB18" i="100"/>
  <c r="AB225" i="100"/>
  <c r="S38" i="100"/>
  <c r="T38" i="100"/>
  <c r="AL221" i="3"/>
  <c r="AJ221" i="3"/>
  <c r="E102" i="160"/>
  <c r="E93" i="160" s="1"/>
  <c r="J28" i="100"/>
  <c r="J26" i="100" s="1"/>
  <c r="J84" i="100"/>
  <c r="J86" i="100" s="1"/>
  <c r="AG18" i="100"/>
  <c r="AG225" i="100"/>
  <c r="K84" i="100"/>
  <c r="K86" i="100" s="1"/>
  <c r="K28" i="100"/>
  <c r="K26" i="100" s="1"/>
  <c r="K18" i="100" s="1"/>
  <c r="AD225" i="100"/>
  <c r="AD18" i="100"/>
  <c r="AA225" i="100"/>
  <c r="AA18" i="100"/>
  <c r="V38" i="100"/>
  <c r="L221" i="3"/>
  <c r="AO221" i="3"/>
  <c r="R28" i="122"/>
  <c r="AJ225" i="100"/>
  <c r="AJ18" i="100"/>
  <c r="AF225" i="100"/>
  <c r="AF18" i="100"/>
  <c r="AE225" i="100"/>
  <c r="AE18" i="100"/>
  <c r="AI18" i="100"/>
  <c r="AI225" i="100"/>
  <c r="AH18" i="100"/>
  <c r="AH225" i="100"/>
  <c r="U38" i="100"/>
  <c r="Q221" i="3"/>
  <c r="V188" i="3"/>
  <c r="V203" i="3"/>
  <c r="V207" i="3"/>
  <c r="V205" i="3"/>
  <c r="V204" i="3"/>
  <c r="V206" i="3"/>
  <c r="V208" i="3"/>
  <c r="G46" i="100"/>
  <c r="H46" i="100"/>
  <c r="I46" i="100"/>
  <c r="F38" i="100" l="1"/>
  <c r="F84" i="100" s="1"/>
  <c r="F86" i="100" s="1"/>
  <c r="O28" i="100"/>
  <c r="O26" i="100" s="1"/>
  <c r="G38" i="100"/>
  <c r="G27" i="100" s="1"/>
  <c r="G26" i="100" s="1"/>
  <c r="I38" i="100"/>
  <c r="I84" i="100" s="1"/>
  <c r="I86" i="100" s="1"/>
  <c r="I87" i="100" s="1"/>
  <c r="H38" i="100"/>
  <c r="H27" i="100" s="1"/>
  <c r="H26" i="100" s="1"/>
  <c r="V28" i="100"/>
  <c r="V26" i="100" s="1"/>
  <c r="V84" i="100"/>
  <c r="V86" i="100" s="1"/>
  <c r="U28" i="100"/>
  <c r="U26" i="100" s="1"/>
  <c r="U84" i="100"/>
  <c r="U86" i="100" s="1"/>
  <c r="Z46" i="3"/>
  <c r="AF46" i="3"/>
  <c r="K225" i="100"/>
  <c r="K227" i="100" s="1"/>
  <c r="T84" i="100"/>
  <c r="T86" i="100" s="1"/>
  <c r="T28" i="100"/>
  <c r="T26" i="100" s="1"/>
  <c r="S28" i="100"/>
  <c r="S26" i="100" s="1"/>
  <c r="S84" i="100"/>
  <c r="S86" i="100" s="1"/>
  <c r="V223" i="3"/>
  <c r="V222" i="3"/>
  <c r="V210" i="3"/>
  <c r="F27" i="100" l="1"/>
  <c r="F26" i="100" s="1"/>
  <c r="F18" i="100" s="1"/>
  <c r="H84" i="100"/>
  <c r="H86" i="100" s="1"/>
  <c r="H87" i="100" s="1"/>
  <c r="H171" i="100" s="1"/>
  <c r="H179" i="100" s="1"/>
  <c r="H195" i="100" s="1"/>
  <c r="H213" i="100" s="1"/>
  <c r="H268" i="100" s="1"/>
  <c r="H276" i="100" s="1"/>
  <c r="H297" i="100" s="1"/>
  <c r="U91" i="3" s="1"/>
  <c r="U141" i="3" s="1"/>
  <c r="U172" i="3" s="1"/>
  <c r="U182" i="3" s="1"/>
  <c r="I27" i="100"/>
  <c r="I26" i="100" s="1"/>
  <c r="I225" i="100" s="1"/>
  <c r="G84" i="100"/>
  <c r="G86" i="100" s="1"/>
  <c r="G87" i="100" s="1"/>
  <c r="G174" i="100" s="1"/>
  <c r="G182" i="100" s="1"/>
  <c r="G198" i="100" s="1"/>
  <c r="G216" i="100" s="1"/>
  <c r="G271" i="100" s="1"/>
  <c r="G279" i="100" s="1"/>
  <c r="G300" i="100" s="1"/>
  <c r="R33" i="122"/>
  <c r="I172" i="100"/>
  <c r="I180" i="100" s="1"/>
  <c r="I196" i="100" s="1"/>
  <c r="I214" i="100" s="1"/>
  <c r="I269" i="100" s="1"/>
  <c r="I277" i="100" s="1"/>
  <c r="I298" i="100" s="1"/>
  <c r="W92" i="3" s="1"/>
  <c r="W142" i="3" s="1"/>
  <c r="W173" i="3" s="1"/>
  <c r="W183" i="3" s="1"/>
  <c r="W204" i="3" s="1"/>
  <c r="I171" i="100"/>
  <c r="I179" i="100" s="1"/>
  <c r="I195" i="100" s="1"/>
  <c r="I213" i="100" s="1"/>
  <c r="I268" i="100" s="1"/>
  <c r="I276" i="100" s="1"/>
  <c r="I297" i="100" s="1"/>
  <c r="W91" i="3" s="1"/>
  <c r="W141" i="3" s="1"/>
  <c r="W172" i="3" s="1"/>
  <c r="W182" i="3" s="1"/>
  <c r="I174" i="100"/>
  <c r="I182" i="100" s="1"/>
  <c r="I198" i="100" s="1"/>
  <c r="I216" i="100" s="1"/>
  <c r="I271" i="100" s="1"/>
  <c r="I279" i="100" s="1"/>
  <c r="I300" i="100" s="1"/>
  <c r="W94" i="3" s="1"/>
  <c r="W144" i="3" s="1"/>
  <c r="W175" i="3" s="1"/>
  <c r="W185" i="3" s="1"/>
  <c r="W206" i="3" s="1"/>
  <c r="I176" i="100"/>
  <c r="I184" i="100" s="1"/>
  <c r="I200" i="100" s="1"/>
  <c r="I218" i="100" s="1"/>
  <c r="I273" i="100" s="1"/>
  <c r="I281" i="100" s="1"/>
  <c r="I302" i="100" s="1"/>
  <c r="W96" i="3" s="1"/>
  <c r="W146" i="3" s="1"/>
  <c r="W177" i="3" s="1"/>
  <c r="W187" i="3" s="1"/>
  <c r="W208" i="3" s="1"/>
  <c r="I173" i="100"/>
  <c r="I181" i="100" s="1"/>
  <c r="I197" i="100" s="1"/>
  <c r="I215" i="100" s="1"/>
  <c r="I270" i="100" s="1"/>
  <c r="I278" i="100" s="1"/>
  <c r="I299" i="100" s="1"/>
  <c r="W93" i="3" s="1"/>
  <c r="W143" i="3" s="1"/>
  <c r="W174" i="3" s="1"/>
  <c r="W184" i="3" s="1"/>
  <c r="W205" i="3" s="1"/>
  <c r="I175" i="100"/>
  <c r="I183" i="100" s="1"/>
  <c r="I199" i="100" s="1"/>
  <c r="I217" i="100" s="1"/>
  <c r="I272" i="100" s="1"/>
  <c r="I280" i="100" s="1"/>
  <c r="I301" i="100" s="1"/>
  <c r="W95" i="3" s="1"/>
  <c r="W145" i="3" s="1"/>
  <c r="W176" i="3" s="1"/>
  <c r="W186" i="3" s="1"/>
  <c r="W207" i="3" s="1"/>
  <c r="K273" i="100"/>
  <c r="K281" i="100" s="1"/>
  <c r="K302" i="100" s="1"/>
  <c r="K272" i="100"/>
  <c r="K280" i="100" s="1"/>
  <c r="K301" i="100" s="1"/>
  <c r="K270" i="100"/>
  <c r="K278" i="100" s="1"/>
  <c r="K299" i="100" s="1"/>
  <c r="K268" i="100"/>
  <c r="K276" i="100" s="1"/>
  <c r="K297" i="100" s="1"/>
  <c r="K269" i="100"/>
  <c r="K277" i="100" s="1"/>
  <c r="K298" i="100" s="1"/>
  <c r="K271" i="100"/>
  <c r="K279" i="100" s="1"/>
  <c r="K300" i="100" s="1"/>
  <c r="U225" i="100"/>
  <c r="U18" i="100"/>
  <c r="F87" i="100"/>
  <c r="R62" i="122"/>
  <c r="H225" i="100"/>
  <c r="H18" i="100"/>
  <c r="U46" i="3" s="1"/>
  <c r="U45" i="3" s="1"/>
  <c r="U27" i="3" s="1"/>
  <c r="U26" i="3" s="1"/>
  <c r="T225" i="100"/>
  <c r="T18" i="100"/>
  <c r="R46" i="3" s="1"/>
  <c r="R45" i="3" s="1"/>
  <c r="R27" i="3" s="1"/>
  <c r="R26" i="3" s="1"/>
  <c r="G18" i="100"/>
  <c r="G225" i="100"/>
  <c r="V225" i="100"/>
  <c r="V18" i="100"/>
  <c r="AC46" i="3" s="1"/>
  <c r="AC45" i="3" s="1"/>
  <c r="AC27" i="3" s="1"/>
  <c r="AC26" i="3" s="1"/>
  <c r="V221" i="3"/>
  <c r="V25" i="3"/>
  <c r="F225" i="100" l="1"/>
  <c r="H176" i="100"/>
  <c r="H184" i="100" s="1"/>
  <c r="H200" i="100" s="1"/>
  <c r="H218" i="100" s="1"/>
  <c r="H273" i="100" s="1"/>
  <c r="H281" i="100" s="1"/>
  <c r="H302" i="100" s="1"/>
  <c r="U96" i="3" s="1"/>
  <c r="U146" i="3" s="1"/>
  <c r="U177" i="3" s="1"/>
  <c r="U187" i="3" s="1"/>
  <c r="U208" i="3" s="1"/>
  <c r="H173" i="100"/>
  <c r="H181" i="100" s="1"/>
  <c r="H197" i="100" s="1"/>
  <c r="H215" i="100" s="1"/>
  <c r="H270" i="100" s="1"/>
  <c r="H278" i="100" s="1"/>
  <c r="H299" i="100" s="1"/>
  <c r="U93" i="3" s="1"/>
  <c r="U143" i="3" s="1"/>
  <c r="U174" i="3" s="1"/>
  <c r="U184" i="3" s="1"/>
  <c r="U205" i="3" s="1"/>
  <c r="H175" i="100"/>
  <c r="H183" i="100" s="1"/>
  <c r="H199" i="100" s="1"/>
  <c r="H217" i="100" s="1"/>
  <c r="H272" i="100" s="1"/>
  <c r="H280" i="100" s="1"/>
  <c r="H301" i="100" s="1"/>
  <c r="U95" i="3" s="1"/>
  <c r="U145" i="3" s="1"/>
  <c r="U176" i="3" s="1"/>
  <c r="U186" i="3" s="1"/>
  <c r="U207" i="3" s="1"/>
  <c r="H172" i="100"/>
  <c r="H180" i="100" s="1"/>
  <c r="H196" i="100" s="1"/>
  <c r="H214" i="100" s="1"/>
  <c r="H269" i="100" s="1"/>
  <c r="H277" i="100" s="1"/>
  <c r="H298" i="100" s="1"/>
  <c r="U92" i="3" s="1"/>
  <c r="U142" i="3" s="1"/>
  <c r="U173" i="3" s="1"/>
  <c r="U183" i="3" s="1"/>
  <c r="U204" i="3" s="1"/>
  <c r="H174" i="100"/>
  <c r="H182" i="100" s="1"/>
  <c r="H198" i="100" s="1"/>
  <c r="H216" i="100" s="1"/>
  <c r="H271" i="100" s="1"/>
  <c r="H279" i="100" s="1"/>
  <c r="H300" i="100" s="1"/>
  <c r="U94" i="3" s="1"/>
  <c r="U144" i="3" s="1"/>
  <c r="U175" i="3" s="1"/>
  <c r="U185" i="3" s="1"/>
  <c r="U206" i="3" s="1"/>
  <c r="I18" i="100"/>
  <c r="W46" i="3" s="1"/>
  <c r="W45" i="3" s="1"/>
  <c r="W27" i="3" s="1"/>
  <c r="W26" i="3" s="1"/>
  <c r="D38" i="8" s="1"/>
  <c r="G171" i="100"/>
  <c r="G179" i="100" s="1"/>
  <c r="G195" i="100" s="1"/>
  <c r="G213" i="100" s="1"/>
  <c r="G268" i="100" s="1"/>
  <c r="G276" i="100" s="1"/>
  <c r="G297" i="100" s="1"/>
  <c r="J99" i="3" s="1"/>
  <c r="J150" i="3" s="1"/>
  <c r="J172" i="3" s="1"/>
  <c r="J182" i="3" s="1"/>
  <c r="G172" i="100"/>
  <c r="G180" i="100" s="1"/>
  <c r="G196" i="100" s="1"/>
  <c r="G214" i="100" s="1"/>
  <c r="G269" i="100" s="1"/>
  <c r="G277" i="100" s="1"/>
  <c r="G298" i="100" s="1"/>
  <c r="J100" i="3" s="1"/>
  <c r="J151" i="3" s="1"/>
  <c r="J173" i="3" s="1"/>
  <c r="J183" i="3" s="1"/>
  <c r="J204" i="3" s="1"/>
  <c r="G175" i="100"/>
  <c r="G183" i="100" s="1"/>
  <c r="G199" i="100" s="1"/>
  <c r="G217" i="100" s="1"/>
  <c r="G272" i="100" s="1"/>
  <c r="G280" i="100" s="1"/>
  <c r="G301" i="100" s="1"/>
  <c r="J103" i="3" s="1"/>
  <c r="J154" i="3" s="1"/>
  <c r="J176" i="3" s="1"/>
  <c r="J186" i="3" s="1"/>
  <c r="J207" i="3" s="1"/>
  <c r="G173" i="100"/>
  <c r="G181" i="100" s="1"/>
  <c r="G197" i="100" s="1"/>
  <c r="G215" i="100" s="1"/>
  <c r="G270" i="100" s="1"/>
  <c r="G278" i="100" s="1"/>
  <c r="G299" i="100" s="1"/>
  <c r="H101" i="3" s="1"/>
  <c r="H152" i="3" s="1"/>
  <c r="H174" i="3" s="1"/>
  <c r="H184" i="3" s="1"/>
  <c r="H205" i="3" s="1"/>
  <c r="G176" i="100"/>
  <c r="G184" i="100" s="1"/>
  <c r="G200" i="100" s="1"/>
  <c r="G218" i="100" s="1"/>
  <c r="G273" i="100" s="1"/>
  <c r="G281" i="100" s="1"/>
  <c r="G302" i="100" s="1"/>
  <c r="I104" i="3" s="1"/>
  <c r="I155" i="3" s="1"/>
  <c r="I177" i="3" s="1"/>
  <c r="I187" i="3" s="1"/>
  <c r="I208" i="3" s="1"/>
  <c r="W223" i="3"/>
  <c r="U203" i="3"/>
  <c r="I47" i="3"/>
  <c r="H47" i="3"/>
  <c r="J47" i="3"/>
  <c r="G46" i="3"/>
  <c r="G45" i="3" s="1"/>
  <c r="G27" i="3" s="1"/>
  <c r="G26" i="3" s="1"/>
  <c r="D9" i="8" s="1"/>
  <c r="S46" i="3"/>
  <c r="AF93" i="3"/>
  <c r="AF143" i="3" s="1"/>
  <c r="Z93" i="3"/>
  <c r="Z143" i="3" s="1"/>
  <c r="R24" i="3"/>
  <c r="D21" i="8"/>
  <c r="AF94" i="3"/>
  <c r="AF144" i="3" s="1"/>
  <c r="Z94" i="3"/>
  <c r="Z144" i="3" s="1"/>
  <c r="Z95" i="3"/>
  <c r="Z145" i="3" s="1"/>
  <c r="AF95" i="3"/>
  <c r="AF145" i="3" s="1"/>
  <c r="AA46" i="3"/>
  <c r="AA45" i="3" s="1"/>
  <c r="AA27" i="3" s="1"/>
  <c r="AA26" i="3" s="1"/>
  <c r="D43" i="8" s="1"/>
  <c r="F46" i="3"/>
  <c r="Z47" i="3"/>
  <c r="Z45" i="3" s="1"/>
  <c r="Z27" i="3" s="1"/>
  <c r="Z26" i="3" s="1"/>
  <c r="D41" i="8" s="1"/>
  <c r="AD46" i="3"/>
  <c r="AD45" i="3" s="1"/>
  <c r="AD27" i="3" s="1"/>
  <c r="AD26" i="3" s="1"/>
  <c r="D46" i="8" s="1"/>
  <c r="X46" i="3"/>
  <c r="X45" i="3" s="1"/>
  <c r="X27" i="3" s="1"/>
  <c r="X26" i="3" s="1"/>
  <c r="D39" i="8" s="1"/>
  <c r="AK46" i="3"/>
  <c r="AK45" i="3" s="1"/>
  <c r="AK27" i="3" s="1"/>
  <c r="AK26" i="3" s="1"/>
  <c r="D28" i="8" s="1"/>
  <c r="AN46" i="3"/>
  <c r="AN45" i="3" s="1"/>
  <c r="AN27" i="3" s="1"/>
  <c r="AN26" i="3" s="1"/>
  <c r="D31" i="8" s="1"/>
  <c r="AF47" i="3"/>
  <c r="AF45" i="3" s="1"/>
  <c r="AF27" i="3" s="1"/>
  <c r="AF26" i="3" s="1"/>
  <c r="D48" i="8" s="1"/>
  <c r="AG46" i="3"/>
  <c r="AG45" i="3" s="1"/>
  <c r="AG27" i="3" s="1"/>
  <c r="AG26" i="3" s="1"/>
  <c r="D24" i="8" s="1"/>
  <c r="T46" i="3"/>
  <c r="T45" i="3" s="1"/>
  <c r="T27" i="3" s="1"/>
  <c r="T26" i="3" s="1"/>
  <c r="D36" i="8" s="1"/>
  <c r="J102" i="3"/>
  <c r="J153" i="3" s="1"/>
  <c r="J175" i="3" s="1"/>
  <c r="J185" i="3" s="1"/>
  <c r="J206" i="3" s="1"/>
  <c r="S94" i="3"/>
  <c r="S144" i="3" s="1"/>
  <c r="S175" i="3" s="1"/>
  <c r="S185" i="3" s="1"/>
  <c r="S206" i="3" s="1"/>
  <c r="H102" i="3"/>
  <c r="H153" i="3" s="1"/>
  <c r="H175" i="3" s="1"/>
  <c r="H185" i="3" s="1"/>
  <c r="H206" i="3" s="1"/>
  <c r="I102" i="3"/>
  <c r="I153" i="3" s="1"/>
  <c r="I175" i="3" s="1"/>
  <c r="I185" i="3" s="1"/>
  <c r="I206" i="3" s="1"/>
  <c r="G94" i="3"/>
  <c r="G144" i="3" s="1"/>
  <c r="G175" i="3" s="1"/>
  <c r="G185" i="3" s="1"/>
  <c r="G206" i="3" s="1"/>
  <c r="F171" i="100"/>
  <c r="F173" i="100"/>
  <c r="F181" i="100" s="1"/>
  <c r="F197" i="100" s="1"/>
  <c r="F215" i="100" s="1"/>
  <c r="F270" i="100" s="1"/>
  <c r="F278" i="100" s="1"/>
  <c r="F299" i="100" s="1"/>
  <c r="F176" i="100"/>
  <c r="F184" i="100" s="1"/>
  <c r="F200" i="100" s="1"/>
  <c r="F218" i="100" s="1"/>
  <c r="F273" i="100" s="1"/>
  <c r="F281" i="100" s="1"/>
  <c r="F302" i="100" s="1"/>
  <c r="F172" i="100"/>
  <c r="F180" i="100" s="1"/>
  <c r="F196" i="100" s="1"/>
  <c r="F214" i="100" s="1"/>
  <c r="F269" i="100" s="1"/>
  <c r="F277" i="100" s="1"/>
  <c r="F298" i="100" s="1"/>
  <c r="F175" i="100"/>
  <c r="F183" i="100" s="1"/>
  <c r="F199" i="100" s="1"/>
  <c r="F217" i="100" s="1"/>
  <c r="F272" i="100" s="1"/>
  <c r="F280" i="100" s="1"/>
  <c r="F301" i="100" s="1"/>
  <c r="F174" i="100"/>
  <c r="F182" i="100" s="1"/>
  <c r="F198" i="100" s="1"/>
  <c r="F216" i="100" s="1"/>
  <c r="F271" i="100" s="1"/>
  <c r="F279" i="100" s="1"/>
  <c r="F300" i="100" s="1"/>
  <c r="Z92" i="3"/>
  <c r="Z142" i="3" s="1"/>
  <c r="AF92" i="3"/>
  <c r="AF142" i="3" s="1"/>
  <c r="Z96" i="3"/>
  <c r="Z146" i="3" s="1"/>
  <c r="AF96" i="3"/>
  <c r="AF146" i="3" s="1"/>
  <c r="D45" i="8"/>
  <c r="AC24" i="3"/>
  <c r="D33" i="8"/>
  <c r="S47" i="3"/>
  <c r="P47" i="3"/>
  <c r="Q47" i="3"/>
  <c r="Z91" i="3"/>
  <c r="Z141" i="3" s="1"/>
  <c r="AF91" i="3"/>
  <c r="AF141" i="3" s="1"/>
  <c r="W203" i="3"/>
  <c r="W188" i="3"/>
  <c r="U188" i="3" l="1"/>
  <c r="U223" i="3"/>
  <c r="H99" i="3"/>
  <c r="H150" i="3" s="1"/>
  <c r="H172" i="3" s="1"/>
  <c r="H182" i="3" s="1"/>
  <c r="H203" i="3" s="1"/>
  <c r="S91" i="3"/>
  <c r="S141" i="3" s="1"/>
  <c r="S172" i="3" s="1"/>
  <c r="S182" i="3" s="1"/>
  <c r="S203" i="3" s="1"/>
  <c r="I99" i="3"/>
  <c r="I150" i="3" s="1"/>
  <c r="I172" i="3" s="1"/>
  <c r="I182" i="3" s="1"/>
  <c r="I203" i="3" s="1"/>
  <c r="G91" i="3"/>
  <c r="G141" i="3" s="1"/>
  <c r="G172" i="3" s="1"/>
  <c r="G182" i="3" s="1"/>
  <c r="K9" i="8" s="1"/>
  <c r="H104" i="3"/>
  <c r="H155" i="3" s="1"/>
  <c r="H177" i="3" s="1"/>
  <c r="H187" i="3" s="1"/>
  <c r="H208" i="3" s="1"/>
  <c r="S96" i="3"/>
  <c r="S146" i="3" s="1"/>
  <c r="S177" i="3" s="1"/>
  <c r="S187" i="3" s="1"/>
  <c r="S208" i="3" s="1"/>
  <c r="G95" i="3"/>
  <c r="G145" i="3" s="1"/>
  <c r="G176" i="3" s="1"/>
  <c r="G186" i="3" s="1"/>
  <c r="G207" i="3" s="1"/>
  <c r="I103" i="3"/>
  <c r="I154" i="3" s="1"/>
  <c r="I176" i="3" s="1"/>
  <c r="I186" i="3" s="1"/>
  <c r="I207" i="3" s="1"/>
  <c r="I223" i="3" s="1"/>
  <c r="I100" i="3"/>
  <c r="I151" i="3" s="1"/>
  <c r="I173" i="3" s="1"/>
  <c r="I183" i="3" s="1"/>
  <c r="I204" i="3" s="1"/>
  <c r="S92" i="3"/>
  <c r="S142" i="3" s="1"/>
  <c r="S173" i="3" s="1"/>
  <c r="S183" i="3" s="1"/>
  <c r="S204" i="3" s="1"/>
  <c r="H103" i="3"/>
  <c r="H154" i="3" s="1"/>
  <c r="H176" i="3" s="1"/>
  <c r="H186" i="3" s="1"/>
  <c r="H207" i="3" s="1"/>
  <c r="G92" i="3"/>
  <c r="G142" i="3" s="1"/>
  <c r="G173" i="3" s="1"/>
  <c r="G183" i="3" s="1"/>
  <c r="G204" i="3" s="1"/>
  <c r="H100" i="3"/>
  <c r="H151" i="3" s="1"/>
  <c r="H173" i="3" s="1"/>
  <c r="H183" i="3" s="1"/>
  <c r="H204" i="3" s="1"/>
  <c r="I101" i="3"/>
  <c r="I152" i="3" s="1"/>
  <c r="I174" i="3" s="1"/>
  <c r="I184" i="3" s="1"/>
  <c r="I205" i="3" s="1"/>
  <c r="J101" i="3"/>
  <c r="J152" i="3" s="1"/>
  <c r="J174" i="3" s="1"/>
  <c r="J184" i="3" s="1"/>
  <c r="J205" i="3" s="1"/>
  <c r="S93" i="3"/>
  <c r="S143" i="3" s="1"/>
  <c r="S174" i="3" s="1"/>
  <c r="S184" i="3" s="1"/>
  <c r="S205" i="3" s="1"/>
  <c r="G93" i="3"/>
  <c r="G143" i="3" s="1"/>
  <c r="G174" i="3" s="1"/>
  <c r="G184" i="3" s="1"/>
  <c r="G205" i="3" s="1"/>
  <c r="S95" i="3"/>
  <c r="S145" i="3" s="1"/>
  <c r="S176" i="3" s="1"/>
  <c r="S186" i="3" s="1"/>
  <c r="S207" i="3" s="1"/>
  <c r="S223" i="3" s="1"/>
  <c r="G96" i="3"/>
  <c r="G146" i="3" s="1"/>
  <c r="G177" i="3" s="1"/>
  <c r="G187" i="3" s="1"/>
  <c r="G208" i="3" s="1"/>
  <c r="G223" i="3" s="1"/>
  <c r="J104" i="3"/>
  <c r="J155" i="3" s="1"/>
  <c r="J177" i="3" s="1"/>
  <c r="J187" i="3" s="1"/>
  <c r="J208" i="3" s="1"/>
  <c r="J223" i="3" s="1"/>
  <c r="N9" i="8"/>
  <c r="I9" i="8"/>
  <c r="BE7" i="82" s="1"/>
  <c r="AZ7" i="82"/>
  <c r="T9" i="8"/>
  <c r="E9" i="8"/>
  <c r="BA7" i="82" s="1"/>
  <c r="S45" i="3"/>
  <c r="S27" i="3" s="1"/>
  <c r="S26" i="3" s="1"/>
  <c r="D22" i="8" s="1"/>
  <c r="E48" i="8"/>
  <c r="BA43" i="82" s="1"/>
  <c r="AZ43" i="82"/>
  <c r="T48" i="8"/>
  <c r="I48" i="8"/>
  <c r="BE43" i="82" s="1"/>
  <c r="BH14" i="140"/>
  <c r="BH16" i="140" s="1"/>
  <c r="BH14" i="99"/>
  <c r="BH16" i="99" s="1"/>
  <c r="BH14" i="98"/>
  <c r="BH16" i="98" s="1"/>
  <c r="BH14" i="97"/>
  <c r="I31" i="8"/>
  <c r="BE26" i="82" s="1"/>
  <c r="AZ26" i="82"/>
  <c r="T31" i="8"/>
  <c r="E31" i="8"/>
  <c r="BA26" i="82" s="1"/>
  <c r="N33" i="8"/>
  <c r="O33" i="8"/>
  <c r="AZ36" i="82"/>
  <c r="P33" i="8"/>
  <c r="M33" i="8"/>
  <c r="I33" i="8"/>
  <c r="BE36" i="82" s="1"/>
  <c r="E33" i="8"/>
  <c r="BA36" i="82" s="1"/>
  <c r="T33" i="8"/>
  <c r="K33" i="8"/>
  <c r="L33" i="8"/>
  <c r="AK94" i="3"/>
  <c r="AK144" i="3" s="1"/>
  <c r="AK175" i="3" s="1"/>
  <c r="AK185" i="3" s="1"/>
  <c r="AK206" i="3" s="1"/>
  <c r="AD94" i="3"/>
  <c r="AD144" i="3" s="1"/>
  <c r="AD175" i="3" s="1"/>
  <c r="AD185" i="3" s="1"/>
  <c r="AD206" i="3" s="1"/>
  <c r="AN94" i="3"/>
  <c r="AN144" i="3" s="1"/>
  <c r="AN175" i="3" s="1"/>
  <c r="AN185" i="3" s="1"/>
  <c r="AN206" i="3" s="1"/>
  <c r="Z102" i="3"/>
  <c r="Z153" i="3" s="1"/>
  <c r="Z175" i="3" s="1"/>
  <c r="Z185" i="3" s="1"/>
  <c r="Z206" i="3" s="1"/>
  <c r="F94" i="3"/>
  <c r="F144" i="3" s="1"/>
  <c r="F175" i="3" s="1"/>
  <c r="F185" i="3" s="1"/>
  <c r="F206" i="3" s="1"/>
  <c r="AF102" i="3"/>
  <c r="AF153" i="3" s="1"/>
  <c r="AF175" i="3" s="1"/>
  <c r="AF185" i="3" s="1"/>
  <c r="AF206" i="3" s="1"/>
  <c r="X94" i="3"/>
  <c r="X144" i="3" s="1"/>
  <c r="X175" i="3" s="1"/>
  <c r="X185" i="3" s="1"/>
  <c r="X206" i="3" s="1"/>
  <c r="AA94" i="3"/>
  <c r="AA144" i="3" s="1"/>
  <c r="AA175" i="3" s="1"/>
  <c r="AA185" i="3" s="1"/>
  <c r="AA206" i="3" s="1"/>
  <c r="AG94" i="3"/>
  <c r="AG144" i="3" s="1"/>
  <c r="AG175" i="3" s="1"/>
  <c r="AG185" i="3" s="1"/>
  <c r="AG206" i="3" s="1"/>
  <c r="T94" i="3"/>
  <c r="T144" i="3" s="1"/>
  <c r="T175" i="3" s="1"/>
  <c r="T185" i="3" s="1"/>
  <c r="F93" i="3"/>
  <c r="F143" i="3" s="1"/>
  <c r="F174" i="3" s="1"/>
  <c r="F184" i="3" s="1"/>
  <c r="F205" i="3" s="1"/>
  <c r="T93" i="3"/>
  <c r="T143" i="3" s="1"/>
  <c r="T174" i="3" s="1"/>
  <c r="T184" i="3" s="1"/>
  <c r="T205" i="3" s="1"/>
  <c r="Z101" i="3"/>
  <c r="Z152" i="3" s="1"/>
  <c r="Z174" i="3" s="1"/>
  <c r="Z184" i="3" s="1"/>
  <c r="Z205" i="3" s="1"/>
  <c r="AD93" i="3"/>
  <c r="AD143" i="3" s="1"/>
  <c r="AD174" i="3" s="1"/>
  <c r="AD184" i="3" s="1"/>
  <c r="AD205" i="3" s="1"/>
  <c r="X93" i="3"/>
  <c r="X143" i="3" s="1"/>
  <c r="X174" i="3" s="1"/>
  <c r="X184" i="3" s="1"/>
  <c r="X205" i="3" s="1"/>
  <c r="AA93" i="3"/>
  <c r="AA143" i="3" s="1"/>
  <c r="AA174" i="3" s="1"/>
  <c r="AA184" i="3" s="1"/>
  <c r="AA205" i="3" s="1"/>
  <c r="AF101" i="3"/>
  <c r="AF152" i="3" s="1"/>
  <c r="AF174" i="3" s="1"/>
  <c r="AF184" i="3" s="1"/>
  <c r="AF205" i="3" s="1"/>
  <c r="AK93" i="3"/>
  <c r="AK143" i="3" s="1"/>
  <c r="AK174" i="3" s="1"/>
  <c r="AK184" i="3" s="1"/>
  <c r="AK205" i="3" s="1"/>
  <c r="AG93" i="3"/>
  <c r="AG143" i="3" s="1"/>
  <c r="AG174" i="3" s="1"/>
  <c r="AG184" i="3" s="1"/>
  <c r="AG205" i="3" s="1"/>
  <c r="AN93" i="3"/>
  <c r="AN143" i="3" s="1"/>
  <c r="AN174" i="3" s="1"/>
  <c r="AN184" i="3" s="1"/>
  <c r="AN205" i="3" s="1"/>
  <c r="E36" i="8"/>
  <c r="BA29" i="82" s="1"/>
  <c r="I36" i="8"/>
  <c r="BE29" i="82" s="1"/>
  <c r="AZ29" i="82"/>
  <c r="T36" i="8"/>
  <c r="E28" i="8"/>
  <c r="BA24" i="82" s="1"/>
  <c r="I28" i="8"/>
  <c r="BE24" i="82" s="1"/>
  <c r="AZ24" i="82"/>
  <c r="T28" i="8"/>
  <c r="R23" i="122"/>
  <c r="F45" i="3"/>
  <c r="J203" i="3"/>
  <c r="K21" i="8"/>
  <c r="N21" i="8"/>
  <c r="AZ18" i="82"/>
  <c r="F21" i="8"/>
  <c r="BB18" i="82" s="1"/>
  <c r="M21" i="8"/>
  <c r="P21" i="8"/>
  <c r="I21" i="8"/>
  <c r="BE18" i="82" s="1"/>
  <c r="O21" i="8"/>
  <c r="L21" i="8"/>
  <c r="E21" i="8"/>
  <c r="BA18" i="82" s="1"/>
  <c r="T21" i="8"/>
  <c r="U210" i="3"/>
  <c r="U222" i="3"/>
  <c r="AA92" i="3"/>
  <c r="AA142" i="3" s="1"/>
  <c r="AA173" i="3" s="1"/>
  <c r="AA183" i="3" s="1"/>
  <c r="AA204" i="3" s="1"/>
  <c r="AF100" i="3"/>
  <c r="AF151" i="3" s="1"/>
  <c r="AF173" i="3" s="1"/>
  <c r="AF183" i="3" s="1"/>
  <c r="AF204" i="3" s="1"/>
  <c r="X92" i="3"/>
  <c r="X142" i="3" s="1"/>
  <c r="X173" i="3" s="1"/>
  <c r="X183" i="3" s="1"/>
  <c r="X204" i="3" s="1"/>
  <c r="AN92" i="3"/>
  <c r="AN142" i="3" s="1"/>
  <c r="AN173" i="3" s="1"/>
  <c r="AN183" i="3" s="1"/>
  <c r="AN204" i="3" s="1"/>
  <c r="AK92" i="3"/>
  <c r="AK142" i="3" s="1"/>
  <c r="AK173" i="3" s="1"/>
  <c r="AK183" i="3" s="1"/>
  <c r="AK204" i="3" s="1"/>
  <c r="F92" i="3"/>
  <c r="F142" i="3" s="1"/>
  <c r="F173" i="3" s="1"/>
  <c r="F183" i="3" s="1"/>
  <c r="F204" i="3" s="1"/>
  <c r="AG92" i="3"/>
  <c r="AG142" i="3" s="1"/>
  <c r="AG173" i="3" s="1"/>
  <c r="AG183" i="3" s="1"/>
  <c r="AG204" i="3" s="1"/>
  <c r="Z100" i="3"/>
  <c r="Z151" i="3" s="1"/>
  <c r="Z173" i="3" s="1"/>
  <c r="Z183" i="3" s="1"/>
  <c r="Z204" i="3" s="1"/>
  <c r="AD92" i="3"/>
  <c r="AD142" i="3" s="1"/>
  <c r="AD173" i="3" s="1"/>
  <c r="AD183" i="3" s="1"/>
  <c r="AD204" i="3" s="1"/>
  <c r="T92" i="3"/>
  <c r="T142" i="3" s="1"/>
  <c r="T173" i="3" s="1"/>
  <c r="T183" i="3" s="1"/>
  <c r="T204" i="3" s="1"/>
  <c r="AZ41" i="82"/>
  <c r="I46" i="8"/>
  <c r="BE41" i="82" s="1"/>
  <c r="E46" i="8"/>
  <c r="BA41" i="82" s="1"/>
  <c r="T46" i="8"/>
  <c r="L45" i="8"/>
  <c r="T45" i="8"/>
  <c r="E45" i="8"/>
  <c r="BA40" i="82" s="1"/>
  <c r="AZ40" i="82"/>
  <c r="F45" i="8"/>
  <c r="BB40" i="82" s="1"/>
  <c r="M45" i="8"/>
  <c r="O45" i="8"/>
  <c r="K45" i="8"/>
  <c r="P45" i="8"/>
  <c r="I45" i="8"/>
  <c r="BE40" i="82" s="1"/>
  <c r="N45" i="8"/>
  <c r="AF104" i="3"/>
  <c r="AF155" i="3" s="1"/>
  <c r="AF177" i="3" s="1"/>
  <c r="AF187" i="3" s="1"/>
  <c r="AF208" i="3" s="1"/>
  <c r="F96" i="3"/>
  <c r="F146" i="3" s="1"/>
  <c r="F177" i="3" s="1"/>
  <c r="F187" i="3" s="1"/>
  <c r="F208" i="3" s="1"/>
  <c r="X96" i="3"/>
  <c r="X146" i="3" s="1"/>
  <c r="X177" i="3" s="1"/>
  <c r="X187" i="3" s="1"/>
  <c r="X208" i="3" s="1"/>
  <c r="T96" i="3"/>
  <c r="T146" i="3" s="1"/>
  <c r="T177" i="3" s="1"/>
  <c r="T187" i="3" s="1"/>
  <c r="AG96" i="3"/>
  <c r="AG146" i="3" s="1"/>
  <c r="AG177" i="3" s="1"/>
  <c r="AG187" i="3" s="1"/>
  <c r="AG208" i="3" s="1"/>
  <c r="AN96" i="3"/>
  <c r="AN146" i="3" s="1"/>
  <c r="AN177" i="3" s="1"/>
  <c r="AN187" i="3" s="1"/>
  <c r="AN208" i="3" s="1"/>
  <c r="Z104" i="3"/>
  <c r="Z155" i="3" s="1"/>
  <c r="Z177" i="3" s="1"/>
  <c r="Z187" i="3" s="1"/>
  <c r="Z208" i="3" s="1"/>
  <c r="AK96" i="3"/>
  <c r="AK146" i="3" s="1"/>
  <c r="AK177" i="3" s="1"/>
  <c r="AK187" i="3" s="1"/>
  <c r="AK208" i="3" s="1"/>
  <c r="AA96" i="3"/>
  <c r="AA146" i="3" s="1"/>
  <c r="AA177" i="3" s="1"/>
  <c r="AA187" i="3" s="1"/>
  <c r="AA208" i="3" s="1"/>
  <c r="AD96" i="3"/>
  <c r="AD146" i="3" s="1"/>
  <c r="AD177" i="3" s="1"/>
  <c r="AD187" i="3" s="1"/>
  <c r="AD208" i="3" s="1"/>
  <c r="I41" i="8"/>
  <c r="BE33" i="82" s="1"/>
  <c r="AZ33" i="82"/>
  <c r="T41" i="8"/>
  <c r="E41" i="8"/>
  <c r="BA33" i="82" s="1"/>
  <c r="W210" i="3"/>
  <c r="W222" i="3"/>
  <c r="Z103" i="3"/>
  <c r="Z154" i="3" s="1"/>
  <c r="Z176" i="3" s="1"/>
  <c r="Z186" i="3" s="1"/>
  <c r="Z207" i="3" s="1"/>
  <c r="AG95" i="3"/>
  <c r="AG145" i="3" s="1"/>
  <c r="AG176" i="3" s="1"/>
  <c r="AG186" i="3" s="1"/>
  <c r="AG207" i="3" s="1"/>
  <c r="AF103" i="3"/>
  <c r="AF154" i="3" s="1"/>
  <c r="AF176" i="3" s="1"/>
  <c r="AF186" i="3" s="1"/>
  <c r="AF207" i="3" s="1"/>
  <c r="AA95" i="3"/>
  <c r="AA145" i="3" s="1"/>
  <c r="AA176" i="3" s="1"/>
  <c r="AA186" i="3" s="1"/>
  <c r="AA207" i="3" s="1"/>
  <c r="AD95" i="3"/>
  <c r="AD145" i="3" s="1"/>
  <c r="AD176" i="3" s="1"/>
  <c r="AD186" i="3" s="1"/>
  <c r="AD207" i="3" s="1"/>
  <c r="AK95" i="3"/>
  <c r="AK145" i="3" s="1"/>
  <c r="AK176" i="3" s="1"/>
  <c r="AK186" i="3" s="1"/>
  <c r="AK207" i="3" s="1"/>
  <c r="F95" i="3"/>
  <c r="F145" i="3" s="1"/>
  <c r="F176" i="3" s="1"/>
  <c r="F186" i="3" s="1"/>
  <c r="F207" i="3" s="1"/>
  <c r="T95" i="3"/>
  <c r="T145" i="3" s="1"/>
  <c r="T176" i="3" s="1"/>
  <c r="T186" i="3" s="1"/>
  <c r="X95" i="3"/>
  <c r="X145" i="3" s="1"/>
  <c r="X176" i="3" s="1"/>
  <c r="X186" i="3" s="1"/>
  <c r="X207" i="3" s="1"/>
  <c r="AN95" i="3"/>
  <c r="AN145" i="3" s="1"/>
  <c r="AN176" i="3" s="1"/>
  <c r="AN186" i="3" s="1"/>
  <c r="AN207" i="3" s="1"/>
  <c r="F179" i="100"/>
  <c r="R70" i="122"/>
  <c r="E24" i="8"/>
  <c r="BA22" i="82" s="1"/>
  <c r="I24" i="8"/>
  <c r="BE22" i="82" s="1"/>
  <c r="T24" i="8"/>
  <c r="AZ22" i="82"/>
  <c r="AZ31" i="82"/>
  <c r="E39" i="8"/>
  <c r="BA31" i="82" s="1"/>
  <c r="T39" i="8"/>
  <c r="I39" i="8"/>
  <c r="BE31" i="82" s="1"/>
  <c r="I43" i="8"/>
  <c r="BE38" i="82" s="1"/>
  <c r="E43" i="8"/>
  <c r="BA38" i="82" s="1"/>
  <c r="AZ38" i="82"/>
  <c r="T43" i="8"/>
  <c r="AB7" i="167"/>
  <c r="E38" i="8"/>
  <c r="BA30" i="82" s="1"/>
  <c r="N38" i="8"/>
  <c r="L38" i="8"/>
  <c r="O38" i="8"/>
  <c r="P38" i="8"/>
  <c r="T38" i="8"/>
  <c r="M38" i="8"/>
  <c r="K38" i="8"/>
  <c r="I38" i="8"/>
  <c r="BE30" i="82" s="1"/>
  <c r="AZ30" i="82"/>
  <c r="L46" i="7"/>
  <c r="K46" i="7" s="1"/>
  <c r="T207" i="3" l="1"/>
  <c r="R48" i="178"/>
  <c r="T206" i="3"/>
  <c r="Q48" i="178"/>
  <c r="T208" i="3"/>
  <c r="S48" i="178"/>
  <c r="BG14" i="99"/>
  <c r="BG16" i="99" s="1"/>
  <c r="BG14" i="98"/>
  <c r="BG16" i="98" s="1"/>
  <c r="BG14" i="97"/>
  <c r="BG16" i="97" s="1"/>
  <c r="BG17" i="97" s="1"/>
  <c r="BG14" i="140"/>
  <c r="BG16" i="140" s="1"/>
  <c r="G203" i="3"/>
  <c r="G222" i="3" s="1"/>
  <c r="H223" i="3"/>
  <c r="J188" i="3"/>
  <c r="AU14" i="99" s="1"/>
  <c r="AU16" i="99" s="1"/>
  <c r="O9" i="8"/>
  <c r="H188" i="3"/>
  <c r="AS14" i="97" s="1"/>
  <c r="L9" i="8"/>
  <c r="S188" i="3"/>
  <c r="BD14" i="98" s="1"/>
  <c r="BD16" i="98" s="1"/>
  <c r="M9" i="8"/>
  <c r="I188" i="3"/>
  <c r="AT14" i="140" s="1"/>
  <c r="AT16" i="140" s="1"/>
  <c r="G188" i="3"/>
  <c r="AR14" i="97" s="1"/>
  <c r="M39" i="8"/>
  <c r="N36" i="8"/>
  <c r="P9" i="8"/>
  <c r="N43" i="8"/>
  <c r="M36" i="8"/>
  <c r="M46" i="8"/>
  <c r="N46" i="8"/>
  <c r="M28" i="8"/>
  <c r="P43" i="8"/>
  <c r="N41" i="8"/>
  <c r="L46" i="8"/>
  <c r="M24" i="8"/>
  <c r="R38" i="8"/>
  <c r="BH30" i="82" s="1"/>
  <c r="P41" i="8"/>
  <c r="M43" i="8"/>
  <c r="R45" i="8"/>
  <c r="BH40" i="82" s="1"/>
  <c r="L36" i="8"/>
  <c r="L31" i="8"/>
  <c r="P39" i="8"/>
  <c r="L41" i="8"/>
  <c r="R21" i="8"/>
  <c r="BH18" i="82" s="1"/>
  <c r="X223" i="3"/>
  <c r="M48" i="8"/>
  <c r="N39" i="8"/>
  <c r="L24" i="8"/>
  <c r="AK223" i="3"/>
  <c r="M41" i="8"/>
  <c r="O46" i="8"/>
  <c r="G21" i="8"/>
  <c r="L28" i="8"/>
  <c r="L43" i="8"/>
  <c r="O39" i="8"/>
  <c r="P24" i="8"/>
  <c r="N28" i="8"/>
  <c r="R33" i="8"/>
  <c r="BH36" i="82" s="1"/>
  <c r="P48" i="8"/>
  <c r="S210" i="3"/>
  <c r="S222" i="3"/>
  <c r="P46" i="8"/>
  <c r="P28" i="8"/>
  <c r="O36" i="8"/>
  <c r="AG223" i="3"/>
  <c r="F223" i="3"/>
  <c r="P31" i="8"/>
  <c r="BH16" i="97"/>
  <c r="BH17" i="97" s="1"/>
  <c r="BH19" i="97"/>
  <c r="H210" i="3"/>
  <c r="H222" i="3"/>
  <c r="O24" i="8"/>
  <c r="F195" i="100"/>
  <c r="R72" i="122" s="1"/>
  <c r="R71" i="122"/>
  <c r="W25" i="3"/>
  <c r="W221" i="3"/>
  <c r="G45" i="8"/>
  <c r="P36" i="8"/>
  <c r="AA223" i="3"/>
  <c r="Z223" i="3"/>
  <c r="N31" i="8"/>
  <c r="L48" i="8"/>
  <c r="U25" i="3"/>
  <c r="U221" i="3"/>
  <c r="J222" i="3"/>
  <c r="J210" i="3"/>
  <c r="AN223" i="3"/>
  <c r="O43" i="8"/>
  <c r="L39" i="8"/>
  <c r="N24" i="8"/>
  <c r="AD223" i="3"/>
  <c r="I210" i="3"/>
  <c r="I222" i="3"/>
  <c r="O41" i="8"/>
  <c r="F27" i="3"/>
  <c r="R22" i="122"/>
  <c r="O28" i="8"/>
  <c r="AF223" i="3"/>
  <c r="I22" i="8"/>
  <c r="BE19" i="82" s="1"/>
  <c r="L22" i="8"/>
  <c r="P22" i="8"/>
  <c r="AZ19" i="82"/>
  <c r="K22" i="8"/>
  <c r="N22" i="8"/>
  <c r="T22" i="8"/>
  <c r="O22" i="8"/>
  <c r="E22" i="8"/>
  <c r="BA19" i="82" s="1"/>
  <c r="M22" i="8"/>
  <c r="O31" i="8"/>
  <c r="M31" i="8"/>
  <c r="N48" i="8"/>
  <c r="O48" i="8"/>
  <c r="D140" i="14"/>
  <c r="F22" i="14" s="1"/>
  <c r="D141" i="14"/>
  <c r="F23" i="14" s="1"/>
  <c r="P41" i="108"/>
  <c r="O41" i="108"/>
  <c r="N41" i="108"/>
  <c r="M41" i="108"/>
  <c r="J46" i="7"/>
  <c r="I46" i="7" s="1"/>
  <c r="H46" i="7" s="1"/>
  <c r="T223" i="3" l="1"/>
  <c r="G210" i="3"/>
  <c r="G221" i="3" s="1"/>
  <c r="AU14" i="140"/>
  <c r="AU16" i="140" s="1"/>
  <c r="AU14" i="97"/>
  <c r="AU16" i="97" s="1"/>
  <c r="AU17" i="97" s="1"/>
  <c r="AU14" i="98"/>
  <c r="AU16" i="98" s="1"/>
  <c r="AS14" i="98"/>
  <c r="AS16" i="98" s="1"/>
  <c r="AS14" i="140"/>
  <c r="AS16" i="140" s="1"/>
  <c r="BD14" i="140"/>
  <c r="BD16" i="140" s="1"/>
  <c r="AR14" i="98"/>
  <c r="AR16" i="98" s="1"/>
  <c r="BD14" i="99"/>
  <c r="BD16" i="99" s="1"/>
  <c r="AR14" i="99"/>
  <c r="AR16" i="99" s="1"/>
  <c r="AS14" i="99"/>
  <c r="AS16" i="99" s="1"/>
  <c r="AR14" i="140"/>
  <c r="AR16" i="140" s="1"/>
  <c r="R9" i="8"/>
  <c r="BH7" i="82" s="1"/>
  <c r="AT14" i="99"/>
  <c r="AT16" i="99" s="1"/>
  <c r="BD14" i="97"/>
  <c r="BD16" i="97" s="1"/>
  <c r="BD17" i="97" s="1"/>
  <c r="AT14" i="97"/>
  <c r="AT16" i="97" s="1"/>
  <c r="AT17" i="97" s="1"/>
  <c r="AT14" i="98"/>
  <c r="AT16" i="98" s="1"/>
  <c r="F213" i="100"/>
  <c r="F268" i="100" s="1"/>
  <c r="F276" i="100" s="1"/>
  <c r="F297" i="100" s="1"/>
  <c r="R22" i="8"/>
  <c r="BH19" i="82" s="1"/>
  <c r="R11" i="122"/>
  <c r="F26" i="3"/>
  <c r="D8" i="8" s="1"/>
  <c r="U24" i="3"/>
  <c r="F33" i="8"/>
  <c r="AR16" i="97"/>
  <c r="AR17" i="97" s="1"/>
  <c r="AR19" i="97"/>
  <c r="J25" i="3"/>
  <c r="J221" i="3"/>
  <c r="W24" i="3"/>
  <c r="F38" i="8"/>
  <c r="S25" i="3"/>
  <c r="S221" i="3"/>
  <c r="AS19" i="97"/>
  <c r="AS16" i="97"/>
  <c r="AS17" i="97" s="1"/>
  <c r="I221" i="3"/>
  <c r="I25" i="3"/>
  <c r="H221" i="3"/>
  <c r="H25" i="3"/>
  <c r="E22" i="14"/>
  <c r="E23" i="14"/>
  <c r="E105" i="156"/>
  <c r="E96" i="156" s="1"/>
  <c r="E91" i="156" s="1"/>
  <c r="E106" i="161"/>
  <c r="E97" i="161" s="1"/>
  <c r="E92" i="161" s="1"/>
  <c r="E105" i="147"/>
  <c r="E96" i="147" s="1"/>
  <c r="E91" i="147" s="1"/>
  <c r="E105" i="154"/>
  <c r="E96" i="154" s="1"/>
  <c r="E91" i="154" s="1"/>
  <c r="E105" i="146"/>
  <c r="E96" i="146" s="1"/>
  <c r="E91" i="146" s="1"/>
  <c r="E106" i="143"/>
  <c r="E97" i="143" s="1"/>
  <c r="E92" i="143" s="1"/>
  <c r="E105" i="152"/>
  <c r="E96" i="152" s="1"/>
  <c r="E91" i="152" s="1"/>
  <c r="E105" i="155"/>
  <c r="E96" i="155" s="1"/>
  <c r="E91" i="155" s="1"/>
  <c r="E105" i="149"/>
  <c r="E96" i="149" s="1"/>
  <c r="E91" i="149" s="1"/>
  <c r="E105" i="153"/>
  <c r="E96" i="153" s="1"/>
  <c r="E91" i="153" s="1"/>
  <c r="E105" i="151"/>
  <c r="E96" i="151" s="1"/>
  <c r="E91" i="151" s="1"/>
  <c r="E105" i="157"/>
  <c r="E96" i="157" s="1"/>
  <c r="E91" i="157" s="1"/>
  <c r="E105" i="158"/>
  <c r="E96" i="158" s="1"/>
  <c r="E91" i="158" s="1"/>
  <c r="E106" i="176"/>
  <c r="E97" i="176" s="1"/>
  <c r="E92" i="176" s="1"/>
  <c r="E106" i="145"/>
  <c r="E97" i="145" s="1"/>
  <c r="E92" i="145" s="1"/>
  <c r="E106" i="174"/>
  <c r="E97" i="174" s="1"/>
  <c r="E92" i="174" s="1"/>
  <c r="E106" i="175"/>
  <c r="E97" i="175" s="1"/>
  <c r="E92" i="175" s="1"/>
  <c r="E106" i="150"/>
  <c r="E97" i="150" s="1"/>
  <c r="E92" i="150" s="1"/>
  <c r="E106" i="148"/>
  <c r="E97" i="148" s="1"/>
  <c r="E92" i="148" s="1"/>
  <c r="E106" i="144"/>
  <c r="E97" i="144" s="1"/>
  <c r="E92" i="144" s="1"/>
  <c r="E106" i="142"/>
  <c r="E97" i="142" s="1"/>
  <c r="E92" i="142" s="1"/>
  <c r="F105" i="151"/>
  <c r="F96" i="151" s="1"/>
  <c r="F91" i="151" s="1"/>
  <c r="F105" i="158"/>
  <c r="F96" i="158" s="1"/>
  <c r="F91" i="158" s="1"/>
  <c r="F105" i="155"/>
  <c r="F96" i="155" s="1"/>
  <c r="F91" i="155" s="1"/>
  <c r="F106" i="143"/>
  <c r="F97" i="143" s="1"/>
  <c r="F92" i="143" s="1"/>
  <c r="F105" i="146"/>
  <c r="F96" i="146" s="1"/>
  <c r="F91" i="146" s="1"/>
  <c r="F105" i="154"/>
  <c r="F96" i="154" s="1"/>
  <c r="F91" i="154" s="1"/>
  <c r="F105" i="147"/>
  <c r="F96" i="147" s="1"/>
  <c r="F91" i="147" s="1"/>
  <c r="F105" i="152"/>
  <c r="F96" i="152" s="1"/>
  <c r="F91" i="152" s="1"/>
  <c r="F105" i="156"/>
  <c r="F96" i="156" s="1"/>
  <c r="F91" i="156" s="1"/>
  <c r="F106" i="161"/>
  <c r="F97" i="161" s="1"/>
  <c r="F92" i="161" s="1"/>
  <c r="F105" i="157"/>
  <c r="F96" i="157" s="1"/>
  <c r="F91" i="157" s="1"/>
  <c r="F105" i="153"/>
  <c r="F96" i="153" s="1"/>
  <c r="F91" i="153" s="1"/>
  <c r="F105" i="149"/>
  <c r="F96" i="149" s="1"/>
  <c r="F91" i="149" s="1"/>
  <c r="F106" i="176"/>
  <c r="F97" i="176" s="1"/>
  <c r="F92" i="176" s="1"/>
  <c r="F106" i="174"/>
  <c r="F97" i="174" s="1"/>
  <c r="F92" i="174" s="1"/>
  <c r="F106" i="145"/>
  <c r="F97" i="145" s="1"/>
  <c r="F92" i="145" s="1"/>
  <c r="F106" i="175"/>
  <c r="F97" i="175" s="1"/>
  <c r="F92" i="175" s="1"/>
  <c r="F106" i="148"/>
  <c r="F97" i="148" s="1"/>
  <c r="F92" i="148" s="1"/>
  <c r="F106" i="150"/>
  <c r="F97" i="150" s="1"/>
  <c r="F92" i="150" s="1"/>
  <c r="F106" i="142"/>
  <c r="F97" i="142" s="1"/>
  <c r="F92" i="142" s="1"/>
  <c r="F106" i="144"/>
  <c r="F97" i="144" s="1"/>
  <c r="F92" i="144" s="1"/>
  <c r="D106" i="143"/>
  <c r="D105" i="155"/>
  <c r="D105" i="151"/>
  <c r="D105" i="156"/>
  <c r="D105" i="146"/>
  <c r="D105" i="149"/>
  <c r="D105" i="153"/>
  <c r="D105" i="147"/>
  <c r="D105" i="157"/>
  <c r="D105" i="152"/>
  <c r="D106" i="161"/>
  <c r="D97" i="161" s="1"/>
  <c r="D105" i="158"/>
  <c r="D105" i="154"/>
  <c r="D106" i="176"/>
  <c r="D106" i="145"/>
  <c r="D106" i="175"/>
  <c r="D106" i="174"/>
  <c r="D106" i="150"/>
  <c r="D106" i="148"/>
  <c r="D106" i="144"/>
  <c r="D106" i="142"/>
  <c r="G96" i="30"/>
  <c r="E97" i="30"/>
  <c r="E95" i="38"/>
  <c r="F95" i="30"/>
  <c r="E95" i="30"/>
  <c r="F96" i="30"/>
  <c r="E93" i="38"/>
  <c r="G95" i="30"/>
  <c r="D95" i="30"/>
  <c r="F91" i="38"/>
  <c r="G97" i="30"/>
  <c r="E91" i="38"/>
  <c r="D95" i="38"/>
  <c r="D91" i="38"/>
  <c r="E96" i="30"/>
  <c r="F93" i="38"/>
  <c r="G93" i="38"/>
  <c r="G95" i="38"/>
  <c r="G91" i="38"/>
  <c r="F97" i="30"/>
  <c r="F95" i="38"/>
  <c r="D97" i="30"/>
  <c r="G46" i="7"/>
  <c r="D93" i="38"/>
  <c r="D96" i="30"/>
  <c r="G105" i="147"/>
  <c r="G96" i="147" s="1"/>
  <c r="G91" i="147" s="1"/>
  <c r="G105" i="158"/>
  <c r="G96" i="158" s="1"/>
  <c r="G91" i="158" s="1"/>
  <c r="G106" i="148"/>
  <c r="G97" i="148" s="1"/>
  <c r="G92" i="148" s="1"/>
  <c r="G106" i="176"/>
  <c r="G97" i="176" s="1"/>
  <c r="G92" i="176" s="1"/>
  <c r="G105" i="146"/>
  <c r="G96" i="146" s="1"/>
  <c r="G91" i="146" s="1"/>
  <c r="G105" i="156"/>
  <c r="G96" i="156" s="1"/>
  <c r="G91" i="156" s="1"/>
  <c r="G106" i="144"/>
  <c r="G97" i="144" s="1"/>
  <c r="G92" i="144" s="1"/>
  <c r="G105" i="149"/>
  <c r="G96" i="149" s="1"/>
  <c r="G91" i="149" s="1"/>
  <c r="G106" i="143"/>
  <c r="G97" i="143" s="1"/>
  <c r="G92" i="143" s="1"/>
  <c r="G106" i="161"/>
  <c r="G97" i="161" s="1"/>
  <c r="G92" i="161" s="1"/>
  <c r="G105" i="154"/>
  <c r="G96" i="154" s="1"/>
  <c r="G91" i="154" s="1"/>
  <c r="G106" i="142"/>
  <c r="G97" i="142" s="1"/>
  <c r="G92" i="142" s="1"/>
  <c r="G105" i="157"/>
  <c r="G96" i="157" s="1"/>
  <c r="G91" i="157" s="1"/>
  <c r="G106" i="150"/>
  <c r="G97" i="150" s="1"/>
  <c r="G92" i="150" s="1"/>
  <c r="G105" i="153"/>
  <c r="G96" i="153" s="1"/>
  <c r="G91" i="153" s="1"/>
  <c r="G106" i="174"/>
  <c r="G97" i="174" s="1"/>
  <c r="G92" i="174" s="1"/>
  <c r="G106" i="175"/>
  <c r="G97" i="175" s="1"/>
  <c r="G92" i="175" s="1"/>
  <c r="G106" i="145"/>
  <c r="G97" i="145" s="1"/>
  <c r="G92" i="145" s="1"/>
  <c r="G105" i="155"/>
  <c r="G96" i="155" s="1"/>
  <c r="G91" i="155" s="1"/>
  <c r="G105" i="151"/>
  <c r="G96" i="151" s="1"/>
  <c r="G91" i="151" s="1"/>
  <c r="G105" i="152"/>
  <c r="G96" i="152" s="1"/>
  <c r="G91" i="152" s="1"/>
  <c r="J22" i="100"/>
  <c r="S25" i="100"/>
  <c r="J24" i="100"/>
  <c r="R24" i="100"/>
  <c r="R22" i="100"/>
  <c r="R45" i="100"/>
  <c r="AP56" i="3" l="1"/>
  <c r="AP53" i="3" s="1"/>
  <c r="G25" i="3"/>
  <c r="F9" i="8" s="1"/>
  <c r="AU19" i="97"/>
  <c r="BD19" i="97"/>
  <c r="R74" i="122"/>
  <c r="AZ6" i="82"/>
  <c r="L8" i="8"/>
  <c r="P8" i="8"/>
  <c r="E8" i="8"/>
  <c r="BA6" i="82" s="1"/>
  <c r="M8" i="8"/>
  <c r="T8" i="8"/>
  <c r="I8" i="8"/>
  <c r="BE6" i="82" s="1"/>
  <c r="N8" i="8"/>
  <c r="O8" i="8"/>
  <c r="S24" i="3"/>
  <c r="F22" i="8"/>
  <c r="BB30" i="82"/>
  <c r="G38" i="8"/>
  <c r="BB36" i="82"/>
  <c r="G33" i="8"/>
  <c r="R76" i="122"/>
  <c r="AF99" i="3"/>
  <c r="AF150" i="3" s="1"/>
  <c r="AF172" i="3" s="1"/>
  <c r="AF182" i="3" s="1"/>
  <c r="AN91" i="3"/>
  <c r="AN141" i="3" s="1"/>
  <c r="AN172" i="3" s="1"/>
  <c r="AN182" i="3" s="1"/>
  <c r="AA91" i="3"/>
  <c r="AA141" i="3" s="1"/>
  <c r="AA172" i="3" s="1"/>
  <c r="AA182" i="3" s="1"/>
  <c r="AG91" i="3"/>
  <c r="AG141" i="3" s="1"/>
  <c r="AG172" i="3" s="1"/>
  <c r="AG182" i="3" s="1"/>
  <c r="Z99" i="3"/>
  <c r="Z150" i="3" s="1"/>
  <c r="Z172" i="3" s="1"/>
  <c r="Z182" i="3" s="1"/>
  <c r="X91" i="3"/>
  <c r="X141" i="3" s="1"/>
  <c r="X172" i="3" s="1"/>
  <c r="X182" i="3" s="1"/>
  <c r="F91" i="3"/>
  <c r="F141" i="3" s="1"/>
  <c r="F172" i="3" s="1"/>
  <c r="F182" i="3" s="1"/>
  <c r="K8" i="8" s="1"/>
  <c r="AD91" i="3"/>
  <c r="AD141" i="3" s="1"/>
  <c r="AD172" i="3" s="1"/>
  <c r="AD182" i="3" s="1"/>
  <c r="AK91" i="3"/>
  <c r="AK141" i="3" s="1"/>
  <c r="AK172" i="3" s="1"/>
  <c r="AK182" i="3" s="1"/>
  <c r="T91" i="3"/>
  <c r="T141" i="3" s="1"/>
  <c r="T172" i="3" s="1"/>
  <c r="T182" i="3" s="1"/>
  <c r="J226" i="100"/>
  <c r="R226" i="100"/>
  <c r="Q56" i="3"/>
  <c r="Q53" i="3" s="1"/>
  <c r="R85" i="100"/>
  <c r="R38" i="100"/>
  <c r="D101" i="150"/>
  <c r="D97" i="150"/>
  <c r="D100" i="152"/>
  <c r="D96" i="152"/>
  <c r="D91" i="152" s="1"/>
  <c r="D101" i="142"/>
  <c r="D97" i="142"/>
  <c r="D100" i="154"/>
  <c r="D96" i="154"/>
  <c r="D91" i="154" s="1"/>
  <c r="D100" i="146"/>
  <c r="D96" i="146"/>
  <c r="D91" i="146" s="1"/>
  <c r="D101" i="144"/>
  <c r="D97" i="144"/>
  <c r="D101" i="175"/>
  <c r="D97" i="175"/>
  <c r="D100" i="158"/>
  <c r="D96" i="158"/>
  <c r="D91" i="158" s="1"/>
  <c r="D100" i="147"/>
  <c r="D96" i="147"/>
  <c r="D91" i="147" s="1"/>
  <c r="D100" i="156"/>
  <c r="D96" i="156"/>
  <c r="D91" i="156" s="1"/>
  <c r="F46" i="7"/>
  <c r="E46" i="7" s="1"/>
  <c r="D46" i="7" s="1"/>
  <c r="C46" i="7" s="1"/>
  <c r="J28" i="76"/>
  <c r="K28" i="76" s="1"/>
  <c r="D101" i="176"/>
  <c r="D97" i="176"/>
  <c r="D100" i="149"/>
  <c r="D96" i="149"/>
  <c r="D91" i="149" s="1"/>
  <c r="D96" i="155"/>
  <c r="D91" i="155" s="1"/>
  <c r="D100" i="155"/>
  <c r="D101" i="174"/>
  <c r="D97" i="174"/>
  <c r="D100" i="157"/>
  <c r="D96" i="157"/>
  <c r="D91" i="157" s="1"/>
  <c r="D101" i="143"/>
  <c r="D97" i="143"/>
  <c r="D101" i="148"/>
  <c r="D97" i="148"/>
  <c r="D101" i="145"/>
  <c r="D97" i="145"/>
  <c r="D92" i="161"/>
  <c r="D100" i="153"/>
  <c r="D96" i="153"/>
  <c r="D91" i="153" s="1"/>
  <c r="D100" i="151"/>
  <c r="D96" i="151"/>
  <c r="D91" i="151" s="1"/>
  <c r="Q45" i="100"/>
  <c r="O24" i="100"/>
  <c r="N45" i="100"/>
  <c r="X45" i="100"/>
  <c r="P45" i="100"/>
  <c r="Y45" i="100"/>
  <c r="W45" i="100"/>
  <c r="M45" i="100"/>
  <c r="L45" i="100"/>
  <c r="G24" i="3" l="1"/>
  <c r="D14" i="140" s="1"/>
  <c r="D16" i="140" s="1"/>
  <c r="R8" i="8"/>
  <c r="BH6" i="82" s="1"/>
  <c r="BB7" i="82"/>
  <c r="G9" i="8"/>
  <c r="AK203" i="3"/>
  <c r="AK188" i="3"/>
  <c r="K28" i="8"/>
  <c r="R28" i="8" s="1"/>
  <c r="BH24" i="82" s="1"/>
  <c r="AF203" i="3"/>
  <c r="AF188" i="3"/>
  <c r="K48" i="8"/>
  <c r="R48" i="8" s="1"/>
  <c r="BH43" i="82" s="1"/>
  <c r="F203" i="3"/>
  <c r="R78" i="122"/>
  <c r="F188" i="3"/>
  <c r="AA188" i="3"/>
  <c r="AA203" i="3"/>
  <c r="K43" i="8"/>
  <c r="R43" i="8" s="1"/>
  <c r="BH38" i="82" s="1"/>
  <c r="T203" i="3"/>
  <c r="T188" i="3"/>
  <c r="K36" i="8"/>
  <c r="R36" i="8" s="1"/>
  <c r="BH29" i="82" s="1"/>
  <c r="X203" i="3"/>
  <c r="X188" i="3"/>
  <c r="K39" i="8"/>
  <c r="R39" i="8" s="1"/>
  <c r="BH31" i="82" s="1"/>
  <c r="AN203" i="3"/>
  <c r="AN188" i="3"/>
  <c r="K31" i="8"/>
  <c r="R31" i="8" s="1"/>
  <c r="BH26" i="82" s="1"/>
  <c r="BB19" i="82"/>
  <c r="G22" i="8"/>
  <c r="Z188" i="3"/>
  <c r="Z203" i="3"/>
  <c r="K41" i="8"/>
  <c r="R41" i="8" s="1"/>
  <c r="BH33" i="82" s="1"/>
  <c r="P14" i="98"/>
  <c r="P16" i="98" s="1"/>
  <c r="P14" i="97"/>
  <c r="P14" i="140"/>
  <c r="P16" i="140" s="1"/>
  <c r="AC7" i="167"/>
  <c r="P14" i="99"/>
  <c r="P16" i="99" s="1"/>
  <c r="AD188" i="3"/>
  <c r="AD203" i="3"/>
  <c r="K46" i="8"/>
  <c r="R46" i="8" s="1"/>
  <c r="BH41" i="82" s="1"/>
  <c r="AG203" i="3"/>
  <c r="AG188" i="3"/>
  <c r="K24" i="8"/>
  <c r="R24" i="8" s="1"/>
  <c r="BH22" i="82" s="1"/>
  <c r="M85" i="100"/>
  <c r="M38" i="100"/>
  <c r="O225" i="100"/>
  <c r="O18" i="100"/>
  <c r="O226" i="100"/>
  <c r="W85" i="100"/>
  <c r="W38" i="100"/>
  <c r="X85" i="100"/>
  <c r="X38" i="100"/>
  <c r="N85" i="100"/>
  <c r="N38" i="100"/>
  <c r="Q85" i="100"/>
  <c r="Q38" i="100"/>
  <c r="P85" i="100"/>
  <c r="P38" i="100"/>
  <c r="Y85" i="100"/>
  <c r="Y38" i="100"/>
  <c r="L85" i="100"/>
  <c r="L38" i="100"/>
  <c r="F101" i="148"/>
  <c r="E101" i="148"/>
  <c r="G101" i="148"/>
  <c r="G100" i="157"/>
  <c r="E100" i="157"/>
  <c r="F100" i="157"/>
  <c r="E101" i="176"/>
  <c r="G101" i="176"/>
  <c r="F101" i="176"/>
  <c r="F100" i="158"/>
  <c r="E100" i="158"/>
  <c r="G100" i="158"/>
  <c r="E100" i="154"/>
  <c r="F100" i="154"/>
  <c r="G100" i="154"/>
  <c r="D92" i="145"/>
  <c r="D92" i="143"/>
  <c r="D92" i="174"/>
  <c r="E102" i="30"/>
  <c r="E94" i="30" s="1"/>
  <c r="E104" i="38"/>
  <c r="E96" i="38" s="1"/>
  <c r="E105" i="38"/>
  <c r="E97" i="38" s="1"/>
  <c r="G102" i="30"/>
  <c r="G94" i="30" s="1"/>
  <c r="D105" i="38"/>
  <c r="D97" i="38" s="1"/>
  <c r="D102" i="30"/>
  <c r="D94" i="30" s="1"/>
  <c r="F102" i="30"/>
  <c r="F94" i="30" s="1"/>
  <c r="D104" i="38"/>
  <c r="D96" i="38" s="1"/>
  <c r="F104" i="38"/>
  <c r="F105" i="38"/>
  <c r="D102" i="38"/>
  <c r="D99" i="30"/>
  <c r="G99" i="30"/>
  <c r="F99" i="30"/>
  <c r="E99" i="30"/>
  <c r="D92" i="175"/>
  <c r="D92" i="142"/>
  <c r="D92" i="150"/>
  <c r="G101" i="145"/>
  <c r="E101" i="145"/>
  <c r="F101" i="145"/>
  <c r="F101" i="143"/>
  <c r="G101" i="143"/>
  <c r="E101" i="143"/>
  <c r="F101" i="174"/>
  <c r="G101" i="174"/>
  <c r="E101" i="174"/>
  <c r="G100" i="149"/>
  <c r="F100" i="149"/>
  <c r="E100" i="149"/>
  <c r="F100" i="147"/>
  <c r="E100" i="147"/>
  <c r="G100" i="147"/>
  <c r="F101" i="175"/>
  <c r="E101" i="175"/>
  <c r="G101" i="175"/>
  <c r="G100" i="146"/>
  <c r="F100" i="146"/>
  <c r="E100" i="146"/>
  <c r="F101" i="142"/>
  <c r="G101" i="142"/>
  <c r="E101" i="142"/>
  <c r="F101" i="150"/>
  <c r="E101" i="150"/>
  <c r="G101" i="150"/>
  <c r="G100" i="156"/>
  <c r="F100" i="156"/>
  <c r="E100" i="156"/>
  <c r="G101" i="144"/>
  <c r="E101" i="144"/>
  <c r="F101" i="144"/>
  <c r="G100" i="152"/>
  <c r="F100" i="152"/>
  <c r="E100" i="152"/>
  <c r="E100" i="151"/>
  <c r="F100" i="151"/>
  <c r="G100" i="151"/>
  <c r="F100" i="153"/>
  <c r="G100" i="153"/>
  <c r="E100" i="153"/>
  <c r="D92" i="148"/>
  <c r="E100" i="155"/>
  <c r="F100" i="155"/>
  <c r="G100" i="155"/>
  <c r="D92" i="176"/>
  <c r="D92" i="144"/>
  <c r="R28" i="100"/>
  <c r="R26" i="100" s="1"/>
  <c r="R84" i="100"/>
  <c r="R86" i="100" s="1"/>
  <c r="J23" i="100"/>
  <c r="R23" i="100"/>
  <c r="P48" i="178" l="1"/>
  <c r="D14" i="99"/>
  <c r="D16" i="99" s="1"/>
  <c r="D14" i="98"/>
  <c r="D16" i="98" s="1"/>
  <c r="V7" i="167"/>
  <c r="D14" i="97"/>
  <c r="D19" i="97" s="1"/>
  <c r="BS14" i="140"/>
  <c r="BS16" i="140" s="1"/>
  <c r="BS14" i="98"/>
  <c r="BS16" i="98" s="1"/>
  <c r="BS14" i="99"/>
  <c r="BS16" i="99" s="1"/>
  <c r="BS14" i="97"/>
  <c r="BS16" i="97" s="1"/>
  <c r="BS17" i="97" s="1"/>
  <c r="BP14" i="98"/>
  <c r="BP16" i="98" s="1"/>
  <c r="BP14" i="99"/>
  <c r="BP16" i="99" s="1"/>
  <c r="BP14" i="140"/>
  <c r="BP16" i="140" s="1"/>
  <c r="BP14" i="97"/>
  <c r="BP16" i="97" s="1"/>
  <c r="BP17" i="97" s="1"/>
  <c r="BF14" i="99"/>
  <c r="BF16" i="99" s="1"/>
  <c r="BF14" i="140"/>
  <c r="BF16" i="140" s="1"/>
  <c r="BF14" i="97"/>
  <c r="BF14" i="98"/>
  <c r="BF16" i="98" s="1"/>
  <c r="BJ14" i="97"/>
  <c r="BJ14" i="98"/>
  <c r="BJ16" i="98" s="1"/>
  <c r="BJ14" i="99"/>
  <c r="BJ16" i="99" s="1"/>
  <c r="BJ14" i="140"/>
  <c r="BJ16" i="140" s="1"/>
  <c r="BZ14" i="99"/>
  <c r="BZ16" i="99" s="1"/>
  <c r="BZ14" i="98"/>
  <c r="BZ16" i="98" s="1"/>
  <c r="BZ14" i="140"/>
  <c r="BZ16" i="140" s="1"/>
  <c r="BZ14" i="97"/>
  <c r="BZ16" i="97" s="1"/>
  <c r="BZ17" i="97" s="1"/>
  <c r="BM14" i="97"/>
  <c r="BM16" i="97" s="1"/>
  <c r="BM17" i="97" s="1"/>
  <c r="BM14" i="99"/>
  <c r="BM16" i="99" s="1"/>
  <c r="BM14" i="140"/>
  <c r="BM16" i="140" s="1"/>
  <c r="BM14" i="98"/>
  <c r="BM16" i="98" s="1"/>
  <c r="BW14" i="97"/>
  <c r="BW14" i="99"/>
  <c r="BW16" i="99" s="1"/>
  <c r="BW14" i="140"/>
  <c r="BW16" i="140" s="1"/>
  <c r="BW14" i="98"/>
  <c r="BW16" i="98" s="1"/>
  <c r="P19" i="97"/>
  <c r="P16" i="97"/>
  <c r="P17" i="97" s="1"/>
  <c r="BK14" i="99"/>
  <c r="BK16" i="99" s="1"/>
  <c r="BK14" i="97"/>
  <c r="BK16" i="97" s="1"/>
  <c r="BK17" i="97" s="1"/>
  <c r="BK14" i="98"/>
  <c r="BK16" i="98" s="1"/>
  <c r="BK14" i="140"/>
  <c r="BK16" i="140" s="1"/>
  <c r="X222" i="3"/>
  <c r="X210" i="3"/>
  <c r="BL14" i="97"/>
  <c r="BL16" i="97" s="1"/>
  <c r="BL17" i="97" s="1"/>
  <c r="BL14" i="99"/>
  <c r="BL16" i="99" s="1"/>
  <c r="BL14" i="98"/>
  <c r="BL16" i="98" s="1"/>
  <c r="BL14" i="140"/>
  <c r="BL16" i="140" s="1"/>
  <c r="BR14" i="99"/>
  <c r="BR16" i="99" s="1"/>
  <c r="BR14" i="140"/>
  <c r="BR16" i="140" s="1"/>
  <c r="BR14" i="98"/>
  <c r="BR16" i="98" s="1"/>
  <c r="BR14" i="97"/>
  <c r="BR16" i="97" s="1"/>
  <c r="BR17" i="97" s="1"/>
  <c r="BO14" i="97"/>
  <c r="BO16" i="97" s="1"/>
  <c r="BO17" i="97" s="1"/>
  <c r="BO14" i="99"/>
  <c r="BO16" i="99" s="1"/>
  <c r="BO14" i="140"/>
  <c r="BO16" i="140" s="1"/>
  <c r="BO14" i="98"/>
  <c r="BO16" i="98" s="1"/>
  <c r="BE14" i="98"/>
  <c r="BE16" i="98" s="1"/>
  <c r="BE14" i="97"/>
  <c r="BE16" i="97" s="1"/>
  <c r="BE17" i="97" s="1"/>
  <c r="BE14" i="99"/>
  <c r="BE16" i="99" s="1"/>
  <c r="BE14" i="140"/>
  <c r="BE16" i="140" s="1"/>
  <c r="AF210" i="3"/>
  <c r="AF222" i="3"/>
  <c r="AG222" i="3"/>
  <c r="AG210" i="3"/>
  <c r="Z222" i="3"/>
  <c r="Z210" i="3"/>
  <c r="BI14" i="140"/>
  <c r="BI16" i="140" s="1"/>
  <c r="BI14" i="97"/>
  <c r="BI14" i="98"/>
  <c r="BI16" i="98" s="1"/>
  <c r="BI14" i="99"/>
  <c r="BI16" i="99" s="1"/>
  <c r="T222" i="3"/>
  <c r="T210" i="3"/>
  <c r="AA222" i="3"/>
  <c r="AA210" i="3"/>
  <c r="F210" i="3"/>
  <c r="F222" i="3"/>
  <c r="BV14" i="140"/>
  <c r="BV16" i="140" s="1"/>
  <c r="BV14" i="99"/>
  <c r="BV16" i="99" s="1"/>
  <c r="BV14" i="97"/>
  <c r="BV14" i="98"/>
  <c r="BV16" i="98" s="1"/>
  <c r="AD210" i="3"/>
  <c r="AD222" i="3"/>
  <c r="AN210" i="3"/>
  <c r="AN222" i="3"/>
  <c r="AQ14" i="98"/>
  <c r="AQ16" i="98" s="1"/>
  <c r="AQ14" i="99"/>
  <c r="AQ16" i="99" s="1"/>
  <c r="AQ14" i="140"/>
  <c r="AQ16" i="140" s="1"/>
  <c r="AQ14" i="97"/>
  <c r="BQ14" i="97"/>
  <c r="BQ14" i="140"/>
  <c r="BQ16" i="140" s="1"/>
  <c r="BQ14" i="98"/>
  <c r="BQ16" i="98" s="1"/>
  <c r="BQ14" i="99"/>
  <c r="BQ16" i="99" s="1"/>
  <c r="AK222" i="3"/>
  <c r="AK210" i="3"/>
  <c r="AI55" i="3"/>
  <c r="AI52" i="3" s="1"/>
  <c r="AM55" i="3"/>
  <c r="AM52" i="3" s="1"/>
  <c r="N55" i="3"/>
  <c r="N52" i="3" s="1"/>
  <c r="O55" i="3"/>
  <c r="O52" i="3" s="1"/>
  <c r="E102" i="38"/>
  <c r="F102" i="38"/>
  <c r="D100" i="38"/>
  <c r="D92" i="38" s="1"/>
  <c r="D94" i="38"/>
  <c r="F101" i="30"/>
  <c r="F91" i="30"/>
  <c r="L84" i="100"/>
  <c r="L86" i="100" s="1"/>
  <c r="L27" i="100"/>
  <c r="L26" i="100" s="1"/>
  <c r="N84" i="100"/>
  <c r="N86" i="100" s="1"/>
  <c r="N27" i="100"/>
  <c r="N26" i="100" s="1"/>
  <c r="W84" i="100"/>
  <c r="W86" i="100" s="1"/>
  <c r="W27" i="100"/>
  <c r="W26" i="100" s="1"/>
  <c r="G101" i="30"/>
  <c r="G91" i="30"/>
  <c r="G104" i="38"/>
  <c r="G96" i="38" s="1"/>
  <c r="F96" i="38"/>
  <c r="M84" i="100"/>
  <c r="M86" i="100" s="1"/>
  <c r="M27" i="100"/>
  <c r="M26" i="100" s="1"/>
  <c r="E101" i="30"/>
  <c r="E91" i="30"/>
  <c r="G105" i="38"/>
  <c r="G97" i="38" s="1"/>
  <c r="F97" i="38"/>
  <c r="P84" i="100"/>
  <c r="P86" i="100" s="1"/>
  <c r="P27" i="100"/>
  <c r="P26" i="100" s="1"/>
  <c r="D101" i="30"/>
  <c r="D91" i="30"/>
  <c r="Y84" i="100"/>
  <c r="Y86" i="100" s="1"/>
  <c r="Y27" i="100"/>
  <c r="Y26" i="100" s="1"/>
  <c r="Q84" i="100"/>
  <c r="Q86" i="100" s="1"/>
  <c r="Q27" i="100"/>
  <c r="Q26" i="100" s="1"/>
  <c r="X84" i="100"/>
  <c r="X86" i="100" s="1"/>
  <c r="X27" i="100"/>
  <c r="X26" i="100" s="1"/>
  <c r="S24" i="100"/>
  <c r="S22" i="100"/>
  <c r="D16" i="97" l="1"/>
  <c r="D17" i="97" s="1"/>
  <c r="BF16" i="97"/>
  <c r="BF17" i="97" s="1"/>
  <c r="BF19" i="97"/>
  <c r="BW16" i="97"/>
  <c r="BW17" i="97" s="1"/>
  <c r="BW19" i="97"/>
  <c r="BJ19" i="97"/>
  <c r="BJ16" i="97"/>
  <c r="BJ17" i="97" s="1"/>
  <c r="AQ16" i="97"/>
  <c r="AQ17" i="97" s="1"/>
  <c r="AQ19" i="97"/>
  <c r="T221" i="3"/>
  <c r="T25" i="3"/>
  <c r="BI16" i="97"/>
  <c r="BI17" i="97" s="1"/>
  <c r="BI19" i="97"/>
  <c r="AG221" i="3"/>
  <c r="AG25" i="3"/>
  <c r="X221" i="3"/>
  <c r="X25" i="3"/>
  <c r="AN25" i="3"/>
  <c r="AN221" i="3"/>
  <c r="BV16" i="97"/>
  <c r="BV17" i="97" s="1"/>
  <c r="BV19" i="97"/>
  <c r="F25" i="3"/>
  <c r="F221" i="3"/>
  <c r="AK221" i="3"/>
  <c r="AK25" i="3"/>
  <c r="AA25" i="3"/>
  <c r="AA221" i="3"/>
  <c r="Z25" i="3"/>
  <c r="Z221" i="3"/>
  <c r="BQ16" i="97"/>
  <c r="BQ17" i="97" s="1"/>
  <c r="BQ19" i="97"/>
  <c r="AD221" i="3"/>
  <c r="AD25" i="3"/>
  <c r="AF221" i="3"/>
  <c r="AF25" i="3"/>
  <c r="S226" i="100"/>
  <c r="G100" i="30"/>
  <c r="G92" i="30" s="1"/>
  <c r="G93" i="30"/>
  <c r="G102" i="38"/>
  <c r="E100" i="38"/>
  <c r="E92" i="38" s="1"/>
  <c r="E94" i="38"/>
  <c r="X225" i="100"/>
  <c r="X18" i="100"/>
  <c r="P225" i="100"/>
  <c r="P18" i="100"/>
  <c r="W225" i="100"/>
  <c r="W18" i="100"/>
  <c r="V46" i="3" s="1"/>
  <c r="V45" i="3" s="1"/>
  <c r="V27" i="3" s="1"/>
  <c r="V26" i="3" s="1"/>
  <c r="E100" i="30"/>
  <c r="E92" i="30" s="1"/>
  <c r="E93" i="30"/>
  <c r="D100" i="30"/>
  <c r="D92" i="30" s="1"/>
  <c r="D93" i="30"/>
  <c r="F100" i="30"/>
  <c r="F92" i="30" s="1"/>
  <c r="F93" i="30"/>
  <c r="Y225" i="100"/>
  <c r="Y18" i="100"/>
  <c r="I46" i="3" s="1"/>
  <c r="I45" i="3" s="1"/>
  <c r="I27" i="3" s="1"/>
  <c r="I26" i="3" s="1"/>
  <c r="L225" i="100"/>
  <c r="L18" i="100"/>
  <c r="H46" i="3" s="1"/>
  <c r="H45" i="3" s="1"/>
  <c r="H27" i="3" s="1"/>
  <c r="Q225" i="100"/>
  <c r="Q18" i="100"/>
  <c r="M225" i="100"/>
  <c r="M18" i="100"/>
  <c r="J46" i="3" s="1"/>
  <c r="J45" i="3" s="1"/>
  <c r="J27" i="3" s="1"/>
  <c r="J26" i="3" s="1"/>
  <c r="N225" i="100"/>
  <c r="N18" i="100"/>
  <c r="P46" i="3" s="1"/>
  <c r="P45" i="3" s="1"/>
  <c r="P27" i="3" s="1"/>
  <c r="P26" i="3" s="1"/>
  <c r="F100" i="38"/>
  <c r="F92" i="38" s="1"/>
  <c r="F94" i="38"/>
  <c r="R25" i="100"/>
  <c r="J25" i="100"/>
  <c r="L48" i="178" l="1"/>
  <c r="F39" i="8"/>
  <c r="X24" i="3"/>
  <c r="F43" i="8"/>
  <c r="AA24" i="3"/>
  <c r="AD24" i="3"/>
  <c r="F46" i="8"/>
  <c r="F28" i="8"/>
  <c r="AK24" i="3"/>
  <c r="F24" i="8"/>
  <c r="AG24" i="3"/>
  <c r="T24" i="3"/>
  <c r="F36" i="8"/>
  <c r="F41" i="8"/>
  <c r="Z24" i="3"/>
  <c r="F8" i="8"/>
  <c r="R10" i="122"/>
  <c r="F24" i="3"/>
  <c r="F31" i="8"/>
  <c r="AN24" i="3"/>
  <c r="AF24" i="3"/>
  <c r="F48" i="8"/>
  <c r="H26" i="3"/>
  <c r="D10" i="8" s="1"/>
  <c r="P24" i="3"/>
  <c r="M14" i="97" s="1"/>
  <c r="D18" i="8"/>
  <c r="J24" i="3"/>
  <c r="G14" i="99" s="1"/>
  <c r="G16" i="99" s="1"/>
  <c r="D12" i="8"/>
  <c r="V24" i="3"/>
  <c r="D34" i="8"/>
  <c r="N56" i="3"/>
  <c r="N53" i="3" s="1"/>
  <c r="N51" i="3" s="1"/>
  <c r="AM56" i="3"/>
  <c r="AM53" i="3" s="1"/>
  <c r="AM51" i="3" s="1"/>
  <c r="AI56" i="3"/>
  <c r="AI53" i="3" s="1"/>
  <c r="AI51" i="3" s="1"/>
  <c r="J225" i="100"/>
  <c r="J227" i="100" s="1"/>
  <c r="J18" i="100"/>
  <c r="O56" i="3"/>
  <c r="O53" i="3" s="1"/>
  <c r="O51" i="3" s="1"/>
  <c r="R18" i="100"/>
  <c r="O46" i="3" s="1"/>
  <c r="O45" i="3" s="1"/>
  <c r="O27" i="3" s="1"/>
  <c r="O26" i="3" s="1"/>
  <c r="R225" i="100"/>
  <c r="D11" i="8"/>
  <c r="I24" i="3"/>
  <c r="AL46" i="3"/>
  <c r="AL45" i="3" s="1"/>
  <c r="AL27" i="3" s="1"/>
  <c r="AL26" i="3" s="1"/>
  <c r="K46" i="3"/>
  <c r="K45" i="3" s="1"/>
  <c r="K27" i="3" s="1"/>
  <c r="K26" i="3" s="1"/>
  <c r="AH46" i="3"/>
  <c r="AH45" i="3" s="1"/>
  <c r="AH27" i="3" s="1"/>
  <c r="AH26" i="3" s="1"/>
  <c r="G100" i="38"/>
  <c r="G92" i="38" s="1"/>
  <c r="G94" i="38"/>
  <c r="AE46" i="3"/>
  <c r="AE45" i="3" s="1"/>
  <c r="AE27" i="3" s="1"/>
  <c r="AE26" i="3" s="1"/>
  <c r="AO46" i="3"/>
  <c r="AO45" i="3" s="1"/>
  <c r="AO27" i="3" s="1"/>
  <c r="AO26" i="3" s="1"/>
  <c r="AO24" i="3" s="1"/>
  <c r="AB46" i="3"/>
  <c r="AB45" i="3" s="1"/>
  <c r="AB27" i="3" s="1"/>
  <c r="AB26" i="3" s="1"/>
  <c r="Y46" i="3"/>
  <c r="Y45" i="3" s="1"/>
  <c r="Y27" i="3" s="1"/>
  <c r="L46" i="3"/>
  <c r="L45" i="3" s="1"/>
  <c r="L27" i="3" s="1"/>
  <c r="L26" i="3" s="1"/>
  <c r="M46" i="3"/>
  <c r="M45" i="3" s="1"/>
  <c r="M27" i="3" s="1"/>
  <c r="M26" i="3" s="1"/>
  <c r="AJ46" i="3"/>
  <c r="AJ45" i="3" s="1"/>
  <c r="AJ27" i="3" s="1"/>
  <c r="AJ26" i="3" s="1"/>
  <c r="S23" i="100"/>
  <c r="AL24" i="3" l="1"/>
  <c r="D30" i="8"/>
  <c r="AP55" i="3"/>
  <c r="AP52" i="3" s="1"/>
  <c r="AP51" i="3" s="1"/>
  <c r="S14" i="140"/>
  <c r="S16" i="140" s="1"/>
  <c r="T14" i="97"/>
  <c r="T14" i="99"/>
  <c r="T16" i="99" s="1"/>
  <c r="T14" i="140"/>
  <c r="T16" i="140" s="1"/>
  <c r="T14" i="98"/>
  <c r="T16" i="98" s="1"/>
  <c r="R14" i="99"/>
  <c r="R16" i="99" s="1"/>
  <c r="R14" i="98"/>
  <c r="R16" i="98" s="1"/>
  <c r="R14" i="140"/>
  <c r="R16" i="140" s="1"/>
  <c r="R14" i="97"/>
  <c r="BB6" i="82"/>
  <c r="G8" i="8"/>
  <c r="BB26" i="82"/>
  <c r="G31" i="8"/>
  <c r="AD14" i="97"/>
  <c r="AD14" i="98"/>
  <c r="AD16" i="98" s="1"/>
  <c r="AD14" i="99"/>
  <c r="AD16" i="99" s="1"/>
  <c r="AD14" i="140"/>
  <c r="AD16" i="140" s="1"/>
  <c r="BB29" i="82"/>
  <c r="G36" i="8"/>
  <c r="X14" i="99"/>
  <c r="X16" i="99" s="1"/>
  <c r="X14" i="98"/>
  <c r="X16" i="98" s="1"/>
  <c r="X14" i="97"/>
  <c r="X16" i="97" s="1"/>
  <c r="X17" i="97" s="1"/>
  <c r="X14" i="140"/>
  <c r="X16" i="140" s="1"/>
  <c r="Q14" i="97"/>
  <c r="Q16" i="97" s="1"/>
  <c r="Q17" i="97" s="1"/>
  <c r="Q14" i="98"/>
  <c r="Q16" i="98" s="1"/>
  <c r="Q14" i="140"/>
  <c r="Q16" i="140" s="1"/>
  <c r="Q14" i="99"/>
  <c r="Q16" i="99" s="1"/>
  <c r="G28" i="8"/>
  <c r="BB24" i="82"/>
  <c r="BB38" i="82"/>
  <c r="G43" i="8"/>
  <c r="BB41" i="82"/>
  <c r="G46" i="8"/>
  <c r="U14" i="99"/>
  <c r="U16" i="99" s="1"/>
  <c r="U14" i="140"/>
  <c r="U16" i="140" s="1"/>
  <c r="U14" i="97"/>
  <c r="U14" i="98"/>
  <c r="U16" i="98" s="1"/>
  <c r="BB43" i="82"/>
  <c r="G48" i="8"/>
  <c r="R9" i="122"/>
  <c r="C14" i="140"/>
  <c r="C16" i="140" s="1"/>
  <c r="C14" i="97"/>
  <c r="C14" i="99"/>
  <c r="C16" i="99" s="1"/>
  <c r="C14" i="98"/>
  <c r="C16" i="98" s="1"/>
  <c r="BB33" i="82"/>
  <c r="G41" i="8"/>
  <c r="BB22" i="82"/>
  <c r="G24" i="8"/>
  <c r="AA14" i="140"/>
  <c r="AA16" i="140" s="1"/>
  <c r="AA14" i="97"/>
  <c r="AA16" i="97" s="1"/>
  <c r="AA17" i="97" s="1"/>
  <c r="AA14" i="98"/>
  <c r="AA16" i="98" s="1"/>
  <c r="AA14" i="99"/>
  <c r="AA16" i="99" s="1"/>
  <c r="BB31" i="82"/>
  <c r="G39" i="8"/>
  <c r="X7" i="167"/>
  <c r="Q55" i="3"/>
  <c r="Q52" i="3" s="1"/>
  <c r="Q51" i="3" s="1"/>
  <c r="S225" i="100"/>
  <c r="S18" i="100"/>
  <c r="AP46" i="3" s="1"/>
  <c r="AP45" i="3" s="1"/>
  <c r="AP27" i="3" s="1"/>
  <c r="AP26" i="3" s="1"/>
  <c r="AP24" i="3" s="1"/>
  <c r="AM14" i="97" s="1"/>
  <c r="AM16" i="97" s="1"/>
  <c r="AM17" i="97" s="1"/>
  <c r="Y26" i="3"/>
  <c r="Y24" i="3" s="1"/>
  <c r="V14" i="98" s="1"/>
  <c r="V16" i="98" s="1"/>
  <c r="H24" i="3"/>
  <c r="E14" i="140" s="1"/>
  <c r="E16" i="140" s="1"/>
  <c r="Z7" i="167"/>
  <c r="M14" i="99"/>
  <c r="M16" i="99" s="1"/>
  <c r="M14" i="140"/>
  <c r="M16" i="140" s="1"/>
  <c r="M14" i="98"/>
  <c r="M16" i="98" s="1"/>
  <c r="S14" i="98"/>
  <c r="S16" i="98" s="1"/>
  <c r="G14" i="98"/>
  <c r="G16" i="98" s="1"/>
  <c r="S14" i="99"/>
  <c r="S16" i="99" s="1"/>
  <c r="G14" i="97"/>
  <c r="G16" i="97" s="1"/>
  <c r="G17" i="97" s="1"/>
  <c r="I34" i="8"/>
  <c r="BE37" i="82" s="1"/>
  <c r="E34" i="8"/>
  <c r="BA37" i="82" s="1"/>
  <c r="T34" i="8"/>
  <c r="O34" i="8"/>
  <c r="K34" i="8"/>
  <c r="N34" i="8"/>
  <c r="P34" i="8"/>
  <c r="F34" i="8"/>
  <c r="BB37" i="82" s="1"/>
  <c r="AZ37" i="82"/>
  <c r="M34" i="8"/>
  <c r="L34" i="8"/>
  <c r="P12" i="8"/>
  <c r="T12" i="8"/>
  <c r="F12" i="8"/>
  <c r="BB10" i="82" s="1"/>
  <c r="E12" i="8"/>
  <c r="BA10" i="82" s="1"/>
  <c r="AZ10" i="82"/>
  <c r="N12" i="8"/>
  <c r="L12" i="8"/>
  <c r="O12" i="8"/>
  <c r="I12" i="8"/>
  <c r="BE10" i="82" s="1"/>
  <c r="M12" i="8"/>
  <c r="K12" i="8"/>
  <c r="AJ24" i="3"/>
  <c r="AH14" i="99" s="1"/>
  <c r="AH16" i="99" s="1"/>
  <c r="D27" i="8"/>
  <c r="L24" i="3"/>
  <c r="I14" i="98" s="1"/>
  <c r="I16" i="98" s="1"/>
  <c r="D14" i="8"/>
  <c r="AE24" i="3"/>
  <c r="AB14" i="97" s="1"/>
  <c r="AB16" i="97" s="1"/>
  <c r="AB17" i="97" s="1"/>
  <c r="D47" i="8"/>
  <c r="M24" i="3"/>
  <c r="J14" i="97" s="1"/>
  <c r="D15" i="8"/>
  <c r="S14" i="97"/>
  <c r="S16" i="97" s="1"/>
  <c r="S17" i="97" s="1"/>
  <c r="G14" i="140"/>
  <c r="G16" i="140" s="1"/>
  <c r="I18" i="8"/>
  <c r="BE16" i="82" s="1"/>
  <c r="N18" i="8"/>
  <c r="P18" i="8"/>
  <c r="L18" i="8"/>
  <c r="T18" i="8"/>
  <c r="O18" i="8"/>
  <c r="M18" i="8"/>
  <c r="AZ16" i="82"/>
  <c r="F18" i="8"/>
  <c r="BB16" i="82" s="1"/>
  <c r="E18" i="8"/>
  <c r="BA16" i="82" s="1"/>
  <c r="K18" i="8"/>
  <c r="AB24" i="3"/>
  <c r="D44" i="8"/>
  <c r="AL14" i="98"/>
  <c r="AL16" i="98" s="1"/>
  <c r="AL14" i="99"/>
  <c r="AL16" i="99" s="1"/>
  <c r="AL14" i="140"/>
  <c r="AL16" i="140" s="1"/>
  <c r="AL14" i="97"/>
  <c r="AL16" i="97" s="1"/>
  <c r="AL17" i="97" s="1"/>
  <c r="M10" i="8"/>
  <c r="K10" i="8"/>
  <c r="AZ8" i="82"/>
  <c r="O10" i="8"/>
  <c r="T10" i="8"/>
  <c r="L10" i="8"/>
  <c r="P10" i="8"/>
  <c r="N10" i="8"/>
  <c r="F10" i="8"/>
  <c r="BB8" i="82" s="1"/>
  <c r="E10" i="8"/>
  <c r="BA8" i="82" s="1"/>
  <c r="I10" i="8"/>
  <c r="BE8" i="82" s="1"/>
  <c r="J269" i="100"/>
  <c r="J277" i="100" s="1"/>
  <c r="J298" i="100" s="1"/>
  <c r="J270" i="100"/>
  <c r="J278" i="100" s="1"/>
  <c r="J299" i="100" s="1"/>
  <c r="J273" i="100"/>
  <c r="J281" i="100" s="1"/>
  <c r="J302" i="100" s="1"/>
  <c r="J268" i="100"/>
  <c r="J276" i="100" s="1"/>
  <c r="J297" i="100" s="1"/>
  <c r="J271" i="100"/>
  <c r="J279" i="100" s="1"/>
  <c r="J300" i="100" s="1"/>
  <c r="J272" i="100"/>
  <c r="J280" i="100" s="1"/>
  <c r="J301" i="100" s="1"/>
  <c r="D13" i="8"/>
  <c r="K24" i="3"/>
  <c r="D17" i="8"/>
  <c r="O24" i="3"/>
  <c r="AI14" i="97"/>
  <c r="AI14" i="99"/>
  <c r="AI16" i="99" s="1"/>
  <c r="AI14" i="140"/>
  <c r="AI16" i="140" s="1"/>
  <c r="AI14" i="98"/>
  <c r="AI16" i="98" s="1"/>
  <c r="F14" i="140"/>
  <c r="F16" i="140" s="1"/>
  <c r="F14" i="99"/>
  <c r="F16" i="99" s="1"/>
  <c r="F14" i="98"/>
  <c r="F16" i="98" s="1"/>
  <c r="F14" i="97"/>
  <c r="F16" i="97" s="1"/>
  <c r="F17" i="97" s="1"/>
  <c r="D26" i="8"/>
  <c r="AH24" i="3"/>
  <c r="M19" i="97"/>
  <c r="M16" i="97"/>
  <c r="M17" i="97" s="1"/>
  <c r="M11" i="8"/>
  <c r="N11" i="8"/>
  <c r="K11" i="8"/>
  <c r="L11" i="8"/>
  <c r="I11" i="8"/>
  <c r="BE9" i="82" s="1"/>
  <c r="P11" i="8"/>
  <c r="F11" i="8"/>
  <c r="BB9" i="82" s="1"/>
  <c r="T11" i="8"/>
  <c r="AZ9" i="82"/>
  <c r="E11" i="8"/>
  <c r="BA9" i="82" s="1"/>
  <c r="O11" i="8"/>
  <c r="N46" i="3"/>
  <c r="N45" i="3" s="1"/>
  <c r="N27" i="3" s="1"/>
  <c r="N26" i="3" s="1"/>
  <c r="AI46" i="3"/>
  <c r="AI45" i="3" s="1"/>
  <c r="AI27" i="3" s="1"/>
  <c r="AI26" i="3" s="1"/>
  <c r="AM46" i="3"/>
  <c r="AM45" i="3" s="1"/>
  <c r="AM27" i="3" s="1"/>
  <c r="AM26" i="3" s="1"/>
  <c r="T30" i="8" l="1"/>
  <c r="E30" i="8"/>
  <c r="L30" i="8"/>
  <c r="P30" i="8"/>
  <c r="I30" i="8"/>
  <c r="O30" i="8"/>
  <c r="N30" i="8"/>
  <c r="K30" i="8"/>
  <c r="F30" i="8"/>
  <c r="M30" i="8"/>
  <c r="M48" i="178"/>
  <c r="AM14" i="98"/>
  <c r="AM16" i="98" s="1"/>
  <c r="AM14" i="99"/>
  <c r="AM16" i="99" s="1"/>
  <c r="AM14" i="140"/>
  <c r="AM16" i="140" s="1"/>
  <c r="Q46" i="3"/>
  <c r="Q45" i="3" s="1"/>
  <c r="Q27" i="3" s="1"/>
  <c r="Q26" i="3" s="1"/>
  <c r="W14" i="99"/>
  <c r="W16" i="99" s="1"/>
  <c r="AH14" i="97"/>
  <c r="AH19" i="97" s="1"/>
  <c r="AC14" i="99"/>
  <c r="AC16" i="99" s="1"/>
  <c r="AH14" i="140"/>
  <c r="AH16" i="140" s="1"/>
  <c r="AC14" i="98"/>
  <c r="AC16" i="98" s="1"/>
  <c r="W14" i="97"/>
  <c r="W16" i="97" s="1"/>
  <c r="W17" i="97" s="1"/>
  <c r="AC14" i="140"/>
  <c r="AC16" i="140" s="1"/>
  <c r="W14" i="98"/>
  <c r="W16" i="98" s="1"/>
  <c r="T19" i="97"/>
  <c r="T16" i="97"/>
  <c r="T17" i="97" s="1"/>
  <c r="Y14" i="99"/>
  <c r="Y16" i="99" s="1"/>
  <c r="Z14" i="97"/>
  <c r="Z16" i="97" s="1"/>
  <c r="Z17" i="97" s="1"/>
  <c r="Z14" i="98"/>
  <c r="Z16" i="98" s="1"/>
  <c r="Z14" i="99"/>
  <c r="Z16" i="99" s="1"/>
  <c r="Z14" i="140"/>
  <c r="Z16" i="140" s="1"/>
  <c r="AH14" i="98"/>
  <c r="AH16" i="98" s="1"/>
  <c r="AC14" i="97"/>
  <c r="AC16" i="97" s="1"/>
  <c r="AC17" i="97" s="1"/>
  <c r="W14" i="140"/>
  <c r="W16" i="140" s="1"/>
  <c r="R16" i="97"/>
  <c r="R17" i="97" s="1"/>
  <c r="R19" i="97"/>
  <c r="C16" i="97"/>
  <c r="C17" i="97" s="1"/>
  <c r="C19" i="97"/>
  <c r="AD16" i="97"/>
  <c r="AD17" i="97" s="1"/>
  <c r="AD19" i="97"/>
  <c r="U16" i="97"/>
  <c r="U17" i="97" s="1"/>
  <c r="U19" i="97"/>
  <c r="G19" i="97"/>
  <c r="D19" i="8"/>
  <c r="D40" i="8"/>
  <c r="F40" i="8" s="1"/>
  <c r="BB32" i="82" s="1"/>
  <c r="W7" i="167"/>
  <c r="E14" i="97"/>
  <c r="E16" i="97" s="1"/>
  <c r="E14" i="99"/>
  <c r="E16" i="99" s="1"/>
  <c r="E14" i="98"/>
  <c r="E16" i="98" s="1"/>
  <c r="AB14" i="99"/>
  <c r="AB16" i="99" s="1"/>
  <c r="AB14" i="140"/>
  <c r="AB16" i="140" s="1"/>
  <c r="R18" i="8"/>
  <c r="BH16" i="82" s="1"/>
  <c r="R12" i="8"/>
  <c r="BH10" i="82" s="1"/>
  <c r="R34" i="8"/>
  <c r="BH37" i="82" s="1"/>
  <c r="I14" i="97"/>
  <c r="I16" i="97" s="1"/>
  <c r="I17" i="97" s="1"/>
  <c r="J14" i="99"/>
  <c r="J16" i="99" s="1"/>
  <c r="V14" i="97"/>
  <c r="V16" i="97" s="1"/>
  <c r="V17" i="97" s="1"/>
  <c r="V14" i="99"/>
  <c r="V16" i="99" s="1"/>
  <c r="R11" i="8"/>
  <c r="BH9" i="82" s="1"/>
  <c r="V14" i="140"/>
  <c r="V16" i="140" s="1"/>
  <c r="J14" i="98"/>
  <c r="J16" i="98" s="1"/>
  <c r="I14" i="140"/>
  <c r="I16" i="140" s="1"/>
  <c r="G18" i="8"/>
  <c r="Y14" i="98"/>
  <c r="Y16" i="98" s="1"/>
  <c r="J14" i="140"/>
  <c r="J16" i="140" s="1"/>
  <c r="I14" i="99"/>
  <c r="I16" i="99" s="1"/>
  <c r="G11" i="8"/>
  <c r="Y14" i="97"/>
  <c r="Y16" i="97" s="1"/>
  <c r="Y17" i="97" s="1"/>
  <c r="O47" i="8"/>
  <c r="N47" i="8"/>
  <c r="I47" i="8"/>
  <c r="BE42" i="82" s="1"/>
  <c r="K47" i="8"/>
  <c r="T47" i="8"/>
  <c r="AZ42" i="82"/>
  <c r="F47" i="8"/>
  <c r="BB42" i="82" s="1"/>
  <c r="M47" i="8"/>
  <c r="P47" i="8"/>
  <c r="L47" i="8"/>
  <c r="E47" i="8"/>
  <c r="BA42" i="82" s="1"/>
  <c r="R10" i="8"/>
  <c r="BH8" i="82" s="1"/>
  <c r="M15" i="8"/>
  <c r="L15" i="8"/>
  <c r="F15" i="8"/>
  <c r="BB13" i="82" s="1"/>
  <c r="O15" i="8"/>
  <c r="AZ13" i="82"/>
  <c r="E15" i="8"/>
  <c r="BA13" i="82" s="1"/>
  <c r="K15" i="8"/>
  <c r="T15" i="8"/>
  <c r="I15" i="8"/>
  <c r="BE13" i="82" s="1"/>
  <c r="P15" i="8"/>
  <c r="N15" i="8"/>
  <c r="T14" i="8"/>
  <c r="P14" i="8"/>
  <c r="M14" i="8"/>
  <c r="AZ12" i="82"/>
  <c r="K14" i="8"/>
  <c r="L14" i="8"/>
  <c r="N14" i="8"/>
  <c r="F14" i="8"/>
  <c r="BB12" i="82" s="1"/>
  <c r="E14" i="8"/>
  <c r="BA12" i="82" s="1"/>
  <c r="I14" i="8"/>
  <c r="BE12" i="82" s="1"/>
  <c r="O14" i="8"/>
  <c r="G34" i="8"/>
  <c r="E44" i="8"/>
  <c r="BA39" i="82" s="1"/>
  <c r="T44" i="8"/>
  <c r="O44" i="8"/>
  <c r="I44" i="8"/>
  <c r="BE39" i="82" s="1"/>
  <c r="M44" i="8"/>
  <c r="K44" i="8"/>
  <c r="N44" i="8"/>
  <c r="L44" i="8"/>
  <c r="AZ39" i="82"/>
  <c r="F44" i="8"/>
  <c r="BB39" i="82" s="1"/>
  <c r="P44" i="8"/>
  <c r="N27" i="8"/>
  <c r="M27" i="8"/>
  <c r="O27" i="8"/>
  <c r="F27" i="8"/>
  <c r="I27" i="8"/>
  <c r="L27" i="8"/>
  <c r="T27" i="8"/>
  <c r="P27" i="8"/>
  <c r="K27" i="8"/>
  <c r="E27" i="8"/>
  <c r="Y14" i="140"/>
  <c r="Y16" i="140" s="1"/>
  <c r="AB14" i="98"/>
  <c r="AB16" i="98" s="1"/>
  <c r="G12" i="8"/>
  <c r="H14" i="99"/>
  <c r="H16" i="99" s="1"/>
  <c r="H14" i="98"/>
  <c r="H16" i="98" s="1"/>
  <c r="H14" i="140"/>
  <c r="H16" i="140" s="1"/>
  <c r="H14" i="97"/>
  <c r="H16" i="97" s="1"/>
  <c r="H17" i="97" s="1"/>
  <c r="D29" i="8"/>
  <c r="J16" i="97"/>
  <c r="J17" i="97" s="1"/>
  <c r="J19" i="97"/>
  <c r="L26" i="8"/>
  <c r="P26" i="8"/>
  <c r="K26" i="8"/>
  <c r="O26" i="8"/>
  <c r="T26" i="8"/>
  <c r="N26" i="8"/>
  <c r="E26" i="8"/>
  <c r="F26" i="8"/>
  <c r="I26" i="8"/>
  <c r="M26" i="8"/>
  <c r="AZ15" i="82"/>
  <c r="P17" i="8"/>
  <c r="O17" i="8"/>
  <c r="M17" i="8"/>
  <c r="K17" i="8"/>
  <c r="T17" i="8"/>
  <c r="N17" i="8"/>
  <c r="L17" i="8"/>
  <c r="F17" i="8"/>
  <c r="BB15" i="82" s="1"/>
  <c r="E17" i="8"/>
  <c r="BA15" i="82" s="1"/>
  <c r="I17" i="8"/>
  <c r="BE15" i="82" s="1"/>
  <c r="AM94" i="3"/>
  <c r="AM144" i="3" s="1"/>
  <c r="AM175" i="3" s="1"/>
  <c r="AM185" i="3" s="1"/>
  <c r="AM206" i="3" s="1"/>
  <c r="N94" i="3"/>
  <c r="N144" i="3" s="1"/>
  <c r="N175" i="3" s="1"/>
  <c r="N185" i="3" s="1"/>
  <c r="N206" i="3" s="1"/>
  <c r="AI94" i="3"/>
  <c r="AI144" i="3" s="1"/>
  <c r="AI175" i="3" s="1"/>
  <c r="AI185" i="3" s="1"/>
  <c r="AI206" i="3" s="1"/>
  <c r="N92" i="3"/>
  <c r="N142" i="3" s="1"/>
  <c r="N173" i="3" s="1"/>
  <c r="N183" i="3" s="1"/>
  <c r="N204" i="3" s="1"/>
  <c r="AI92" i="3"/>
  <c r="AI142" i="3" s="1"/>
  <c r="AI173" i="3" s="1"/>
  <c r="AI183" i="3" s="1"/>
  <c r="AI204" i="3" s="1"/>
  <c r="AM92" i="3"/>
  <c r="AM142" i="3" s="1"/>
  <c r="AM173" i="3" s="1"/>
  <c r="AM183" i="3" s="1"/>
  <c r="AM204" i="3" s="1"/>
  <c r="D25" i="8"/>
  <c r="AI91" i="3"/>
  <c r="AI141" i="3" s="1"/>
  <c r="AI172" i="3" s="1"/>
  <c r="AI182" i="3" s="1"/>
  <c r="AM91" i="3"/>
  <c r="AM141" i="3" s="1"/>
  <c r="AM172" i="3" s="1"/>
  <c r="AM182" i="3" s="1"/>
  <c r="N91" i="3"/>
  <c r="N141" i="3" s="1"/>
  <c r="N172" i="3" s="1"/>
  <c r="N182" i="3" s="1"/>
  <c r="D16" i="8"/>
  <c r="AI16" i="97"/>
  <c r="AI17" i="97" s="1"/>
  <c r="AI19" i="97"/>
  <c r="AZ11" i="82"/>
  <c r="K13" i="8"/>
  <c r="N13" i="8"/>
  <c r="L13" i="8"/>
  <c r="M13" i="8"/>
  <c r="P13" i="8"/>
  <c r="O13" i="8"/>
  <c r="T13" i="8"/>
  <c r="I13" i="8"/>
  <c r="BE11" i="82" s="1"/>
  <c r="E13" i="8"/>
  <c r="BA11" i="82" s="1"/>
  <c r="F13" i="8"/>
  <c r="BB11" i="82" s="1"/>
  <c r="AM96" i="3"/>
  <c r="AM146" i="3" s="1"/>
  <c r="AM177" i="3" s="1"/>
  <c r="AM187" i="3" s="1"/>
  <c r="AM208" i="3" s="1"/>
  <c r="N96" i="3"/>
  <c r="N146" i="3" s="1"/>
  <c r="N177" i="3" s="1"/>
  <c r="N187" i="3" s="1"/>
  <c r="N208" i="3" s="1"/>
  <c r="AI96" i="3"/>
  <c r="AI146" i="3" s="1"/>
  <c r="AI177" i="3" s="1"/>
  <c r="AI187" i="3" s="1"/>
  <c r="AI208" i="3" s="1"/>
  <c r="AE14" i="97"/>
  <c r="AE16" i="97" s="1"/>
  <c r="AE17" i="97" s="1"/>
  <c r="AE14" i="98"/>
  <c r="AE16" i="98" s="1"/>
  <c r="AE14" i="140"/>
  <c r="AE16" i="140" s="1"/>
  <c r="AE14" i="99"/>
  <c r="AE16" i="99" s="1"/>
  <c r="L14" i="99"/>
  <c r="L16" i="99" s="1"/>
  <c r="L14" i="98"/>
  <c r="L16" i="98" s="1"/>
  <c r="L14" i="140"/>
  <c r="L16" i="140" s="1"/>
  <c r="L14" i="97"/>
  <c r="N95" i="3"/>
  <c r="N145" i="3" s="1"/>
  <c r="N176" i="3" s="1"/>
  <c r="N186" i="3" s="1"/>
  <c r="N207" i="3" s="1"/>
  <c r="AM95" i="3"/>
  <c r="AM145" i="3" s="1"/>
  <c r="AM176" i="3" s="1"/>
  <c r="AM186" i="3" s="1"/>
  <c r="AM207" i="3" s="1"/>
  <c r="AI95" i="3"/>
  <c r="AI145" i="3" s="1"/>
  <c r="AI176" i="3" s="1"/>
  <c r="AI186" i="3" s="1"/>
  <c r="AI207" i="3" s="1"/>
  <c r="AI93" i="3"/>
  <c r="AI143" i="3" s="1"/>
  <c r="AI174" i="3" s="1"/>
  <c r="AI184" i="3" s="1"/>
  <c r="AI205" i="3" s="1"/>
  <c r="AM93" i="3"/>
  <c r="AM143" i="3" s="1"/>
  <c r="AM174" i="3" s="1"/>
  <c r="AM184" i="3" s="1"/>
  <c r="AM205" i="3" s="1"/>
  <c r="N93" i="3"/>
  <c r="N143" i="3" s="1"/>
  <c r="N174" i="3" s="1"/>
  <c r="N184" i="3" s="1"/>
  <c r="N205" i="3" s="1"/>
  <c r="G10" i="8"/>
  <c r="R30" i="8" l="1"/>
  <c r="G30" i="8"/>
  <c r="Q24" i="3"/>
  <c r="AA7" i="167" s="1"/>
  <c r="D20" i="8"/>
  <c r="O14" i="99"/>
  <c r="O16" i="99" s="1"/>
  <c r="O14" i="97"/>
  <c r="O14" i="98"/>
  <c r="O16" i="98" s="1"/>
  <c r="O14" i="140"/>
  <c r="O16" i="140" s="1"/>
  <c r="AH16" i="97"/>
  <c r="AH17" i="97" s="1"/>
  <c r="O19" i="8"/>
  <c r="N19" i="8"/>
  <c r="K19" i="8"/>
  <c r="P19" i="8"/>
  <c r="L19" i="8"/>
  <c r="M19" i="8"/>
  <c r="F19" i="8"/>
  <c r="BB17" i="82" s="1"/>
  <c r="AZ17" i="82"/>
  <c r="I19" i="8"/>
  <c r="BE17" i="82" s="1"/>
  <c r="T19" i="8"/>
  <c r="E19" i="8"/>
  <c r="T40" i="8"/>
  <c r="N40" i="8"/>
  <c r="E40" i="8"/>
  <c r="BA32" i="82" s="1"/>
  <c r="I40" i="8"/>
  <c r="BE32" i="82" s="1"/>
  <c r="M40" i="8"/>
  <c r="O40" i="8"/>
  <c r="L40" i="8"/>
  <c r="P40" i="8"/>
  <c r="K40" i="8"/>
  <c r="AZ32" i="82"/>
  <c r="E19" i="97"/>
  <c r="I19" i="97"/>
  <c r="V19" i="97"/>
  <c r="R44" i="8"/>
  <c r="BH39" i="82" s="1"/>
  <c r="R27" i="8"/>
  <c r="G27" i="8"/>
  <c r="R14" i="8"/>
  <c r="BH12" i="82" s="1"/>
  <c r="R47" i="8"/>
  <c r="BH42" i="82" s="1"/>
  <c r="R17" i="8"/>
  <c r="BH15" i="82" s="1"/>
  <c r="G14" i="8"/>
  <c r="R15" i="8"/>
  <c r="BH13" i="82" s="1"/>
  <c r="R13" i="8"/>
  <c r="BH11" i="82" s="1"/>
  <c r="N223" i="3"/>
  <c r="G15" i="8"/>
  <c r="G47" i="8"/>
  <c r="G26" i="8"/>
  <c r="R26" i="8"/>
  <c r="G44" i="8"/>
  <c r="AM188" i="3"/>
  <c r="AM203" i="3"/>
  <c r="AI203" i="3"/>
  <c r="AI188" i="3"/>
  <c r="AM223" i="3"/>
  <c r="N25" i="8"/>
  <c r="M25" i="8"/>
  <c r="T25" i="8"/>
  <c r="L25" i="8"/>
  <c r="P25" i="8"/>
  <c r="K25" i="8"/>
  <c r="O25" i="8"/>
  <c r="AZ23" i="82"/>
  <c r="I25" i="8"/>
  <c r="BE23" i="82" s="1"/>
  <c r="E25" i="8"/>
  <c r="BA23" i="82" s="1"/>
  <c r="O29" i="8"/>
  <c r="T29" i="8"/>
  <c r="N29" i="8"/>
  <c r="L29" i="8"/>
  <c r="K29" i="8"/>
  <c r="AZ25" i="82"/>
  <c r="M29" i="8"/>
  <c r="P29" i="8"/>
  <c r="E29" i="8"/>
  <c r="BA25" i="82" s="1"/>
  <c r="I29" i="8"/>
  <c r="BE25" i="82" s="1"/>
  <c r="G13" i="8"/>
  <c r="P16" i="8"/>
  <c r="T16" i="8"/>
  <c r="M16" i="8"/>
  <c r="AZ14" i="82"/>
  <c r="L16" i="8"/>
  <c r="K16" i="8"/>
  <c r="N16" i="8"/>
  <c r="O16" i="8"/>
  <c r="E16" i="8"/>
  <c r="BA14" i="82" s="1"/>
  <c r="I16" i="8"/>
  <c r="BE14" i="82" s="1"/>
  <c r="L19" i="97"/>
  <c r="L16" i="97"/>
  <c r="L17" i="97" s="1"/>
  <c r="N203" i="3"/>
  <c r="N188" i="3"/>
  <c r="AI223" i="3"/>
  <c r="G17" i="8"/>
  <c r="E17" i="97"/>
  <c r="N14" i="97" l="1"/>
  <c r="N16" i="97" s="1"/>
  <c r="N17" i="97" s="1"/>
  <c r="N14" i="140"/>
  <c r="N16" i="140" s="1"/>
  <c r="N14" i="98"/>
  <c r="N16" i="98" s="1"/>
  <c r="N14" i="99"/>
  <c r="N16" i="99" s="1"/>
  <c r="T20" i="8"/>
  <c r="F20" i="8"/>
  <c r="M20" i="8"/>
  <c r="E20" i="8"/>
  <c r="L20" i="8"/>
  <c r="I20" i="8"/>
  <c r="K20" i="8"/>
  <c r="P20" i="8"/>
  <c r="N20" i="8"/>
  <c r="O20" i="8"/>
  <c r="O19" i="97"/>
  <c r="O16" i="97"/>
  <c r="O17" i="97" s="1"/>
  <c r="BU14" i="98"/>
  <c r="BU16" i="98" s="1"/>
  <c r="BU14" i="99"/>
  <c r="BU16" i="99" s="1"/>
  <c r="BU14" i="97"/>
  <c r="BU16" i="97" s="1"/>
  <c r="BU17" i="97" s="1"/>
  <c r="BU14" i="140"/>
  <c r="BU16" i="140" s="1"/>
  <c r="BY14" i="99"/>
  <c r="BY16" i="99" s="1"/>
  <c r="BY14" i="97"/>
  <c r="BY14" i="98"/>
  <c r="BY16" i="98" s="1"/>
  <c r="BY14" i="140"/>
  <c r="BY16" i="140" s="1"/>
  <c r="R19" i="8"/>
  <c r="BH17" i="82" s="1"/>
  <c r="BA17" i="82"/>
  <c r="G19" i="8"/>
  <c r="G40" i="8"/>
  <c r="R40" i="8"/>
  <c r="BH32" i="82" s="1"/>
  <c r="R29" i="8"/>
  <c r="BH25" i="82" s="1"/>
  <c r="R16" i="8"/>
  <c r="BH14" i="82" s="1"/>
  <c r="R25" i="8"/>
  <c r="BH23" i="82" s="1"/>
  <c r="AY14" i="140"/>
  <c r="AY16" i="140" s="1"/>
  <c r="AY14" i="97"/>
  <c r="AY14" i="98"/>
  <c r="AY16" i="98" s="1"/>
  <c r="AY14" i="99"/>
  <c r="AY16" i="99" s="1"/>
  <c r="BX14" i="99"/>
  <c r="BX16" i="99" s="1"/>
  <c r="BX14" i="97"/>
  <c r="BX14" i="98"/>
  <c r="BX16" i="98" s="1"/>
  <c r="BX14" i="140"/>
  <c r="BX16" i="140" s="1"/>
  <c r="N210" i="3"/>
  <c r="N222" i="3"/>
  <c r="AM210" i="3"/>
  <c r="AM222" i="3"/>
  <c r="BT14" i="99"/>
  <c r="BT16" i="99" s="1"/>
  <c r="BT14" i="98"/>
  <c r="BT16" i="98" s="1"/>
  <c r="BT14" i="97"/>
  <c r="BT16" i="97" s="1"/>
  <c r="BT17" i="97" s="1"/>
  <c r="BT14" i="140"/>
  <c r="BT16" i="140" s="1"/>
  <c r="AI222" i="3"/>
  <c r="AI210" i="3"/>
  <c r="G20" i="8" l="1"/>
  <c r="R20" i="8"/>
  <c r="N19" i="97"/>
  <c r="BY16" i="97"/>
  <c r="BY17" i="97" s="1"/>
  <c r="BY19" i="97"/>
  <c r="D5" i="98"/>
  <c r="AM25" i="3"/>
  <c r="AM221" i="3"/>
  <c r="D5" i="99"/>
  <c r="AI221" i="3"/>
  <c r="AI25" i="3"/>
  <c r="BX19" i="97"/>
  <c r="BX16" i="97"/>
  <c r="BX17" i="97" s="1"/>
  <c r="AY19" i="97"/>
  <c r="AY16" i="97"/>
  <c r="N25" i="3"/>
  <c r="N221" i="3"/>
  <c r="D5" i="140"/>
  <c r="N24" i="3" l="1"/>
  <c r="F16" i="8"/>
  <c r="AY17" i="97"/>
  <c r="D5" i="97"/>
  <c r="AI24" i="3"/>
  <c r="F25" i="8"/>
  <c r="AM24" i="3"/>
  <c r="F29" i="8"/>
  <c r="AK14" i="98" l="1"/>
  <c r="AK16" i="98" s="1"/>
  <c r="AK14" i="140"/>
  <c r="AK16" i="140" s="1"/>
  <c r="AK14" i="97"/>
  <c r="AK14" i="99"/>
  <c r="AK16" i="99" s="1"/>
  <c r="AG14" i="97"/>
  <c r="AG16" i="97" s="1"/>
  <c r="AG17" i="97" s="1"/>
  <c r="AG14" i="140"/>
  <c r="AG16" i="140" s="1"/>
  <c r="AG14" i="98"/>
  <c r="AG16" i="98" s="1"/>
  <c r="AG14" i="99"/>
  <c r="AG16" i="99" s="1"/>
  <c r="BB23" i="82"/>
  <c r="G25" i="8"/>
  <c r="BB14" i="82"/>
  <c r="G16" i="8"/>
  <c r="AF14" i="99"/>
  <c r="AF16" i="99" s="1"/>
  <c r="AF14" i="98"/>
  <c r="AF16" i="98" s="1"/>
  <c r="AF14" i="140"/>
  <c r="AF16" i="140" s="1"/>
  <c r="AF14" i="97"/>
  <c r="AF16" i="97" s="1"/>
  <c r="AF17" i="97" s="1"/>
  <c r="Y7" i="167"/>
  <c r="K14" i="97"/>
  <c r="K14" i="98"/>
  <c r="K16" i="98" s="1"/>
  <c r="K14" i="140"/>
  <c r="K16" i="140" s="1"/>
  <c r="K14" i="99"/>
  <c r="K16" i="99" s="1"/>
  <c r="AJ14" i="97"/>
  <c r="AJ14" i="140"/>
  <c r="AJ16" i="140" s="1"/>
  <c r="AJ14" i="99"/>
  <c r="AJ16" i="99" s="1"/>
  <c r="AJ14" i="98"/>
  <c r="AJ16" i="98" s="1"/>
  <c r="BB25" i="82"/>
  <c r="G29" i="8"/>
  <c r="N1" i="99"/>
  <c r="N2" i="99" s="1"/>
  <c r="N1" i="140"/>
  <c r="N2" i="140" s="1"/>
  <c r="N1" i="98"/>
  <c r="N2" i="98" s="1"/>
  <c r="N1" i="97"/>
  <c r="R1" i="191" l="1"/>
  <c r="R2" i="191" s="1"/>
  <c r="AK19" i="97"/>
  <c r="AK16" i="97"/>
  <c r="AK17" i="97" s="1"/>
  <c r="D4" i="140"/>
  <c r="D6" i="140" s="1"/>
  <c r="D4" i="98"/>
  <c r="D6" i="98" s="1"/>
  <c r="AJ19" i="97"/>
  <c r="AJ16" i="97"/>
  <c r="AJ17" i="97" s="1"/>
  <c r="K19" i="97"/>
  <c r="K16" i="97"/>
  <c r="J1" i="167"/>
  <c r="Q1" i="82"/>
  <c r="R1" i="168"/>
  <c r="Q1" i="8"/>
  <c r="R1" i="101"/>
  <c r="R1" i="108"/>
  <c r="R1" i="3"/>
  <c r="R1" i="170"/>
  <c r="R1" i="169"/>
  <c r="R1" i="14"/>
  <c r="R1" i="157"/>
  <c r="R2" i="157" s="1"/>
  <c r="R1" i="175"/>
  <c r="R2" i="175" s="1"/>
  <c r="R1" i="28"/>
  <c r="R2" i="28" s="1"/>
  <c r="R1" i="7"/>
  <c r="R1" i="76"/>
  <c r="R1" i="171"/>
  <c r="R1" i="33"/>
  <c r="R2" i="33" s="1"/>
  <c r="R1" i="147"/>
  <c r="R2" i="147" s="1"/>
  <c r="R1" i="151"/>
  <c r="R2" i="151" s="1"/>
  <c r="R1" i="156"/>
  <c r="R2" i="156" s="1"/>
  <c r="R1" i="176"/>
  <c r="R2" i="176" s="1"/>
  <c r="R1" i="150"/>
  <c r="R2" i="150" s="1"/>
  <c r="R1" i="143"/>
  <c r="R2" i="143" s="1"/>
  <c r="R1" i="22"/>
  <c r="R2" i="22" s="1"/>
  <c r="R1" i="154"/>
  <c r="R2" i="154" s="1"/>
  <c r="R1" i="180"/>
  <c r="R2" i="180" s="1"/>
  <c r="R1" i="148"/>
  <c r="R2" i="148" s="1"/>
  <c r="R1" i="103"/>
  <c r="R2" i="103" s="1"/>
  <c r="R1" i="158"/>
  <c r="R2" i="158" s="1"/>
  <c r="R1" i="32"/>
  <c r="R2" i="32" s="1"/>
  <c r="R1" i="181"/>
  <c r="R2" i="181" s="1"/>
  <c r="R1" i="149"/>
  <c r="R2" i="149" s="1"/>
  <c r="R1" i="146"/>
  <c r="R2" i="146" s="1"/>
  <c r="R1" i="161"/>
  <c r="R2" i="161" s="1"/>
  <c r="R1" i="174"/>
  <c r="R2" i="174" s="1"/>
  <c r="R1" i="179"/>
  <c r="R2" i="179" s="1"/>
  <c r="R1" i="144"/>
  <c r="R2" i="144" s="1"/>
  <c r="R1" i="145"/>
  <c r="R2" i="145" s="1"/>
  <c r="R1" i="152"/>
  <c r="R2" i="152" s="1"/>
  <c r="R1" i="142"/>
  <c r="R2" i="142" s="1"/>
  <c r="R1" i="184"/>
  <c r="R2" i="184" s="1"/>
  <c r="R1" i="38"/>
  <c r="R2" i="38" s="1"/>
  <c r="R1" i="188"/>
  <c r="R2" i="188" s="1"/>
  <c r="R1" i="189"/>
  <c r="R2" i="189" s="1"/>
  <c r="R1" i="100"/>
  <c r="R2" i="100" s="1"/>
  <c r="R1" i="35"/>
  <c r="R2" i="35" s="1"/>
  <c r="R1" i="153"/>
  <c r="R2" i="153" s="1"/>
  <c r="R1" i="155"/>
  <c r="R2" i="155" s="1"/>
  <c r="R1" i="25"/>
  <c r="R2" i="25" s="1"/>
  <c r="R1" i="187"/>
  <c r="R2" i="187" s="1"/>
  <c r="R1" i="186"/>
  <c r="R2" i="186" s="1"/>
  <c r="R1" i="159"/>
  <c r="R2" i="159" s="1"/>
  <c r="R1" i="80"/>
  <c r="R2" i="80" s="1"/>
  <c r="R1" i="106"/>
  <c r="R2" i="106" s="1"/>
  <c r="R1" i="160"/>
  <c r="R2" i="160" s="1"/>
  <c r="R1" i="30"/>
  <c r="R2" i="30" s="1"/>
  <c r="R1" i="23"/>
  <c r="R2" i="23" s="1"/>
  <c r="R1" i="90"/>
  <c r="R2" i="90" s="1"/>
  <c r="R1" i="183"/>
  <c r="R2" i="183" s="1"/>
  <c r="R1" i="185"/>
  <c r="R2" i="185" s="1"/>
  <c r="R1" i="31"/>
  <c r="R2" i="31" s="1"/>
  <c r="R1" i="29"/>
  <c r="R2" i="29" s="1"/>
  <c r="R1" i="164"/>
  <c r="R2" i="164" s="1"/>
  <c r="R1" i="21"/>
  <c r="R2" i="21" s="1"/>
  <c r="R1" i="39"/>
  <c r="R2" i="39" s="1"/>
  <c r="R1" i="182"/>
  <c r="R2" i="182" s="1"/>
  <c r="R1" i="105"/>
  <c r="R2" i="105" s="1"/>
  <c r="R1" i="172"/>
  <c r="R2" i="172" s="1"/>
  <c r="R1" i="173"/>
  <c r="R2" i="173" s="1"/>
  <c r="R1" i="94"/>
  <c r="R2" i="94" s="1"/>
  <c r="D4" i="99"/>
  <c r="D6" i="99" s="1"/>
  <c r="K17" i="97" l="1"/>
  <c r="D4" i="97"/>
  <c r="M1" i="140" l="1"/>
  <c r="M1" i="98"/>
  <c r="M1" i="99"/>
  <c r="M1" i="97"/>
  <c r="Q1" i="191" s="1"/>
  <c r="D6" i="97"/>
  <c r="Q1" i="164" l="1"/>
  <c r="Q1" i="184"/>
  <c r="Q1" i="76"/>
  <c r="Q1" i="14"/>
  <c r="Q1" i="183"/>
  <c r="Q1" i="33"/>
  <c r="Q1" i="188"/>
  <c r="P1" i="8"/>
  <c r="Q1" i="189"/>
  <c r="Q1" i="187"/>
  <c r="P1" i="7"/>
  <c r="Q1" i="179"/>
  <c r="Q1" i="181"/>
  <c r="Q1" i="186"/>
  <c r="Q1" i="23"/>
  <c r="Q1" i="3"/>
  <c r="Q1" i="90"/>
  <c r="P1" i="82"/>
  <c r="Q1" i="185"/>
  <c r="Q1" i="182"/>
  <c r="P1" i="14"/>
  <c r="Q1" i="174"/>
  <c r="Q1" i="169"/>
  <c r="Q1" i="21"/>
  <c r="Q1" i="35"/>
  <c r="M2" i="97"/>
  <c r="Q1" i="168"/>
  <c r="Q1" i="176"/>
  <c r="Q1" i="32"/>
  <c r="Q1" i="158"/>
  <c r="Q1" i="180"/>
  <c r="P1" i="108"/>
  <c r="Q1" i="150"/>
  <c r="Q2" i="150" s="1"/>
  <c r="Q1" i="31"/>
  <c r="Q1" i="170"/>
  <c r="Q1" i="101"/>
  <c r="I1" i="167"/>
  <c r="P1" i="101"/>
  <c r="Q1" i="7"/>
  <c r="Q1" i="108"/>
  <c r="Q1" i="171"/>
  <c r="Q1" i="175"/>
  <c r="Q2" i="175" s="1"/>
  <c r="Q1" i="152"/>
  <c r="Q2" i="152" s="1"/>
  <c r="Q1" i="153"/>
  <c r="Q2" i="153" s="1"/>
  <c r="Q1" i="151"/>
  <c r="Q2" i="151" s="1"/>
  <c r="Q1" i="146"/>
  <c r="Q2" i="146" s="1"/>
  <c r="Q1" i="38"/>
  <c r="Q2" i="38" s="1"/>
  <c r="Q1" i="156"/>
  <c r="Q2" i="156" s="1"/>
  <c r="Q1" i="143"/>
  <c r="Q2" i="143" s="1"/>
  <c r="Q1" i="28"/>
  <c r="Q2" i="28" s="1"/>
  <c r="Q1" i="103"/>
  <c r="Q2" i="103" s="1"/>
  <c r="Q1" i="147"/>
  <c r="Q2" i="147" s="1"/>
  <c r="Q1" i="142"/>
  <c r="Q2" i="142" s="1"/>
  <c r="Q1" i="144"/>
  <c r="Q2" i="144" s="1"/>
  <c r="Q1" i="145"/>
  <c r="Q2" i="145" s="1"/>
  <c r="Q1" i="148"/>
  <c r="Q2" i="148" s="1"/>
  <c r="Q1" i="100"/>
  <c r="Q2" i="100" s="1"/>
  <c r="Q1" i="25"/>
  <c r="Q2" i="25" s="1"/>
  <c r="Q1" i="157"/>
  <c r="Q2" i="157" s="1"/>
  <c r="Q1" i="149"/>
  <c r="Q2" i="149" s="1"/>
  <c r="Q1" i="155"/>
  <c r="Q2" i="155" s="1"/>
  <c r="Q1" i="154"/>
  <c r="Q2" i="154" s="1"/>
  <c r="Q1" i="161"/>
  <c r="Q2" i="161" s="1"/>
  <c r="Q1" i="22"/>
  <c r="Q2" i="22" s="1"/>
  <c r="Q1" i="173"/>
  <c r="Q2" i="173" s="1"/>
  <c r="Q1" i="94"/>
  <c r="Q2" i="94" s="1"/>
  <c r="Q1" i="106"/>
  <c r="Q2" i="106" s="1"/>
  <c r="Q1" i="30"/>
  <c r="Q2" i="30" s="1"/>
  <c r="Q1" i="29"/>
  <c r="Q2" i="29" s="1"/>
  <c r="Q1" i="172"/>
  <c r="Q2" i="172" s="1"/>
  <c r="Q1" i="159"/>
  <c r="Q2" i="159" s="1"/>
  <c r="Q1" i="80"/>
  <c r="Q2" i="80" s="1"/>
  <c r="Q1" i="105"/>
  <c r="Q2" i="105" s="1"/>
  <c r="Q1" i="160"/>
  <c r="Q2" i="160" s="1"/>
  <c r="Q1" i="39"/>
  <c r="Q2" i="39" s="1"/>
</calcChain>
</file>

<file path=xl/comments1.xml><?xml version="1.0" encoding="utf-8"?>
<comments xmlns="http://schemas.openxmlformats.org/spreadsheetml/2006/main">
  <authors>
    <author>Morten Hørmann</author>
  </authors>
  <commentList>
    <comment ref="D51" authorId="0">
      <text>
        <r>
          <rPr>
            <b/>
            <sz val="8"/>
            <color indexed="81"/>
            <rFont val="Tahoma"/>
            <family val="2"/>
          </rPr>
          <t>Morten Hørmann:</t>
        </r>
        <r>
          <rPr>
            <sz val="8"/>
            <color indexed="81"/>
            <rFont val="Tahoma"/>
            <family val="2"/>
          </rPr>
          <t xml:space="preserve">
For alle flydende brændsler antages det at infrastrulturomkostningerne er proportionale til omkostningerne for benzin. Det er kun i de tilfælde, hvor der kræves nye typer af infrastruktur, at omkostningerne hertil er modelleret eksplicit.</t>
        </r>
      </text>
    </comment>
  </commentList>
</comments>
</file>

<file path=xl/comments2.xml><?xml version="1.0" encoding="utf-8"?>
<comments xmlns="http://schemas.openxmlformats.org/spreadsheetml/2006/main">
  <authors>
    <author>Mikkel A. Kromann</author>
    <author>Mads Paabøl Jensen</author>
  </authors>
  <commentList>
    <comment ref="D40" authorId="0">
      <text>
        <r>
          <rPr>
            <b/>
            <sz val="8"/>
            <color indexed="81"/>
            <rFont val="Tahoma"/>
            <family val="2"/>
          </rPr>
          <t>Mikkel A. Kromann:</t>
        </r>
        <r>
          <rPr>
            <sz val="8"/>
            <color indexed="81"/>
            <rFont val="Tahoma"/>
            <family val="2"/>
          </rPr>
          <t xml:space="preserve">
Denne række bør laves om til et opslag i råvare-tabellen, sådan at links på de gule ark til råvaretabellen kan fjernes</t>
        </r>
      </text>
    </comment>
    <comment ref="I42" authorId="0">
      <text>
        <r>
          <rPr>
            <b/>
            <sz val="8"/>
            <color indexed="81"/>
            <rFont val="Tahoma"/>
            <family val="2"/>
          </rPr>
          <t>Mikkel A. Kromann:</t>
        </r>
        <r>
          <rPr>
            <sz val="8"/>
            <color indexed="81"/>
            <rFont val="Tahoma"/>
            <family val="2"/>
          </rPr>
          <t xml:space="preserve">
Proces-energiforbrug skal have særbehandling i omkostningsbestemmelsen for raffinaderiprodukter - UDESTÅR</t>
        </r>
      </text>
    </comment>
    <comment ref="D52" authorId="0">
      <text>
        <r>
          <rPr>
            <b/>
            <sz val="8"/>
            <color indexed="81"/>
            <rFont val="Tahoma"/>
            <family val="2"/>
          </rPr>
          <t>Mikkel A. Kromann:</t>
        </r>
        <r>
          <rPr>
            <sz val="8"/>
            <color indexed="81"/>
            <rFont val="Tahoma"/>
            <family val="2"/>
          </rPr>
          <t xml:space="preserve">
Det bør overvejes om kvoteomkostningen bør deles mellem drivmiddel og biprodukt</t>
        </r>
      </text>
    </comment>
    <comment ref="E87" authorId="1">
      <text>
        <r>
          <rPr>
            <b/>
            <sz val="8"/>
            <color indexed="81"/>
            <rFont val="Tahoma"/>
            <family val="2"/>
          </rPr>
          <t>Mads Paabøl Jensen:</t>
        </r>
        <r>
          <rPr>
            <sz val="8"/>
            <color indexed="81"/>
            <rFont val="Tahoma"/>
            <family val="2"/>
          </rPr>
          <t xml:space="preserve">
De totale nettoindtægter ift. de totale nettoindtægter+ indt. restprodukter
</t>
        </r>
      </text>
    </comment>
    <comment ref="E91" authorId="1">
      <text>
        <r>
          <rPr>
            <b/>
            <sz val="8"/>
            <color indexed="81"/>
            <rFont val="Tahoma"/>
            <family val="2"/>
          </rPr>
          <t>Mads Paabøl Jensen:</t>
        </r>
        <r>
          <rPr>
            <sz val="8"/>
            <color indexed="81"/>
            <rFont val="Tahoma"/>
            <family val="2"/>
          </rPr>
          <t xml:space="preserve">
Denne tages direkte fra råstoffer. Beregens ej</t>
        </r>
      </text>
    </comment>
    <comment ref="E92" authorId="1">
      <text>
        <r>
          <rPr>
            <b/>
            <sz val="8"/>
            <color indexed="81"/>
            <rFont val="Tahoma"/>
            <family val="2"/>
          </rPr>
          <t>Mads Paabøl Jensen:</t>
        </r>
        <r>
          <rPr>
            <sz val="8"/>
            <color indexed="81"/>
            <rFont val="Tahoma"/>
            <family val="2"/>
          </rPr>
          <t xml:space="preserve">
CH4 og N2O ej beregnet af opstrøms, da disse indgår direkte i CO2 (som ækvivalenter)</t>
        </r>
      </text>
    </comment>
  </commentList>
</comments>
</file>

<file path=xl/comments3.xml><?xml version="1.0" encoding="utf-8"?>
<comments xmlns="http://schemas.openxmlformats.org/spreadsheetml/2006/main">
  <authors>
    <author>Mikkel A. Kromann</author>
  </authors>
  <commentList>
    <comment ref="Q12" authorId="0">
      <text>
        <r>
          <rPr>
            <b/>
            <sz val="8"/>
            <color indexed="81"/>
            <rFont val="Tahoma"/>
            <family val="2"/>
          </rPr>
          <t>Mikkel A. Kromann:</t>
        </r>
        <r>
          <rPr>
            <sz val="8"/>
            <color indexed="81"/>
            <rFont val="Tahoma"/>
            <family val="2"/>
          </rPr>
          <t xml:space="preserve">
Nedmuldning. 45% af tørstof i halm er kulstof, halm indeholder 15% vand, 15% af kulstoffet optages i jorden, 1 kg kulstof optaget i jorden svarer til 3,7 kg CO2 i atmosfæren.
Taget fra sheet 2.g. ethanol E85</t>
        </r>
      </text>
    </comment>
    <comment ref="B15" authorId="0">
      <text>
        <r>
          <rPr>
            <b/>
            <sz val="8"/>
            <color indexed="81"/>
            <rFont val="Tahoma"/>
            <family val="2"/>
          </rPr>
          <t>Mikkel A. Kromann:</t>
        </r>
        <r>
          <rPr>
            <sz val="8"/>
            <color indexed="81"/>
            <rFont val="Tahoma"/>
            <family val="2"/>
          </rPr>
          <t xml:space="preserve">
Tørvægt indtil videre
</t>
        </r>
      </text>
    </comment>
    <comment ref="O22" authorId="0">
      <text>
        <r>
          <rPr>
            <b/>
            <sz val="8"/>
            <color indexed="81"/>
            <rFont val="Tahoma"/>
            <family val="2"/>
          </rPr>
          <t>Mikkel A. Kromann:</t>
        </r>
        <r>
          <rPr>
            <sz val="8"/>
            <color indexed="81"/>
            <rFont val="Tahoma"/>
            <family val="2"/>
          </rPr>
          <t xml:space="preserve">
91% virknignsgrad
0,641 GJ/ton gylle
26,4 kg CO2e/ton gylle
</t>
        </r>
      </text>
    </comment>
  </commentList>
</comments>
</file>

<file path=xl/comments4.xml><?xml version="1.0" encoding="utf-8"?>
<comments xmlns="http://schemas.openxmlformats.org/spreadsheetml/2006/main">
  <authors>
    <author>Mikkel Kromann</author>
  </authors>
  <commentList>
    <comment ref="P69" authorId="0">
      <text>
        <r>
          <rPr>
            <b/>
            <sz val="8"/>
            <color indexed="81"/>
            <rFont val="Tahoma"/>
            <family val="2"/>
          </rPr>
          <t>Mikkel Kromann:</t>
        </r>
        <r>
          <rPr>
            <sz val="8"/>
            <color indexed="81"/>
            <rFont val="Tahoma"/>
            <family val="2"/>
          </rPr>
          <t xml:space="preserve">
 0,36 for engines &gt; 85 kW</t>
        </r>
      </text>
    </comment>
    <comment ref="S69" authorId="0">
      <text>
        <r>
          <rPr>
            <b/>
            <sz val="8"/>
            <color indexed="81"/>
            <rFont val="Tahoma"/>
            <family val="2"/>
          </rPr>
          <t>Mikkel Kromann:</t>
        </r>
        <r>
          <rPr>
            <sz val="8"/>
            <color indexed="81"/>
            <rFont val="Tahoma"/>
            <family val="2"/>
          </rPr>
          <t xml:space="preserve">
for engines of less than 0.75 dm3 swept volume per cylinder and a rated power speed of more than 3000 min-1</t>
        </r>
      </text>
    </comment>
  </commentList>
</comments>
</file>

<file path=xl/comments5.xml><?xml version="1.0" encoding="utf-8"?>
<comments xmlns="http://schemas.openxmlformats.org/spreadsheetml/2006/main">
  <authors>
    <author>Mikkel Eliasen</author>
  </authors>
  <commentList>
    <comment ref="D86" authorId="0">
      <text>
        <r>
          <rPr>
            <b/>
            <sz val="9"/>
            <color indexed="81"/>
            <rFont val="Tahoma"/>
            <family val="2"/>
          </rPr>
          <t>Mikkel Eliasen:</t>
        </r>
        <r>
          <rPr>
            <sz val="9"/>
            <color indexed="81"/>
            <rFont val="Tahoma"/>
            <family val="2"/>
          </rPr>
          <t xml:space="preserve">
Discrepancy between sanky diagam and excel data
</t>
        </r>
      </text>
    </comment>
  </commentList>
</comments>
</file>

<file path=xl/comments6.xml><?xml version="1.0" encoding="utf-8"?>
<comments xmlns="http://schemas.openxmlformats.org/spreadsheetml/2006/main">
  <authors>
    <author>Morten Hørmann</author>
  </authors>
  <commentList>
    <comment ref="D178" authorId="0">
      <text>
        <r>
          <rPr>
            <b/>
            <sz val="8"/>
            <color indexed="81"/>
            <rFont val="Tahoma"/>
            <family val="2"/>
          </rPr>
          <t>Morten Hørmann:</t>
        </r>
        <r>
          <rPr>
            <sz val="8"/>
            <color indexed="81"/>
            <rFont val="Tahoma"/>
            <family val="2"/>
          </rPr>
          <t xml:space="preserve">
fejl, tæller bi-produkt 2 gange
</t>
        </r>
      </text>
    </comment>
  </commentList>
</comments>
</file>

<file path=xl/comments7.xml><?xml version="1.0" encoding="utf-8"?>
<comments xmlns="http://schemas.openxmlformats.org/spreadsheetml/2006/main">
  <authors>
    <author>János Hethey</author>
    <author>Andreas Jørgensen</author>
  </authors>
  <commentList>
    <comment ref="F206" authorId="0">
      <text>
        <r>
          <rPr>
            <b/>
            <sz val="9"/>
            <color indexed="81"/>
            <rFont val="Tahoma"/>
            <family val="2"/>
          </rPr>
          <t>János Hethey:</t>
        </r>
        <r>
          <rPr>
            <sz val="9"/>
            <color indexed="81"/>
            <rFont val="Tahoma"/>
            <family val="2"/>
          </rPr>
          <t xml:space="preserve">
275-300. kan ikke være over majs.</t>
        </r>
      </text>
    </comment>
    <comment ref="N215" authorId="1">
      <text>
        <r>
          <rPr>
            <b/>
            <sz val="9"/>
            <color indexed="81"/>
            <rFont val="Tahoma"/>
            <family val="2"/>
          </rPr>
          <t>Andreas Jørgensen:</t>
        </r>
        <r>
          <rPr>
            <sz val="9"/>
            <color indexed="81"/>
            <rFont val="Tahoma"/>
            <family val="2"/>
          </rPr>
          <t xml:space="preserve">
Her mangler dyrkningsemissioner
</t>
        </r>
      </text>
    </comment>
    <comment ref="N217" authorId="1">
      <text>
        <r>
          <rPr>
            <b/>
            <sz val="9"/>
            <color indexed="81"/>
            <rFont val="Tahoma"/>
            <family val="2"/>
          </rPr>
          <t>Andreas Jørgensen:</t>
        </r>
        <r>
          <rPr>
            <sz val="9"/>
            <color indexed="81"/>
            <rFont val="Tahoma"/>
            <family val="2"/>
          </rPr>
          <t xml:space="preserve">
Her mangler dyrkningsemissioner</t>
        </r>
      </text>
    </comment>
  </commentList>
</comments>
</file>

<file path=xl/sharedStrings.xml><?xml version="1.0" encoding="utf-8"?>
<sst xmlns="http://schemas.openxmlformats.org/spreadsheetml/2006/main" count="13738" uniqueCount="2743">
  <si>
    <t>Primært drivmiddel</t>
  </si>
  <si>
    <t>Benzin</t>
  </si>
  <si>
    <t>Diesel</t>
  </si>
  <si>
    <t>El</t>
  </si>
  <si>
    <t>Biogas</t>
  </si>
  <si>
    <t>Naturgas</t>
  </si>
  <si>
    <t>MJ mek/km</t>
  </si>
  <si>
    <t>g/km</t>
  </si>
  <si>
    <t>Energiforbrug</t>
  </si>
  <si>
    <t>Drivmidler</t>
  </si>
  <si>
    <t>RME</t>
  </si>
  <si>
    <t>DME</t>
  </si>
  <si>
    <t>Brint</t>
  </si>
  <si>
    <t>halm</t>
  </si>
  <si>
    <t>råolie</t>
  </si>
  <si>
    <t>naturgas</t>
  </si>
  <si>
    <t>elektricitet</t>
  </si>
  <si>
    <t>kul</t>
  </si>
  <si>
    <t>GJ</t>
  </si>
  <si>
    <t>Elbil</t>
  </si>
  <si>
    <t>Sekundært drivmiddel</t>
  </si>
  <si>
    <t>MJ mek/MJ drivm.</t>
  </si>
  <si>
    <t>Biprodukt pris</t>
  </si>
  <si>
    <t>DKK/GJ</t>
  </si>
  <si>
    <t>CO2</t>
  </si>
  <si>
    <t>NOx</t>
  </si>
  <si>
    <t>SO2</t>
  </si>
  <si>
    <t>CH4</t>
  </si>
  <si>
    <t>N2O</t>
  </si>
  <si>
    <t>%</t>
  </si>
  <si>
    <t>B-Naturgas</t>
  </si>
  <si>
    <t>Motor teknologier</t>
  </si>
  <si>
    <t>km/l</t>
  </si>
  <si>
    <t>Økonomi data</t>
  </si>
  <si>
    <t>år</t>
  </si>
  <si>
    <t>SØK afkastkrav</t>
  </si>
  <si>
    <t>Nettoafgiftsfaktor</t>
  </si>
  <si>
    <t>DKK per Euro</t>
  </si>
  <si>
    <t>DKK / GJd</t>
  </si>
  <si>
    <t>- øvrige variable</t>
  </si>
  <si>
    <t>- råvare</t>
  </si>
  <si>
    <t>- biprodukt indtægter</t>
  </si>
  <si>
    <t>Totale omkostninger</t>
  </si>
  <si>
    <t>- afskrivninger</t>
  </si>
  <si>
    <t>- øvrige faste</t>
  </si>
  <si>
    <t>Partikler</t>
  </si>
  <si>
    <t>MJd / km</t>
  </si>
  <si>
    <t>Økonomi</t>
  </si>
  <si>
    <t>Virkningsgrad</t>
  </si>
  <si>
    <t>Miljøpåvirkning (luftemissioner)</t>
  </si>
  <si>
    <t>Teknologi-spor</t>
  </si>
  <si>
    <t>Systemvirkning</t>
  </si>
  <si>
    <t>GJ/GJ input</t>
  </si>
  <si>
    <t>kg/GJ mek</t>
  </si>
  <si>
    <t>Bio-olie</t>
  </si>
  <si>
    <t>DKK/km</t>
  </si>
  <si>
    <t>CO2e</t>
  </si>
  <si>
    <t>DKK / km</t>
  </si>
  <si>
    <t>Brændstof</t>
  </si>
  <si>
    <t>kg</t>
  </si>
  <si>
    <t>km</t>
  </si>
  <si>
    <t>DKK</t>
  </si>
  <si>
    <t>Investeringsomkostninger exkl. afg</t>
  </si>
  <si>
    <t>Kørselsomkostninger</t>
  </si>
  <si>
    <t>Afskrivninger</t>
  </si>
  <si>
    <t>Reparationer, slid</t>
  </si>
  <si>
    <t>Totale kørselsomkostninger</t>
  </si>
  <si>
    <t>Energiindhold</t>
  </si>
  <si>
    <t>kr/km</t>
  </si>
  <si>
    <t>I alt</t>
  </si>
  <si>
    <t>Enhed</t>
  </si>
  <si>
    <t>DKK/år</t>
  </si>
  <si>
    <t>Lastbil</t>
  </si>
  <si>
    <t>DKK per USD</t>
  </si>
  <si>
    <t>kg/GJ</t>
  </si>
  <si>
    <t>Eksternaliteter</t>
  </si>
  <si>
    <t>By</t>
  </si>
  <si>
    <t>Land</t>
  </si>
  <si>
    <t>- levering an tank</t>
  </si>
  <si>
    <t>oplade-elektricitet</t>
  </si>
  <si>
    <t>brint-elektricitet</t>
  </si>
  <si>
    <t>Beskrivelse</t>
  </si>
  <si>
    <t>MeOH</t>
  </si>
  <si>
    <t>El-type</t>
  </si>
  <si>
    <t>E85-1g</t>
  </si>
  <si>
    <t>AD SØK kørselsomkostninger</t>
  </si>
  <si>
    <t>Std diesel motor</t>
  </si>
  <si>
    <t>Beregning af energi vægte til E85</t>
  </si>
  <si>
    <t>Ethanol</t>
  </si>
  <si>
    <t>Energiindhold (GJ/ton)</t>
  </si>
  <si>
    <t>Vægtfylde (kg/liter)</t>
  </si>
  <si>
    <t>Iblandingsforhold (liter/liter E85)</t>
  </si>
  <si>
    <t>Energiindhold hver for sig (MJ/liter)</t>
  </si>
  <si>
    <t>Energiindhold i E85 (MJ/liter E85)</t>
  </si>
  <si>
    <t>Energiandel i E85</t>
  </si>
  <si>
    <t>Energipriser</t>
  </si>
  <si>
    <t>B-Brint</t>
  </si>
  <si>
    <t>Vægt for E85</t>
  </si>
  <si>
    <t>Levetid</t>
  </si>
  <si>
    <t>Sekundært drivmiddel (energiforbrug)</t>
  </si>
  <si>
    <t>Primært drivmiddel (energiforbrug)</t>
  </si>
  <si>
    <t>Oversigt</t>
  </si>
  <si>
    <t>Beregningsgang</t>
  </si>
  <si>
    <t>Energiteknologier til forsyning af transportsektoren - leddene i et teknologispor</t>
  </si>
  <si>
    <t>Introduktion og struktur</t>
  </si>
  <si>
    <t>Introduktion til regnearket</t>
  </si>
  <si>
    <t>Dette regneark indeholder fakta-ark for teknologi-elementer og systemberegninger for teknologi-spor for alternative drivmidler til transportsektoren.</t>
  </si>
  <si>
    <t>Regnearket består af ark med: centrale forudsætninger, data for teknologi-elementer, systemberegning, opsummering af resultater samt ark med information.</t>
  </si>
  <si>
    <t>På arket "Overblik" er opbygningen af regnearket illustreret. Fra dette ark er det endvidere muligt nemt at navigere rundt mellem de enkelte ark i modellen.</t>
  </si>
  <si>
    <t xml:space="preserve">Indholdet og formålet med de enkelte ark er nærmere forklaret nedenfor. </t>
  </si>
  <si>
    <t>Regnearket centrale beregninger er systemberegningerne for teknologi-sporene. Der beregnes økonomi, virkningsgrad og miljøpåvirkning.</t>
  </si>
  <si>
    <t>Tilgang og metode bag ved beregingerne er beskrevet i dokumentationsrapporten: "Teknologivurdering af alternative drivmidler til transportsektoren", oktober 2006</t>
  </si>
  <si>
    <t xml:space="preserve">For at gøre regnearket så overskueligt og så nemt at betjene som muligt er det opbygget med brug af faste formateringskonventioner. De anvendte konventioner er </t>
  </si>
  <si>
    <t>nærmere forklaret nedenfor.</t>
  </si>
  <si>
    <t>Konventioner for tal</t>
  </si>
  <si>
    <t>Sorte tal indikerer at tallene er beregnet på basis af andre tal.</t>
  </si>
  <si>
    <t>Kursiv= årstal</t>
  </si>
  <si>
    <t>Arkenes indhold</t>
  </si>
  <si>
    <t>Arket navn</t>
  </si>
  <si>
    <t>Arkets formål</t>
  </si>
  <si>
    <t>Introduktion</t>
  </si>
  <si>
    <t>Denne introduktion til regnearket med tilhørende forklaring af definitioner for farvekoder og beskrivelse af arkenes indhold.</t>
  </si>
  <si>
    <t>Oversigt over opbygningen af regnearket med tilhørende mulighed for at klikke sig til de forskellige ark i modellen.</t>
  </si>
  <si>
    <t>Arket indeholder centrale forudsætninger og fælles inddata om emissionsfaktorer enhedspriser mm.</t>
  </si>
  <si>
    <t>Referencer</t>
  </si>
  <si>
    <t>Arket indeholder en liste med anvendte og visiterede referencer.</t>
  </si>
  <si>
    <t>Sammenfatning af de overordnede resultater af systemberegningerne</t>
  </si>
  <si>
    <t>Systemberegninger for teknologi-sporene</t>
  </si>
  <si>
    <t>Data for råstoffer.</t>
  </si>
  <si>
    <t>Mellemprodukt - trans dist</t>
  </si>
  <si>
    <t>Fakta-ark for konvertering af råstof</t>
  </si>
  <si>
    <t>Fakta-ark for konvertering af mellemprodukt</t>
  </si>
  <si>
    <t>Fakta-ark for motortype</t>
  </si>
  <si>
    <r>
      <t>Grå</t>
    </r>
    <r>
      <rPr>
        <sz val="9"/>
        <rFont val="Arial"/>
        <family val="2"/>
      </rPr>
      <t xml:space="preserve"> tal indikerer at tallene er vist med henblik på sammenligning men ikke bruges i de videre beregninger. </t>
    </r>
  </si>
  <si>
    <r>
      <t>Røde</t>
    </r>
    <r>
      <rPr>
        <sz val="9"/>
        <color indexed="17"/>
        <rFont val="Arial"/>
        <family val="2"/>
      </rPr>
      <t xml:space="preserve"> </t>
    </r>
    <r>
      <rPr>
        <sz val="9"/>
        <color indexed="8"/>
        <rFont val="Arial"/>
        <family val="2"/>
      </rPr>
      <t>og</t>
    </r>
    <r>
      <rPr>
        <sz val="9"/>
        <color indexed="17"/>
        <rFont val="Arial"/>
        <family val="2"/>
      </rPr>
      <t xml:space="preserve"> </t>
    </r>
    <r>
      <rPr>
        <sz val="9"/>
        <color indexed="14"/>
        <rFont val="Arial"/>
        <family val="2"/>
      </rPr>
      <t>lyserøde</t>
    </r>
    <r>
      <rPr>
        <sz val="9"/>
        <color indexed="17"/>
        <rFont val="Arial"/>
        <family val="2"/>
      </rPr>
      <t xml:space="preserve"> </t>
    </r>
    <r>
      <rPr>
        <sz val="9"/>
        <color indexed="8"/>
        <rFont val="Arial"/>
        <family val="2"/>
      </rPr>
      <t>tal indikerer at tallene er usikre eller ikke-officielle data.</t>
    </r>
  </si>
  <si>
    <t>Centrale data</t>
  </si>
  <si>
    <t>Motorer</t>
  </si>
  <si>
    <t>Kort teknologi-beskrivelse:</t>
  </si>
  <si>
    <t xml:space="preserve">Input:  </t>
  </si>
  <si>
    <t>Rapsfrø</t>
  </si>
  <si>
    <t>Output:</t>
  </si>
  <si>
    <t xml:space="preserve">Fordel: </t>
  </si>
  <si>
    <t xml:space="preserve">Ulempe: </t>
  </si>
  <si>
    <t>Eksempler på Best Available Technology:</t>
  </si>
  <si>
    <t>Fakta-ark</t>
  </si>
  <si>
    <t>Ref</t>
  </si>
  <si>
    <t>Note</t>
  </si>
  <si>
    <t>Tekniske data</t>
  </si>
  <si>
    <t>Udbytte</t>
  </si>
  <si>
    <t>Kapacitet</t>
  </si>
  <si>
    <t>Levetid, investering</t>
  </si>
  <si>
    <t>Outputs (bi-produkter)</t>
  </si>
  <si>
    <t>Energi</t>
  </si>
  <si>
    <t>Energiindhold - øvrige input</t>
  </si>
  <si>
    <t>Energiindhold - biprodukter</t>
  </si>
  <si>
    <t>Netto energiforbrug</t>
  </si>
  <si>
    <t>Samlet virkningsgrad (output GJ/input GJ)</t>
  </si>
  <si>
    <t>Investering, anlæg</t>
  </si>
  <si>
    <t>kr/kg</t>
  </si>
  <si>
    <t>kr/GJ</t>
  </si>
  <si>
    <t>Samlede omkostninger</t>
  </si>
  <si>
    <t>*</t>
  </si>
  <si>
    <t>heraf investeringer</t>
  </si>
  <si>
    <t>heraf drift, faste</t>
  </si>
  <si>
    <t>heraf primær energikilde</t>
  </si>
  <si>
    <t>heraf indtægter, bi-produkter</t>
  </si>
  <si>
    <t>Miljø data</t>
  </si>
  <si>
    <t>Nox</t>
  </si>
  <si>
    <t>Evt. ekstra fakta eller mellem-regninger</t>
  </si>
  <si>
    <t>Gas</t>
  </si>
  <si>
    <t>DKK/MWh</t>
  </si>
  <si>
    <t>kg/l</t>
  </si>
  <si>
    <t>Emissioner</t>
  </si>
  <si>
    <t>MJ/l</t>
  </si>
  <si>
    <t>Reference</t>
  </si>
  <si>
    <t>Concawe (2006): Well-to-wheels analysis of future automotive fuels and power-trains in the European Context. May 2006.</t>
  </si>
  <si>
    <t>Dansk Energi (2006): Anvendelse af biomasse i transportsektoren. Udarbejdet af COWI for Dansk Energi.</t>
  </si>
  <si>
    <t>Energistyrelsen (2006): Appendiks: Forudsætninger for samfundsøkonomiske analyser på energiområdet. Energistyrelsen, juli 2006.</t>
  </si>
  <si>
    <t>Energistyrelsen Juni 1999. Brændselsprisforudsætninger for samfundsøkonomiske beregninger</t>
  </si>
  <si>
    <t>Energistyrelsen, oktober 2003: Samfundsøkonomiske transportomkostninger for fossile brændsler - olieprodukter, kul og naturgas. COWI for Energistyrelsen.</t>
  </si>
  <si>
    <t>Hydrogen in the Energy Sector, Issue 8.7.1996, Authors: Dr. Werner Zittel, Reinhold Wurster, Ludwig-Bölkow-Systemtechnik GmbH</t>
  </si>
  <si>
    <t>Hydrogen Energy - Part2 1994 af Reinhold Wurster &amp; Werner Zittel</t>
  </si>
  <si>
    <t>www.cleanfuelconnection.com</t>
  </si>
  <si>
    <t>Hvede</t>
  </si>
  <si>
    <t>Diesel lastbil</t>
  </si>
  <si>
    <t>GJ/år</t>
  </si>
  <si>
    <t>Halm</t>
  </si>
  <si>
    <t>GJ/1000Nm3 naturgas</t>
  </si>
  <si>
    <t>DKK/GJ naturgas</t>
  </si>
  <si>
    <t>kg/GJ naturgas</t>
  </si>
  <si>
    <t>GJ/ton biomasse</t>
  </si>
  <si>
    <t>Kul</t>
  </si>
  <si>
    <t>Råolie</t>
  </si>
  <si>
    <t>DKK/ton</t>
  </si>
  <si>
    <t>Elpris med eller uden kvoter</t>
  </si>
  <si>
    <t>Elpris med CO2-kvoter</t>
  </si>
  <si>
    <t>Elpris uden CO2-kvoter</t>
  </si>
  <si>
    <t>Emissioner fra energiforbrug</t>
  </si>
  <si>
    <t>Kraftværker og kraftvarmeværker</t>
  </si>
  <si>
    <t>Brændsel</t>
  </si>
  <si>
    <t>Anlægstype</t>
  </si>
  <si>
    <t>Værktype*</t>
  </si>
  <si>
    <t>Kg/GJ</t>
  </si>
  <si>
    <t>g/GJ</t>
  </si>
  <si>
    <t>Affald</t>
  </si>
  <si>
    <t>Dampturbine</t>
  </si>
  <si>
    <t>Decentralt anlæg</t>
  </si>
  <si>
    <t>Motor</t>
  </si>
  <si>
    <t>Centralt anlæg</t>
  </si>
  <si>
    <t>Gasturbine</t>
  </si>
  <si>
    <t>Skovflis, træaffald</t>
  </si>
  <si>
    <t>Varmeproducerende kedler</t>
  </si>
  <si>
    <t>Brændsel**</t>
  </si>
  <si>
    <t>Fjernvarmeværk o.l.</t>
  </si>
  <si>
    <t>Fuelolie, spildolie</t>
  </si>
  <si>
    <t>Gasolie</t>
  </si>
  <si>
    <t>Fjernvarmeværk o.l. samt villaanlæg</t>
  </si>
  <si>
    <t>Villaanlæg</t>
  </si>
  <si>
    <t>Træ</t>
  </si>
  <si>
    <t>Træpiller</t>
  </si>
  <si>
    <t>Transport</t>
  </si>
  <si>
    <t>Benzin***</t>
  </si>
  <si>
    <t>Personbiler</t>
  </si>
  <si>
    <t xml:space="preserve">Lastbiler </t>
  </si>
  <si>
    <t>Motorvej</t>
  </si>
  <si>
    <t>JP1****</t>
  </si>
  <si>
    <t>Centralt anlæg:</t>
  </si>
  <si>
    <t>Elproducerende anlæg beliggende på de centrale kraftværkspladser (typisk over 100 MW elkapacitet)</t>
  </si>
  <si>
    <t>Decentralt anlæg:</t>
  </si>
  <si>
    <t>Øvrige elproducerende anlæg (typisk anlæg i tilknytning til fjernvarme samt industrielle anlæg)</t>
  </si>
  <si>
    <t>Fjernvarmeværk o.l.:</t>
  </si>
  <si>
    <t xml:space="preserve">Faktorerne gælder kedler på fjernvarmeanlæg. Faktorerne kan imidlertid med god tilnærmelse </t>
  </si>
  <si>
    <t>også bruges for andre større kedler, f.eks. i industrien.</t>
  </si>
  <si>
    <t>Villaanlæg:</t>
  </si>
  <si>
    <t>Kedelanlæg i villastørrelse.</t>
  </si>
  <si>
    <t>**For biobrændsler er anvendt en emissionsfaktor på 0. Emissionsfaktoren for affald er beregnet ud fra den fossile del af affaldet. Der er ikke regnet med reducerede emissioner fra gylle ved biogasproduktionen.</t>
  </si>
  <si>
    <t>*** Biler med katalysator.</t>
  </si>
  <si>
    <t>****Jet fuel for internationale ruter over 3000 fod, Københavns Lufthavn</t>
  </si>
  <si>
    <t>kg/MWh</t>
  </si>
  <si>
    <t>g/MWh</t>
  </si>
  <si>
    <t>Transportvolumen</t>
  </si>
  <si>
    <t>Gns afstand inkl. Retur</t>
  </si>
  <si>
    <t>Brændstofforbrug (diesel)</t>
  </si>
  <si>
    <t>Komprimeret naturgas</t>
  </si>
  <si>
    <t>El i batteri</t>
  </si>
  <si>
    <t xml:space="preserve">GJ/GJ </t>
  </si>
  <si>
    <t>DKK/GJ DME</t>
  </si>
  <si>
    <t>DKK/GJ diesel</t>
  </si>
  <si>
    <t>DKK/GJ benzin</t>
  </si>
  <si>
    <t>DKK/Gjbip</t>
  </si>
  <si>
    <t>CO2 ækvivalenter</t>
  </si>
  <si>
    <t>kilde: IPCC</t>
  </si>
  <si>
    <t>CO2e/enhed</t>
  </si>
  <si>
    <t>Gasart/emission</t>
  </si>
  <si>
    <t>Standard diesel motor i mindre middelklassebil.</t>
  </si>
  <si>
    <t>Der forventes ingen væsentlig ændringer i prisen, men en fortsat forbedring af motorens virkningsgrad</t>
  </si>
  <si>
    <t>Fordele og ulemper (herunder miljø)</t>
  </si>
  <si>
    <t>Energi/tekniske data</t>
  </si>
  <si>
    <t>GJ mek/GJ diesel</t>
  </si>
  <si>
    <t>År</t>
  </si>
  <si>
    <t>Ydelse per år</t>
  </si>
  <si>
    <t>GJ mek/år</t>
  </si>
  <si>
    <t>Samlede omk (ex brændstof)</t>
  </si>
  <si>
    <t>DKK/GJ mek</t>
  </si>
  <si>
    <t>heraf drift, øvrige variable</t>
  </si>
  <si>
    <t>kg/GJ diesel</t>
  </si>
  <si>
    <t>Middel energiforbrug an hjul</t>
  </si>
  <si>
    <t>MJ/km</t>
  </si>
  <si>
    <t>Kørsel pr år</t>
  </si>
  <si>
    <t>km/år</t>
  </si>
  <si>
    <t>18000 km/år*middel energiforbr an hjul</t>
  </si>
  <si>
    <t>Faste og variable d&amp;v</t>
  </si>
  <si>
    <t xml:space="preserve">0,35 DKK/km </t>
  </si>
  <si>
    <t>Middel energiforbrug an køretøj, MJ/km</t>
  </si>
  <si>
    <t xml:space="preserve">CO2 dog beregnet på baggrund af </t>
  </si>
  <si>
    <t>forventet effektivisering i energiforbrug</t>
  </si>
  <si>
    <t>Elmotor</t>
  </si>
  <si>
    <t xml:space="preserve">Bilen rummer en pakke af batterier som oplades fra elnettet og som forsyner elmotorer med el til fremdrift af bilen. </t>
  </si>
  <si>
    <t>Når batterierne er afladet genoplades de fra elnettet. Der findes elbiler kommercielt tilgængeligt på markedet, men de har endnu ikke opnmåst stor udbredelse.</t>
  </si>
  <si>
    <t>Dette skyldes dels at anskaffelsesomkostningerne er relativt høje, dels at bilernes rækkevidde er begrænset og at genopladning tager</t>
  </si>
  <si>
    <t>længere tid end f.eks. tankning af benzin  en almindelig bil. Almindelige blybatterier er relativt billige men tunge og fylder meget.  Andre batterityper som nikkel-</t>
  </si>
  <si>
    <t>metal og lithium batterier har større kapacitet og længere levetid, men der er fortsat behov for udvikling mhp. Lavere omkostninger og længere levetid.</t>
  </si>
  <si>
    <t>Der er ingen emissioner direkte fra bilen, og der kan opnås samlet højere energieffektivitet end ved almindelige biler med forbrændingsmotor.</t>
  </si>
  <si>
    <t>Der er imidlertid behov for væsentlig teknoilogisk udvikling før elbiler er fuldt konkurrencedygtige</t>
  </si>
  <si>
    <t>Batteriomkostninger forventes kraftigt reduceret i takt med teknologiudvikling.</t>
  </si>
  <si>
    <t>GJ mek/GJ el</t>
  </si>
  <si>
    <t>Ekskl. batterier, der ses som årlig udgift</t>
  </si>
  <si>
    <t>se nedenfor</t>
  </si>
  <si>
    <t>kg/GJ el</t>
  </si>
  <si>
    <t>Batteriomkostninger</t>
  </si>
  <si>
    <t>Std benzin motor</t>
  </si>
  <si>
    <t>Standard benzin motor i en mindre middelklassebil.</t>
  </si>
  <si>
    <t>GJ mek/GJ benzin</t>
  </si>
  <si>
    <t>kg/GJ benzin</t>
  </si>
  <si>
    <t>Diesel motor DME</t>
  </si>
  <si>
    <t>Tilpasset Otto motor</t>
  </si>
  <si>
    <t>Brændselscelle, brint motor</t>
  </si>
  <si>
    <t>Brændselscelle, meth motor</t>
  </si>
  <si>
    <t>Køretøjer</t>
  </si>
  <si>
    <t>Resultater</t>
  </si>
  <si>
    <t>SØK omk.</t>
  </si>
  <si>
    <t>Spor-Kode</t>
  </si>
  <si>
    <t>Fossil</t>
  </si>
  <si>
    <t>Ej fossil</t>
  </si>
  <si>
    <t>Centrale resultater</t>
  </si>
  <si>
    <t>År:</t>
  </si>
  <si>
    <t>Valgt år:</t>
  </si>
  <si>
    <t>Raffinering af råolie til diesel</t>
  </si>
  <si>
    <t>Omdannelse af råolie til olieprodukter, herunder diesel.</t>
  </si>
  <si>
    <t>Input:</t>
  </si>
  <si>
    <t>Råolie/kondensat  (kondensat er betegnelse for let råolie fra naturgasproduktion)</t>
  </si>
  <si>
    <t>Raffinaderigas &amp; gasprodukter, benzin/nafta, Jetbrændstof/kerosin/autodiesel &amp; fyringsolie, Brændselsolie (tung olie)</t>
  </si>
  <si>
    <t>t diesel/t råolie</t>
  </si>
  <si>
    <t>GJ/t diesel</t>
  </si>
  <si>
    <t>t råolie/år</t>
  </si>
  <si>
    <t>Outputs</t>
  </si>
  <si>
    <t>t/t råolie</t>
  </si>
  <si>
    <t>Energiindhold - råolie input</t>
  </si>
  <si>
    <t>GJ/t råolie</t>
  </si>
  <si>
    <t>kg/GJ råolie</t>
  </si>
  <si>
    <t>ton</t>
  </si>
  <si>
    <t>GJ/ton</t>
  </si>
  <si>
    <t>Raffinaderigas</t>
  </si>
  <si>
    <t>Benzin/nafta</t>
  </si>
  <si>
    <t>Brændselsolie</t>
  </si>
  <si>
    <t>Statoil</t>
  </si>
  <si>
    <t>El *</t>
  </si>
  <si>
    <t>i alt</t>
  </si>
  <si>
    <t>Raffinering af råolie til benzin</t>
  </si>
  <si>
    <t>Omdannelse af råolie til olieprodukter, herunder benzin.</t>
  </si>
  <si>
    <t>t benzin/t råolie</t>
  </si>
  <si>
    <t>GJ/t benzin</t>
  </si>
  <si>
    <t>El (AC-net) til elektrolyse</t>
  </si>
  <si>
    <t>El (AC-net) til ladestation</t>
  </si>
  <si>
    <t>GJ/GJ</t>
  </si>
  <si>
    <t>Syntesegas til katalysator</t>
  </si>
  <si>
    <t>Spor-koder</t>
  </si>
  <si>
    <t>Data valideringslister</t>
  </si>
  <si>
    <t>TransDist</t>
  </si>
  <si>
    <t>1. g. ethanol E85</t>
  </si>
  <si>
    <t>2. g. ethanol E85</t>
  </si>
  <si>
    <t>Beregningsår</t>
  </si>
  <si>
    <t>Råstof/Råvare</t>
  </si>
  <si>
    <t>Drivmiddel (fossil, ej fossil)</t>
  </si>
  <si>
    <t>Virkningsgrader</t>
  </si>
  <si>
    <t>GJ/GJ råstof</t>
  </si>
  <si>
    <t>Drivmiddelandel af proces energiforbrug</t>
  </si>
  <si>
    <t>kg/GJ råstof</t>
  </si>
  <si>
    <t>kg/GJ drivmiddel</t>
  </si>
  <si>
    <t>Værdisætning luftemissioner</t>
  </si>
  <si>
    <t>GJ mek/GJ drivmiddel</t>
  </si>
  <si>
    <t>Anvendt*</t>
  </si>
  <si>
    <t>kr/ton</t>
  </si>
  <si>
    <t>Naturgas raffinering</t>
  </si>
  <si>
    <t>Udgangspunktet er dansk naturgas, som ikke dd. raffineres, men ledes direkte ud til de danske forbrugere.</t>
  </si>
  <si>
    <t>Som følge heraf er der ikke nogen økonomisk aktivitet.</t>
  </si>
  <si>
    <t>Renset naturgas</t>
  </si>
  <si>
    <t>Centralt</t>
  </si>
  <si>
    <t>1000Nm3 naturgas/1000Nm3 naturgas</t>
  </si>
  <si>
    <t>1000Nm3 naturgas/år</t>
  </si>
  <si>
    <t>Energiindhold - naturgas input</t>
  </si>
  <si>
    <t>Naturgas komprimering</t>
  </si>
  <si>
    <t>Naturgas komprimeres til CNG til direkte anvendelse i køretøjer</t>
  </si>
  <si>
    <t>Komprimering kan ske ved tankstation eller privat fyldningsstation</t>
  </si>
  <si>
    <t>Klar, lugtfri, ikke-korrossiv</t>
  </si>
  <si>
    <t>Muligt at tanke ved hjememt (er ikke inkluderet i denne undersøgelse)</t>
  </si>
  <si>
    <t xml:space="preserve"> </t>
  </si>
  <si>
    <t xml:space="preserve">I ft. LNG er investering til fx tryksat lagerbeholder større, CNG fylder emre end LNG </t>
  </si>
  <si>
    <t>Greenfield Compression, FuelMaker, Linde</t>
  </si>
  <si>
    <t>Gardner Denver Compressors, YIT, Bauer, Bohlen &amp; Doyen</t>
  </si>
  <si>
    <t>WTW app2 s16+17 (el til kompressor)</t>
  </si>
  <si>
    <t>WTW app2 s17</t>
  </si>
  <si>
    <t>WTW app2 s16+17</t>
  </si>
  <si>
    <t>Modificeret Otto-motor (gnist-tændingsmotor, f.eks. alm. benzin motor) i en mindre middelklassebil.</t>
  </si>
  <si>
    <t>Modificeringen tillader motoren at anvende højkomprimeret naturgas, CNG, som drivmiddel.</t>
  </si>
  <si>
    <t>Ud over at nedbringe CO2 emission reduceres især SO2 emissionen. Til gengæld øges emissionen af CH4</t>
  </si>
  <si>
    <t>i forhold til standard benzin motorer.</t>
  </si>
  <si>
    <t>Sekundært brændstof</t>
  </si>
  <si>
    <t>Køretøj</t>
  </si>
  <si>
    <t>Konvertering af mellemprodukt</t>
  </si>
  <si>
    <t>Konvertering af råstof</t>
  </si>
  <si>
    <t>Konvertering mellemprodukt</t>
  </si>
  <si>
    <t>Elektrolyse og komprimering</t>
  </si>
  <si>
    <t>Ladestation</t>
  </si>
  <si>
    <t>DME via katalysator</t>
  </si>
  <si>
    <t>Opstrømsenergiforbrug</t>
  </si>
  <si>
    <t>Diesel, by</t>
  </si>
  <si>
    <t>Diesel, motorvej</t>
  </si>
  <si>
    <t>til electricitet ved hjælp af en elektro-kemisk proces. Den producerede el anvendes i elmotorer til fremdrivning af bilen.</t>
  </si>
  <si>
    <t>Teknologien er ikke kommercielt færdigudviklet, hverken mht. brændselsceller eller lagringssystemer for brint i bilen, men findes dog tilgængelig på markedet.</t>
  </si>
  <si>
    <t>Brændselsceller har en høj energieffektivitet sammenlignet med andre og ingen emission direkte fra køretøjet hvis der anvendes brint som brændstof.</t>
  </si>
  <si>
    <t>Der mangler væsentlig udvikling for at gøre brændselsceller kommercielt tilgængelige</t>
  </si>
  <si>
    <t>Lavt</t>
  </si>
  <si>
    <t>Højt</t>
  </si>
  <si>
    <t>Anvendt</t>
  </si>
  <si>
    <t>Standard diesel motor modificeret til at kunne anvende DME som brændstof.</t>
  </si>
  <si>
    <t>Modificeringen består af installation af tryktank og en modificeret motor.</t>
  </si>
  <si>
    <t>Energiindhold - gas input</t>
  </si>
  <si>
    <t>Syntesegas</t>
  </si>
  <si>
    <t>kg/GJ gas</t>
  </si>
  <si>
    <t>Brint (H2) og ilt (O2) dannes ved elektrolytisk spaltning af vand: 2H2O + energi → 2H2 + O2. Atomvægt 2,1 gmol=2 g=25 liter.</t>
  </si>
  <si>
    <t>Elektrolyse-anlæggets virkningsgrad er på mellem 60 og 70% (2206). Det forventes, at virkningsgraden kan øges op mod 90% (2025).</t>
  </si>
  <si>
    <t>Der dannes ingen skadelige forbindelser ved elektrolysen.</t>
  </si>
  <si>
    <t>Til fremstilling af 1 m³ H2 bruges 4,4 kWh og til komprimering til 200 bar bruges 0,9 kWh (2006). Det forventes, at energiforbruget til produktion af H2 kan reduceres (2025).</t>
  </si>
  <si>
    <t>Vi antager at elektrolysen sker decentralt ved tankningsanlæg (med lagerfacilitet), så omkostninger til distribution undgås. Til gengæld skal omk til lager/tankning med!</t>
  </si>
  <si>
    <t>Vand (behandlet) og el</t>
  </si>
  <si>
    <t>Komprimeret brint, procesvarme og ilt</t>
  </si>
  <si>
    <t>Elektrolysør: Norsk Hydro Electrolysers</t>
  </si>
  <si>
    <t>Tankanlæg: Hydrogenics Corporation</t>
  </si>
  <si>
    <t>GJ/t H2</t>
  </si>
  <si>
    <t>t H2/år</t>
  </si>
  <si>
    <t>WTW app2 s15 + Hydrogen Energy - Part 2 1994; Reinhold Wurster &amp; Werner Zittel</t>
  </si>
  <si>
    <t>Hydrogen Energy - Part 2 1994; Reinhold Wurster &amp; Werner Zittel</t>
  </si>
  <si>
    <t>el til elektrolysør</t>
  </si>
  <si>
    <t>el til kompression</t>
  </si>
  <si>
    <t>WTW app2 s15+16</t>
  </si>
  <si>
    <t>DKK/GJ H2</t>
  </si>
  <si>
    <t>vedligehold 2%/år af anlægsinvestering (Hvide Sande 2)</t>
  </si>
  <si>
    <t>salg af O2</t>
  </si>
  <si>
    <t>Upper heating value H2</t>
  </si>
  <si>
    <t>kJ/kg</t>
  </si>
  <si>
    <t>kWh/kg</t>
  </si>
  <si>
    <t>MJ/Nm3</t>
  </si>
  <si>
    <t>kWh/m3</t>
  </si>
  <si>
    <t>Salgspris O2</t>
  </si>
  <si>
    <t>kr/m3</t>
  </si>
  <si>
    <t>1 kWh el producerer</t>
  </si>
  <si>
    <t>kWh H2</t>
  </si>
  <si>
    <t>m3 O2</t>
  </si>
  <si>
    <t>kWh varme</t>
  </si>
  <si>
    <t>2 modeller er pt state-of-art: Inductive Charging og Conductive Charging - et fælles system er ikke besluttet</t>
  </si>
  <si>
    <t>Conductive systemer er billigere end Inductive systemer - hér er benyttet data for Inductive</t>
  </si>
  <si>
    <t>Conductive systemer forventes at blive state-of-art</t>
  </si>
  <si>
    <t>Strøm. Anlæg (enkelt) til privat brug er beskrevet</t>
  </si>
  <si>
    <t>Strøm lagret i batteri</t>
  </si>
  <si>
    <t>MWh out/MWh in</t>
  </si>
  <si>
    <t>MWh/år</t>
  </si>
  <si>
    <t>Eget skøn. Dækker omkostning til installation</t>
  </si>
  <si>
    <t>af stikkontakt til ladning (170407)</t>
  </si>
  <si>
    <t>Skønnet vedligeholdelsesfrit over levetid (170407)</t>
  </si>
  <si>
    <t>kg/GJ el in</t>
  </si>
  <si>
    <t>t DME/år</t>
  </si>
  <si>
    <t>GJ/t ethanol</t>
  </si>
  <si>
    <t>GJ/t biomasse</t>
  </si>
  <si>
    <t>Vægtandel i E85</t>
  </si>
  <si>
    <t>Vægt pr liter E85</t>
  </si>
  <si>
    <t>Konvertering råstof</t>
  </si>
  <si>
    <t>Oplade-elektricitet</t>
  </si>
  <si>
    <t>Standard AD personbiler</t>
  </si>
  <si>
    <t>GJ mellemprodukt/GJ råstof</t>
  </si>
  <si>
    <t>Der er forskellige spor som er udfordrende at få til at passe ned i det generelle format.</t>
  </si>
  <si>
    <t>Der er derfor lavet forskellige tilpasninger, som der er vigtigt at være opmærksom på:</t>
  </si>
  <si>
    <t>2) Ved beregning af spor med to konverteringer - f.eks. MeOH fra træ - sker der en omregning så emissioner udtrykkes pr. GJ mellemprodukt og ikke råstof</t>
  </si>
  <si>
    <t>som der ellers står i enhedsangivelsen.</t>
  </si>
  <si>
    <t>- levering an mellemprodukt</t>
  </si>
  <si>
    <t>3) Ved blandingsbrændslerne (E85) er der for miljø anvendt en enkel beregningsgang hvor emissioner</t>
  </si>
  <si>
    <t>før køretøjer vægtes sammen i forhold til energiindhold.</t>
  </si>
  <si>
    <t>Denne metode afviger fra det originale AD ark, men man får samme resultat (på nær noget afrunding)</t>
  </si>
  <si>
    <t>1) Spor på el  - her skal konverteringen af mellemproduktetbruges til beregning af milø og trans og transdist virkningsgrader for konvertering råstof</t>
  </si>
  <si>
    <t xml:space="preserve">Derfor er der lavet "et trick" i beregningerne hvor der holdes øje med dette. Er ej kønt…. </t>
  </si>
  <si>
    <t>DKK/GJ out</t>
  </si>
  <si>
    <t>Ny konvertering</t>
  </si>
  <si>
    <t>Energiindhold - råstof</t>
  </si>
  <si>
    <t>t/t input</t>
  </si>
  <si>
    <t>DKK/GJ output</t>
  </si>
  <si>
    <t>kg/GJ input</t>
  </si>
  <si>
    <t>Lastbil DME</t>
  </si>
  <si>
    <t>Biomasse</t>
  </si>
  <si>
    <t>samt i den efterfølgende rapport med dokumentation af opdateringen "Supplenrede alternative drivmidler analyser", marts 2010.</t>
  </si>
  <si>
    <t>Regnearket er en opdatering og videreudvikling af en tidligere opstillet beregningsmodel for alternative drivmidler.</t>
  </si>
  <si>
    <t xml:space="preserve">Oversigten nedenfor viser de enkelte elementer som indgår i hvert teknologi-spor. </t>
  </si>
  <si>
    <t>Ved at trykke på elementerne flyttes man til det sted i arket hvor elementet er beskrevet.</t>
  </si>
  <si>
    <t>Konverteringer af råstoffer</t>
  </si>
  <si>
    <t>Konverteringer af mellemprodukter</t>
  </si>
  <si>
    <t>Motorteknologier</t>
  </si>
  <si>
    <t>Nye herfra</t>
  </si>
  <si>
    <t>Energistyrelsen. Biogasanlæg business case: Model 1000 m3/dag med salg af gas til decentral KV-værk og halmprocesvarme. Rev. 2009.05.25</t>
  </si>
  <si>
    <t>Energistyrelsen. Forudsætninger for samfundsøkonomiske analyser på energi-området. Maj 2009</t>
  </si>
  <si>
    <t>Alle priser i faktorpriser</t>
  </si>
  <si>
    <t>Lastbiler</t>
  </si>
  <si>
    <t>http://www.dlg.dk/Afgroeder/Noteringer/Boersnotering.htm</t>
  </si>
  <si>
    <t>Prisniveau, år</t>
  </si>
  <si>
    <t>Stigning i %</t>
  </si>
  <si>
    <t>Prisudvikling</t>
  </si>
  <si>
    <t>og det er derfor ikke muligt umiddelbart at genkende priser. Korrektionsfaktoren udgør:</t>
  </si>
  <si>
    <t>Note: Emissionskoefficienter for 2007, transport dog 2006</t>
  </si>
  <si>
    <t xml:space="preserve"> Centrale beregningsmæssige noter</t>
  </si>
  <si>
    <t>Drivmiddel</t>
  </si>
  <si>
    <t>MJ/kg</t>
  </si>
  <si>
    <t>MJ drivmiddel/km</t>
  </si>
  <si>
    <t>Forudsætninger for samfundsøkonomiske analyser på energiområdet. Energistyrelsen. April 2011.</t>
  </si>
  <si>
    <t>Det betyder bl.a. at ENS forudsætningskatalog med priser angivet som 2009 priser er fremskrevet med prisudviklingen nedenfor,</t>
  </si>
  <si>
    <t>Dagskurs per 7/9 2011</t>
  </si>
  <si>
    <t>Pris</t>
  </si>
  <si>
    <t>pris år</t>
  </si>
  <si>
    <t>omkostning emisson CO2</t>
  </si>
  <si>
    <t>kommentar</t>
  </si>
  <si>
    <t>by</t>
  </si>
  <si>
    <t>land</t>
  </si>
  <si>
    <t>traffikarbejde</t>
  </si>
  <si>
    <t>vægtet</t>
  </si>
  <si>
    <t>El-pris vægtet Nordpool</t>
  </si>
  <si>
    <t>Brændselsforbrug til elproduktion</t>
  </si>
  <si>
    <t>Elproduktion</t>
  </si>
  <si>
    <t>TJ</t>
  </si>
  <si>
    <t>andel vind</t>
  </si>
  <si>
    <t>Virkningsgrad uden vind</t>
  </si>
  <si>
    <t>El-pris an virksomhed (brint)</t>
  </si>
  <si>
    <t>+15% ift 0.16 i 2002 bilen</t>
  </si>
  <si>
    <t>EU kommisionens forordning nr. 692/2008 om EURO V og VI normer</t>
  </si>
  <si>
    <t>Forbedringer i virkningsgrad</t>
  </si>
  <si>
    <t>IEA, Energy Technology Perspectives 2008.</t>
  </si>
  <si>
    <t>108.000 over bilens levetid inkl. batteriskift</t>
  </si>
  <si>
    <t>Better Place, Renault Fluence</t>
  </si>
  <si>
    <t>COWI, Literaturstudie vedrørerende aktuelle og forventede priser på batterier, sendt til ENS</t>
  </si>
  <si>
    <t>Catalyst, Forsøgsordning med el-biler - tredje runde. Juni 2011. ENS</t>
  </si>
  <si>
    <t>som benzin bil</t>
  </si>
  <si>
    <t>forventet effektivisering i energiforbrug og som CO2eq, derfor medtages ikke CH4 og N2O</t>
  </si>
  <si>
    <t>Michael Sloth, Note om prisreduktionspotentiale for brændselsceller til biler - justeret for langsommere udrulning</t>
  </si>
  <si>
    <t>som diesel</t>
  </si>
  <si>
    <t>Emissioner fra energiforbrug, transport</t>
  </si>
  <si>
    <t>Emissioner fra lastbiler</t>
  </si>
  <si>
    <t>baseline vehicle</t>
  </si>
  <si>
    <t>Gasoline tank</t>
  </si>
  <si>
    <t>Baseline engine and transmission</t>
  </si>
  <si>
    <t>electric motor + controller</t>
  </si>
  <si>
    <t>total</t>
  </si>
  <si>
    <t>http://www.biofuelsb2b.com/useful_info.php?page=Typic</t>
  </si>
  <si>
    <t>WTT appendix 1, chapter 9 + 11</t>
  </si>
  <si>
    <t>WTT appendix 1, chapter 9 + 11, egne beregninger nederst</t>
  </si>
  <si>
    <t>Concawe (2011): Well-to-wheels analysis of future automotive fuels and power-trains in the European Context. November 2011.</t>
  </si>
  <si>
    <t>Øget anvendelse af fx russisk gas kan føre til faldende energiindhold. Energiindholdet er også faldet siden 2006 0,2 GJ/1000Nm3</t>
  </si>
  <si>
    <t>Skib</t>
  </si>
  <si>
    <t>WTT appendix 1, chapter 4.1</t>
  </si>
  <si>
    <t>Energistyrelsen. Energistatistik 2011.</t>
  </si>
  <si>
    <t>El-pris an husholdning (el-bil)</t>
  </si>
  <si>
    <t>Kul pris</t>
  </si>
  <si>
    <t>beregning af virkningsgrader ved ændret VE andel</t>
  </si>
  <si>
    <t>SØK brændselspris Naturgas an værk</t>
  </si>
  <si>
    <t>Naturgas importpris</t>
  </si>
  <si>
    <t>WTT appendix 1, chapter 5.4</t>
  </si>
  <si>
    <t>Ethanol på sukkerrør</t>
  </si>
  <si>
    <t>Oplysninger per email fra Steffen Müller, produktionschef i Volvo Danmark, november 2011</t>
  </si>
  <si>
    <t>WTT appendix 2, chapter 3, excl. distribution</t>
  </si>
  <si>
    <t>IEA, Technology Roadmap - Biofuels for Transport, 2011</t>
  </si>
  <si>
    <t>Biodiesel på palmeolie</t>
  </si>
  <si>
    <t>WTT appendix 1, chapter 2</t>
  </si>
  <si>
    <t>WTT appendix 2, chapter 4, excl. distribution</t>
  </si>
  <si>
    <t>Støj</t>
  </si>
  <si>
    <t>Benzin bil</t>
  </si>
  <si>
    <t>Diesel bil</t>
  </si>
  <si>
    <t>El bil</t>
  </si>
  <si>
    <t>AD Køretøj</t>
  </si>
  <si>
    <t>Støj Køretøj</t>
  </si>
  <si>
    <t>FAME palmeolie</t>
  </si>
  <si>
    <t>Importspor</t>
  </si>
  <si>
    <t>Værdi emissioner + støj</t>
  </si>
  <si>
    <t>el-forbrug</t>
  </si>
  <si>
    <t>Dampforbrug</t>
  </si>
  <si>
    <t>Rafinaderigas</t>
  </si>
  <si>
    <t>Prisjusteringer</t>
  </si>
  <si>
    <t>Reparationer, ekskl. dæk og olie</t>
  </si>
  <si>
    <t>Olieskift</t>
  </si>
  <si>
    <t>Brændstofforbrug</t>
  </si>
  <si>
    <t>Motorvirkningsgrad</t>
  </si>
  <si>
    <t>Olieskift interval</t>
  </si>
  <si>
    <t>km/skift</t>
  </si>
  <si>
    <t>Olieskift pris</t>
  </si>
  <si>
    <t>kr/skift</t>
  </si>
  <si>
    <t>Totalvægt</t>
  </si>
  <si>
    <t>EURO V</t>
  </si>
  <si>
    <t>EURO IV</t>
  </si>
  <si>
    <t>PM</t>
  </si>
  <si>
    <t>Lastbil til regionaldistribution, 500-800 km kørsel per dag i Danmark</t>
  </si>
  <si>
    <t>Totalvægt 26 ton som solokøretøj, 60 ton som modulvogntog</t>
  </si>
  <si>
    <t>Mulighed for brug af biomasse som råstof, ingen særlige krav til drivmiddel infrastruktur</t>
  </si>
  <si>
    <t>Forringet energieffektivitet i DME fremstilling</t>
  </si>
  <si>
    <t>13-liters motor med 460 hk</t>
  </si>
  <si>
    <t>Bedre klimaprofil pga. brændstof, større NOx emission, men lavere partikel og svovl emission</t>
  </si>
  <si>
    <t>Forhøjet korrosion fra kemisk mere aktiv RME, kræver forbedrede pakninger</t>
  </si>
  <si>
    <t>D&amp;V ex olie</t>
  </si>
  <si>
    <t>Falder med 10 %</t>
  </si>
  <si>
    <t>ton/m3</t>
  </si>
  <si>
    <t>Energiindhold og vægtfylder for drivmidler</t>
  </si>
  <si>
    <t>1 kWh i J</t>
  </si>
  <si>
    <t>kWh/GJ</t>
  </si>
  <si>
    <t>GJ per kWh</t>
  </si>
  <si>
    <t>gKWh</t>
  </si>
  <si>
    <t>EURO VI</t>
  </si>
  <si>
    <t>EURO III</t>
  </si>
  <si>
    <t>EURO II</t>
  </si>
  <si>
    <t>EURO I</t>
  </si>
  <si>
    <t>TABLE 2: Emission Standards for Diesel and Gas Engines, ETC Test, g/kWh</t>
  </si>
  <si>
    <t>energienheder</t>
  </si>
  <si>
    <t>Energiindhold i brændsler</t>
  </si>
  <si>
    <t>Syn Diesel</t>
  </si>
  <si>
    <t>Hydrogen</t>
  </si>
  <si>
    <t>Lorie Hamelin, 2011. Modeling land use changes in consequential LCA, presentation, meta study</t>
  </si>
  <si>
    <t>CO2 kvoter</t>
  </si>
  <si>
    <t>LUC</t>
  </si>
  <si>
    <t>Ingen LUC</t>
  </si>
  <si>
    <t>Der anvendes ikke LUC i beregningerne</t>
  </si>
  <si>
    <t>Der anvendes et lavt skøn for LUC baseret på medianen blandt 8 studier</t>
  </si>
  <si>
    <t>Der anvendes et højt skøn for LUC baseret på medianen blandt 8 studier</t>
  </si>
  <si>
    <t>L-Diesel</t>
  </si>
  <si>
    <t>Lastbil RME</t>
  </si>
  <si>
    <t>Biler</t>
  </si>
  <si>
    <t>Egen vurdering p baggrund af effektivitetsgevinst i elektrolyse</t>
  </si>
  <si>
    <t>Virkningsgrad og emissioner</t>
  </si>
  <si>
    <t>Eldrevet bil, hvor elproduktionen sker om bord i bilen ved hjælp af brændselsceller og en reformer der omformer methanol</t>
  </si>
  <si>
    <t>Brændstof inkl. infrastruktur</t>
  </si>
  <si>
    <t>Samfundsøkonomi</t>
  </si>
  <si>
    <t>Hydrogen Link, Brint til transport i Danmark frem mod 2050, www.hydrogennet.dk</t>
  </si>
  <si>
    <t>www.eof.dk</t>
  </si>
  <si>
    <t>Brændselscelle</t>
  </si>
  <si>
    <t>Batteri</t>
  </si>
  <si>
    <t>DKK/kWh</t>
  </si>
  <si>
    <t>WtW bil uden FC, reformer og batteri</t>
  </si>
  <si>
    <t>Total bil</t>
  </si>
  <si>
    <t>WtW bil uden FC</t>
  </si>
  <si>
    <t>WTT appendix 1, chapter 4.1, gennemsnitlig udledning fra de oliekilder der typisk forsyner EU. Er blevet opjusteret siden sidste version af WtW</t>
  </si>
  <si>
    <t xml:space="preserve">Langsigtet marginal el emission fra det sidst opførte anlæg </t>
  </si>
  <si>
    <t>Gennemsnitlig el emission baseret på "vores energi"</t>
  </si>
  <si>
    <t>Gennemsnitlig</t>
  </si>
  <si>
    <t>Emission fra El produktion</t>
  </si>
  <si>
    <t>Langsigtet marginal</t>
  </si>
  <si>
    <t>7 ark med:</t>
  </si>
  <si>
    <t>Kontrolpanel og Resultater</t>
  </si>
  <si>
    <t>Ark til omregning af pris-år</t>
  </si>
  <si>
    <t>kr/MWh</t>
  </si>
  <si>
    <t>Benyttes ikke videre. Halmpris fremgår af råstofarket.</t>
  </si>
  <si>
    <t>Oplysninger per mail fra Anton Freiesleben, Scania Danmark A/S, 10. januar 2012, telefon 2551 8049</t>
  </si>
  <si>
    <t>L-CNG</t>
  </si>
  <si>
    <t>Oplysninger fra Claes Westberg, Volvo (via mail fra Steffen Müller, Volvo d. 9/1-2012)</t>
  </si>
  <si>
    <t>Bus 4x2 hjul (Volvo B9L), fladt terræn, middel belægning og moderat temperatur uden AC.</t>
  </si>
  <si>
    <t>86 kW Dieselmotor</t>
  </si>
  <si>
    <t>EVV</t>
  </si>
  <si>
    <t>g/kWh</t>
  </si>
  <si>
    <t>Bus Diesel</t>
  </si>
  <si>
    <t>Bus Gas</t>
  </si>
  <si>
    <t>Bus Hybrid</t>
  </si>
  <si>
    <t>Power Point præsentation "Alternative Fuels Volvo Busser Danmark A/S" fra Jens Ommen, Volvo (via mail fra Steffen Müller 15/12-2011 til Michael Rask)</t>
  </si>
  <si>
    <t>Lastbil Gas</t>
  </si>
  <si>
    <t>Busser</t>
  </si>
  <si>
    <t>Hybrid</t>
  </si>
  <si>
    <t>Spørgsmål:</t>
  </si>
  <si>
    <t>30 % forbedring brændstofeffektivitet ifht diesel</t>
  </si>
  <si>
    <t>365 dage/år x 16 t/dag x 18,6 km/t</t>
  </si>
  <si>
    <t>Hybrid er 30 % bedre jf slide 27</t>
  </si>
  <si>
    <t>1b) Mer-pris for gas-bus er vel cirka den samme som merpris for gas lastbil, eller?</t>
  </si>
  <si>
    <t>2a) Fordeler drfitsomkostningerne sig på samme måde som med lastbiler</t>
  </si>
  <si>
    <t>1c) Hvad er merindkøbsprisen for hybridbus</t>
  </si>
  <si>
    <t>1a) Hvad er indkøbsprisen på en normal diesel bus?</t>
  </si>
  <si>
    <t>3a) Hvad er totalvægten på en bus?</t>
  </si>
  <si>
    <t>4a) Er der forskelle i olieskift mønstreret og olieskift prisen mellem de forskellige bustyper?</t>
  </si>
  <si>
    <t>Motor/biltype</t>
  </si>
  <si>
    <t>Bus</t>
  </si>
  <si>
    <t>Euro V</t>
  </si>
  <si>
    <t>Euro VI</t>
  </si>
  <si>
    <t>TSP</t>
  </si>
  <si>
    <t>Høringssvar fra Morten Winther, Institut for Miljøvidenskab (EVNS), Aarhus Universitet (mail til Michael Rask d. 16/12-2011)</t>
  </si>
  <si>
    <t>Emissioner fra Lastbiler (Diesel RT 20 - 26t)</t>
  </si>
  <si>
    <t>Stiger med 20 %</t>
  </si>
  <si>
    <t xml:space="preserve">"The Mercedes-Benz Econic NGT/Biogas Conservation of Natural Resources", præsentation fremsendt med hørnigssvar af Daimler ved Lars van het Erve, lars.erve@daimler.com, +45 6023 9021 </t>
  </si>
  <si>
    <t xml:space="preserve">Kilde: [25] </t>
  </si>
  <si>
    <t>Emissioner fra Bybusser (Diesel Urban Buses 15 - 18t)</t>
  </si>
  <si>
    <t>motor</t>
  </si>
  <si>
    <t>Plugin Hybrid</t>
  </si>
  <si>
    <t>Aftalt mellem COWI og ENS</t>
  </si>
  <si>
    <t>Emails fra Kurt Vinther (kurt.vinther@volvo.com), Volvo d. 23/1-2012</t>
  </si>
  <si>
    <t>5 % mindre vedligehold</t>
  </si>
  <si>
    <t>B-Diesel</t>
  </si>
  <si>
    <t>B-CNG</t>
  </si>
  <si>
    <t>B-Hybrid</t>
  </si>
  <si>
    <t>Antaget 50 % af normal bil</t>
  </si>
  <si>
    <t>Strøm fra el-net til batteri, kun privat ladestander</t>
  </si>
  <si>
    <t>Strøm fra el-net til batteri, privat ladestander samt bidrag til net af ladestandere i det offentlige rum</t>
  </si>
  <si>
    <t>Ladestation Hybrid</t>
  </si>
  <si>
    <t>WTW app2 s15+16, hentet fra et meget stort anlæg på 900 t H2/år, scaleret til dette anlæg på 18 t H2/år</t>
  </si>
  <si>
    <t>Choose EV, ENS</t>
  </si>
  <si>
    <t>andel vind i gennemsnitsel</t>
  </si>
  <si>
    <t>andel vind i langsigts marginal el</t>
  </si>
  <si>
    <t>Efffektivitet angivet på slide 16, der antaget det halve af forbedringen i diesel</t>
  </si>
  <si>
    <t>Investering</t>
  </si>
  <si>
    <t>Samlet</t>
  </si>
  <si>
    <t>Drift</t>
  </si>
  <si>
    <t>Lastbiler og busser</t>
  </si>
  <si>
    <t>Infrastuktur</t>
  </si>
  <si>
    <t>Biogas komprimering</t>
  </si>
  <si>
    <t>Naturgas (eller propaniseret biogas)</t>
  </si>
  <si>
    <t>Dato</t>
  </si>
  <si>
    <t>GJ/1000Nm3 eller MJ/Nm3</t>
  </si>
  <si>
    <t>Gap i motorvirkningsgrad til diesel</t>
  </si>
  <si>
    <t>Oplysninger per email fra Niels Frees, Trafikstyrelsen, bekræftet af ENS. 07-09-2012.</t>
  </si>
  <si>
    <t>Aftalt mellem COWI og ENS, per energi leveret - IKKE per energi indfyret</t>
  </si>
  <si>
    <t>OBS! anden formel</t>
  </si>
  <si>
    <t>Ingen svovl i gas</t>
  </si>
  <si>
    <t>Log over ændringer i Alternative Drivmidler</t>
  </si>
  <si>
    <t>AKTUELLE RESULTATER, samfundsøkonomi (kr/km)</t>
  </si>
  <si>
    <t>TIDLIGERE RESULTATER, samfundsøkonomi (kr/km)</t>
  </si>
  <si>
    <t>TIDLIGERE RESULTATER, emissioner g CO2e/km</t>
  </si>
  <si>
    <t>Difference</t>
  </si>
  <si>
    <t>Antal logs</t>
  </si>
  <si>
    <t>År 2020</t>
  </si>
  <si>
    <t>År 2030</t>
  </si>
  <si>
    <t>Log 2020</t>
  </si>
  <si>
    <t>Log 2030</t>
  </si>
  <si>
    <t>Kolonnenr. for drivmiddel</t>
  </si>
  <si>
    <t>Drivmiddelpris i alt</t>
  </si>
  <si>
    <t>Initialer</t>
  </si>
  <si>
    <t>Forklaring</t>
  </si>
  <si>
    <t>MIKR</t>
  </si>
  <si>
    <t>Korrektion for produktion af biprodukter</t>
  </si>
  <si>
    <t>Samlede omkostninger, drivmiddel</t>
  </si>
  <si>
    <t>Indtægt ved biprodukt</t>
  </si>
  <si>
    <t>Omkostningsandel drivm./biprod.</t>
  </si>
  <si>
    <t>MJ/liter</t>
  </si>
  <si>
    <t>Distribution - tab, procesenergi og omkostninger</t>
  </si>
  <si>
    <t>Distrbuition omfatter transport med tankbil, naturgas- eller elnettet</t>
  </si>
  <si>
    <t>Energiindh.</t>
  </si>
  <si>
    <t>SØK pris an værk</t>
  </si>
  <si>
    <t>Opstrøm energiforbr</t>
  </si>
  <si>
    <t xml:space="preserve">Netto energifrembringelse </t>
  </si>
  <si>
    <t>Type</t>
  </si>
  <si>
    <t>GJ/GJ out</t>
  </si>
  <si>
    <t>GJ/GJ in</t>
  </si>
  <si>
    <t>GJ out/GJ in</t>
  </si>
  <si>
    <t>Konvertering af råstof - primært brændstof - før distribution ab anlæg</t>
  </si>
  <si>
    <t>GJ ud/GJ ind</t>
  </si>
  <si>
    <t>GJ / GJ ud</t>
  </si>
  <si>
    <t>GJ output/år</t>
  </si>
  <si>
    <t>Elektricitet til opladning af elbiler, se arket råstoffer</t>
  </si>
  <si>
    <t>Elektricitet til produktion af brint, se arket råstoffer</t>
  </si>
  <si>
    <t>1 DKK/MWh</t>
  </si>
  <si>
    <t>varme - OBS: Formentlig formelfejl i varmeproduktion 2020</t>
  </si>
  <si>
    <t>t H2/GJ</t>
  </si>
  <si>
    <t>GJ drivmiddel/GJ mellemprodukt</t>
  </si>
  <si>
    <t>Proces CO2 ækv.</t>
  </si>
  <si>
    <t>Opstrøm energi kilde (dvs. transport/motor form for råstoffet)</t>
  </si>
  <si>
    <t>Proces NOx ækv.</t>
  </si>
  <si>
    <t>Proces SO2 ækv.</t>
  </si>
  <si>
    <t>Proces energi, type</t>
  </si>
  <si>
    <t>Lastbil, by</t>
  </si>
  <si>
    <t>g SO2/GJ</t>
  </si>
  <si>
    <t>g NOx/g</t>
  </si>
  <si>
    <t>Konvertering af mellemprodukt til brændstof - efter distribution an tank</t>
  </si>
  <si>
    <t xml:space="preserve">Emissioner i alt ab råstofkonvertering (proces + opstrøm emissioner fra råstof + korrektion for biprodukter)  </t>
  </si>
  <si>
    <t>Ingen</t>
  </si>
  <si>
    <t>Dette ark erstatter DistMellemprodukt og TransDist fra modelversion 5</t>
  </si>
  <si>
    <t>Lastbil, motorvej</t>
  </si>
  <si>
    <t>kg/GJ mellemprodukt</t>
  </si>
  <si>
    <t>Procesenergiforbrug emissioner, kg/GJd eller kg/GJ mellemprodukt</t>
  </si>
  <si>
    <t>Indtægter fra biprodukter ved mellemkonv</t>
  </si>
  <si>
    <t>Samlede omkostninger ved mellemkonv.</t>
  </si>
  <si>
    <t>DKK/GJ drivmiddel</t>
  </si>
  <si>
    <t>Fordeling af emissioner i mellemkonvertering ud fra værdien af hovedprodukt og biprodukt</t>
  </si>
  <si>
    <t>Ingen mellemkonvertering</t>
  </si>
  <si>
    <t>Beregning af energitab i mellemkonvertering</t>
  </si>
  <si>
    <t>Konverteringsfaktor mellem-&gt;drivm. korrigeret for biprodukter</t>
  </si>
  <si>
    <t>Proces energiemissioner, råstofkonvertering:</t>
  </si>
  <si>
    <t>Distributionstab råstofkonv. -&gt; mellemkonv.</t>
  </si>
  <si>
    <t>GJ råstof / GJ råstof</t>
  </si>
  <si>
    <t>Drivmiddelandel af energiforbrug i konvertering</t>
  </si>
  <si>
    <t>(dvs. procesemissioner fra første konvertering - fx energiforbrug  -  dog er der ikke korrigeret for produktion af biprodukter)</t>
  </si>
  <si>
    <t>Kilde: Råstofkonverteringsarkene (de gule, arknavn fremgår af række 12, rækkenumre for data fremgår i kolonne A)</t>
  </si>
  <si>
    <t>Kilde: Arket Råstoffer, opslag i tabel øvest på ark ud fra råstof angivet i række 7</t>
  </si>
  <si>
    <t xml:space="preserve">Emissioner i alt an mellemkonvertering (emissioner ab råstofkonvertering + tab + procesenergi til distribution råstofkonv-&gt;mellemkonv.)  </t>
  </si>
  <si>
    <t xml:space="preserve">Råstofudvinding og -konvertering </t>
  </si>
  <si>
    <t>Proces energiemissioner, transport af mellemprodukt fra råstofkonvertering til mellemkonvertering</t>
  </si>
  <si>
    <t>Teknologi, råstofkonvertering (gule ark)</t>
  </si>
  <si>
    <t>Teknologi, mellemproduktkonvertering (orange ark)</t>
  </si>
  <si>
    <t>Mellemkonvertering</t>
  </si>
  <si>
    <t>Distribution fra råstofkonvertering til mellemkonvertering</t>
  </si>
  <si>
    <t>Baggrundsdata for beregning af tab og procesenergi i transport fra råstof- til mellemkonvertering</t>
  </si>
  <si>
    <t>Kilde: Arket Distribution</t>
  </si>
  <si>
    <t xml:space="preserve">Emissioner i alt ab mellemkonvertering (emissioner an mellemkonvertering + procesenergi og tab i mellemkonvertering)  </t>
  </si>
  <si>
    <t>Distribution efter mellemkonvertering</t>
  </si>
  <si>
    <t>Distributionstab i transport fra råstofkonvertering til mellemprodukt</t>
  </si>
  <si>
    <t>Emissioner ved distribution af drivmiddel fra mellemkonvertering til tank</t>
  </si>
  <si>
    <t>Samlede emissioner an tank (opstrøm, råstof- og mellemkonvertering og distribution)</t>
  </si>
  <si>
    <t>Kilde: Tabelopslag i arket Drivmidler</t>
  </si>
  <si>
    <t>Konvereteringsvirkningsgrad</t>
  </si>
  <si>
    <t>GJ drivm/GJ mellemprod</t>
  </si>
  <si>
    <t>Ver5.0 Diff</t>
  </si>
  <si>
    <t>DKK / GJ drivmiddel</t>
  </si>
  <si>
    <t>kr/GJ drivmiddel</t>
  </si>
  <si>
    <t>Råstof input i råstofkonvertering (opslag på "Råstof" ark)</t>
  </si>
  <si>
    <t>Transport/distribution af mellemprodukt (opslag på "Distribition" ark)</t>
  </si>
  <si>
    <t>Transport/distribution af drivmiddel  (opslag på "Distribition" ark)</t>
  </si>
  <si>
    <t xml:space="preserve">(produktion og transport af fx råolie eller biomasse til raffinaderi) </t>
  </si>
  <si>
    <t>Opstrøms- og køretøjsemissioner</t>
  </si>
  <si>
    <t>Samlede emissioner per mekanisk energiforbrug</t>
  </si>
  <si>
    <t>Samlede emissioner per trafikarbejde</t>
  </si>
  <si>
    <t>Infrastrukturomkostninger ved levering af drivmiddel</t>
  </si>
  <si>
    <t>CNG</t>
  </si>
  <si>
    <t>CBG</t>
  </si>
  <si>
    <t>Diesel-kul</t>
  </si>
  <si>
    <t>El-hybrid</t>
  </si>
  <si>
    <t>Ethanol-hvede</t>
  </si>
  <si>
    <t>Ethanol-halm</t>
  </si>
  <si>
    <t>Ethanol-sukkerrør</t>
  </si>
  <si>
    <t>Netto virkningsgrad importerede</t>
  </si>
  <si>
    <t>- indenlandsk</t>
  </si>
  <si>
    <t>- importeret</t>
  </si>
  <si>
    <t>Råstofudvinding - energieffektivitet</t>
  </si>
  <si>
    <t>Råstofkonvertering - energieffektivitet</t>
  </si>
  <si>
    <t>- procesenergiforbrug - råstofkonv. -&gt; mellemkonv.</t>
  </si>
  <si>
    <t>- distributionstab -&gt; råstofkonv. -&gt; mellemkonv.</t>
  </si>
  <si>
    <t>GJ /GJ råstof (%)</t>
  </si>
  <si>
    <t>Mellemkonvertering - energieffektivitet</t>
  </si>
  <si>
    <t>- distributionstab -&gt; mellemkonv. -&gt; tank</t>
  </si>
  <si>
    <t>- procesenergiforbrug - mellemkonv. -&gt; tank</t>
  </si>
  <si>
    <t>Distributioneffektivitet - råstofkonv -&gt; mellemkonv.</t>
  </si>
  <si>
    <t>Distributionseffektivitet, transport</t>
  </si>
  <si>
    <t>Kilde: Råstofkonverteringsark (gule), mellemkonverteringsark (orange), samt arkene Råstof og Distribition jf. labels i række 7-11</t>
  </si>
  <si>
    <t xml:space="preserve">Opstrøms- og råstofkonverterings procesenergiforbrug </t>
  </si>
  <si>
    <t>Råstof konverteringsfaktor</t>
  </si>
  <si>
    <t>OBS: Diesel er 74 kg/GJ</t>
  </si>
  <si>
    <t>Kolonnenr på drivmiddel ark</t>
  </si>
  <si>
    <t>Virkningsgrader, primært drivmiddel</t>
  </si>
  <si>
    <t>Virkningsgrader, sekundært drivmiddel</t>
  </si>
  <si>
    <t>Systemvirkningsgrad, primært drivmiddel</t>
  </si>
  <si>
    <t>Systemvirkningsgrad, sekundært drivmiddel</t>
  </si>
  <si>
    <t>Virkningsgrad sekundær motor</t>
  </si>
  <si>
    <t>Virkningsgrad primær motor</t>
  </si>
  <si>
    <t>GJ mek/GJ primær energi</t>
  </si>
  <si>
    <t>Vægtet virkningsgrad, 2 drivmidler</t>
  </si>
  <si>
    <t>Systemvirkningsgrad, 2 drivmidler</t>
  </si>
  <si>
    <t>Opstrøm emissioner i alt an tank primært drivmiddel</t>
  </si>
  <si>
    <t>Opstrøm emissioner i alt an tank sekundært drivmidde</t>
  </si>
  <si>
    <t>Emissioner køretøj, primært drivmiddel:</t>
  </si>
  <si>
    <t>Emissioner køretøj, sekundært drivmiddel:</t>
  </si>
  <si>
    <t>Mellemprodukt - afskrivninger</t>
  </si>
  <si>
    <t>Mellemprodukt - levering an tank</t>
  </si>
  <si>
    <t>Mellemprodukt - øvrige faste</t>
  </si>
  <si>
    <t>Køretøjs teknologier</t>
  </si>
  <si>
    <t>Køretøjsøkonomi</t>
  </si>
  <si>
    <t>DME-træ</t>
  </si>
  <si>
    <t>MeOH-træ</t>
  </si>
  <si>
    <t>Note: (Endnu) ingen data for andre emissioner end CO2 - se motorspecifikke emissioner på røde motor ark</t>
  </si>
  <si>
    <t>Kolonnenr primært drivmiddel</t>
  </si>
  <si>
    <t>Kolonnenr sekundært drivmiddel</t>
  </si>
  <si>
    <t>Drivmiddelspecifikke emissioner (tank-&gt;hjul) primært drivmiddel</t>
  </si>
  <si>
    <t>Drivmiddelspecifikke emissioner (tank-&gt;hjul) sekundært drivmiddel</t>
  </si>
  <si>
    <t>Motorvirkningsgrad, primært drivmiddel</t>
  </si>
  <si>
    <t>Motorvirkningsgrad, sekundært drivmiddel</t>
  </si>
  <si>
    <t>Samlede emissioner per drivmiddelforbrug, sekundært drivmiddel</t>
  </si>
  <si>
    <t>Samlede emissioner per drivmiddelforbrug, primært drivmiddel</t>
  </si>
  <si>
    <t>Virkningsgrad primær</t>
  </si>
  <si>
    <t>Virkningsgrad sekundær</t>
  </si>
  <si>
    <t>CO2 emissioner beregnes i køretøjsark</t>
  </si>
  <si>
    <t>Note: kg/GJ drivmiddel betegner summen af primært og sekundært drivmiddel, dvs. samlet indfyring i motor</t>
  </si>
  <si>
    <t>Emissionskoefficienter specifikke for drivmidler (og ikke afhængige af motorteknologi)</t>
  </si>
  <si>
    <t>Oplysninger per mail fra ENS, Henrik Duer, 06/12 2012</t>
  </si>
  <si>
    <t>Høringssvar til Alternative Drivmidler, jan 2012, SerEnergy A/S, Danish Power Systems, Nordic Green, Aalborg University. inklusiv uddybning per 10/12 2012</t>
  </si>
  <si>
    <t>MHO</t>
  </si>
  <si>
    <t>GJ mek/GJ MeOH</t>
  </si>
  <si>
    <t>serenergy</t>
  </si>
  <si>
    <t>som elbil</t>
  </si>
  <si>
    <t>kg/Gjdrivmiddel</t>
  </si>
  <si>
    <t>Brændselscelle, omk.</t>
  </si>
  <si>
    <t>Brændselscelle, pris</t>
  </si>
  <si>
    <t>DKK/kW</t>
  </si>
  <si>
    <t>Brændselscelle,kapacitet</t>
  </si>
  <si>
    <t>kW</t>
  </si>
  <si>
    <t>Reformer, omk.</t>
  </si>
  <si>
    <t>Reformer, pris</t>
  </si>
  <si>
    <t>SerEnergy</t>
  </si>
  <si>
    <t>Reformer, kapacitet</t>
  </si>
  <si>
    <t>Batteri, pris</t>
  </si>
  <si>
    <t>Batteri, kapacitet</t>
  </si>
  <si>
    <t>kWh</t>
  </si>
  <si>
    <t>Middel energiforbrug an køretøj ved ren MeOH kørsel</t>
  </si>
  <si>
    <t>Produktionsdata</t>
  </si>
  <si>
    <t xml:space="preserve">Varme </t>
  </si>
  <si>
    <t>Damp</t>
  </si>
  <si>
    <t>GJ/GJ naturgas</t>
  </si>
  <si>
    <t>GJ/GJ ?</t>
  </si>
  <si>
    <t>4%  ????</t>
  </si>
  <si>
    <t>32,5 % ???</t>
  </si>
  <si>
    <t>EL - peakload</t>
  </si>
  <si>
    <t>El - baseload</t>
  </si>
  <si>
    <t xml:space="preserve">Olie </t>
  </si>
  <si>
    <t>Gylle</t>
  </si>
  <si>
    <t xml:space="preserve">CH4 </t>
  </si>
  <si>
    <t>SO₂</t>
  </si>
  <si>
    <t>CO₂</t>
  </si>
  <si>
    <t>kr./GJ</t>
  </si>
  <si>
    <t>GJ/GJ råolie</t>
  </si>
  <si>
    <t>LUC/iLUC CO2 ækv.</t>
  </si>
  <si>
    <t>Total opstrøm CO₂ emis</t>
  </si>
  <si>
    <t>Naturgas kedel</t>
  </si>
  <si>
    <t>Opstrøm råstof emissioner beregnet ud fra energiforbrug (men ikke LUC/iLUC)</t>
  </si>
  <si>
    <t>Øvrige proces emissioner, råstofkonvertering:</t>
  </si>
  <si>
    <t>(f.eks anlægsspecifikke emissioner ikke knyttet til energiforbrug)</t>
  </si>
  <si>
    <t>Kilde: Råstofkonverteringsarkene (de gule, arknavn fremgår af række 10, rækkenumre for data fremgår i kolonne A)</t>
  </si>
  <si>
    <t>Kilde: Mellemkonverteringsarkene (de orange, arknavn fremgår af række 11, rækkenumre for data fremgår i kolonne A)</t>
  </si>
  <si>
    <t>GJ/GJ ind</t>
  </si>
  <si>
    <t>GJ/GJ el ind</t>
  </si>
  <si>
    <t>Drivmiddelspecifikke emissioner tank-&gt;hjul (ekskl. motorspecifikke emissioner [typisk partikler, CH4, N2O og NOx], disse er håndteret i røde motor-ark ud fra EURO normer)</t>
  </si>
  <si>
    <t>Forskel til emissionsberegning i række 45??</t>
  </si>
  <si>
    <t>GJ / GJ råstof</t>
  </si>
  <si>
    <t>DKK / GJ mellemprod</t>
  </si>
  <si>
    <t>Kvoteomkostning</t>
  </si>
  <si>
    <t>Kvoteomk.</t>
  </si>
  <si>
    <t>GJ / GJ mellemprod.</t>
  </si>
  <si>
    <t>- korrektion for CO₂ kvoter</t>
  </si>
  <si>
    <t>Kvoteomkostning i råstofkonvertering</t>
  </si>
  <si>
    <t>Elforbrug på råstofbasis</t>
  </si>
  <si>
    <t>Kvoteomkostning i mellemkonvertering</t>
  </si>
  <si>
    <t>GJ / GJ drivmiddel</t>
  </si>
  <si>
    <t>Elforbrug på mellemproduktbasis</t>
  </si>
  <si>
    <t>Elforbrug på drivmiddelbasis</t>
  </si>
  <si>
    <r>
      <t xml:space="preserve">Note: </t>
    </r>
    <r>
      <rPr>
        <u/>
        <sz val="10"/>
        <rFont val="Arial"/>
        <family val="2"/>
      </rPr>
      <t>Alle ændringer er markeret med understregning</t>
    </r>
    <r>
      <rPr>
        <sz val="10"/>
        <rFont val="Calibri"/>
        <family val="2"/>
      </rPr>
      <t xml:space="preserve">, </t>
    </r>
    <r>
      <rPr>
        <sz val="10"/>
        <color rgb="FFFFC000"/>
        <rFont val="Arial"/>
        <family val="2"/>
      </rPr>
      <t>ændringer større end 1% er markeret med orange</t>
    </r>
  </si>
  <si>
    <t>Råstofpris</t>
  </si>
  <si>
    <t>DKK / GJ råstof</t>
  </si>
  <si>
    <t>Mellemprodukt energiudbytte</t>
  </si>
  <si>
    <t>GJ mellemprod / GJ råstof</t>
  </si>
  <si>
    <t>Oplade-el-brændsel</t>
  </si>
  <si>
    <t>A</t>
  </si>
  <si>
    <t>B</t>
  </si>
  <si>
    <t>- mellemprodukt / råvare</t>
  </si>
  <si>
    <t xml:space="preserve">  * både råstof og mellemprodukt</t>
  </si>
  <si>
    <t xml:space="preserve">  * importspor</t>
  </si>
  <si>
    <t xml:space="preserve">  * kun konv af råstof</t>
  </si>
  <si>
    <t>syngas</t>
  </si>
  <si>
    <t>Fuel</t>
  </si>
  <si>
    <t>Drivmiddelspecifikke emissioner (primært CO2 og svovl), men ikke emissioner specifikke til bestemte motorteknologier) kg/GJ</t>
  </si>
  <si>
    <t>2% vægt, kul vejer 24GJ/ton = 2% * 1000kg/24GJ. Omsætning til SO₂ via molvægt: 32g/mol for S, 16g/mol for O</t>
  </si>
  <si>
    <t>CO₂:</t>
  </si>
  <si>
    <t>Antagelser om køretøjet</t>
  </si>
  <si>
    <t>http://www.videncenter.dk/Videnblade-dok/VB126.pdf</t>
  </si>
  <si>
    <t>0,1% vægt af halmen, med brændværdi på 14,5 GJ/ton. Omsætning til SO₂ via molvægt: 32g/mol for S, 16g/mol for O</t>
  </si>
  <si>
    <t>træpiller</t>
  </si>
  <si>
    <t>0,05% vægt af halmen, med brændværdi på 17,5 GJ/ton. Omsætning til SO₂ via molvægt: 32g/mol for S, 16g/mol for O</t>
  </si>
  <si>
    <t>Wood pellets</t>
  </si>
  <si>
    <t>Data</t>
  </si>
  <si>
    <t>Til model</t>
  </si>
  <si>
    <t>SNG gylle</t>
  </si>
  <si>
    <t>OBG gylle</t>
  </si>
  <si>
    <t>Proces energiemissioner, mellemkonvertering:</t>
  </si>
  <si>
    <t>BG gylle</t>
  </si>
  <si>
    <t>Syngas halm</t>
  </si>
  <si>
    <t>Syngas træ</t>
  </si>
  <si>
    <t>1. g. ethanol</t>
  </si>
  <si>
    <t>Gasoline</t>
  </si>
  <si>
    <t>Coal</t>
  </si>
  <si>
    <t>Tailpipe emissions for vehicles and energy plants, fuelspecific</t>
  </si>
  <si>
    <t>Natural gas</t>
  </si>
  <si>
    <t>Biomass</t>
  </si>
  <si>
    <t>Tailpipe emissions</t>
  </si>
  <si>
    <t>Electricity</t>
  </si>
  <si>
    <r>
      <t xml:space="preserve">Elforbrug, </t>
    </r>
    <r>
      <rPr>
        <b/>
        <sz val="10"/>
        <color rgb="FFFF0000"/>
        <rFont val="Calibri"/>
        <family val="2"/>
        <scheme val="minor"/>
      </rPr>
      <t>uden biprodukt andel</t>
    </r>
  </si>
  <si>
    <t>**High bioenergy_Good governance**</t>
  </si>
  <si>
    <t>**High bioenergy_Bad governance**</t>
  </si>
  <si>
    <t>**Low bioenergy_Good governance**</t>
  </si>
  <si>
    <t>**Low bioenergy_Bad governance**</t>
  </si>
  <si>
    <t>Upstream emissions, world market wood</t>
  </si>
  <si>
    <t>Externalities</t>
  </si>
  <si>
    <t>O&amp;M</t>
  </si>
  <si>
    <t>Car</t>
  </si>
  <si>
    <t>Conv. diesel</t>
  </si>
  <si>
    <t>Conv. gasoline</t>
  </si>
  <si>
    <t>Energy</t>
  </si>
  <si>
    <t>Heat</t>
  </si>
  <si>
    <t>Level</t>
  </si>
  <si>
    <t>Low</t>
  </si>
  <si>
    <t>Med</t>
  </si>
  <si>
    <t>High</t>
  </si>
  <si>
    <t>Straw</t>
  </si>
  <si>
    <t>Solid biomass prices CIF, EUR/GJ (2012 prices)</t>
  </si>
  <si>
    <t>Wood chips</t>
  </si>
  <si>
    <t>DLG markedspris 27-09-2013, http://www.dlg.dk/da/vegetabilske-produkter/afgroeder/noteringer/boersnotering-raps/</t>
  </si>
  <si>
    <t>DLG markedspris 2013-09-27, http://www.dlg.dk/da/vegetabilske-produkter/afgroeder/noteringer/boersnotering-moellehvede/</t>
  </si>
  <si>
    <t>Prisindeks 2011=1</t>
  </si>
  <si>
    <t>SØK brændselspris Halm an værk</t>
  </si>
  <si>
    <t>Råolie pris CIF</t>
  </si>
  <si>
    <t>Dataår</t>
  </si>
  <si>
    <t>Prisår</t>
  </si>
  <si>
    <t>Inflator</t>
  </si>
  <si>
    <t>Benyttes til gamle konverteringsark</t>
  </si>
  <si>
    <t>Forudsætninger for samfundsøkonomiske analyser på energiområdet. Energistyrelsen. April 2011, opdateret dataark oktober 2012</t>
  </si>
  <si>
    <t>Træflis</t>
  </si>
  <si>
    <t>Total</t>
  </si>
  <si>
    <t>Woodchips</t>
  </si>
  <si>
    <t>Chosen emission factors</t>
  </si>
  <si>
    <t>Max 8 pathways per table</t>
  </si>
  <si>
    <t>Macro control</t>
  </si>
  <si>
    <t>Result table for table population macro</t>
  </si>
  <si>
    <t>Chart control table, vehicles</t>
  </si>
  <si>
    <t xml:space="preserve">CO₂ </t>
  </si>
  <si>
    <t>Particles</t>
  </si>
  <si>
    <t>CO₂ eq.</t>
  </si>
  <si>
    <t>Data collection</t>
  </si>
  <si>
    <t>System consideration</t>
  </si>
  <si>
    <t>GWP100 (CO2 eq.)</t>
  </si>
  <si>
    <t>upper</t>
  </si>
  <si>
    <t>lower</t>
  </si>
  <si>
    <t>spring barley, when straw is removed</t>
  </si>
  <si>
    <t>displacing spring barley (short-term marginal crop), which in turn generates ILUC</t>
  </si>
  <si>
    <t>spring barley, when straw is incorporated</t>
  </si>
  <si>
    <t>winter wheat, when straw is removed</t>
  </si>
  <si>
    <t>winter wheat, when straw is incorporated</t>
  </si>
  <si>
    <t>Winter rape</t>
  </si>
  <si>
    <t>wheat straw, from Danish fields</t>
  </si>
  <si>
    <t>avoided incorporation of straw to soil (and related soil C changes)</t>
  </si>
  <si>
    <t>DDGS</t>
  </si>
  <si>
    <t>used in animal feed</t>
  </si>
  <si>
    <t>rapeseed cake</t>
  </si>
  <si>
    <t>central</t>
  </si>
  <si>
    <t>Total emissions for system, prior to energy conversion and excluding pre-treatment (g/MJ)</t>
  </si>
  <si>
    <t>Silage maize</t>
  </si>
  <si>
    <t>Not corrected for energy use for torrefication</t>
  </si>
  <si>
    <t>Source: Biomass project, Copy of Database pathway heat test 051013-LG-08-10 2013.xlsm, sheet Globium</t>
  </si>
  <si>
    <t>Source: Biomass project, Copy of Database pathway heat test 051013-LG-08-10 2013.xlsm, sheet Bottom-up</t>
  </si>
  <si>
    <t>Procesenergiforbrug</t>
  </si>
  <si>
    <t>Production of by-products</t>
  </si>
  <si>
    <t>Rape seed cake</t>
  </si>
  <si>
    <t>Glycerol</t>
  </si>
  <si>
    <t>Process energy use emissions</t>
  </si>
  <si>
    <t>Assmed same as wheat</t>
  </si>
  <si>
    <t>Assumed same as rape seed</t>
  </si>
  <si>
    <t>Energiforbrug, primært drivmidel</t>
  </si>
  <si>
    <t>Energiforbrug, sekundært drivmidel</t>
  </si>
  <si>
    <t>MJd/km</t>
  </si>
  <si>
    <t>Middel energiforbrug an køretøj, primær</t>
  </si>
  <si>
    <t>Middel energiforbrug an køretøj, sekundær</t>
  </si>
  <si>
    <t>MJ mech/km</t>
  </si>
  <si>
    <t>Mean energy cons at wheel, reference PISI</t>
  </si>
  <si>
    <t>Curb weight, REEV</t>
  </si>
  <si>
    <t>Tables 5-2 and 6-2</t>
  </si>
  <si>
    <t>Curb weight, reference PISI</t>
  </si>
  <si>
    <t>Electric energy consumption</t>
  </si>
  <si>
    <t>kWh/km</t>
  </si>
  <si>
    <t>Fuel consumption</t>
  </si>
  <si>
    <t>over bilens levetid inkl. batteriskift</t>
  </si>
  <si>
    <t>Curb weight, BEV</t>
  </si>
  <si>
    <t>Tables 5-1 and 6-1</t>
  </si>
  <si>
    <t>Table 6-19 for 2020+ vehicle</t>
  </si>
  <si>
    <t>Fra km/h</t>
  </si>
  <si>
    <t>Til km/h</t>
  </si>
  <si>
    <t>Fra MJk</t>
  </si>
  <si>
    <t>Til MJk</t>
  </si>
  <si>
    <t>MJk</t>
  </si>
  <si>
    <t>Km</t>
  </si>
  <si>
    <t>MJk/km</t>
  </si>
  <si>
    <t>MJk/MJd</t>
  </si>
  <si>
    <t>Urban Driving</t>
  </si>
  <si>
    <t>Extra-urban driving</t>
  </si>
  <si>
    <t>Curb weight</t>
  </si>
  <si>
    <t>Table 5-8 + 6-9</t>
  </si>
  <si>
    <t>PISI</t>
  </si>
  <si>
    <t>Table 6-8</t>
  </si>
  <si>
    <t>Same as BEV</t>
  </si>
  <si>
    <t>Range Extender Electric Vehicle where the range extender is a Fuel Cell (REEV FC)</t>
  </si>
  <si>
    <t>Table 5-13</t>
  </si>
  <si>
    <t>from BEV</t>
  </si>
  <si>
    <t>Expected to be 20% higher than for MeOH due to reformer loss</t>
  </si>
  <si>
    <t>Same as for MeOH</t>
  </si>
  <si>
    <t>As BEV</t>
  </si>
  <si>
    <t>As H2</t>
  </si>
  <si>
    <t>Same as fuel cell size</t>
  </si>
  <si>
    <t>Increased fuel consumption in MeOH relative to H2</t>
  </si>
  <si>
    <t>As H2 but corrected for loss in reformer</t>
  </si>
  <si>
    <t>MJ gasoline/km</t>
  </si>
  <si>
    <t>MJ electricity/km</t>
  </si>
  <si>
    <t>Calculated as a residual given efficiency of EM</t>
  </si>
  <si>
    <t>Improvement i vehicle performance not related to drivetrain</t>
  </si>
  <si>
    <t>Table 6-18</t>
  </si>
  <si>
    <t>Table 6-16</t>
  </si>
  <si>
    <t>Tables 5-2 and 6-2, as H2 but 34kg increased weight due to reformer</t>
  </si>
  <si>
    <t>Curb weight, FCEV</t>
  </si>
  <si>
    <t>Table 6-10</t>
  </si>
  <si>
    <t>Table 6-20</t>
  </si>
  <si>
    <t>Table 6-20, as H2 although it should be a little lower due to increased weight</t>
  </si>
  <si>
    <t>JEC - Joint Research Centre-EUCAR-CONCAWE collaboration, Tank to Wheels Report, version 4.0, July 2013</t>
  </si>
  <si>
    <t>Bio-methanol from thermal gasification and catalytic synthesis</t>
  </si>
  <si>
    <t>FORCE-1</t>
  </si>
  <si>
    <t>All prices are 2011 prices</t>
  </si>
  <si>
    <t>Wood (50% moisture)</t>
  </si>
  <si>
    <t>Methanol</t>
  </si>
  <si>
    <t xml:space="preserve">GJ/t methanol </t>
  </si>
  <si>
    <t>GJ methanol</t>
  </si>
  <si>
    <t>t methanol</t>
  </si>
  <si>
    <t>gj wood</t>
  </si>
  <si>
    <t>T wood</t>
  </si>
  <si>
    <t>t methanol/år</t>
  </si>
  <si>
    <t>COWI Assumption of year</t>
  </si>
  <si>
    <t>T methanol</t>
  </si>
  <si>
    <t>Gj wood</t>
  </si>
  <si>
    <t>t wood</t>
  </si>
  <si>
    <t>GJ/GJ  Wood (50% moisture)</t>
  </si>
  <si>
    <t>Energiindhold - biprodukter+ elektricitet</t>
  </si>
  <si>
    <t>Energiindhold - Bio Methanol</t>
  </si>
  <si>
    <t>DKK/GJ methanol/year</t>
  </si>
  <si>
    <t>Utilization of heat loss to district heating</t>
  </si>
  <si>
    <t>Process Heat Loss (GJ/GJ  Wood (50% moisture))</t>
  </si>
  <si>
    <t>Methanol by BTL technology</t>
  </si>
  <si>
    <t>Notes</t>
  </si>
  <si>
    <t>Technical data</t>
  </si>
  <si>
    <t>Typical plant size, t methanol/year</t>
  </si>
  <si>
    <t>See sections on scaling and learning</t>
  </si>
  <si>
    <t>Typical plant size, GJ methanol/year</t>
  </si>
  <si>
    <t>Wood (50 % moisture) consumption, GJ/GJ methanol</t>
  </si>
  <si>
    <t>Wood (50 % moisture) consumption, t/t methanol</t>
  </si>
  <si>
    <t>Total energy input, raw materials, GJ/GJ methanol</t>
  </si>
  <si>
    <t>Process energy efficiency, methanol %</t>
  </si>
  <si>
    <t>Total process energy efficiency, %</t>
  </si>
  <si>
    <t xml:space="preserve">Estimated total energy efficiency with utilization of process heat loss for district heating </t>
  </si>
  <si>
    <t>Economic data</t>
  </si>
  <si>
    <t>Capital cost, euro/GJ methanol/year</t>
  </si>
  <si>
    <t>O &amp; M, euro/GJ methanol/year</t>
  </si>
  <si>
    <t>FORCE-2</t>
  </si>
  <si>
    <t>t  methanol/GJ electicity</t>
  </si>
  <si>
    <t>GJ/GJ  electicity</t>
  </si>
  <si>
    <t>GJ/GJ electricity</t>
  </si>
  <si>
    <t>t/GJ  electicity</t>
  </si>
  <si>
    <t>Energiindhold - ETL -Methanol</t>
  </si>
  <si>
    <t>Process Heat Loss (GJ/GJ  electricity)</t>
  </si>
  <si>
    <t>Methanol by ETL technology</t>
  </si>
  <si>
    <t>Electricity input, GJ/GJ methanol</t>
  </si>
  <si>
    <t>Electricity input, kWh/t methanol</t>
  </si>
  <si>
    <t>CO2 input, t/GJ methanol</t>
  </si>
  <si>
    <t>Process energy efficiency, methanol, %</t>
  </si>
  <si>
    <t>Oxygen Production (t/year)</t>
  </si>
  <si>
    <t>GJ per 1 kWh</t>
  </si>
  <si>
    <t>Capital cost, euro/GJ methanol /year</t>
  </si>
  <si>
    <t>O &amp; M, euro/GJ methanol /year</t>
  </si>
  <si>
    <t>1.G Bio-ethanol by fermentation</t>
  </si>
  <si>
    <t>FORCE-3</t>
  </si>
  <si>
    <t>Corn (15% moisture), Electricity, Heat</t>
  </si>
  <si>
    <t>Ethanol, DDGS</t>
  </si>
  <si>
    <t xml:space="preserve"> t Ethanol/t Corn (15% moisture)</t>
  </si>
  <si>
    <t>GJ/t Ethanol</t>
  </si>
  <si>
    <t>t Ethanol/år</t>
  </si>
  <si>
    <t>GJ/GJ Corn (15% moisture)</t>
  </si>
  <si>
    <t>Energiindhold - bio-disel</t>
  </si>
  <si>
    <t>Process Heat Loss (GJ / GJ Corn (15% moisture)</t>
  </si>
  <si>
    <t>Ethanol by 1st generation fermentation</t>
  </si>
  <si>
    <t>Typical plant size, t ethanol/year</t>
  </si>
  <si>
    <t>Typical plant size, GJ ethanol/year</t>
  </si>
  <si>
    <t>Corn (15 % water) consumption, GJ/GJ ethanol</t>
  </si>
  <si>
    <t>Corn (15 % water) consumption, t/t ethanol</t>
  </si>
  <si>
    <t>Total energy input, raw materials, GJ/GJ ethanol</t>
  </si>
  <si>
    <t>Electricity input, GJ/GJ ethanol</t>
  </si>
  <si>
    <t>Heat input, GJ/GJ ethanol</t>
  </si>
  <si>
    <t>By-product, DDGS, GJ/GJ ethanol</t>
  </si>
  <si>
    <t>Process energy efficiency, ethanol, %</t>
  </si>
  <si>
    <t>Total process energy efficiency, ethanol + DDGS, %</t>
  </si>
  <si>
    <t>Capital cost, euro/GJ ethanol /year</t>
  </si>
  <si>
    <t>O &amp; M, euro/GJ ethanol /year</t>
  </si>
  <si>
    <t>100 * GJ/GJ Corn (15% moisture)</t>
  </si>
  <si>
    <t>Input</t>
  </si>
  <si>
    <t>Output</t>
  </si>
  <si>
    <t>Corn (15% moisture)</t>
  </si>
  <si>
    <t>Process Heat Loss</t>
  </si>
  <si>
    <t>2.G. Ethanol by fermentation</t>
  </si>
  <si>
    <t>FORCE-4</t>
  </si>
  <si>
    <t>Straw(15%moisture)</t>
  </si>
  <si>
    <t xml:space="preserve">t  ethanol/t Straw (15 % water) </t>
  </si>
  <si>
    <t>t ethano/år</t>
  </si>
  <si>
    <t>GJ/GJ Straw(15%moisture)</t>
  </si>
  <si>
    <t>Energiindhold - Ethanol</t>
  </si>
  <si>
    <t>Process Heat Loss (GJ/GJ Straw(15%moisture)</t>
  </si>
  <si>
    <t>Ethanol by 2. generation fermentation</t>
  </si>
  <si>
    <t>Straw (15 % water) consumption, GJ/GJ ethanol</t>
  </si>
  <si>
    <t>Straw (15 % water) consumption, t/t ethanol</t>
  </si>
  <si>
    <t>Available electricity, GJ/GJ ethanol</t>
  </si>
  <si>
    <t>Total process energy efficiency, ethanol + electricity, %</t>
  </si>
  <si>
    <t>1.G. Biodiesel by transesterification</t>
  </si>
  <si>
    <t>FORCE-5</t>
  </si>
  <si>
    <t>Rapseed oil, Methanol, Electricty, Heat</t>
  </si>
  <si>
    <t>Bio-diesel, Glycerol</t>
  </si>
  <si>
    <t xml:space="preserve"> bio-diesel t /t Rapeseed oil </t>
  </si>
  <si>
    <t>GJ/t bio-diesel</t>
  </si>
  <si>
    <t>t bio-diesel/år</t>
  </si>
  <si>
    <t>GJ glycerol/GJ rapeseed oil</t>
  </si>
  <si>
    <t>GJ/GJ  rapeseed oil</t>
  </si>
  <si>
    <t>Bio-diesel by transesterification of vegetable oil</t>
  </si>
  <si>
    <t>Typical plant size, t bio-diesel/year</t>
  </si>
  <si>
    <t>Typical plant size, GJ bio-diesel/year</t>
  </si>
  <si>
    <t>Rapeseed oil consumption, GJ/GJ bio-diesel</t>
  </si>
  <si>
    <t>Rapeseed oil consumption, t/t bio-diesel</t>
  </si>
  <si>
    <t>Methanol consumption, GJ/GJ bio-diesel</t>
  </si>
  <si>
    <t>Methanol consumption, t/t bio-diesel</t>
  </si>
  <si>
    <t>Total energy input, raw materials, GJ/GJ bio-diesel</t>
  </si>
  <si>
    <t>Electricity input, GJ/GJ bio-diesel</t>
  </si>
  <si>
    <t>Heat (natural gas or similar), GJ/GJ bio-diesel</t>
  </si>
  <si>
    <t>By-product, glycerol, GJ/GJ bio-diesel</t>
  </si>
  <si>
    <t>Process energy efficiency, bio-diesel, %</t>
  </si>
  <si>
    <t>Total process energy efficiency, bio-diesel + glycerol, %</t>
  </si>
  <si>
    <t>Capital cost, euro/GJ bio-diesel /year</t>
  </si>
  <si>
    <t>O &amp; M, euro/GJ bio-diesel /year</t>
  </si>
  <si>
    <t>FORCE-6</t>
  </si>
  <si>
    <t>Vegetable oil</t>
  </si>
  <si>
    <t>HVO Diesel</t>
  </si>
  <si>
    <t>t  HVO Diesel/t Vegetable oil</t>
  </si>
  <si>
    <t>GJ/t HVO Diesel</t>
  </si>
  <si>
    <t>t HVO Diesel/år</t>
  </si>
  <si>
    <t>GJ/GJ  vegetabke oil</t>
  </si>
  <si>
    <t>GJ/GJ vegetable oil</t>
  </si>
  <si>
    <t>Energiindhold - HVO Diesel</t>
  </si>
  <si>
    <t>Process Heat Loss (GJ/GJ  Vegetable Oil)</t>
  </si>
  <si>
    <t>HVO Diesel by Hydrotreatment of vegetable oil</t>
  </si>
  <si>
    <t>Typical plant size, diesel, t/year</t>
  </si>
  <si>
    <t>Typical plant size, diesel, GJ/year</t>
  </si>
  <si>
    <t>Vegetable oil consumption, GJ/GJ diesel</t>
  </si>
  <si>
    <t>Vegetable oil consumption, t/t diesel</t>
  </si>
  <si>
    <t>Hydrogen consumption, GJ/GJ diesel</t>
  </si>
  <si>
    <t>Hydrogen consumption, t/t diesel</t>
  </si>
  <si>
    <t>Total energy input, raw materials, GJ/GJ diesel</t>
  </si>
  <si>
    <t>By-product, gasoline, GJ/GJ diesel</t>
  </si>
  <si>
    <t>Available electricity, GJ/GJ diesel</t>
  </si>
  <si>
    <t>Available heat, GJ/GJ diesel</t>
  </si>
  <si>
    <t>Process energy efficiency, diesel, %</t>
  </si>
  <si>
    <t>Total process energy efficiency, diesel + by-products, %</t>
  </si>
  <si>
    <t>Capital cost, euro/GJ diesel /year</t>
  </si>
  <si>
    <t>O &amp; M, euro/GJ diesel /year</t>
  </si>
  <si>
    <t>100 * GJ/GJ Vegetable oil</t>
  </si>
  <si>
    <t>2.G biodiesel from thermal gasification and Fischer-Tropsch</t>
  </si>
  <si>
    <t>FORCE-7</t>
  </si>
  <si>
    <t>Diesel, Benzin, Elektricitet</t>
  </si>
  <si>
    <t>t Diesel/t Straw</t>
  </si>
  <si>
    <t>GJ/t Diesel</t>
  </si>
  <si>
    <t>t Diesel/år</t>
  </si>
  <si>
    <t>GJ/GJ   Straw (15% moisture)</t>
  </si>
  <si>
    <t>GJ/GJ  Straw (15% moisture)</t>
  </si>
  <si>
    <t>Energiindhold Diesel</t>
  </si>
  <si>
    <t>Diesel by BTL technology</t>
  </si>
  <si>
    <t>Typical plant size, t diesel/year</t>
  </si>
  <si>
    <t>Typical plant size, GJ diesel/year</t>
  </si>
  <si>
    <t>Straw (15 % moisture) consumption, GJ/GJ diesel</t>
  </si>
  <si>
    <t>Straw (15 % moisture) consumption, t/t diesel</t>
  </si>
  <si>
    <t>By-product gasoline, GJ/GJ diesel</t>
  </si>
  <si>
    <t>Total process energy efficiency, diesel + by-products + available electricity, %</t>
  </si>
  <si>
    <t>Capital cost, euro/GJ diesel/year</t>
  </si>
  <si>
    <t>O &amp; M, euro/GJ diesel/year</t>
  </si>
  <si>
    <t>FORCE-8</t>
  </si>
  <si>
    <t>t  Diesel/t Methanol</t>
  </si>
  <si>
    <t>GJ/GJ Methanol</t>
  </si>
  <si>
    <t>Energiindhold - output</t>
  </si>
  <si>
    <t>Process Heat Loss (GJ/GJ  Methanol</t>
  </si>
  <si>
    <t>Diesel by MOGD technology</t>
  </si>
  <si>
    <t>Methanol consumption, GJ/GJ diesel</t>
  </si>
  <si>
    <t>Methanol consumption, t/t diesel</t>
  </si>
  <si>
    <t xml:space="preserve">Hydrogen consumption, GJ/GJ diesel </t>
  </si>
  <si>
    <t>Butane consumption, GJ/GJ diesel</t>
  </si>
  <si>
    <t>Butane consumption, t/t diesel</t>
  </si>
  <si>
    <t>Electricity input, GJ/GJ diesel</t>
  </si>
  <si>
    <t>Heat input, GJ/GJ diesel</t>
  </si>
  <si>
    <t>By-product, LPG, GJ/GJ diesel</t>
  </si>
  <si>
    <t xml:space="preserve">Total process energy efficiency, diesel + by-products, % </t>
  </si>
  <si>
    <t>100 * GJ/GJ Methanol</t>
  </si>
  <si>
    <t>Butane</t>
  </si>
  <si>
    <t>Process Heat input</t>
  </si>
  <si>
    <t>LPG</t>
  </si>
  <si>
    <t>Process Heat loss</t>
  </si>
  <si>
    <t>FORCE-9</t>
  </si>
  <si>
    <t>t  DME/t Wood (50% moisture)</t>
  </si>
  <si>
    <t>GJ/t DME</t>
  </si>
  <si>
    <t>DME by BTL technology</t>
  </si>
  <si>
    <t>Typical plant size, t DME/year</t>
  </si>
  <si>
    <t>Typical plant size, GJ DME/year</t>
  </si>
  <si>
    <t>Wood (50 % moisture) consumption, GJ/GJ DME</t>
  </si>
  <si>
    <t>Wood (50 % moisture) consumption, t/t DME</t>
  </si>
  <si>
    <t>Total energy input, raw materials, GJ/GJ DME</t>
  </si>
  <si>
    <t>Process energy efficiency, DME, %</t>
  </si>
  <si>
    <t>Capital cost, euro/GJ DME/year</t>
  </si>
  <si>
    <t>O &amp; M, euro/GJ DME/year</t>
  </si>
  <si>
    <t>FORCE-11</t>
  </si>
  <si>
    <t>Straw (50% moisture)</t>
  </si>
  <si>
    <t>Kerosene</t>
  </si>
  <si>
    <t>t  kerosene/t Straw (50% moisture)</t>
  </si>
  <si>
    <t>GJ/t kerosene</t>
  </si>
  <si>
    <t>t kerosene/år</t>
  </si>
  <si>
    <t>GJ/GJ  Straw (50% moisture)</t>
  </si>
  <si>
    <t>Kerosene by BTL technology</t>
  </si>
  <si>
    <t>Typical plant size, t kerosene/year</t>
  </si>
  <si>
    <t>Typical plant size, GJ kerosene/year</t>
  </si>
  <si>
    <t>Straw (15 % moisture) consumption, GJ/GJ kerosene</t>
  </si>
  <si>
    <t>Straw (15 % moisture) consumption, t/t kerosene</t>
  </si>
  <si>
    <t>Total energy input, raw materials, GJ/GJ kerosene</t>
  </si>
  <si>
    <t>Available electricity, GJ/GJ kerosene</t>
  </si>
  <si>
    <t>By-product gasoline, GJ/GJ kerosene</t>
  </si>
  <si>
    <t>Process energy efficiency, kerosene, %</t>
  </si>
  <si>
    <t>Process energy efficiency, kerosene + by-products, %</t>
  </si>
  <si>
    <t>Capital cost, euro/GJ kerosene/year</t>
  </si>
  <si>
    <t>O &amp; M, euro/GJ kerosene/year</t>
  </si>
  <si>
    <t>FORCE-12</t>
  </si>
  <si>
    <t>Wood chips (50% moisture)</t>
  </si>
  <si>
    <t>Torrefied wood pellets (TWP)</t>
  </si>
  <si>
    <t>t  TWP/t Wood chips (50% moisture)</t>
  </si>
  <si>
    <t>GJ/t TWP</t>
  </si>
  <si>
    <t>t TWP/år</t>
  </si>
  <si>
    <t>GJ/GJ  input</t>
  </si>
  <si>
    <t>GJ/GJ Wood chips (50% moisture)</t>
  </si>
  <si>
    <t>Process Heat Loss (GJ/GJ  Wood chips (50% moisture))</t>
  </si>
  <si>
    <t>Typical plant size, t TWP/year</t>
  </si>
  <si>
    <t>Typical plant size, GJ TWP/year</t>
  </si>
  <si>
    <t>Wood chips (50% moisture) consumption, GJ/GJ TWP</t>
  </si>
  <si>
    <t>Wood chips (50% moisture) consumption, t/t TWP</t>
  </si>
  <si>
    <t>Total energy input, raw materials, GJ/GJ TWP</t>
  </si>
  <si>
    <t>Electricity input, GJ/GJ TWP</t>
  </si>
  <si>
    <t>Process energy efficiency, TWP, %</t>
  </si>
  <si>
    <t>Capital cost, euro/GJ TWP/year</t>
  </si>
  <si>
    <t>O &amp; M (excl. feedstock &amp; el.), euro/GJ TWP/year</t>
  </si>
  <si>
    <t>FORCE-13</t>
  </si>
  <si>
    <t>Municipal solid waste (MSW)</t>
  </si>
  <si>
    <t>Methane equivelant, RDF (Refuse derived fuels)</t>
  </si>
  <si>
    <t>t  Methane equivelant/t Municipal solid waste (MSW)</t>
  </si>
  <si>
    <t>GJ/t Methane equivelant</t>
  </si>
  <si>
    <t>t Methane equivelant/år</t>
  </si>
  <si>
    <t>GJ/GJ Municipal solid waste (MSW)</t>
  </si>
  <si>
    <t>Energiindhold - Methane equivelant</t>
  </si>
  <si>
    <t>Process Heat Loss (GJ/GJ  Municipal solid waste (MSW)))</t>
  </si>
  <si>
    <t>Bio-liquid by REnescience technology</t>
  </si>
  <si>
    <t>Typical plant size, bio-liquid, t/year</t>
  </si>
  <si>
    <t>Typical plant size, eq. methane, GJ/year</t>
  </si>
  <si>
    <t>Waste (MSW) consumption. GJ/GJ eq. methane</t>
  </si>
  <si>
    <t>Waste (MSW) consumption. t/GJ eq. methane</t>
  </si>
  <si>
    <t>Total energy input. raw materials. GJ/GJ eq. methane</t>
  </si>
  <si>
    <t>Electricity input. GJ/GJ eq. methane</t>
  </si>
  <si>
    <t xml:space="preserve">Heat input. GJ/GJ eq. methane </t>
  </si>
  <si>
    <t>By-product. RDF. GJ/GJ eq. methane</t>
  </si>
  <si>
    <t>Process energy efficiency. eq. methane%</t>
  </si>
  <si>
    <t xml:space="preserve">Total process energy efficiency, eq. methane + byproduct, % </t>
  </si>
  <si>
    <t>Capital cost. euro/GJ eq. methane/year</t>
  </si>
  <si>
    <t>O &amp; M. euro/GJ eq. methane/year</t>
  </si>
  <si>
    <t>Sankey Diagram Recreation p. 62</t>
  </si>
  <si>
    <t>100 * GJ/GJ Municipal solid waste (MSW)</t>
  </si>
  <si>
    <t>Methane equivelant</t>
  </si>
  <si>
    <t>RDF</t>
  </si>
  <si>
    <t>FORCE-14</t>
  </si>
  <si>
    <t>Straw (15% moisture)</t>
  </si>
  <si>
    <t>Ethanol, Lignin (10% moisture), Molasses (35% moisture) Biogas (65% methane)</t>
  </si>
  <si>
    <t>t  ethanol/t Straw (15% moisture)</t>
  </si>
  <si>
    <t>t ethanol/år</t>
  </si>
  <si>
    <t>Energiindhold - ethanol</t>
  </si>
  <si>
    <t>Process Heat Loss (GJ/GJ  Straw (15% moisture))</t>
  </si>
  <si>
    <t>Ethanol by Inbicon 2. generation fermentation</t>
  </si>
  <si>
    <t>Heat (steam) input, GJ/GJ ethanol</t>
  </si>
  <si>
    <t>By-product, lignin (10% moisture), GJ/GJ ethanol</t>
  </si>
  <si>
    <t>By-product, lignin (10% moisture), t/t ethanol</t>
  </si>
  <si>
    <t>By-product, molasses (35% moisture), GJ/GJ ethanol</t>
  </si>
  <si>
    <t>By-product, molasses (35% moisture), t/t ethanol</t>
  </si>
  <si>
    <t>By-product, biogas (65% methane), GJ/GJ ethanol</t>
  </si>
  <si>
    <t>By-product, biogas (65% methane), Nm3/t ethanol</t>
  </si>
  <si>
    <t>Available heat (district heating), GJ/GJ ethanol</t>
  </si>
  <si>
    <t>Total process energy efficiency, ethanol + all by-products, %</t>
  </si>
  <si>
    <t>Estimated total energy efficiency, ethanol + all by-products + district heating, %</t>
  </si>
  <si>
    <t>Capital cost, euro/GJ ethanol/year</t>
  </si>
  <si>
    <t>O &amp; M, euro/GJ ethanol/year</t>
  </si>
  <si>
    <t>Sankey Diagram Recreation p. 65</t>
  </si>
  <si>
    <t>100 * GJ/GJ Straw (15% moisture)</t>
  </si>
  <si>
    <t>Heat (Steam</t>
  </si>
  <si>
    <t>Lignin (10% moisture)</t>
  </si>
  <si>
    <t>Molasses (35% moisture)</t>
  </si>
  <si>
    <t>Biogas (65% methane)</t>
  </si>
  <si>
    <t>FORCE-15</t>
  </si>
  <si>
    <t>Fuel (Ethanol + Biogas (65% methane))</t>
  </si>
  <si>
    <t>GJ Fuel/t Straw (15% moisture)</t>
  </si>
  <si>
    <t>GJ Fuel/t ethanol</t>
  </si>
  <si>
    <t>Maabjerg Energy Concept Bio-refinery</t>
  </si>
  <si>
    <t>Typical plant size, ethanol, t/year</t>
  </si>
  <si>
    <t>Typical plant size, biogas, 1000 Nm3/year</t>
  </si>
  <si>
    <t>Typical plant size, ethanol + biogas, GJ/year</t>
  </si>
  <si>
    <t>Straw (15 % water) consumption, GJ/GJ fuel product</t>
  </si>
  <si>
    <t>Straw (15 % water) consumption, t/GJ fuel product</t>
  </si>
  <si>
    <t>Industrial and municipal waste consumption, GJ/GJ fuel product</t>
  </si>
  <si>
    <t>Industrial and municipal waste consumption, t/GJ fuel product</t>
  </si>
  <si>
    <t>Animal manure consumption (effective energy input), GJ/GJ fuel product</t>
  </si>
  <si>
    <t>Animal manure consumption, t/GJ fuel product</t>
  </si>
  <si>
    <t>Total energy input, raw materials, GJ/GJ fuel product</t>
  </si>
  <si>
    <t>Electricity input, GJ/GJ fuel product</t>
  </si>
  <si>
    <t>By-product, lignin (10% moisture), GJ/GJ fuel product</t>
  </si>
  <si>
    <t>By-product, lignin (10% moisture), t/t fuel product</t>
  </si>
  <si>
    <t>Available heat (district heating), GJ/GJ fuel product</t>
  </si>
  <si>
    <t>Process energy efficiency, fuel product, %</t>
  </si>
  <si>
    <t>Total process energy efficiency, ethanol + biogas + by-products, %</t>
  </si>
  <si>
    <t>Estimated total energy efficiency, ethanol + biogas + by-products + district heating, %</t>
  </si>
  <si>
    <t>Capital cost, euro/GJ fuel product/year</t>
  </si>
  <si>
    <t>O &amp; M, euro/GJ fuel product/year</t>
  </si>
  <si>
    <t>Sankey Diagram Recreation p. 68</t>
  </si>
  <si>
    <t>Industrial and municipal waste consumption</t>
  </si>
  <si>
    <t>Animal manure</t>
  </si>
  <si>
    <t>Fuel (Ethanol+Biogas (65% methane))</t>
  </si>
  <si>
    <t>FORCE-16</t>
  </si>
  <si>
    <t>t  Diesel/t Straw (15% moisture)</t>
  </si>
  <si>
    <t>Diesel by BTL technology with H2 addition</t>
  </si>
  <si>
    <t>Sankey Diagram Recreation p. 72</t>
  </si>
  <si>
    <t>Synthetic bio gas from thermal gasification of wood</t>
  </si>
  <si>
    <t>FORCE-10</t>
  </si>
  <si>
    <t>BioSNG</t>
  </si>
  <si>
    <t>1000 Nm3 BioSNG/1 t Wood pellets</t>
  </si>
  <si>
    <t>GJ/1000 Nm3 BioSNG</t>
  </si>
  <si>
    <t>1000 Nm3 BioSNG/år</t>
  </si>
  <si>
    <t>GJ/GJ  Wood pellets</t>
  </si>
  <si>
    <t>Energiindhold BioSNG</t>
  </si>
  <si>
    <t>Process Heat Loss (GJ / GJ  Wood pellets (15% moisture)</t>
  </si>
  <si>
    <t>Typical plant size, 1000 Nm3 BioSNG/year</t>
  </si>
  <si>
    <t>Typical plant size, GJ BioSNG/year</t>
  </si>
  <si>
    <t>Wood pellets consumption, GJ/GJ SNG</t>
  </si>
  <si>
    <t>Wood pellets consumption, t/1000 Nm3 SNG</t>
  </si>
  <si>
    <t>RME consumption, GJ/GJ SNG</t>
  </si>
  <si>
    <t>RME consumption, t/1000 Nm3 SNG</t>
  </si>
  <si>
    <t>Total energy input, raw materials, GJ/GJ SNG</t>
  </si>
  <si>
    <t>Electricity input, GJ/GJ SNG</t>
  </si>
  <si>
    <t>Available heat for district heating, GJ/GJ SNG</t>
  </si>
  <si>
    <t>Process energy efficiency, BioSNG, %</t>
  </si>
  <si>
    <t>Estimated total energy efficiency with utilization of process heat loss for district heating</t>
  </si>
  <si>
    <t>Capital cost, euro/GJ SNG/year</t>
  </si>
  <si>
    <t>O &amp; M (excl. feed stock &amp; el.), euro/GJ SNG/year</t>
  </si>
  <si>
    <t>Sankey Diagram Recreation p. 53</t>
  </si>
  <si>
    <t>100 * GJ/GJ  Wood pellets</t>
  </si>
  <si>
    <t>GJ  Wood pellets</t>
  </si>
  <si>
    <t xml:space="preserve"> District heating without  heat pump</t>
  </si>
  <si>
    <t>SNG by methanisation of biogas</t>
  </si>
  <si>
    <t>FORCE-17</t>
  </si>
  <si>
    <t>Biogas (65% Methane)</t>
  </si>
  <si>
    <t>SNG (Synthetic natural gas)</t>
  </si>
  <si>
    <t>1000 Nm3 SNG/1000 Nm3  Biogas (65% Methane)</t>
  </si>
  <si>
    <t>GJ/1000 Nm3 SNG</t>
  </si>
  <si>
    <t>1000 Nm3 SNG/år</t>
  </si>
  <si>
    <t>GJ/GJ  Biogas (65% Methane)</t>
  </si>
  <si>
    <t>Energiindhold - SNG</t>
  </si>
  <si>
    <t>SNG by methanation of biogas</t>
  </si>
  <si>
    <t>Typical plant size, 1000 Nm3 SNG/year</t>
  </si>
  <si>
    <t>Typical plant size, GJ SNG/year</t>
  </si>
  <si>
    <t>Biogas (65 % methane) consumption, GJ/GJ SNG</t>
  </si>
  <si>
    <t>Biogas (65 % methane) consumption, Nm3/Nm3 SNG</t>
  </si>
  <si>
    <t>available heat, GJ/GJ SNG</t>
  </si>
  <si>
    <t>Process energy efficiency, SNG, %</t>
  </si>
  <si>
    <t>Estimated total energy efficiency, SNG + available heat, %</t>
  </si>
  <si>
    <t>O &amp; M, euro/GJ SNG/year</t>
  </si>
  <si>
    <t>100 * GJ/GJ  1000 Nm3  Biogas (65% Methane)</t>
  </si>
  <si>
    <t>GJ  1000 Nm3  Biogas (65% Methane)</t>
  </si>
  <si>
    <t>JP1</t>
  </si>
  <si>
    <t>HFO</t>
  </si>
  <si>
    <t>enhed</t>
  </si>
  <si>
    <t>1000 ton</t>
  </si>
  <si>
    <t>Kondensat</t>
  </si>
  <si>
    <t>Jet fuel/kerosin</t>
  </si>
  <si>
    <t>Autodiesel &amp; fyringsolie</t>
  </si>
  <si>
    <t>Svovl</t>
  </si>
  <si>
    <t>Statoil, Grønt Regnskab 2012</t>
  </si>
  <si>
    <t>Importpriser (CIF)</t>
  </si>
  <si>
    <t>Tabel 4</t>
  </si>
  <si>
    <t>Indtægter</t>
  </si>
  <si>
    <t>p.19, 2011 figures</t>
  </si>
  <si>
    <t>ASTM 7566 - 13, Standard Specification for Aviation Fuel Containing Synthesized Hydrocarbons</t>
  </si>
  <si>
    <t>ASTM 1655 - 13, Standard Specification for Aviation Fuel</t>
  </si>
  <si>
    <t>JetA</t>
  </si>
  <si>
    <t>minimum requirement, ENS uses a value of 43.5</t>
  </si>
  <si>
    <t>Base Inputs on refining plant - common for all crude oil based products</t>
  </si>
  <si>
    <t>Omkostninger</t>
  </si>
  <si>
    <t>Tons/år</t>
  </si>
  <si>
    <t>Output, based on max max capacity</t>
  </si>
  <si>
    <t>MWh/Tons</t>
  </si>
  <si>
    <t>GJ/Tons</t>
  </si>
  <si>
    <t>Update in Diesel Sheet only!</t>
  </si>
  <si>
    <t>t JetFuel/t råolie</t>
  </si>
  <si>
    <t>GJ/t JetFuel</t>
  </si>
  <si>
    <t>DKK/GJ JetFuel</t>
  </si>
  <si>
    <t>t HFO/t råolie</t>
  </si>
  <si>
    <t>GJ/t HFO</t>
  </si>
  <si>
    <t>DKK/GJ HFO</t>
  </si>
  <si>
    <t>Elektricitet</t>
  </si>
  <si>
    <t>(FORCE 1) Bio-Methanol</t>
  </si>
  <si>
    <t>(FORCE 2) ETL-Methanol</t>
  </si>
  <si>
    <t>(FORCE 3) 1G ethanol</t>
  </si>
  <si>
    <t>(FORCE 4) 2G ethanol</t>
  </si>
  <si>
    <t>(FORCE 5) 1G diesel</t>
  </si>
  <si>
    <t>(FORCE 6) 1G HVO DIESEL</t>
  </si>
  <si>
    <t>(FORCE 7) 2G diesel</t>
  </si>
  <si>
    <t>(FORCE 8)  Diesel - MOGD</t>
  </si>
  <si>
    <t xml:space="preserve">(FORCE 9) Bio-DME </t>
  </si>
  <si>
    <t>(FORCE 10) SNG-gasification</t>
  </si>
  <si>
    <t>(FORCE 11) 2G Kerosene</t>
  </si>
  <si>
    <t>(FORCE 12) Torrefied wood</t>
  </si>
  <si>
    <t>(FORCE 13) Bio-Liquid</t>
  </si>
  <si>
    <t>(FORCE 14) 2G bio-ethanol</t>
  </si>
  <si>
    <t>(FORCE 15) Ethanol+Biogas</t>
  </si>
  <si>
    <t>(FORCE 16) 2G Diesel</t>
  </si>
  <si>
    <t>(FORCE 17) SNG-biogas</t>
  </si>
  <si>
    <t>Jet Fuel</t>
  </si>
  <si>
    <t>Ingen mellem</t>
  </si>
  <si>
    <t>Heavy Fuel Oil</t>
  </si>
  <si>
    <t xml:space="preserve">Biogas </t>
  </si>
  <si>
    <t xml:space="preserve">Biogas produceres på gylle blandet med en andel af fast gødning og energiaf-grøder. Gylle mv. forgasses i en reaktor og methanen indsamles og anvendes til energiformål. </t>
  </si>
  <si>
    <t xml:space="preserve">Den afgassede gylle har gødningsværdi og anvendes til gødningsformål. </t>
  </si>
  <si>
    <t xml:space="preserve">Afgasning af gyllen indebærer en forøgelse af gyllens gødningsværdi som følge af varmebehandlingen der reducerer risikoen for smitte og de reducerede lugtgener i forbindelse med spredning af gyllen. </t>
  </si>
  <si>
    <t>Biogas opgraderet  så der opnås samme brændsværdi som dansk naturgas</t>
  </si>
  <si>
    <t>1000 m3 "naturgas"/t biomasse</t>
  </si>
  <si>
    <t>Medregnes et metantab på 1 %</t>
  </si>
  <si>
    <t>GJ/1000 m3 "naturgas"</t>
  </si>
  <si>
    <t>Antaget MH4 brændværdi: 35,9 MJ/Nm3 , 65% MH4 indhold.  Kilder: Business case, Energistyrelsen maj 2009 samt Basisdokumentation for biogaspotentialet i organisk dagre-novation, Miljøstyrelsen, Miljøprojekt nr. 802, 2003,  afsn. 3.4</t>
  </si>
  <si>
    <t>1000 m3 "naturgas"/år</t>
  </si>
  <si>
    <t>GJ/GJ biogas</t>
  </si>
  <si>
    <t>El, varme og opgradering</t>
  </si>
  <si>
    <t>Biogas (naturgaskvalitet)</t>
  </si>
  <si>
    <t>Process elopgraderingsanlæg</t>
  </si>
  <si>
    <t>Process varme</t>
  </si>
  <si>
    <t>Massefylde af naturgas</t>
  </si>
  <si>
    <t>kg/m3</t>
  </si>
  <si>
    <t>http://www.energinet.dk/SiteCollectionDocuments/Danske%20dokumenter/Gas/Faktablad%20-%20gaskvalitet.pdf</t>
  </si>
  <si>
    <t>Massefylde af metan (gas)</t>
  </si>
  <si>
    <t>Emmision</t>
  </si>
  <si>
    <t>kg CO2e/t gylle</t>
  </si>
  <si>
    <t>Udbytte biogas m. 65% metan</t>
  </si>
  <si>
    <t>1000m3 biogas/t biomasse</t>
  </si>
  <si>
    <t>Indhold af MH4 i biogas</t>
  </si>
  <si>
    <t>Indhold af MH4 i naturgas</t>
  </si>
  <si>
    <t>Metan tab</t>
  </si>
  <si>
    <t>GJ tabt/t biomasse</t>
  </si>
  <si>
    <t>Økonomi - biogasanlæg</t>
  </si>
  <si>
    <t>heraf drift, el &amp; varme</t>
  </si>
  <si>
    <t>Økonomi - opgraderingsanlæg</t>
  </si>
  <si>
    <t xml:space="preserve">heraf drift, el </t>
  </si>
  <si>
    <t>Økonomi - gasledning</t>
  </si>
  <si>
    <t>Noter</t>
  </si>
  <si>
    <t>Basisanlæg</t>
  </si>
  <si>
    <t>ton/år</t>
  </si>
  <si>
    <t>Energiindhold i metangas</t>
  </si>
  <si>
    <t>Investering i biogasanlæg</t>
  </si>
  <si>
    <t>kr./ton</t>
  </si>
  <si>
    <t>Omregning fra GJ til m3 metan</t>
  </si>
  <si>
    <t>GJ/m3 metan</t>
  </si>
  <si>
    <t>Øvrige anlægsinvesteringer</t>
  </si>
  <si>
    <t>Drift og vedligehold</t>
  </si>
  <si>
    <t>Metanindhold i Biometan (opgraderet biogas)</t>
  </si>
  <si>
    <t>pct.</t>
  </si>
  <si>
    <t>Investering i opgraderingsanlæg</t>
  </si>
  <si>
    <t>(kr./Nm³CH4 input/h)</t>
  </si>
  <si>
    <t xml:space="preserve">D&amp;V (ekskl. omk. til el og varme) </t>
  </si>
  <si>
    <t>(kr./Nm³CH4 input)</t>
  </si>
  <si>
    <t>Investering i lavtryksledning</t>
  </si>
  <si>
    <t>(kr./år)</t>
  </si>
  <si>
    <t xml:space="preserve">D&amp;V el </t>
  </si>
  <si>
    <t>Biomasse input</t>
  </si>
  <si>
    <t>Gasproduktion per ton</t>
  </si>
  <si>
    <t>(%)</t>
  </si>
  <si>
    <t>m³ biogas pr. ton</t>
  </si>
  <si>
    <t>m3 metan pr ton</t>
  </si>
  <si>
    <t>m3 metan pr ton VS</t>
  </si>
  <si>
    <t>TS</t>
  </si>
  <si>
    <t>VS/TS</t>
  </si>
  <si>
    <t>Pris kr./ton                     (inkl. transport)</t>
  </si>
  <si>
    <t>Biomassespecifikke investeringer kr./ton</t>
  </si>
  <si>
    <t>Biomassespecifikke D&amp;V kr./ton</t>
  </si>
  <si>
    <t xml:space="preserve">Gylle  </t>
  </si>
  <si>
    <t>Dybstrøelse</t>
  </si>
  <si>
    <t xml:space="preserve">Fast staldgødning  </t>
  </si>
  <si>
    <t>Ajle</t>
  </si>
  <si>
    <t xml:space="preserve">Halm </t>
  </si>
  <si>
    <t>Efterafgrøder</t>
  </si>
  <si>
    <t>Naturarealer</t>
  </si>
  <si>
    <t>Randzoner</t>
  </si>
  <si>
    <t>Grøftekanter</t>
  </si>
  <si>
    <t>Have-parkaffald</t>
  </si>
  <si>
    <t>Akvatiske biomasser</t>
  </si>
  <si>
    <t>Husholdningsaffald</t>
  </si>
  <si>
    <t xml:space="preserve">Organisk industriaffald </t>
  </si>
  <si>
    <t>Energimajs</t>
  </si>
  <si>
    <t>Energiroer</t>
  </si>
  <si>
    <t>Kløvergræs</t>
  </si>
  <si>
    <t>Roetopensilage</t>
  </si>
  <si>
    <t>Biogas output</t>
  </si>
  <si>
    <t>m³ metan/time</t>
  </si>
  <si>
    <t>Fjernvarme</t>
  </si>
  <si>
    <t>træ</t>
  </si>
  <si>
    <t>hvede</t>
  </si>
  <si>
    <t>MeOH-ETL</t>
  </si>
  <si>
    <t>2G Biodiesel</t>
  </si>
  <si>
    <t>Biogas - ENS</t>
  </si>
  <si>
    <t>Biogas ENS</t>
  </si>
  <si>
    <t>9000 TEU</t>
  </si>
  <si>
    <t>9000 TEU containerskib er den fremherskende containerskibsstørrelse pt. Det er den største skibstype, der kan passere den nuværende Panama kanal. Trenden går mod større skibe der sejler langsomere.</t>
  </si>
  <si>
    <t>Middel energiforbrug an skrue</t>
  </si>
  <si>
    <t>USD/day</t>
  </si>
  <si>
    <t>USD/nm</t>
  </si>
  <si>
    <t>knots</t>
  </si>
  <si>
    <t xml:space="preserve"> Fuel consumption, main engine</t>
  </si>
  <si>
    <t>kg/kWh</t>
  </si>
  <si>
    <t>Sheet: Emission factors, row 12</t>
  </si>
  <si>
    <t xml:space="preserve"> Calorific value HFO</t>
  </si>
  <si>
    <t>Sheet: Emission factors, row 26</t>
  </si>
  <si>
    <t xml:space="preserve"> Fuel consumption</t>
  </si>
  <si>
    <t>kg/Ws</t>
  </si>
  <si>
    <t>J/kg</t>
  </si>
  <si>
    <t>Engine efficiency</t>
  </si>
  <si>
    <t>MJ mech/MJ fuel</t>
  </si>
  <si>
    <t>Sheet: Emissions - ton, row 36</t>
  </si>
  <si>
    <t>Sheet: Emissions - ton, row 31</t>
  </si>
  <si>
    <t>Sheet: Emissions - ton, row 51</t>
  </si>
  <si>
    <t>Average airplane in SAS' fleet. Constructed from SAS' green accounts.</t>
  </si>
  <si>
    <t>l/km</t>
  </si>
  <si>
    <t>Total unit costs, excl. fuel</t>
  </si>
  <si>
    <t>E85-2g</t>
  </si>
  <si>
    <t>Biodiesel-2g</t>
  </si>
  <si>
    <t>GJ MeOH/t MeOH</t>
  </si>
  <si>
    <t xml:space="preserve">t  MeOH/t Wood (50 % moisture) </t>
  </si>
  <si>
    <t>t MeOH/år</t>
  </si>
  <si>
    <t>Assumed DDGS has same price in DKK/GJ as wheat</t>
  </si>
  <si>
    <t>GJ mek/GJ JetA1</t>
  </si>
  <si>
    <t>Middel energiforbrug an fly</t>
  </si>
  <si>
    <t>Middel energiforbrug an "vinge"</t>
  </si>
  <si>
    <t>SAS avg. airplane</t>
  </si>
  <si>
    <t>Middel energiforbrug an fly, primær</t>
  </si>
  <si>
    <t>Middel energiforbrug an fly, sekundær</t>
  </si>
  <si>
    <t>Jet fuel price</t>
  </si>
  <si>
    <t>Jet fuel cost per km</t>
  </si>
  <si>
    <t>flights sched</t>
  </si>
  <si>
    <t>flights tot.</t>
  </si>
  <si>
    <t>avg. pass km.</t>
  </si>
  <si>
    <t>jet fuel used</t>
  </si>
  <si>
    <t>pass tot</t>
  </si>
  <si>
    <t>pass km. tot</t>
  </si>
  <si>
    <t>seat km. sched</t>
  </si>
  <si>
    <t>seat km. tot</t>
  </si>
  <si>
    <t>pass km. per flight</t>
  </si>
  <si>
    <t>jet fuel per flight</t>
  </si>
  <si>
    <t>jet fuel per km</t>
  </si>
  <si>
    <t>http://web.mit.edu/16.unified/www/FALL/thermodynamics/notes/node84.html</t>
  </si>
  <si>
    <t>HC</t>
  </si>
  <si>
    <t>Noise, 85db area</t>
  </si>
  <si>
    <t>ratio sched. to tot seat km</t>
  </si>
  <si>
    <t>SAS group annual report jan-oct 2012, p. 92</t>
  </si>
  <si>
    <t>SAS group sustainability report jan-oct 2012, p. 48</t>
  </si>
  <si>
    <t>USD/ton</t>
  </si>
  <si>
    <t>kr/pass.km.</t>
  </si>
  <si>
    <t>1000km2</t>
  </si>
  <si>
    <t>kg/km</t>
  </si>
  <si>
    <t>USD/km</t>
  </si>
  <si>
    <t>kr/flight</t>
  </si>
  <si>
    <t>Total unit costs</t>
  </si>
  <si>
    <t>Total unit cost</t>
  </si>
  <si>
    <t>Cruise Speed</t>
  </si>
  <si>
    <t>Total cost excl. fuel</t>
  </si>
  <si>
    <t>km/nm</t>
  </si>
  <si>
    <t>Length of nautical mile</t>
  </si>
  <si>
    <t>Middel energiforbrug an skib, primær</t>
  </si>
  <si>
    <t>Middel energiforbrug an skib, sekundær</t>
  </si>
  <si>
    <t>kg/GJ JetA1</t>
  </si>
  <si>
    <t>JetA1</t>
  </si>
  <si>
    <t>kg/GJd</t>
  </si>
  <si>
    <t>GJ mek/GJd</t>
  </si>
  <si>
    <t>9000 TEU HFO</t>
  </si>
  <si>
    <t>9000TEU HFO</t>
  </si>
  <si>
    <t>9000TEU Diesel</t>
  </si>
  <si>
    <t>9000 TEU Diesel</t>
  </si>
  <si>
    <t>Diesel fuel</t>
  </si>
  <si>
    <t>NG</t>
  </si>
  <si>
    <t xml:space="preserve"> Calorific value Dual fuel</t>
  </si>
  <si>
    <t xml:space="preserve"> Calorific value Diesel</t>
  </si>
  <si>
    <t xml:space="preserve"> Calorific value LNG</t>
  </si>
  <si>
    <t>Fly</t>
  </si>
  <si>
    <t>Aircraft Fossil</t>
  </si>
  <si>
    <t>TIDLIGERE RESULTATER, systemvirkningsgrad</t>
  </si>
  <si>
    <t>kg/nm</t>
  </si>
  <si>
    <t>0 ifølge hans Otto og MAN diesel</t>
  </si>
  <si>
    <t>Middel energiforbrug an skib</t>
  </si>
  <si>
    <t>GJ/nm</t>
  </si>
  <si>
    <t>Corrected an error in unit conversion in ship data. Added 0 methane emissions from 2 stroke engines on ships.</t>
  </si>
  <si>
    <t>ref</t>
  </si>
  <si>
    <t>Biogasanlæg el-forbrug</t>
  </si>
  <si>
    <t>Biogasanlæg varme-forbrug</t>
  </si>
  <si>
    <t>Opgradering el-forbrug</t>
  </si>
  <si>
    <t>Opgradering varme-forbrug</t>
  </si>
  <si>
    <t>Følsomhedsanalyser</t>
  </si>
  <si>
    <t>Diff:</t>
  </si>
  <si>
    <t>Antal følsomheder</t>
  </si>
  <si>
    <t>Følsomheder om indsamling</t>
  </si>
  <si>
    <t>Følsomheder om anlæg</t>
  </si>
  <si>
    <t>Følsomheder om energi</t>
  </si>
  <si>
    <t>Følsomheder om resurser</t>
  </si>
  <si>
    <t>Gruppe</t>
  </si>
  <si>
    <t>Gruppe nummer</t>
  </si>
  <si>
    <t>Pathways</t>
  </si>
  <si>
    <t>Heavy</t>
  </si>
  <si>
    <t>Cars B</t>
  </si>
  <si>
    <t>Cars A</t>
  </si>
  <si>
    <t>Aircrafts</t>
  </si>
  <si>
    <t>Trains</t>
  </si>
  <si>
    <t>Pathway 1</t>
  </si>
  <si>
    <t>Pathway 2</t>
  </si>
  <si>
    <t>Pathway 4</t>
  </si>
  <si>
    <t>Pathway 3</t>
  </si>
  <si>
    <t>Pathway 5</t>
  </si>
  <si>
    <t>Pathway 6</t>
  </si>
  <si>
    <t>Pathway 7</t>
  </si>
  <si>
    <t>Pathway 8</t>
  </si>
  <si>
    <t>Definition of vehicles groups for sensitivity analysis</t>
  </si>
  <si>
    <t>Crude price</t>
  </si>
  <si>
    <t>Wood price</t>
  </si>
  <si>
    <t>Gas price</t>
  </si>
  <si>
    <t>Elec. price</t>
  </si>
  <si>
    <t>Heat price</t>
  </si>
  <si>
    <t>Straw price</t>
  </si>
  <si>
    <t>Capital cost</t>
  </si>
  <si>
    <t>O&amp;M cost</t>
  </si>
  <si>
    <t>ILUC</t>
  </si>
  <si>
    <t>Baseline</t>
  </si>
  <si>
    <t>Fosill ressources</t>
  </si>
  <si>
    <t>All ressources</t>
  </si>
  <si>
    <t>Costs</t>
  </si>
  <si>
    <t>Sensitivity</t>
  </si>
  <si>
    <t>CO₂ price</t>
  </si>
  <si>
    <t>Chosen year</t>
  </si>
  <si>
    <t>Food price</t>
  </si>
  <si>
    <t>Rettet fejl i links til ENS varmepris</t>
  </si>
  <si>
    <t>Interest rate</t>
  </si>
  <si>
    <t>Other</t>
  </si>
  <si>
    <t>Sensitivities</t>
  </si>
  <si>
    <t>Year selection</t>
  </si>
  <si>
    <t>Col. 1</t>
  </si>
  <si>
    <t>Col. 2</t>
  </si>
  <si>
    <t>Col. 3</t>
  </si>
  <si>
    <t>Col. 4</t>
  </si>
  <si>
    <t>Col. 5</t>
  </si>
  <si>
    <t>Col. 6</t>
  </si>
  <si>
    <t>Col. 7</t>
  </si>
  <si>
    <t>Columns</t>
  </si>
  <si>
    <t>Row &amp; column count</t>
  </si>
  <si>
    <t>Sensitivity selection</t>
  </si>
  <si>
    <t>IRR</t>
  </si>
  <si>
    <t>All prices</t>
  </si>
  <si>
    <t>Fossil prices</t>
  </si>
  <si>
    <t>Rows (pathway)</t>
  </si>
  <si>
    <t>Active</t>
  </si>
  <si>
    <t>Følsomhed:</t>
  </si>
  <si>
    <t>Sensitivity no.</t>
  </si>
  <si>
    <t>Prim. fuel</t>
  </si>
  <si>
    <t>Sec. fuel</t>
  </si>
  <si>
    <t>Fuel string</t>
  </si>
  <si>
    <t>Year no.</t>
  </si>
  <si>
    <t>Macro control variables</t>
  </si>
  <si>
    <t>Ledning på 20 km til 900.000 kr./km</t>
  </si>
  <si>
    <t>% af anlægsinvest.</t>
  </si>
  <si>
    <t xml:space="preserve">Nr. </t>
  </si>
  <si>
    <t>Kg CO₂-eq reduction/ton biomasse</t>
  </si>
  <si>
    <t>IFRO rapport 220: Biogasproduktion i Danmark – Vurderinger af drifts- og samfundsøkonomi, 2013, tabel 5.6. http://curis.ku.dk/ws/files/46258309/IFRO_rapport_220.pdf</t>
  </si>
  <si>
    <t>Biogas i Danmark - status, barrierer og perspektiver, Biogas Taskforce, November 2013, Kap 8, Biogasøkonomi. Ea-energianalyser har leveret den bagvedliggende data.</t>
  </si>
  <si>
    <t>FORCE, Danish Energy Agency, 2013, Technology data for advanced bioenergy fuels.</t>
  </si>
  <si>
    <t>Text top page 24.</t>
  </si>
  <si>
    <t>Sankey diagram p. 24, top.</t>
  </si>
  <si>
    <t>P. 24</t>
  </si>
  <si>
    <t>P. 30</t>
  </si>
  <si>
    <t>?</t>
  </si>
  <si>
    <t>Text top page 27.</t>
  </si>
  <si>
    <t>Sankey diagram p. 27, top.</t>
  </si>
  <si>
    <t>p.27</t>
  </si>
  <si>
    <t xml:space="preserve">Discrepency is due to 20% District heating percentage of loss (Heat Pump + direct recovery) </t>
  </si>
  <si>
    <t>p.34</t>
  </si>
  <si>
    <t>p.33</t>
  </si>
  <si>
    <t>p.37</t>
  </si>
  <si>
    <t>p. 40</t>
  </si>
  <si>
    <t>p. 39</t>
  </si>
  <si>
    <t xml:space="preserve">p.40 </t>
  </si>
  <si>
    <t>p.43</t>
  </si>
  <si>
    <t>p.47</t>
  </si>
  <si>
    <t>p. 46</t>
  </si>
  <si>
    <t>p. 47</t>
  </si>
  <si>
    <t>p. 50</t>
  </si>
  <si>
    <t>p. 53</t>
  </si>
  <si>
    <t>p. 58</t>
  </si>
  <si>
    <t>p. 56</t>
  </si>
  <si>
    <t>p. 59</t>
  </si>
  <si>
    <t>p. 62</t>
  </si>
  <si>
    <t>p. 65</t>
  </si>
  <si>
    <t>p. 69</t>
  </si>
  <si>
    <t>p. 68</t>
  </si>
  <si>
    <t>P. 71</t>
  </si>
  <si>
    <t>p. 72</t>
  </si>
  <si>
    <t>p. 71</t>
  </si>
  <si>
    <t>p. 74</t>
  </si>
  <si>
    <t>p. 75</t>
  </si>
  <si>
    <t>FMLA</t>
  </si>
  <si>
    <t>Nye CO₂ emissionsreduktioner for biogas</t>
  </si>
  <si>
    <t>Antaget, at kondensat har samme energiindhold som råolie</t>
  </si>
  <si>
    <t xml:space="preserve">Hvide Sande 2 </t>
  </si>
  <si>
    <t>Af stikkontakt til ladning (170407)</t>
  </si>
  <si>
    <t>Emissioner ved kompressors elforbrug</t>
  </si>
  <si>
    <t>17 nr. var uden link - men et kvalificeret gær var at det var en henvisning til Volvo</t>
  </si>
  <si>
    <t>nr. 17 og 22 var uden link - men et kvalificeret gær var at det var en henvisning til Volvo og Scania</t>
  </si>
  <si>
    <t>% reduction i CO2 emissions</t>
  </si>
  <si>
    <t>Interview with Hans Otto Kristensen on trends in ship operation</t>
  </si>
  <si>
    <t>9000 TEU, 70% capacity, Sheet: Emissions - ton, row 14</t>
  </si>
  <si>
    <t>Reduction in energy consumption</t>
  </si>
  <si>
    <t>Interview with Hans Otto Kristensen on trends in ship operation, these speeds will also provide conformity to EEDI goals from IMO</t>
  </si>
  <si>
    <t>Dieseltogsæt (IC3 DSB)</t>
  </si>
  <si>
    <t>Generel teknologi-beskrivelse:</t>
  </si>
  <si>
    <t>En standard dieselmotor til jernbanedrift er underlagt EU kommissionens Non-Road Mobile Machinery Directive - NRMM ("moderdirektivet" hedder EU/97/68* - se nedenfor). Den foreskriver to klasser af motorer: under 560 kW (primært til togsæt DMU - diesel multiple units) og over 560 kW (både til togsæt og lokomotiver). Den pt. gældende emissionsklasse er benævnt "Stage IIIB" og gælder fra 01/2012. Normen indbefatter emissionsgrænser for CO, HC, PM samt NOx. Emissionsgrænserne kan opnås på forskellig vis, via bl.a. EGR, katalysator og påfyldning af urea til udvaskning af NOx. Der benyttes altid diesel godkendt til vejbrug (EN 590) dvs. det er ultra svovlfattigt. Dieselmotorer til jernbanebrug benyttes ofte i diesel-elektrisk og mekanisk traktion. Førhen blev de også i vid udstrækning brugt i diesel-hydraulisk brug men det er på retur pga. udvikling af mere avancerede transmissionssystemer.</t>
  </si>
  <si>
    <t>De nye emissionsstandarder for togdrift følger meget tæt efter EURO-normen for vejsiden så dermed er der tale om krav til en meget effektiv og ren forbrænding. Det er en klar ulempe at motorer skal testes særskilt i henhold til togdrift-cyklus da det giver dyrere motorer til en relativ lille markedsniche.</t>
  </si>
  <si>
    <t>Den bedste tilgængelige teknologi som er godkendt til jernbanebrug lige nu er som beskrevet ovenfor dieselmotorer der lever op til EU NRMM Stage IIIB. Den bedst tilgængelige teknologi opfylder pt. EURO6, som dog kun gælder lastbil og bus. Derudover vil den bedst tilgængelige dieselmotorteknologi til små motorer (under 560 kW) og regionaltrafik allerede i dag være kombineret med batterier og supercaps til optimeret opsamling af bremseenergien fra de relativt mange stop.</t>
  </si>
  <si>
    <t>2013</t>
  </si>
  <si>
    <t>Dieseltogsæt, IC3, fjerntrafik:</t>
  </si>
  <si>
    <t xml:space="preserve">IC3 er beregnet til fjerntrafik, men bruges også til regionaltrafik. Et togsæt består af en motorvogn MFA, en mellemvogn FF og en motorvogn MFB. Togsættet har automatkoblinger, elektronisk informations- og pladsreservationssystem samt cateringfaciliteter. Der er overgang mellem vognene i et togsæt. Op til fem togsæt kan sammenkobles med indbyrdes overgang. Styresystemet muliggør kørsel med togsæt ER og MF i samme togstamme. </t>
  </si>
  <si>
    <t>Gennemsnit (0,28-0,36)</t>
  </si>
  <si>
    <t>Data  </t>
  </si>
  <si>
    <t>Leverandør</t>
  </si>
  <si>
    <t>ABB Scandia </t>
  </si>
  <si>
    <t>Detaljerede data mangler</t>
  </si>
  <si>
    <t>Levering</t>
  </si>
  <si>
    <t>1989-1998</t>
  </si>
  <si>
    <t>Drivkraft</t>
  </si>
  <si>
    <t>4 dieselmotorer à 330 kW </t>
  </si>
  <si>
    <t>Transmission</t>
  </si>
  <si>
    <t>Mekanisk</t>
  </si>
  <si>
    <t>Bremsesystem</t>
  </si>
  <si>
    <t>Trykluftbremse og magnetskinnebremse </t>
  </si>
  <si>
    <t>Maksimal hastighed</t>
  </si>
  <si>
    <t>180 km/h </t>
  </si>
  <si>
    <t>Maksimal acceleration</t>
  </si>
  <si>
    <t>1,0 m/s2 </t>
  </si>
  <si>
    <t>Længde over koblinger</t>
  </si>
  <si>
    <t>58,80 m</t>
  </si>
  <si>
    <t>Bredde/Højde</t>
  </si>
  <si>
    <t>3,10/3,85 m </t>
  </si>
  <si>
    <t>Akselafstand</t>
  </si>
  <si>
    <t>17,73 + 2,50/2,70 m  Gulvhøjde 1,30 m </t>
  </si>
  <si>
    <t>Vognkassemateriale</t>
  </si>
  <si>
    <t>Aluminium</t>
  </si>
  <si>
    <t>Tjenestevægt</t>
  </si>
  <si>
    <t>97,0 t </t>
  </si>
  <si>
    <t>Varmesystem</t>
  </si>
  <si>
    <t>Klimaanlæg </t>
  </si>
  <si>
    <t>Antal siddepladser</t>
  </si>
  <si>
    <t>1. kl: 16  2. kl: 122 + klapsæder: 6 </t>
  </si>
  <si>
    <t>Maksimal togstørrelse</t>
  </si>
  <si>
    <t>5 togsæt </t>
  </si>
  <si>
    <t>Indikatorer</t>
  </si>
  <si>
    <t>Vægt per sæde</t>
  </si>
  <si>
    <t>kg/sæde</t>
  </si>
  <si>
    <t>Energiforbrug per togsæt-km</t>
  </si>
  <si>
    <t>Liter diesel/togsætkm</t>
  </si>
  <si>
    <t>Energiforbrug per ton-km</t>
  </si>
  <si>
    <t>Liter diesel/tonkm</t>
  </si>
  <si>
    <t>Omregningsfaktorer</t>
  </si>
  <si>
    <t>Gennemsnit fra IC3 kørsel i DSB i 2013 ("alt andet lige")</t>
  </si>
  <si>
    <t>Energi-indhold diesel</t>
  </si>
  <si>
    <t>Kørsel per år*middel energiforbr an hjul</t>
  </si>
  <si>
    <t>Densitet</t>
  </si>
  <si>
    <t>kg/Liter</t>
  </si>
  <si>
    <t>MJ/L</t>
  </si>
  <si>
    <t>Bedste estimat baseret på ORR rapporten (2011 tal)</t>
  </si>
  <si>
    <t>CO2 indhold</t>
  </si>
  <si>
    <t>g CO2/MJ</t>
  </si>
  <si>
    <t>Samlet forbedring i energieffektivitet ombord</t>
  </si>
  <si>
    <t xml:space="preserve"> -</t>
  </si>
  <si>
    <t>Realistisk forbedringspotentiale pga. energilagring ombord</t>
  </si>
  <si>
    <t>g CO2/Liter</t>
  </si>
  <si>
    <t>g CO2/kg</t>
  </si>
  <si>
    <t>Kilde: www.dsb.dk samt dataopslag i Wikipedia</t>
  </si>
  <si>
    <t>Scenarie-beskrivelser</t>
  </si>
  <si>
    <t>Middel energiforbrug an køretøj</t>
  </si>
  <si>
    <t>Baseret på indikatorer, omregningsfaktorer samt scenarier</t>
  </si>
  <si>
    <t>Beregnet CO2 emission</t>
  </si>
  <si>
    <t>2013   (Dieseldrift i dag)</t>
  </si>
  <si>
    <t>Der tages udgangspunkt i dagens dieseldrift (2013) med remotoriserede IC3 togsæt.</t>
  </si>
  <si>
    <t>CO</t>
  </si>
  <si>
    <t>De kører i dag 300.000 km per år per togsæt.</t>
  </si>
  <si>
    <t>Motorerne opfylder EURO3 normen for vejtrafik, fordi de blev bestilt før der fandtes lovpligtige emissionsgrænser for jernbanedrift.</t>
  </si>
  <si>
    <t>Et IC3 tog bruger 1,1 liter diesel i gennemsnit per togsætkm.</t>
  </si>
  <si>
    <t>Partikler (PM)</t>
  </si>
  <si>
    <t>PM for 2020 er udelukkende estimeret</t>
  </si>
  <si>
    <t>2020  (Partikelfilter)</t>
  </si>
  <si>
    <t>Der tages udgangspunkt i det samme tog og samme motor, dog nu med partikelfilter.</t>
  </si>
  <si>
    <t>Hvert tog skal udrustes for ca. 800.000 kr i 2013 priser inklusiv montering og godkendelse (svarende til 80 mill. kr for alle IC3 togsæt). Partikelfiltret vil få energiforbruget til at stige med 1-2%.</t>
  </si>
  <si>
    <t>Det antages at den årlige togproduktion holdes på 300.000 km per togsæt. Udrulning af IC4 samt elektrificering af hovednettet (Togfonden.dk) betyder sandsynligvis at hovedparten af IC3 tog skal køre på regionalstrækninger (ca. 150.000 - 200.000 km per år), men effekten af disse tiltag i 2020 er stadig ukendt.</t>
  </si>
  <si>
    <t>Optimering af energieffektiviteten ombord i form af energilagring er teknisk mulig men ikke sandsynlig som scenarium</t>
  </si>
  <si>
    <t>For scenariets skyld antages det her at IC3 levetidsforlænges eller udskiftes med et tilsvarende nyt (ren teori).</t>
  </si>
  <si>
    <t>Der findes ingen fremskrivninger så langt frem i tiden omkring NRMM emissions-normen for togdrift. Derfor tages konservativt udgangspunkt i emissionsværdier for 2020 inklusiv forbedringer i form af partikelfilter.</t>
  </si>
  <si>
    <t>Dette scenarie kan ikke direkte sammenlignes med det tilsvarende for el, da der her er tale om levetidsforlængelse af eksisterende materiel.</t>
  </si>
  <si>
    <t>Dieseltogsæt (Lint 41)</t>
  </si>
  <si>
    <t>Dieseltogsæt, Lint41, Lokaltog</t>
  </si>
  <si>
    <t>Lint41 er beregnet til lokal/regionaltrafik. Et togsæt består af to motorvogne. Togsættet har automatkoblinger, elektronisk passagerinformations- og toiletfaciliteter. Der er overgang mellem vognene i et togsæt. Op til tre togsæt kan sammenkobles men uden overgang.</t>
  </si>
  <si>
    <t>Alstom</t>
  </si>
  <si>
    <t>2006-2007</t>
  </si>
  <si>
    <t>2 x 315 kW dieselmotorer</t>
  </si>
  <si>
    <t>Ecomat ZF 5 HP 600 Sec. femtrins automatgear og momentomformer med integreret retarder</t>
  </si>
  <si>
    <t>direkte og indirekte elektro-pneumatiske luft skivebremser, Hydrodynamisk retarder</t>
  </si>
  <si>
    <t>120 km/h (strækningshastighed max 75/100 km/t</t>
  </si>
  <si>
    <t>0,6 m/s2 (bremse 1,1 m/s2)</t>
  </si>
  <si>
    <t>41,89 m</t>
  </si>
  <si>
    <t>2,75 / 4,34</t>
  </si>
  <si>
    <t>Stål</t>
  </si>
  <si>
    <t>63 tons</t>
  </si>
  <si>
    <t>Kølevandskredsløb og Webasto (tbc)</t>
  </si>
  <si>
    <t>op til 3 togsæt kan sammenkobles</t>
  </si>
  <si>
    <t>Sikkerhedssystem ATC </t>
  </si>
  <si>
    <t>Automatisk togstop (leverandør Katus)</t>
  </si>
  <si>
    <t>L/togsætkm</t>
  </si>
  <si>
    <t>L/tonkm</t>
  </si>
  <si>
    <t>Beregnet vha. forbrug/km og motorvirkningsgrad</t>
  </si>
  <si>
    <t>Gennemsnit fra Lint 41 drift i Lokalbanen og Arriva</t>
  </si>
  <si>
    <t>Estimat baseret på international benchmarking (2011 tal)</t>
  </si>
  <si>
    <t>Kilder: Alstom samt dataopslag i Wikipedia</t>
  </si>
  <si>
    <t>Der tages udgangspunkt i dagens dieseldrift (2013) med Lint 41 togsæt idriftsat i 2006/2007</t>
  </si>
  <si>
    <t>De kører i dag 110.000 km per år per togsæt.</t>
  </si>
  <si>
    <t>Et Lint 41 togsæt bruger 0,9 liter diesel i gennemsnit per togsætkm.</t>
  </si>
  <si>
    <t>Hvert tog skal udrustes for ca. 500.000 kr i 2013 priser inklusiv montering og godkendelse (baseret på priser til IC3). Partikelfiltret vil få energiforbruget til at stige med 1-2%.</t>
  </si>
  <si>
    <t>Dette scenarie kan ikke direkte sammenlignes med det tilsvarende for el, da der dels er tale om en anden type service og der dels her er tale om levetidsforlængelse af eksisterende materiel.</t>
  </si>
  <si>
    <t>Gasdrevet lokaltog (baseret på Lint 41)</t>
  </si>
  <si>
    <t>Brug af gas i dieseldrevne motorer til jernbanedrift har været undersøgt over en længere årrække og helt tilbage til 1990'erne hvis ikke før. Der har været udført test med de forskellige opbevaringsformer som LPG, LNG, CNG samt biogas. Efter en betydelig modning af teknologien, blandt andet understøttet af udviklingen i dieselmotor-teknologien, er der nu bred (global) enighed om at det absolut mest velegnede gas-drivmiddel er LNG på grund af energitætheden, håndteringen og prisen ift. både gas- og dieselalternativerne.</t>
  </si>
  <si>
    <t>Selvom der er mange LNG forsøg i gang pt. i USA, Europa, Rusland og i Asien, så er det ikke et eksisterende alternativ til diesel. Det skal derfor understreges at nærværende data kun er en teoretisk tilnærmelse og på ingen måde har nogen forbindelse til virkelig drift i et Lint 41 med passagerer.</t>
  </si>
  <si>
    <t>Fordelen ved LNG er at den kan bruges direkte i nyere avancerede dieselmotorer evt. ved tilsætning af mindre mængde diesel til antændingen (&lt;10%). Ved forbrændingen opnås 30% lavere CO2 emissioner og 70% lavere NOx emissioner sammenlignet med diesel. Øvrige regulerede emissioner reduceres også betydeligt. LNG har fået betydeligt comeback efter vedvarende fund af betydelige mængder gas bl.a. pga. fracking. For at det kan give mening økonomisk, må gassen være tilgængelig via et højtryksnet (f.eks. DONG's naturgasnet) ellers bliver det alt for dyrt.</t>
  </si>
  <si>
    <t>Ulempen er at der skal etableres en helt ny jernbane energi-infrastruktur til sikker tankning og opbevaring samt at der er ikke ubetydelige sikkerhedsmæssige risici ved håndtering af LNG, som skal opbevares ved -160 grader Celcius. Derfor vil det formentlig heller ikke komme på tale at benytte LNG i udbredt grad på det primære jernbanenet, hvor høj trafikintensitet samt mange kortere eller længere tunneller vil gøre det umuligt at garantere passagernes sikkerhed ved uheld.</t>
  </si>
  <si>
    <t>Gasdrevet Lokaltog med udgangspunkt i Lint 41</t>
  </si>
  <si>
    <t>Estimat baseret på ETH samt andre internationale test</t>
  </si>
  <si>
    <t>2 x 315 kW dieselmotorer tilpasset gas (evt. hybrid diesel) forbrænding i eksisterende/tilpassede motorer</t>
  </si>
  <si>
    <t>kg/GJ LNG</t>
  </si>
  <si>
    <t>L diesel / togsætkm</t>
  </si>
  <si>
    <t>L diesel / tonkm</t>
  </si>
  <si>
    <t>LNG</t>
  </si>
  <si>
    <t>Energi-indhold</t>
  </si>
  <si>
    <t>Gennemsnit fra Lint 41 kørsel på Lokalbanen</t>
  </si>
  <si>
    <t>CO2 indhold per energienhed</t>
  </si>
  <si>
    <t>CO2-indhold per volumen</t>
  </si>
  <si>
    <t>2013   (dieseldrift i dag)</t>
  </si>
  <si>
    <t>2020 (simuleret gasdrift)</t>
  </si>
  <si>
    <t>Der tages udgangspunkt i det samme tog og samme motor, dog nu indfødet med &gt;90%LNG brændstof</t>
  </si>
  <si>
    <t>Hvert tog skal udrustes for ca. 2.000.000 kr i 2013 priser inklusiv montering og godkendelse (skøn).</t>
  </si>
  <si>
    <t>Der tages konservativt udgangspunkt i gas emissionsværdier for 2020.</t>
  </si>
  <si>
    <t>Elektrisk regionaltogsæt (IR4 DSB)</t>
  </si>
  <si>
    <t>El-tog har været i drift i over 100 år i mange lande og det er en velkendt og gennemprøvet teknologi som selvfølgelig også er under konstant udvikling. Oprindelig benyttedes kun DC i drift mens man senere er gået over til AC for at mindske tab primært i transmissionen fra transformer til tog. Der benyttes to typer fødning af elektriciteten: OCL (overhead catenary line eller frithængende kabler fra mast) og tredje skinne (jordbaseret fritliggende strømskinne).</t>
  </si>
  <si>
    <t>Når man skal beskrive el-togs systemet er der meget vigtigt at gøre sig klart hvor systemgrænserne går for at kunne sammenligne det med alternativer på en fornuftig måde. Der henvises til kilde 1 (http://www.railenergy.eu/RailenergyMethodology.aspx) angående en præcis systemafgrænsning for jernbanesystemet.</t>
  </si>
  <si>
    <t>Der er ingen emissioner direkte fra toget, og der opnås generelt en høj energieffektivitet i selve jernbanesystemet. Set over hele energikæden fra udvinding, fremstilling og transmission af elektrisk energi til forbrug ombord på toget afhænger det dog meget af hvordan strømmen er produceret. Hvis strømmen kommer fra 100% fossilt brændsel kan et diesel-tog godt være lige så miljøvenligt eller bedre end et el-tog alt andet lige.</t>
  </si>
  <si>
    <t>Ulemperne ved el-drift er primært miljømæssigt: afhængigheden af el-producentens el-mix og økonomisk: den store investering og vedligehold af det jernbane-specifikke elnet.</t>
  </si>
  <si>
    <r>
      <rPr>
        <b/>
        <sz val="10"/>
        <rFont val="Arial"/>
        <family val="2"/>
      </rPr>
      <t>Elektrisk togsæt, IR4-tog, fjern- og regionaltrafik</t>
    </r>
    <r>
      <rPr>
        <sz val="10"/>
        <rFont val="Calibri"/>
        <family val="2"/>
      </rPr>
      <t xml:space="preserve">
Litra ER er oprindeligt projekteret som et regionaltog, men anvendes også som fjerntog på elektrificerede strækninger. Derfor er togsættene udstyret med informations- og pladsreservationssystem. Togsættene findes med forskellige typer indretning og antal siddepladser, men interiøret vil muligvis blive ændret, så det fremstår ens i alle togsæt. Et togsæt er sammensat af motorvogn ER, to mellemvogne FR og motorvogn ER med indbyrdes overgang. Op til fem togsæt kan sammenkobles med indbyrdes overgang. Styresystemet muliggør kørsel med togsæt af typerne ER og MF i samme tog.</t>
    </r>
  </si>
  <si>
    <t>Beregnet</t>
  </si>
  <si>
    <t>Leverandør </t>
  </si>
  <si>
    <t>ABB Traction og ABB Scandia</t>
  </si>
  <si>
    <t>1995-1998 </t>
  </si>
  <si>
    <t>Spænding, frekvens</t>
  </si>
  <si>
    <t>25 kV, 50 Hz </t>
  </si>
  <si>
    <t> 4 banemotorer AC à 420 kW </t>
  </si>
  <si>
    <t>Trykluftbremse, el-bremse </t>
  </si>
  <si>
    <t>  og magnetskinnebremse </t>
  </si>
  <si>
    <t>Maksimal hastighed h </t>
  </si>
  <si>
    <t>180 km/</t>
  </si>
  <si>
    <t>Miljø-data el-produktion</t>
  </si>
  <si>
    <t>0,78 m/s2 </t>
  </si>
  <si>
    <t>Produktionens el-mix antages at blive reguleret andetsteds i regnearket fra COWI.</t>
  </si>
  <si>
    <t>76,53 m </t>
  </si>
  <si>
    <t>17,73 + 2,50/2,70 m </t>
  </si>
  <si>
    <t>Gulvhøjde</t>
  </si>
  <si>
    <t>1,30 m </t>
  </si>
  <si>
    <t>133 t </t>
  </si>
  <si>
    <t>1. kl: 24/16,</t>
  </si>
  <si>
    <t>2. kl: 183/183 + 20 klapsæder</t>
  </si>
  <si>
    <t>5 togsæt</t>
  </si>
  <si>
    <t>Sikkerhedssystem</t>
  </si>
  <si>
    <t>ATC</t>
  </si>
  <si>
    <t>KPI'er</t>
  </si>
  <si>
    <t>Omtrentlig årlig produktion/togsæt-km i DSB</t>
  </si>
  <si>
    <t>kWh/togsætkm (foreløbigt tal)</t>
  </si>
  <si>
    <t>Wh/tonkm</t>
  </si>
  <si>
    <t>Omregning: 1 kWh =</t>
  </si>
  <si>
    <t>MJ</t>
  </si>
  <si>
    <t>Forventede systemforbedringer ombord</t>
  </si>
  <si>
    <t>Kilde: www.dsb.dk</t>
  </si>
  <si>
    <t>2013   (el-drift i dag)</t>
  </si>
  <si>
    <t>Der tages udgangspunkt i dagens eldrift (2013) med IR4 togsæt.</t>
  </si>
  <si>
    <t>De kører i dag 250.000 km per år per togsæt.</t>
  </si>
  <si>
    <t>Et IR4 tog bruger 7,1 kWh i gennemsnit per togsætkm.</t>
  </si>
  <si>
    <t>2020  (energi-effektivitet og grønnere el)</t>
  </si>
  <si>
    <t>Der tages udgangspunkt i det samme tog med samme teknologi</t>
  </si>
  <si>
    <t>Energiforbruget optimeres ombord både når toget er i drift med passagerer og når det står parkeret. Samlet forbedring 8%.</t>
  </si>
  <si>
    <t>Det antages at den årlige togproduktion holdes på 250.000 km per togsæt. Elektrificering af hovednettet (Togfonden.dk) betyder sandsynligvis at hovedparten af IR4 togene skal køre endnu længere på intercity-strækninger (ca. 300.000 - 350.000 km per år), men det er kun gætværk pt.</t>
  </si>
  <si>
    <t>For scenariets skyld antages det her at IR4 udskiftes med et nyt el-tog med en tidssvarende teknologisk udrustning.</t>
  </si>
  <si>
    <t>Dette scenarie kan ikke direkte sammenlignes med det tilsvarende for diesel, da der her er tale om nyindkøb af materiel.</t>
  </si>
  <si>
    <t>Middel energiforbrug an tog, primær</t>
  </si>
  <si>
    <t>Middel energiforbrug an tog, sekundær</t>
  </si>
  <si>
    <t>IC Tog Diesel</t>
  </si>
  <si>
    <t>IC Tog El</t>
  </si>
  <si>
    <t>Lokaltog Diesel</t>
  </si>
  <si>
    <t>IC Tog Biodiesel</t>
  </si>
  <si>
    <t>Lokaltog biodiesel</t>
  </si>
  <si>
    <t>Diesel IC-reg.tog</t>
  </si>
  <si>
    <t>Diesel Lokaltog</t>
  </si>
  <si>
    <t>Gas Lokaltog</t>
  </si>
  <si>
    <t>El IC-reg.tog</t>
  </si>
  <si>
    <t>9000 TEU Dual fuel</t>
  </si>
  <si>
    <t>Tog Diesel</t>
  </si>
  <si>
    <t>Tog El</t>
  </si>
  <si>
    <t>Lokaltog Gas</t>
  </si>
  <si>
    <t>El (AC-net) til togdrift</t>
  </si>
  <si>
    <t>Niras (2011). Strategisk analyse af electrificering af banenettet - Opgave A, strategianalysen. Banedanmark.</t>
  </si>
  <si>
    <t>Trainkm/year</t>
  </si>
  <si>
    <t>Section 17.8.2 and table 47</t>
  </si>
  <si>
    <t>El Tog</t>
  </si>
  <si>
    <t>Elektricitet til køreledninger til tog</t>
  </si>
  <si>
    <t>Investment NPV</t>
  </si>
  <si>
    <t>O&amp;M NPV</t>
  </si>
  <si>
    <t>Energy consumption of train</t>
  </si>
  <si>
    <t>Capacity</t>
  </si>
  <si>
    <t>GJ/year</t>
  </si>
  <si>
    <t>million km/year</t>
  </si>
  <si>
    <t>tog-elektricitet</t>
  </si>
  <si>
    <t>Inserted trains and created a secondary convertion to allow overhead wires on tracks for electric trains</t>
  </si>
  <si>
    <t>http://www.bane.dk/db/filarkiv/14178/EEL%20EL%20008%20Notat%20Analyse%20Elektrificeringsstrategi.pdf - Page. 56</t>
  </si>
  <si>
    <t>Virkningsgrad for køreledninger</t>
  </si>
  <si>
    <t>Indtastning af tab/virkningsgrad i tog-elnettet.</t>
  </si>
  <si>
    <t>O&amp;M costs</t>
  </si>
  <si>
    <t>EPRI</t>
  </si>
  <si>
    <t>PEV</t>
  </si>
  <si>
    <t>HEV</t>
  </si>
  <si>
    <t>ICE</t>
  </si>
  <si>
    <t>USD/150000miles</t>
  </si>
  <si>
    <t>% of ICE</t>
  </si>
  <si>
    <t>EPRI, Appendix B</t>
  </si>
  <si>
    <t>mho</t>
  </si>
  <si>
    <t>Missing calculation of emissions from distribution of 1.gen. ethanol and MeOH</t>
  </si>
  <si>
    <t>Samlet virkningsgrad</t>
  </si>
  <si>
    <t>Found error in calculation of efficiency of distribution of electricity in overhead lines for rail propulsion</t>
  </si>
  <si>
    <t>ETS costs from intermediate conversions did not take bi-products into account.</t>
  </si>
  <si>
    <t>Emissions from intermediate conversions did not take by-products into account.</t>
  </si>
  <si>
    <t>Drivmiddel energiudbytte</t>
  </si>
  <si>
    <t>GJ meOH/t træ</t>
  </si>
  <si>
    <t>GJ meoh/gj in</t>
  </si>
  <si>
    <t>GJ/t træ</t>
  </si>
  <si>
    <t>Energiindhold - H2</t>
  </si>
  <si>
    <t>Energiindhold - batteri</t>
  </si>
  <si>
    <t>Intermediate calculations</t>
  </si>
  <si>
    <t>9000TEU BioDiesel</t>
  </si>
  <si>
    <t>Expected changes as energy content of biomass is brought in line with FORCE, one outstanding change to biogas</t>
  </si>
  <si>
    <t>Bringing Biogas back in line after the previous change</t>
  </si>
  <si>
    <t>Faste og variable d&amp;v Benzinbil</t>
  </si>
  <si>
    <t>% af benzin</t>
  </si>
  <si>
    <t>EPI</t>
  </si>
  <si>
    <t>Appendix B, calculated as percentage of gasoline car</t>
  </si>
  <si>
    <t>Lower O&amp;M costs for electric and hybrid vehicles - now ~10 øre/km down from 31.5 øre/km - a substatial change</t>
  </si>
  <si>
    <t>tailpipe emissions from 2.g. bio diesel corrected from fossil to biomass</t>
  </si>
  <si>
    <t>Scenarier %-fordeling af biomasse</t>
  </si>
  <si>
    <t>Scenarie 1</t>
  </si>
  <si>
    <t>Scenarie 2</t>
  </si>
  <si>
    <t>Scenarie 3</t>
  </si>
  <si>
    <t>Investeringsomkostninger</t>
  </si>
  <si>
    <t>USD/tpa</t>
  </si>
  <si>
    <t>DKK/tpa</t>
  </si>
  <si>
    <t>DKK/Gjpa</t>
  </si>
  <si>
    <t>% of CAPEX</t>
  </si>
  <si>
    <t>Naturgas komprimeres og køles ned til LNG til direkte anvendelse i fx. skibe</t>
  </si>
  <si>
    <t>Naturgas eller biogas</t>
  </si>
  <si>
    <t>flydende naturgas</t>
  </si>
  <si>
    <t>Liquefied Natural Gas LTD.</t>
  </si>
  <si>
    <t>LNG LTD. Improved LNG process - Better Economics for Future Projects. http://www.lnglimited.com.au/IRM/content/default.aspx</t>
  </si>
  <si>
    <t>Fully scalable</t>
  </si>
  <si>
    <t>Base assumption across all conversions</t>
  </si>
  <si>
    <t>Base assumption, may be a bit high</t>
  </si>
  <si>
    <t>9000TEU LNG</t>
  </si>
  <si>
    <t>Conversion of natural gas or biogas to LNG and Dual fuel ship running on LNG</t>
  </si>
  <si>
    <t>p. 11</t>
  </si>
  <si>
    <t>Process Heat Loss (GJ / GJ  straw (15% moisture)</t>
  </si>
  <si>
    <t>t kerosene/t straw (15% moisture)</t>
  </si>
  <si>
    <t>Force-19</t>
  </si>
  <si>
    <t>Bio jet fuel from straw</t>
  </si>
  <si>
    <t>FORCE-18</t>
  </si>
  <si>
    <t>Bio jet fuel</t>
  </si>
  <si>
    <t>Energiindhold - kerosene</t>
  </si>
  <si>
    <t>Value of gasoline as a byproduct of bio-diesel production corrected</t>
  </si>
  <si>
    <t>Bio Jet Fuel</t>
  </si>
  <si>
    <t>(FORCE 18) Bio Jetfuel</t>
  </si>
  <si>
    <t>(FORCE 19) RME Rapeseed</t>
  </si>
  <si>
    <t>(FORCE 20) Ethanol SugarBeet</t>
  </si>
  <si>
    <t>Byproduct diesel, GJ/GJ kerosene</t>
  </si>
  <si>
    <t>Byproduct naphta, GJ/GJ kerosene</t>
  </si>
  <si>
    <t>Naphta</t>
  </si>
  <si>
    <t>Ethanol-sukkerroer</t>
  </si>
  <si>
    <t>By-product, pulp GJ/GJ ethanol</t>
  </si>
  <si>
    <t>Pulp</t>
  </si>
  <si>
    <t>GJ sugarbeets</t>
  </si>
  <si>
    <t>GJ/GJ  in</t>
  </si>
  <si>
    <t>GJ/GJ  out</t>
  </si>
  <si>
    <t>GJ /GJ in</t>
  </si>
  <si>
    <t>Energiindhold - bio-diesel</t>
  </si>
  <si>
    <t>Price year verified and in a few cases corrected: conversions and vehicles</t>
  </si>
  <si>
    <t>Hans-Otto Christensen, Dansk Rederiforening, Skønnet værdi pba. expertudsagn</t>
  </si>
  <si>
    <t>Hans-Otto Christensen, Dansk Rederiforening, Skønnet værdi pba. expertudsagn, 15% højere end conventionel motor</t>
  </si>
  <si>
    <t>Revised O&amp;M + CAPEX for ships</t>
  </si>
  <si>
    <t>Aircraft Biofuel</t>
  </si>
  <si>
    <t>Aircraft on biofuel included</t>
  </si>
  <si>
    <t>Sugarbeets</t>
  </si>
  <si>
    <t>E85-1g Sugarb.</t>
  </si>
  <si>
    <t>http://www.sukkerroer.nu/irj/portal/nordzucker/da?NavigationTarget=navurl://13b776ae053328a67b3ed6386dd63317</t>
  </si>
  <si>
    <t>New 1.g. ethanol track on sugarbeets, correction of composition of E85 as a mix of ethanol and gasoline</t>
  </si>
  <si>
    <t>Biodiesel-1g RME</t>
  </si>
  <si>
    <t>Initials</t>
  </si>
  <si>
    <t>Log entry</t>
  </si>
  <si>
    <t>New track on RME</t>
  </si>
  <si>
    <t>High speed katamaran ferry</t>
  </si>
  <si>
    <t>Scaled proportional to container ship</t>
  </si>
  <si>
    <t>Fast Ferry</t>
  </si>
  <si>
    <t>Katamaran ferry</t>
  </si>
  <si>
    <t>Korrektion for lave D&amp;V i FORCE spor</t>
  </si>
  <si>
    <t>% af CAPEX</t>
  </si>
  <si>
    <t>Correction for low O&amp;M cost</t>
  </si>
  <si>
    <t>Agreed upon with ENS</t>
  </si>
  <si>
    <t>Fast Ferry (not complete); increased O&amp;M to 10% of CAPEX on FORCE track 1,2,7,9,18 and 19</t>
  </si>
  <si>
    <t>New track: Fast Ferry (not complete - no costs). Corrected O&amp;M on FORCE track 1,2,7,9,18 and 19 to 10% of CAPEX</t>
  </si>
  <si>
    <t>Instructions</t>
  </si>
  <si>
    <t>Please assign each pathway to a group with a letter in col. C</t>
  </si>
  <si>
    <t>Groups</t>
  </si>
  <si>
    <t>Group name</t>
  </si>
  <si>
    <t>Letter</t>
  </si>
  <si>
    <t>C</t>
  </si>
  <si>
    <t>Ships</t>
  </si>
  <si>
    <t>D</t>
  </si>
  <si>
    <t>E</t>
  </si>
  <si>
    <t>Results for all years</t>
  </si>
  <si>
    <t>Clicking "Update charts" will update the chart for the group</t>
  </si>
  <si>
    <t>selected in the dropdown menu</t>
  </si>
  <si>
    <t>Select group to chart</t>
  </si>
  <si>
    <t>Technological learning</t>
  </si>
  <si>
    <t>PR value specific to this conversion technology</t>
  </si>
  <si>
    <t>Cost reduction factor (1=no reduction)</t>
  </si>
  <si>
    <t>Economy data with learning and adjusted price year</t>
  </si>
  <si>
    <t>Economy data without learning and in data source price year</t>
  </si>
  <si>
    <t>Learning group</t>
  </si>
  <si>
    <t>Established</t>
  </si>
  <si>
    <t>Recent</t>
  </si>
  <si>
    <t>New</t>
  </si>
  <si>
    <t>Developing</t>
  </si>
  <si>
    <t>Chosen learning pattern</t>
  </si>
  <si>
    <t>No learning</t>
  </si>
  <si>
    <t>Moderate learning</t>
  </si>
  <si>
    <t>Fast learning</t>
  </si>
  <si>
    <t>None</t>
  </si>
  <si>
    <t>Moderate</t>
  </si>
  <si>
    <t>Fast</t>
  </si>
  <si>
    <t>Learning pace</t>
  </si>
  <si>
    <t>Tech. learning group:</t>
  </si>
  <si>
    <t xml:space="preserve">Please add the pathways into the table below to define the groups for which the sensitivity </t>
  </si>
  <si>
    <t>analysis should be carried out. In the table above you can change the sensitivity impact and</t>
  </si>
  <si>
    <t>groups for which sensititivy analysis is to be carried out</t>
  </si>
  <si>
    <t>Please click "Run sensitivity tests" to update the charts and tables</t>
  </si>
  <si>
    <t>Assumptions in chosen sensitivity scenario (in dropdown menu)</t>
  </si>
  <si>
    <t>Combination of sensitivity scenarios (rows) and sensitivity parameters (columns)</t>
  </si>
  <si>
    <t>A4 file path</t>
  </si>
  <si>
    <t>c:\Users\mikr\Desktop\tmp\ENS-AD\pdf\</t>
  </si>
  <si>
    <t>GJ E85</t>
  </si>
  <si>
    <t>GJ RME</t>
  </si>
  <si>
    <t>GJ olie</t>
  </si>
  <si>
    <t>GJ gas</t>
  </si>
  <si>
    <t>GJ MeOH</t>
  </si>
  <si>
    <t>GJ brint</t>
  </si>
  <si>
    <t>GJ DME</t>
  </si>
  <si>
    <t>GJ diesel</t>
  </si>
  <si>
    <t>GJ benzin</t>
  </si>
  <si>
    <t>GJ el</t>
  </si>
  <si>
    <t>GJ JP1</t>
  </si>
  <si>
    <t>GJ CH4</t>
  </si>
  <si>
    <t>GJ Syngas</t>
  </si>
  <si>
    <t>GJ LNG</t>
  </si>
  <si>
    <t>E85</t>
  </si>
  <si>
    <t>m3</t>
  </si>
  <si>
    <t>l/m3</t>
  </si>
  <si>
    <t>GJ/m3</t>
  </si>
  <si>
    <t>Energiforbrug ved tankvognskørsel</t>
  </si>
  <si>
    <t>text</t>
  </si>
  <si>
    <t>Energy density</t>
  </si>
  <si>
    <t>Tanker truck</t>
  </si>
  <si>
    <t>Net distrib.</t>
  </si>
  <si>
    <t>Mini</t>
  </si>
  <si>
    <t>Midi</t>
  </si>
  <si>
    <t>Large</t>
  </si>
  <si>
    <t>Loss</t>
  </si>
  <si>
    <t>Elec</t>
  </si>
  <si>
    <t>Cost</t>
  </si>
  <si>
    <t>Total distr. energy</t>
  </si>
  <si>
    <t>Process</t>
  </si>
  <si>
    <r>
      <t xml:space="preserve">I beregningen </t>
    </r>
    <r>
      <rPr>
        <b/>
        <sz val="10"/>
        <rFont val="Calibri"/>
        <family val="2"/>
        <scheme val="minor"/>
      </rPr>
      <t>med</t>
    </r>
    <r>
      <rPr>
        <sz val="10"/>
        <rFont val="Calibri"/>
        <family val="2"/>
        <scheme val="minor"/>
      </rPr>
      <t xml:space="preserve"> CO2 kvoter i elpris opgøres og værdisættes CO2 emissioner fra elproduktion </t>
    </r>
    <r>
      <rPr>
        <b/>
        <sz val="10"/>
        <rFont val="Calibri"/>
        <family val="2"/>
        <scheme val="minor"/>
      </rPr>
      <t>ikke</t>
    </r>
    <r>
      <rPr>
        <sz val="10"/>
        <rFont val="Calibri"/>
        <family val="2"/>
        <scheme val="minor"/>
      </rPr>
      <t>.</t>
    </r>
  </si>
  <si>
    <r>
      <t xml:space="preserve">I beregningen </t>
    </r>
    <r>
      <rPr>
        <b/>
        <sz val="10"/>
        <rFont val="Calibri"/>
        <family val="2"/>
        <scheme val="minor"/>
      </rPr>
      <t>uden</t>
    </r>
    <r>
      <rPr>
        <sz val="10"/>
        <rFont val="Calibri"/>
        <family val="2"/>
        <scheme val="minor"/>
      </rPr>
      <t xml:space="preserve"> CO2 kvoter i elpris opgøres og værdisættes CO2 emissioner fra elproduktion</t>
    </r>
  </si>
  <si>
    <t>Diesel energiindhold</t>
  </si>
  <si>
    <t>Gasoline density</t>
  </si>
  <si>
    <t>Gasoline distr. cost</t>
  </si>
  <si>
    <t>Benzin distribution</t>
  </si>
  <si>
    <t>Diesel distribution</t>
  </si>
  <si>
    <t>JP1 distribution</t>
  </si>
  <si>
    <t>Tabel 6</t>
  </si>
  <si>
    <t>Tabel 6, Note: 2050 er antaget sammen som 2035 i kilde</t>
  </si>
  <si>
    <t>SØK brændselspris Træflis an værk</t>
  </si>
  <si>
    <t>Tabel 5</t>
  </si>
  <si>
    <t>Tabel 7</t>
  </si>
  <si>
    <t>Energy costs from Danish Energy Agency</t>
  </si>
  <si>
    <t>Inflated to chosen price year, correction with sensitivity parameters</t>
  </si>
  <si>
    <t>Data for recalculation of distribution costs</t>
  </si>
  <si>
    <t>Note: We assume that gasoline distribution costs for other fuels, but adjust with the eenrgy density, because volume is the cost driver</t>
  </si>
  <si>
    <t>Exceptions are diesel and JP1 where data from DEA is available, and HFO where we use JP1 costs (which are also bulk)</t>
  </si>
  <si>
    <t xml:space="preserve">Process </t>
  </si>
  <si>
    <t>Naturgas distribution an værk</t>
  </si>
  <si>
    <t>Naturgas distribution an forbruger</t>
  </si>
  <si>
    <t>Updated emission factors from various energy plants</t>
  </si>
  <si>
    <t>Corrected costs and energy use in distribution</t>
  </si>
  <si>
    <t>Corrected energy use and emissions in distribution</t>
  </si>
  <si>
    <t>Electricity distribution, EV</t>
  </si>
  <si>
    <t>Electricity distribution, hydrogen</t>
  </si>
  <si>
    <t>Difference between power price ab plant and an consumer</t>
  </si>
  <si>
    <t>Corrected cost for distribution, in particular natural gas</t>
  </si>
  <si>
    <t>Corrected cost for distribution, in particular natural gas and power</t>
  </si>
  <si>
    <t>CO₂ e</t>
  </si>
  <si>
    <t>CO₂e</t>
  </si>
  <si>
    <t>F</t>
  </si>
  <si>
    <t>Heavy vehicles</t>
  </si>
  <si>
    <t>Comments</t>
  </si>
  <si>
    <t>Source</t>
  </si>
  <si>
    <t>Section 4</t>
  </si>
  <si>
    <t>Feedstocks</t>
  </si>
  <si>
    <t>Vehicle</t>
  </si>
  <si>
    <t>Correction of MeOH upstream power; correction of efficiencies from distribution (all pathways)</t>
  </si>
  <si>
    <t>Found error in calculation of energy inputs to jet fuel production</t>
  </si>
  <si>
    <t>Found error in unit conversion on emissions from trains. Emissions of Nox and particles increased by a factor 10</t>
  </si>
  <si>
    <t>Feedstock</t>
  </si>
  <si>
    <t>WTT appendix 2, chapter 3, excl. distribution, incl. low est. of ILUC at 18g (high is 71g)</t>
  </si>
  <si>
    <t>Dry wood, tørstof - skal korrigeres med / (1-42,3%)</t>
  </si>
  <si>
    <t>15% vandindhold, WTT appendix 1, chapter 9 + 11, egne beregninger nederst</t>
  </si>
  <si>
    <t>Density</t>
  </si>
  <si>
    <t>Unit</t>
  </si>
  <si>
    <t>Process energy use in production of feedstock</t>
  </si>
  <si>
    <t>GJ/1000 Nm³</t>
  </si>
  <si>
    <t>Antaget samme som træ</t>
  </si>
  <si>
    <t>Feedstock price in mass units</t>
  </si>
  <si>
    <t>Feedstock price in energy units</t>
  </si>
  <si>
    <t>Price year</t>
  </si>
  <si>
    <t xml:space="preserve">Ea Enerrgy Analyses (2013)  "Analysis of biomass prices, future Danish prices for straw, wood chips and wood pellets (draft 21-03-2013)", </t>
  </si>
  <si>
    <t>Medium estimate</t>
  </si>
  <si>
    <t>Import price</t>
  </si>
  <si>
    <t>Energy input to electricity production excl. conversion loss</t>
  </si>
  <si>
    <t>Emissions from process energy use in production of feedstock</t>
  </si>
  <si>
    <t>Process CO₂ emission excluding ILUC</t>
  </si>
  <si>
    <t>No data</t>
  </si>
  <si>
    <t>Assumed same as whet</t>
  </si>
  <si>
    <t>Unit emissions from upstream process, g/GJ</t>
  </si>
  <si>
    <t>low</t>
  </si>
  <si>
    <t>high</t>
  </si>
  <si>
    <t>kg CO2e/GJ</t>
  </si>
  <si>
    <t>Old AD</t>
  </si>
  <si>
    <t>COWI/SDU</t>
  </si>
  <si>
    <t>IFPRI</t>
  </si>
  <si>
    <t>COWI/SDU 2013: Life Cycle Assessment of bioenergy pathways for the future Danish energy system</t>
  </si>
  <si>
    <t>CO₂ emissions from transport process energy as assumed in proces energy</t>
  </si>
  <si>
    <t>N/A - no land use</t>
  </si>
  <si>
    <t>Straw cost share of wood chips</t>
  </si>
  <si>
    <t>Correction of straw prices; correction of inflator of imported biofuel</t>
  </si>
  <si>
    <t>One to one</t>
  </si>
  <si>
    <t>Table 12 Marginal Indirect Land Use emissions, gCO2/MJ per annum. 20 years life cycle.</t>
  </si>
  <si>
    <t>Without</t>
  </si>
  <si>
    <t>Peatland effects</t>
  </si>
  <si>
    <t>Wheat</t>
  </si>
  <si>
    <t>Rapeseed</t>
  </si>
  <si>
    <t>Palm oil</t>
  </si>
  <si>
    <t>Rapeseed oil</t>
  </si>
  <si>
    <t>Soybean oil</t>
  </si>
  <si>
    <t>Sunflower oil</t>
  </si>
  <si>
    <t>SugarBeet Ethanol</t>
  </si>
  <si>
    <t>SugarCane Ethanol</t>
  </si>
  <si>
    <t>Maize Ethanol</t>
  </si>
  <si>
    <t>Wheat Ethanol</t>
  </si>
  <si>
    <t>With</t>
  </si>
  <si>
    <t>No trade liberalization</t>
  </si>
  <si>
    <t>Trade liberalization</t>
  </si>
  <si>
    <t>Old AD low</t>
  </si>
  <si>
    <t>Old AD high</t>
  </si>
  <si>
    <t>COWI/SDU low</t>
  </si>
  <si>
    <t>COWI/SDU high</t>
  </si>
  <si>
    <t xml:space="preserve">Went back to old AD ILUC values for wheat, rapeseed </t>
  </si>
  <si>
    <t>Correction for conversion loss</t>
  </si>
  <si>
    <t>Assumed same as rapeseed</t>
  </si>
  <si>
    <t>Assumed same as wheat</t>
  </si>
  <si>
    <t>IFPRI ILUC impact from fuel production</t>
  </si>
  <si>
    <t>Assumed same as wood chips</t>
  </si>
  <si>
    <t>Assumed that process energy emission profile follows Danish marginal electricity profile</t>
  </si>
  <si>
    <t>Corrected ILUC for wheat and rapeseed</t>
  </si>
  <si>
    <t xml:space="preserve">Electricity price </t>
  </si>
  <si>
    <t>Electricity for hydrogen / charging</t>
  </si>
  <si>
    <t>Transformation to raw feedstock</t>
  </si>
  <si>
    <t>Raw feedstock el. fuel price</t>
  </si>
  <si>
    <t>Manure for biogas</t>
  </si>
  <si>
    <t>Afrundingsfejl på gyllepris rettet</t>
  </si>
  <si>
    <t>Not used, temporarily assumed same as wood chips</t>
  </si>
  <si>
    <t>Accounted for in technology sheet for Biomass</t>
  </si>
  <si>
    <t>Corrected reference error where train energy use per km referred to year (factor 200 error)</t>
  </si>
  <si>
    <t>km/l benzin-ækv.</t>
  </si>
  <si>
    <t>Vehicle column</t>
  </si>
  <si>
    <t>Fuel column</t>
  </si>
  <si>
    <t>Pointers</t>
  </si>
  <si>
    <t>Vehicle name</t>
  </si>
  <si>
    <t>Standardbil</t>
  </si>
  <si>
    <t>Tunge Køretøjer</t>
  </si>
  <si>
    <t>Skibe</t>
  </si>
  <si>
    <t>Tog</t>
  </si>
  <si>
    <t>Sensitivity Food</t>
  </si>
  <si>
    <t>Sensitivity LUC/iLUC</t>
  </si>
  <si>
    <t>Benzin pris CIF</t>
  </si>
  <si>
    <t>Diesel pris CIF</t>
  </si>
  <si>
    <t>JP1 pris CIF</t>
  </si>
  <si>
    <t>HFO pris CIF</t>
  </si>
  <si>
    <t>GJ mek/GJ gasoline</t>
  </si>
  <si>
    <t>Corrected error in formulas for plig in hybrid vehicle and setup of the corresponding track in vehicles sheet. Efficiency of ICE used in the plug-in now looks strange - no quick fix available</t>
  </si>
  <si>
    <t>Another minor error to hybrid tracks in vehicle sheet, used "El" rather than "Hybrid El"</t>
  </si>
  <si>
    <t>Bilen er en elbil, der kan oplades fra elnettet. Rækkevidden af bilen er forøget ved at installere en Range Extender i form af en benzin motor, der kan oplade batteriet under kørsel.</t>
  </si>
  <si>
    <t>Plugin Hybrid - Range Extender</t>
  </si>
  <si>
    <t>Ved kortere ture kan bilen køre bå ren batteridrift, hvilket vil indebære en 0-emission og virkningsgrad som en ren el-bil.</t>
  </si>
  <si>
    <t>Følsomhed og Log over ændriger</t>
  </si>
  <si>
    <t>Fuels og Vehicles</t>
  </si>
  <si>
    <t>Prices</t>
  </si>
  <si>
    <t>Distribution</t>
  </si>
  <si>
    <t>Data for distribution og transport.</t>
  </si>
  <si>
    <t>Processenergy</t>
  </si>
  <si>
    <t>Data for enegiinputs til konverteringsprocesserne</t>
  </si>
  <si>
    <t>Force spor</t>
  </si>
  <si>
    <t>Teknologi ark fra FORCE samt biogas spor fra ENS biogas taskforce</t>
  </si>
  <si>
    <t>8 ark med:</t>
  </si>
  <si>
    <t>24 ark med:</t>
  </si>
  <si>
    <t>Altered future operational speeds of 9000 TEU ship to conform to EEDI target thresholds, 20 kn in 2020 and 18 kn in 2035</t>
  </si>
  <si>
    <t>Missing revenue from bi-products for FORCE1 in 2020, 2035 and 2050</t>
  </si>
  <si>
    <t>Tabel 7, tillagt 10 øre/kwh i 2020 og 2035 som følge af langsigts marginal betragtning, mail fra ENS d. 8/12 2011</t>
  </si>
  <si>
    <t>Euro 6 - blandet kørsel 2020 og 2035</t>
  </si>
  <si>
    <t>Euro 6 - blandet kørsel 2020 og 2035, CH4 udslip ved kørsel fra WtW, Tank to Wheels rapport s. 12 og 21</t>
  </si>
  <si>
    <t>EEDI goals from IMO are 15% by 2020 and 30% by 2035</t>
  </si>
  <si>
    <t>Estimat, værdi for 2035 er udelukkende teoretisk</t>
  </si>
  <si>
    <t>2035 (Energilagring)</t>
  </si>
  <si>
    <t>IC3 toget har passeret sin tekniske levealder i 2035 og er formentlig taget ud af drift.</t>
  </si>
  <si>
    <t xml:space="preserve">Energilagring ombord vil helt sikkert være en fast bestanddel af det samlede traktionssystem i 2035. For IC3 vil det formentlig dreje sig om udskiftning af en af togets fire powerpacks, således at man kører toget på kraften fra de tre dieselmotorer og med boost fra energi/powerlagringsdelen. </t>
  </si>
  <si>
    <t>I realiteten vil der i 2035 blive tale om helt nye elektriske tog, hvis visionerne fra Togfonden.dk og DSB kommer til at holde stik.</t>
  </si>
  <si>
    <t>Lint 41 togsættet nærmer sig sin tekniske levealder i 2035 men det kan formentlig levetidsforlænges ved hjælp af remotorisering og total renovering af aptering, teknologi og vognkasse.</t>
  </si>
  <si>
    <t>Energilagring ombord vil helt sikkert være en fast bestanddel af det samlede traktionssystem i 2035. For Lint 41 vil det formentlig dreje sig om en kombineret enhed med batteri og supercap.</t>
  </si>
  <si>
    <t>2035 (simuleret gasdrift og energilagring)</t>
  </si>
  <si>
    <t>Lint 41 togsættet nærmer sig sin tekniske levealder i 2035 men det kan formentlig sagtens levetidsforlænges ved hjælp af remotorisering og total renovering af aptering, teknologi og vognkasse.</t>
  </si>
  <si>
    <t>Restlevetid IR4 og nyindkøbte el-tog i 2035</t>
  </si>
  <si>
    <t>2035 (nye optimerede tog og meget grøn el)</t>
  </si>
  <si>
    <t>IR4 toget har passeret sin tekniske levealder i 2035 og er formentlig taget ud af drift og skiftet ud med nye energieffektive eltog</t>
  </si>
  <si>
    <t>Energioptimering ombord både når toget er i drift med passagerer og når det står parkeret vil helt sikkert være en fast bestanddel af det samlede eltog i 2035. Samlet forbedring ift. IR4 kunne blive 10-25%, sættes til 15%.</t>
  </si>
  <si>
    <t>Dieselforbrug</t>
  </si>
  <si>
    <t>km/liter</t>
  </si>
  <si>
    <t>GJ/liter</t>
  </si>
  <si>
    <t>Data for partikeludledning fra lastbiler</t>
  </si>
  <si>
    <t>PM2.5 land</t>
  </si>
  <si>
    <t>PM2.5 by</t>
  </si>
  <si>
    <t>Lastbil, land</t>
  </si>
  <si>
    <t>LUC choices</t>
  </si>
  <si>
    <t>Added data for PM2.5 emissions for distribution</t>
  </si>
  <si>
    <t>Sheet 'Eksterne omkostninger - km-priser" row 170</t>
  </si>
  <si>
    <t>Sheet *Kørselsomk - lastbiler" cell H68</t>
  </si>
  <si>
    <t>Electricity and heat as byproduct is now correctly adjusted for in emissions</t>
  </si>
  <si>
    <t>Note: COWI/SDU emissions are also including process energy in harvesting. Hence, process energy from table in row 77 is subtracted</t>
  </si>
  <si>
    <t>Assumed same as wood for lack of information</t>
  </si>
  <si>
    <t>Rettet dobbelttælling af procesenergiforbrug til opstrøm indsamling og transport af biomasse</t>
  </si>
  <si>
    <t>Emissions from production of electricity and heat</t>
  </si>
  <si>
    <t>Fjern-varme</t>
  </si>
  <si>
    <t>Produktion</t>
  </si>
  <si>
    <t>Forbrug</t>
  </si>
  <si>
    <t>* Da der altid regnes med et tillæg til elprisen grundet CO2-kvoter, bør CO2-emissioner fra elproduktion ikke værdisættes separat og indregnes i det samfundsøkonomiske regnestykke.</t>
  </si>
  <si>
    <t xml:space="preserve">Note 1: Emissionerne knyttet til el er baseret på den forventede gennemsnitlige danske elproduktion. </t>
  </si>
  <si>
    <t>Note 2: Emissionerne knyttet til fjernvarme er baseret på den forventede gennemsnitlige danske fjernvarmeproduktion.</t>
  </si>
  <si>
    <t>Tabel 9, "Forudsætninger for samfundsøkonomiske analyser på energiområdet"</t>
  </si>
  <si>
    <t>PM2.5</t>
  </si>
  <si>
    <t>Gennemsnitlige emissioner ved elforbrug</t>
  </si>
  <si>
    <t>Langsigtsmarginale emissioner ved elforbrug</t>
  </si>
  <si>
    <t>Fossil share</t>
  </si>
  <si>
    <t>Elec. eff</t>
  </si>
  <si>
    <t>Assumed a third of 2035</t>
  </si>
  <si>
    <t>Marginal emissions?</t>
  </si>
  <si>
    <t>With CO₂ quotas?</t>
  </si>
  <si>
    <t>Modeller choices</t>
  </si>
  <si>
    <t>1=Long run marginal emissions, 2=average emissions</t>
  </si>
  <si>
    <t>1=with CO₂ quotas, 2=without CO₂ quotas</t>
  </si>
  <si>
    <t>Updated marginal and average emissions from electricity production</t>
  </si>
  <si>
    <t>GWP potentials</t>
  </si>
  <si>
    <t>g CO2e / g emission</t>
  </si>
  <si>
    <t>Modeller's chosen emissions (depending on quotas and long run marginal or average emissions)</t>
  </si>
  <si>
    <t>UPdated upstream process energy emissions</t>
  </si>
  <si>
    <t>Gennemsnitlige emissioner ved varmeproduktion</t>
  </si>
  <si>
    <t>Source: Tabel 9 below. For PM2.5, 2g/GJ has been assumed, as Tabel 9 does not provide information</t>
  </si>
  <si>
    <t>Source: Tabel 9 below. For PM2.5, 4g/GJ has been assumed, as Tabel 9 does not provide information</t>
  </si>
  <si>
    <t>Updated emissions from district heating with latest ENS data</t>
  </si>
  <si>
    <t>Corrected factor 1000 error in subsituted bi-product emissiosn from fodder</t>
  </si>
  <si>
    <t>Assumptions on by-products, both process energy and ILUC (if selected by modeller)</t>
  </si>
  <si>
    <t>Fly og tog</t>
  </si>
  <si>
    <t>Corrected error in cell references for calculation of O&amp;M costs for bio jet fuel</t>
  </si>
  <si>
    <t>Tools</t>
  </si>
  <si>
    <t>Generic data</t>
  </si>
  <si>
    <t>Calculation flow</t>
  </si>
  <si>
    <t>Results</t>
  </si>
  <si>
    <t>Minor change to curb weight of gasoline car as well as small change to efficiency gains in electric vehicle AND lowered energy consumption in electric vehicle due to double counting of charging losses - all to bring the enginge efficiencies of the plug-in hybrid into line</t>
  </si>
  <si>
    <t>Allokering af biprodukt emissioner</t>
  </si>
  <si>
    <t>Economic allocation of co-products</t>
  </si>
  <si>
    <t>Economic</t>
  </si>
  <si>
    <t>Economic allocation of emissions to bi-products happen now only for refinery co-products, not bi-products like heat,electricity and fodder</t>
  </si>
  <si>
    <t>System efficiency (left axis)</t>
  </si>
  <si>
    <t>CO2e emission (right axis)</t>
  </si>
  <si>
    <t>Supplementary assumptions</t>
  </si>
  <si>
    <t>ton rapeseed</t>
  </si>
  <si>
    <t>Rapeseed in</t>
  </si>
  <si>
    <t>Rape cake out</t>
  </si>
  <si>
    <t>ton rape cake</t>
  </si>
  <si>
    <t>Rapeseed energy content</t>
  </si>
  <si>
    <t>RME energy content</t>
  </si>
  <si>
    <t>Rape cake energy content</t>
  </si>
  <si>
    <t>Rapeseed energy</t>
  </si>
  <si>
    <t>Rapeseed cake</t>
  </si>
  <si>
    <t>Rape cake efficiency</t>
  </si>
  <si>
    <t>Rape oil efficiency</t>
  </si>
  <si>
    <t>Rape oil energy</t>
  </si>
  <si>
    <t>Rapeoil out</t>
  </si>
  <si>
    <t>ton rapeoil</t>
  </si>
  <si>
    <t>Oil to RME conversion</t>
  </si>
  <si>
    <t>Glycerol byproduct</t>
  </si>
  <si>
    <t>Rapeseed to RME conversion</t>
  </si>
  <si>
    <t>Rapeseed to byproduct conversion</t>
  </si>
  <si>
    <t>Ethanol by sugarbeet</t>
  </si>
  <si>
    <t>FORCE-20</t>
  </si>
  <si>
    <t>Ethanol, heat, pulp</t>
  </si>
  <si>
    <t>Byproduct</t>
  </si>
  <si>
    <t>Rapeseed consumption, GJ/GJ bio-diesel</t>
  </si>
  <si>
    <t>Rapeseed consumption, t/t bio-diesel</t>
  </si>
  <si>
    <t>By-product, rape cake, GJ/GJ bio-diesel</t>
  </si>
  <si>
    <t>Sugar beets, electricity</t>
  </si>
  <si>
    <t>Sugar beet consumption, GJ/GJ ethanol</t>
  </si>
  <si>
    <t>Sugar beet consumption, t/t ethanol</t>
  </si>
  <si>
    <t>http://www.hybren.dk/cms/filarkiv/oliepresser_kortfortalt_lav.pdf</t>
  </si>
  <si>
    <t>70% of rape seed price</t>
  </si>
  <si>
    <t>https://www.landbrugsinfo.dk/Kvaeg/Filer/1420.pdf</t>
  </si>
  <si>
    <t>Corrected data on FORCE RME pathway</t>
  </si>
  <si>
    <t>- Elpris uden CO₂ kvoter</t>
  </si>
  <si>
    <t>- Ingen LUC</t>
  </si>
  <si>
    <t>- Langsigtet marginal emission fra el</t>
  </si>
  <si>
    <t>IFPRI low</t>
  </si>
  <si>
    <t>IFPRI high</t>
  </si>
  <si>
    <t>Removed economic allocation from by-production in intermediate conversion</t>
  </si>
  <si>
    <t>Added process energy use from liquefaction of LNG</t>
  </si>
  <si>
    <t>GJ/unit</t>
  </si>
  <si>
    <t>DKK/unit</t>
  </si>
  <si>
    <t>Added 10% process energy use from liquefaction of LNG</t>
  </si>
  <si>
    <t>Added 10% process energy use for LNG from liquefaction and distribution</t>
  </si>
  <si>
    <t>Produceres på havnen ud fra netleveret naturgas eller biogas</t>
  </si>
  <si>
    <t>By-product avoided emissions</t>
  </si>
  <si>
    <t>FORCE</t>
  </si>
  <si>
    <t>Gasoline, see below</t>
  </si>
  <si>
    <t>LPG and gasoline</t>
  </si>
  <si>
    <t>Corrected errors where data had not been linked to 2020, 2035 and 2050</t>
  </si>
  <si>
    <t>We assume no income or substitution from RDF, since these residues could have alternatively been source sorted or incinerated</t>
  </si>
  <si>
    <t>By-product price for income (DKK/GJ)</t>
  </si>
  <si>
    <t>Corrected and unified calculation of by-product income</t>
  </si>
  <si>
    <t>http://www.feedipedia.org/node/12502</t>
  </si>
  <si>
    <t>Added by-product income from RME and bio jet fuel</t>
  </si>
  <si>
    <t xml:space="preserve">Coal </t>
  </si>
  <si>
    <t>Heat &amp; power fuel</t>
  </si>
  <si>
    <t>2020 Coal</t>
  </si>
  <si>
    <t>2035 coal</t>
  </si>
  <si>
    <t>2050 wood chips</t>
  </si>
  <si>
    <t>Biogas substitute</t>
  </si>
  <si>
    <t>2020 Natural gas</t>
  </si>
  <si>
    <t>2035 natural gas</t>
  </si>
  <si>
    <t>2050 hydrogen from wind</t>
  </si>
  <si>
    <t>65% methane</t>
  </si>
  <si>
    <t>Lignin</t>
  </si>
  <si>
    <t>Molasses</t>
  </si>
  <si>
    <t>Sugar beet pulp</t>
  </si>
  <si>
    <t>Wheat, assumed at same price as wheat</t>
  </si>
  <si>
    <t xml:space="preserve">Added wheat as general subsitute for general fodder </t>
  </si>
  <si>
    <t>Mixed energy production fuel substitutes</t>
  </si>
  <si>
    <t>1G eth, wheat</t>
  </si>
  <si>
    <t>High IFPRI ILUC</t>
  </si>
  <si>
    <t>No ILUC</t>
  </si>
  <si>
    <t xml:space="preserve">Green diesel </t>
  </si>
  <si>
    <t>Green gasoline</t>
  </si>
  <si>
    <t>Electricity - balancing</t>
  </si>
  <si>
    <t>Electricity  - continous</t>
  </si>
  <si>
    <t>Elec/heat fuel</t>
  </si>
  <si>
    <t>Biogas (100% CH4)</t>
  </si>
  <si>
    <t>District heating</t>
  </si>
  <si>
    <t>Fodder (wheat like)</t>
  </si>
  <si>
    <t>By-products now distinguish between green diesel and gasoline</t>
  </si>
  <si>
    <t xml:space="preserve">Low IFPRI </t>
  </si>
  <si>
    <t>High IFPRI</t>
  </si>
  <si>
    <t>1G ethanol avoided emissions from by-products, g/MJ fuel</t>
  </si>
  <si>
    <t>RME avoided emissions from by-products, g/MJ fuel</t>
  </si>
  <si>
    <t>Emissions substituted by by-production of green diesel and gasoline are now also accounted for</t>
  </si>
  <si>
    <t>side. 128</t>
  </si>
  <si>
    <t>Included CAPEX for IC trains and corrected formula for O&amp;M costs for trains</t>
  </si>
  <si>
    <t>SHIP-DESMO-Container Ship - 1 January 2014.xls - https://www.shipowners.dk/services/beregningsvaerktoejer/</t>
  </si>
  <si>
    <t>Emissionen fra gylle skal ifølge ENS være 0 i 2050, da alt gylle til den tid antages at blive afgasset før det spredes ud på markerne, pr. e-mail fra Andreas Moltesen d. 17/6 2014</t>
  </si>
  <si>
    <t>Small error in NG price due to use of outdated source</t>
  </si>
  <si>
    <t>Levetid for IC tog sat til 30 år, var før afhængigt af materellets nuværende tilstand</t>
  </si>
  <si>
    <t>Corrected efficiency of BioJet fuel conversion - calculation error</t>
  </si>
  <si>
    <t>EU projektet Railenergy (www.railenergy.eu)</t>
  </si>
  <si>
    <t>"European Benchmarking of the costs, performance and revenues of GB TOCs", Prepared for the Office of Rail Regulation, Hamburg, November 20th, 2012, Civity Management Consultants, http://www.rail-reg.gov.uk/upload/pdf/civity-toc-benchmarking-201112.pdf (modificeret dansk værdi ift EU gns.: 2,4£ x 1,36)</t>
  </si>
  <si>
    <t>Baseret på viden og praktisk erfaring fra tekniske eksperter fra jernbanesektoren i Danmark og internationale faglige netværk</t>
  </si>
  <si>
    <t>Lokalbanen, www.lokalbanen.dk/om-lokalbanen/miljoe</t>
  </si>
  <si>
    <t>ETH, Zürich, http://www.ethlife.ethz.ch/archive_articles/130912_erdgasdieselhybrid_cn/index_EN</t>
  </si>
  <si>
    <t>Long run marginal emissions choices</t>
  </si>
  <si>
    <t>Learning choices</t>
  </si>
  <si>
    <t>Sensitivity choice</t>
  </si>
  <si>
    <t>To populate the table below, please select pathway in the dropdown menu in cell V1 and press the "Populate Result table" button to the right</t>
  </si>
  <si>
    <t>side. 128. Diesel koster 62 mio, eltog koster 53 mio.</t>
  </si>
  <si>
    <t>Corrected IC trains so that diesel has an extra capital cost over electric, but no total train capex</t>
  </si>
  <si>
    <t xml:space="preserve">Central assumptions are </t>
  </si>
  <si>
    <t>- No learning</t>
  </si>
  <si>
    <t>- Baseline sensitivities</t>
  </si>
  <si>
    <t>Cockpit</t>
  </si>
  <si>
    <t>Year</t>
  </si>
  <si>
    <t>- procesenergiforbrug</t>
  </si>
  <si>
    <t>Substituted emission from production of by-products</t>
  </si>
  <si>
    <t>Opstrømsemissioner fra råenergiprodukter (feedstocks):</t>
  </si>
  <si>
    <t>Added process energy costs incl. electricity. Feedstock electricity is yet unresolved as input (ugly fix in place in Fuels sheet marked with yellow)</t>
  </si>
  <si>
    <t>&lt;empty&gt;</t>
  </si>
  <si>
    <t>source</t>
  </si>
  <si>
    <t>Data-</t>
  </si>
  <si>
    <t>Note: Price should be including transport to facility</t>
  </si>
  <si>
    <t>Note: Costs for transport of by-product away from facility should be subtracted, unless this is already done on technology sheets</t>
  </si>
  <si>
    <t>Distribution costs (kr/GJ)</t>
  </si>
  <si>
    <t>All years</t>
  </si>
  <si>
    <t>Price is already ab factory</t>
  </si>
  <si>
    <t>No technologies output this, except Biogas, for which it is a main fuel</t>
  </si>
  <si>
    <t>No technologies output this</t>
  </si>
  <si>
    <t>Energy density GJ/ton</t>
  </si>
  <si>
    <t>Source: Feedstock sheet</t>
  </si>
  <si>
    <t>Fodder transport assumptions</t>
  </si>
  <si>
    <t>Transport distance</t>
  </si>
  <si>
    <t>Transport costs</t>
  </si>
  <si>
    <t>kr/tonkm</t>
  </si>
  <si>
    <t>Note: A high transport cost is chosen since the short distances will allow little or no return transport</t>
  </si>
  <si>
    <t>Added transport costs for sales of by-products</t>
  </si>
  <si>
    <t>Source: [1], page 19 section 4.2, @consumer</t>
  </si>
  <si>
    <t>Corrected district heating byproduct price for transmission loss and costs</t>
  </si>
  <si>
    <t>Corrected price index error for heat byproduct price</t>
  </si>
  <si>
    <t>District heating transmission loss</t>
  </si>
  <si>
    <t>Added transmission costs and loss to sale of by-product electricity</t>
  </si>
  <si>
    <t>Korrespondance med Jakob Stenby Lundsager, Energistyrelsen af 9/7-2014</t>
  </si>
  <si>
    <t>Kilde: 68: Installeret kapacitet fra 2012-2020 antages at blive 93 % vind og sol, 4 % naturgas og en række mindre bidrag</t>
  </si>
  <si>
    <t>96% vind, 4% naturgaskondens gasturbine, virkningsgrad 55%</t>
  </si>
  <si>
    <t xml:space="preserve">96% vind, 4% brint fra elektrolyse (blandet i biogas og afbrændt i gasturbine) </t>
  </si>
  <si>
    <t>Emissions from use of manure</t>
  </si>
  <si>
    <t>Emissioner ved brug af gylle</t>
  </si>
  <si>
    <t>Antages at brug af gylle  mindsker mængden af gylle spredt ud på marker. Dog vil gyllen være anvendt fuldt ud i 2050 i baselinescenariet, og anvendelsen vil derfor ikke lede til en reduktion i emission, men blot en mindsket mængde biogas, som antages erstattet med iblanding af hydrogen i biogassen. Hydrogenen fremstilles ved elektrolyse fra grøn strøm.</t>
  </si>
  <si>
    <t>Metanol</t>
  </si>
  <si>
    <t>Assumed 2,06 time world price on natural gas</t>
  </si>
  <si>
    <t>a</t>
  </si>
  <si>
    <t>Tunge køretøjer mm.</t>
  </si>
  <si>
    <t>b</t>
  </si>
  <si>
    <t>c</t>
  </si>
  <si>
    <t>AM</t>
  </si>
  <si>
    <t>Changed CO2 emissions from rape seed, wheat, sugar beet, changed marginal emissions from electricity</t>
  </si>
  <si>
    <t>Gasoline added to 2nd gen. Bioethanol</t>
  </si>
  <si>
    <t xml:space="preserve">Use of black methanol in RME. More correctly it should be calculated in the vehicle, but there is only one diesel vehicle, which does not distinguish between RME and diesel. </t>
  </si>
  <si>
    <t>It is assumed that the methanol included in RME is black. An CO2 emission corresponding to the amount of black methanol included in the RME is now included in FORCE 19</t>
  </si>
  <si>
    <t>Factor 1000 mistake in calculating emissions from airplane and VOC from planes assumed to be methane</t>
  </si>
  <si>
    <t>Biobenzin &amp; naphta</t>
  </si>
  <si>
    <t>Biokerosene is no longer handled via economic allocation. Also, co-production is changed from diesel to gasoline</t>
  </si>
  <si>
    <t>Bio ethanol</t>
  </si>
  <si>
    <t>Bio diesel</t>
  </si>
  <si>
    <t>Bio Jetfuel</t>
  </si>
  <si>
    <t>Bio methanol</t>
  </si>
  <si>
    <t>Changed sulfur content of diesel for 9000TEU ship to match diesel for road transport as this is the diesel currently available in the model</t>
  </si>
  <si>
    <t>s.6 top, 100 mio. kr. for 5 togsæt</t>
  </si>
  <si>
    <t>s.6 top, 100 mio. kr. for 5 togsæt + 2 mio.kr. til LNG powerpacks</t>
  </si>
  <si>
    <t>Bilag til lokalbaneplan for Østbanen, Region Sjælland</t>
  </si>
  <si>
    <t>Inserted CAPEX for trains</t>
  </si>
  <si>
    <t>corrected 1000 error in unit conversion on unit costs of the sas avg. airplane</t>
  </si>
  <si>
    <t>t</t>
  </si>
  <si>
    <t>Electric train is longer and carries more passengers than diesel variant, energy consumption is scaled with no. of seats to enable comparison</t>
  </si>
  <si>
    <t>Vægt per sæde, IC diesel</t>
  </si>
  <si>
    <t>Tjenestevægt, diesel IC</t>
  </si>
  <si>
    <t>Calculated based on energy consumption and mechanical energy demand scaled from Diesel IC</t>
  </si>
  <si>
    <t>mDKK</t>
  </si>
  <si>
    <t>From EL IC train, the energy consumption of the full train - not the scaled down version that is used for comparison with diesel</t>
  </si>
  <si>
    <t>CAPEX</t>
  </si>
  <si>
    <t>CAPEX per year</t>
  </si>
  <si>
    <t>MJ mek/year</t>
  </si>
  <si>
    <t>Revised energy consumption of electric IC train to reflect a train size comparable to diesel IC</t>
  </si>
  <si>
    <t>CAPEX per day</t>
  </si>
  <si>
    <t>CAPEX per km</t>
  </si>
  <si>
    <t>CAPEX per MJ mek</t>
  </si>
  <si>
    <t>CAPEX per GJ mek</t>
  </si>
  <si>
    <t>RAMMEVILKÅR FOR GAS TIL TUNG VEJTRANSPORT, Energistyrelsen, 2014</t>
  </si>
  <si>
    <t>Emissions from straw included in ENS biogas, scenario 3</t>
  </si>
  <si>
    <t>L-DME</t>
  </si>
  <si>
    <t>L-BioDiesel</t>
  </si>
  <si>
    <t>ENS added DME truck</t>
  </si>
  <si>
    <t>MIKR/AM</t>
  </si>
  <si>
    <t>Makroer</t>
  </si>
  <si>
    <t>Danmark</t>
  </si>
  <si>
    <t>KørFølsomhed</t>
  </si>
  <si>
    <t>LogResults</t>
  </si>
  <si>
    <t>PopulateA4results</t>
  </si>
  <si>
    <t>PopulateResultsAllyearsTables</t>
  </si>
  <si>
    <t>PrintA4pdfFiles</t>
  </si>
  <si>
    <t>Tilpas</t>
  </si>
  <si>
    <t>Protect</t>
  </si>
  <si>
    <t>Unprotect</t>
  </si>
  <si>
    <t>Set all assumptions to the standard assumptions for Denmark</t>
  </si>
  <si>
    <t>Run sensitivity analysis on the "Sensitivity" sheet</t>
  </si>
  <si>
    <t>Loop over all pathways in sheet A4results and print each pathway A4 sheet to a PDF file</t>
  </si>
  <si>
    <t>Macro populating the table in the A4result sheet documenting each pathway for all years</t>
  </si>
  <si>
    <t>Update all charts and tables on the "ResultAllYears" sheet</t>
  </si>
  <si>
    <t>This macro has been deleted</t>
  </si>
  <si>
    <t>Protects all sheets</t>
  </si>
  <si>
    <t>Unprotect all sheets</t>
  </si>
  <si>
    <r>
      <t>Blå med lyseblå baggrund</t>
    </r>
    <r>
      <rPr>
        <sz val="9"/>
        <rFont val="Arial"/>
        <family val="2"/>
      </rPr>
      <t xml:space="preserve"> tal indikerer at tallene er input data til beregningerne.</t>
    </r>
  </si>
  <si>
    <r>
      <t xml:space="preserve">Grønne med grøn baggrund </t>
    </r>
    <r>
      <rPr>
        <sz val="9"/>
        <color indexed="8"/>
        <rFont val="Arial"/>
        <family val="2"/>
      </rPr>
      <t>tal indikerer at tallene er linkede til input eller mellemresultater fra andre ark.</t>
    </r>
  </si>
  <si>
    <t>Køretøjets emissioner per trafikarbejde tank-&gt;wheel</t>
  </si>
  <si>
    <t>Vehicle only emission by traffic work, tank-&gt;wheel, weighted primary and secondary fuels</t>
  </si>
  <si>
    <t>5mg/kg fuel</t>
  </si>
  <si>
    <t>Zero?</t>
  </si>
  <si>
    <t>ULSD (Ultra Low Sulphur Diesel) with 50mg S/kg fuel = 50g/GJ fuel = 50g/34GJ/ton fuel</t>
  </si>
  <si>
    <t>SO2 is the double weight of S only, since S has 16g/mol and O has 8g/mol x 2 atoms</t>
  </si>
  <si>
    <t>Cost of emissions to air, wells-to-wheels</t>
  </si>
  <si>
    <t>Cost of emissions to air, tank-to-wheels</t>
  </si>
  <si>
    <t>Added SO2 emissions from use of diesel</t>
  </si>
  <si>
    <t>Enhedsomkostninger for emissioner fra transport</t>
  </si>
  <si>
    <t>Share of air emission externalities</t>
  </si>
  <si>
    <t>Share of all externalities incl. noise</t>
  </si>
  <si>
    <t>Share of health externalities</t>
  </si>
  <si>
    <t>Corrected PM emissions from diesel ships</t>
  </si>
  <si>
    <t>Emission fra transportmiddel</t>
  </si>
  <si>
    <t>Emission fra køretøjer</t>
  </si>
  <si>
    <t>Blandet</t>
  </si>
  <si>
    <t>Opex</t>
  </si>
  <si>
    <t>UDS/nm</t>
  </si>
  <si>
    <t>Capex</t>
  </si>
  <si>
    <t>ratio</t>
  </si>
  <si>
    <t>Days at sea/total voyage time</t>
  </si>
  <si>
    <t>Interest rate for shipowner</t>
  </si>
  <si>
    <t>USD</t>
  </si>
  <si>
    <t>Cost of ship</t>
  </si>
  <si>
    <t>2,7 times lower than HFO</t>
  </si>
  <si>
    <t>10 times lower than HFO</t>
  </si>
  <si>
    <t>Approx. 6 times lower than HFO</t>
  </si>
  <si>
    <t>Maritime Economics, Martin Stopford, 3rd edition, 2009, chapter 13, Routledge</t>
  </si>
  <si>
    <t>Dæk, vask, vedligehold</t>
  </si>
  <si>
    <t>Scania P280 (distribution)</t>
  </si>
  <si>
    <t>Antaget som lastbil</t>
  </si>
  <si>
    <t>Antaget som lastbil, men udgifter til forbedrede pakninger</t>
  </si>
  <si>
    <t>km/m^3</t>
  </si>
  <si>
    <t>Antages at være som lastbil</t>
  </si>
  <si>
    <t>Mercedes 12 m. bybus</t>
  </si>
  <si>
    <t>Gap mellem diesel og gas antages at bliver mindre, jf. ref. 70</t>
  </si>
  <si>
    <t>Antaget som bus</t>
  </si>
  <si>
    <t xml:space="preserve">          m `M=MMMMMMMMMMMMMMMMMMMMMMMMMMMM;;;;;;;;;;;;;;;;;;;;;;;;;;;;;;;;;;;;;;;?==============MomO;OaAMOå+;OAOOOOOOL</t>
  </si>
  <si>
    <t>New function in vehicles to change location of emission; hdv CHANGED ACCORDING TO REF 70; Ships changed according to Hans Otto and REF 71</t>
  </si>
  <si>
    <t>GJ mek/GJ CNG</t>
  </si>
  <si>
    <t>kg/GJ CNG</t>
  </si>
  <si>
    <t>GJ mek/GJ DME</t>
  </si>
  <si>
    <t>kg/GJ DME</t>
  </si>
  <si>
    <t xml:space="preserve"> t Ethanol/t sugarbeet</t>
  </si>
  <si>
    <t>f</t>
  </si>
  <si>
    <t/>
  </si>
  <si>
    <t>d</t>
  </si>
  <si>
    <t>e</t>
  </si>
  <si>
    <t>Fast Ferry - Biodiesel</t>
  </si>
  <si>
    <t>Battery size in car changed to 24 kWh for all years, fuel in fast ferry changed to diesel rather than HFO in accordance with Hans Otto; Gas in train changed to LNG rather than CNG; new fast ferry included running on biodiesel</t>
  </si>
  <si>
    <t>År 2015</t>
  </si>
  <si>
    <t>Log 2015</t>
  </si>
  <si>
    <t>New tracks, new data, new modes of transport, a new log is started No changes to model mechanics since previous log with old data "AD model 2015-2013-11-05a.xlsm"</t>
  </si>
  <si>
    <t>Curb weight of electric vehicle in 2015 set to 2020+ car's curb weight. This brings engine efficiency down to a reasonable level (87% down from 97%), and plug-in hybrid looks more reasonable as a consequence</t>
  </si>
  <si>
    <t>Log all results (see Log2015, Log2020, Log2035 and Log2050 sheets)</t>
  </si>
  <si>
    <t>IFPRI (2015): Global Trade and Environmental Impact Study of the EU Biofuels Mandate</t>
  </si>
  <si>
    <t>Det lovgivende dokument for ikke vejgående maskiner (Non-Road Mobile Machinery, NRMM) indeholder i dag syv direktiver: "moder"-direktivet 97/68/EC, direktivændringerne som fremgår af Direktiv 2002/88/EC, Direktiv 2004/26/EC, Direktiv 2006/105/EC, Direktiv 2015/26/EU, Direktiv 2011/88/EU , og den sidste ændring af Direktiv 2012/46/EU, http://ec.europa.eu/enterprise/sectors/mechanical/documents/legislation/emissions-non-road</t>
  </si>
  <si>
    <t>2015 Coal</t>
  </si>
  <si>
    <t>2015 Natural gas</t>
  </si>
  <si>
    <t>Note: 2015 er antaget samme som 2012 i kilde. 2050 er antaget sammen som 2035 i kilde 1</t>
  </si>
  <si>
    <t>in GJ/1000Nm3, WTT appendix 1, chapter 5.1 + 5.2, 1000 km. gasledning i 2015 og 2020, 4000 km gasledning i 2035</t>
  </si>
  <si>
    <t>WTT appendix 1, chapter 5.1 + 5.2, 1000 km. gasledning i 2015 og 2020, 4000 km gasledning i 2035</t>
  </si>
  <si>
    <t>OBS! Alle priser er forsøgt angivet i år 2015 priser.</t>
  </si>
  <si>
    <t>2015 priser</t>
  </si>
  <si>
    <t>Scale of production (1=2015)</t>
  </si>
  <si>
    <t>Tables 5-8 for 2015 vehicle and 6-9 for 2020+ vehicle</t>
  </si>
  <si>
    <t>Euro 5 - blandet kørsel, år 2015</t>
  </si>
  <si>
    <t>Tables 5-2 and 6-2, no REEV FC in 2015, so curb weight in 2015 is FCEV</t>
  </si>
  <si>
    <t>No data in WtW for 2015</t>
  </si>
  <si>
    <t>i 2015 er WtW basis bilen medtaget til full cost, dvs. ej fratrukket komponenter til konventionel benzin drivlinie. Der er regnet med en halvering af omk til tank i 2035</t>
  </si>
  <si>
    <t>Wtw tal er benyttet som 2020-tal, 2015 = fordobling, 2035 = halvering</t>
  </si>
  <si>
    <t>Energy consumption FCEV 2015</t>
  </si>
  <si>
    <t>1500 DKK/kW i 2015, 750 DKK/kW i 2020 og 375 DKK/kW i 2035, baseret på WTW og egne forudsætninger</t>
  </si>
  <si>
    <t>i 2015 er WtW basis bilen medtaget til full cost, dvs. ej fratrukket komponenter til konventionel benzin drivlinie, billigere end brint basis bil, da methanol tank er meget billigere end brint tank</t>
  </si>
  <si>
    <t>Table 5-11 for 2015 and 6-15 for 2020+ vehicle</t>
  </si>
  <si>
    <t>0,315 kr/km i 2015, 0,26 i 2020 og 2035</t>
  </si>
  <si>
    <t>Tables 5-7 for 2015 vehicle and 6-8 for 2020+ vehicle</t>
  </si>
  <si>
    <t>Table 5-12 for 2015 and 6-17 for 2020+ vehicle</t>
  </si>
  <si>
    <t>Tables 5-2 and 6-2, to bring engine efficiency down to a reasonable level, curb weight for this vehicle in 2015 has been set to the 2020+ curb weight</t>
  </si>
  <si>
    <t>Ship service speed at actual draught (70% capacity) has been assumed to be 22knots in 2015, 20 in 2020 and 18 in 2035 and 2050.</t>
  </si>
  <si>
    <t>Sporets tilgængelighed</t>
  </si>
  <si>
    <t>Tilgængelighed af teknologi</t>
  </si>
  <si>
    <t>Ja</t>
  </si>
  <si>
    <t>Nej</t>
  </si>
  <si>
    <t>ja</t>
  </si>
  <si>
    <t>Lastbil-Diesel</t>
  </si>
  <si>
    <t>Lastbil-CNG</t>
  </si>
  <si>
    <t>Teknologi ikke tilgængelig</t>
  </si>
  <si>
    <t>Lastbil-BioDiesel</t>
  </si>
  <si>
    <t>Lastbil-DME</t>
  </si>
  <si>
    <t>Bus-Diesel</t>
  </si>
  <si>
    <t>Bus-CNG</t>
  </si>
  <si>
    <t>Bus-Hybrid</t>
  </si>
  <si>
    <t>Hurtigfærge</t>
  </si>
  <si>
    <t>Assumed same as wheat for lack of other information for some ILUC emiossions</t>
  </si>
  <si>
    <t>aflæst fra figur, gennemsnit af 4 aflæsninger i 2010, følger olieprisudviklingen i 2020 og 2035</t>
  </si>
  <si>
    <t>Transportøkonomiske enhedspriser 2010, DTU , Institut for transport</t>
  </si>
  <si>
    <t>Energistyrelsen. Forudsætninger for samfundsøkonomiske analyser på energiområdet. April 2010</t>
  </si>
  <si>
    <t>Nyt fra Danmarks Statistik, Motorparken 2010.</t>
  </si>
  <si>
    <t xml:space="preserve">AM </t>
  </si>
  <si>
    <t>Changed price year to 2015</t>
  </si>
  <si>
    <t>Fast Ferry International, http://www.fastferryinfo.com/</t>
  </si>
  <si>
    <t>MHO/AM</t>
  </si>
  <si>
    <t>Corrections made in "prices" sheet and in fossil fuels sheets</t>
  </si>
  <si>
    <t>Brændselscelle, brinthybrid elmotor</t>
  </si>
  <si>
    <t>Brændselscelle, methanolhybrid elmotor</t>
  </si>
  <si>
    <t>Brændselscelle, brinthybrid</t>
  </si>
  <si>
    <t>Brændselscelle, methanolhybrid</t>
  </si>
  <si>
    <t>Eldrevet bil, hvor elproduktionen sker om bord i bilen ved hjælp af brændselsceller. Brændselscellerne omformer ren brint eller brintholdige brændstoffer</t>
  </si>
  <si>
    <t>Table 5-7 and 6-8</t>
  </si>
  <si>
    <t>Table 5-13 and Table 6-19 for 2020+ vehicle</t>
  </si>
  <si>
    <t>Based on battery size of VW e-Golf</t>
  </si>
  <si>
    <t>Ren brint</t>
  </si>
  <si>
    <t>Brændselscelle, brint</t>
  </si>
  <si>
    <t>FCEV included, see 'brændselscelle, brint'</t>
  </si>
  <si>
    <t>B-Biodiesel</t>
  </si>
  <si>
    <t>Bil-konv. diesel</t>
  </si>
  <si>
    <t>Bil-konv. Benzin</t>
  </si>
  <si>
    <t>Bil-E85 hvede</t>
  </si>
  <si>
    <t>Bil-E85 sukkerroer</t>
  </si>
  <si>
    <t>Bil-E85 halm</t>
  </si>
  <si>
    <t>Bil-Biodiesel RME</t>
  </si>
  <si>
    <t>Bil-Biodiesel halm</t>
  </si>
  <si>
    <t>Bil-DME</t>
  </si>
  <si>
    <t>Bil-Naturgas</t>
  </si>
  <si>
    <t>Bil-Biogas</t>
  </si>
  <si>
    <t>Bil-MeOH-brændselscellehybrid</t>
  </si>
  <si>
    <t>Bil-Brint-brændselscelle</t>
  </si>
  <si>
    <t>Bil-Brint-brændselscellehybrid</t>
  </si>
  <si>
    <t>Bil-El</t>
  </si>
  <si>
    <t>Bil-Plugin Hybrid</t>
  </si>
  <si>
    <t>Bus-biodiesel RME</t>
  </si>
  <si>
    <t>Fly-fossil</t>
  </si>
  <si>
    <t>Fly-biofuel</t>
  </si>
  <si>
    <t>Hurtigfærge-biodiesel halm</t>
  </si>
  <si>
    <t>IC Tog-diesel</t>
  </si>
  <si>
    <t>IC Tog-biodiesel halm</t>
  </si>
  <si>
    <t>IC Tog-el</t>
  </si>
  <si>
    <t>Lokaltog-diesel</t>
  </si>
  <si>
    <t>Lokaltog-biodiesel halm</t>
  </si>
  <si>
    <t>Lokaltog-LNG</t>
  </si>
</sst>
</file>

<file path=xl/styles.xml><?xml version="1.0" encoding="utf-8"?>
<styleSheet xmlns="http://schemas.openxmlformats.org/spreadsheetml/2006/main" xmlns:mc="http://schemas.openxmlformats.org/markup-compatibility/2006" xmlns:x14ac="http://schemas.microsoft.com/office/spreadsheetml/2009/9/ac" mc:Ignorable="x14ac">
  <numFmts count="42">
    <numFmt numFmtId="42" formatCode="_ &quot;kr.&quot;\ * #,##0_ ;_ &quot;kr.&quot;\ * \-#,##0_ ;_ &quot;kr.&quot;\ * &quot;-&quot;_ ;_ @_ "/>
    <numFmt numFmtId="41" formatCode="_ * #,##0_ ;_ * \-#,##0_ ;_ * &quot;-&quot;_ ;_ @_ "/>
    <numFmt numFmtId="44" formatCode="_ &quot;kr.&quot;\ * #,##0.00_ ;_ &quot;kr.&quot;\ * \-#,##0.00_ ;_ &quot;kr.&quot;\ * &quot;-&quot;??_ ;_ @_ "/>
    <numFmt numFmtId="43" formatCode="_ * #,##0.00_ ;_ * \-#,##0.00_ ;_ * &quot;-&quot;??_ ;_ @_ "/>
    <numFmt numFmtId="164" formatCode="_(* #,##0.00_);_(* \(#,##0.00\);_(* &quot;-&quot;??_);_(@_)"/>
    <numFmt numFmtId="165" formatCode="0.0"/>
    <numFmt numFmtId="166" formatCode="0.0%"/>
    <numFmt numFmtId="167" formatCode="#,##0.0"/>
    <numFmt numFmtId="168" formatCode="0.00000"/>
    <numFmt numFmtId="169" formatCode="0.0000"/>
    <numFmt numFmtId="170" formatCode="0.000"/>
    <numFmt numFmtId="171" formatCode="#,##0.000"/>
    <numFmt numFmtId="172" formatCode="0.0000%"/>
    <numFmt numFmtId="173" formatCode="#,##0.0000"/>
    <numFmt numFmtId="174" formatCode="_(* #,##0.0000_);_(* \(#,##0.0000\);_(* &quot;-&quot;??_);_(@_)"/>
    <numFmt numFmtId="175" formatCode="_(* #,##0_);_(* \(#,##0\);_(* &quot;-&quot;??_);_(@_)"/>
    <numFmt numFmtId="176" formatCode="_(* #,##0.0_);_(* \(#,##0.0\);_(* &quot;-&quot;??_);_(@_)"/>
    <numFmt numFmtId="177" formatCode="_-[$€-2]* #,##0.00_-;\-[$€-2]* #,##0.00_-;_-[$€-2]* &quot;-&quot;??_-"/>
    <numFmt numFmtId="178" formatCode="0.000000"/>
    <numFmt numFmtId="179" formatCode="0.000%"/>
    <numFmt numFmtId="180" formatCode="&quot;kr&quot;\ #,##0.00_);[Red]\(&quot;kr&quot;\ #,##0.00\)"/>
    <numFmt numFmtId="181" formatCode="_(* #,##0.000_);_(* \(#,##0.000\);_(* &quot;-&quot;??_);_(@_)"/>
    <numFmt numFmtId="182" formatCode="_(* #,##0.00000_);_(* \(#,##0.00000\);_(* &quot;-&quot;??_);_(@_)"/>
    <numFmt numFmtId="183" formatCode="_ * #,##0.00000_ ;_ * \-#,##0.00000_ ;_ * &quot;-&quot;?????_ ;_ @_ "/>
    <numFmt numFmtId="184" formatCode="_ * #,##0.0000_ ;_ * \-#,##0.0000_ ;_ * &quot;-&quot;?????_ ;_ @_ "/>
    <numFmt numFmtId="185" formatCode="0_ ;\-0\ "/>
    <numFmt numFmtId="186" formatCode="0.0_ ;\-0.0\ "/>
    <numFmt numFmtId="187" formatCode="0.000_ ;\-0.000\ "/>
    <numFmt numFmtId="188" formatCode="0.00_ ;\-0.00\ "/>
    <numFmt numFmtId="189" formatCode="#,##0_ ;\-#,##0\ "/>
    <numFmt numFmtId="190" formatCode="0.0000_ ;\-0.0000\ "/>
    <numFmt numFmtId="191" formatCode="#,##0.00_ ;\-#,##0.00\ "/>
    <numFmt numFmtId="192" formatCode="0.00000_ ;\-0.00000\ "/>
    <numFmt numFmtId="193" formatCode="yyyy/mm/dd;@"/>
    <numFmt numFmtId="194" formatCode="0.000000_ ;\-0.000000\ "/>
    <numFmt numFmtId="195" formatCode="0.0000000_ ;\-0.0000000\ "/>
    <numFmt numFmtId="196" formatCode="#,##0.000_ ;\-#,##0.000\ "/>
    <numFmt numFmtId="197" formatCode="0.00000%"/>
    <numFmt numFmtId="198" formatCode="#,##0.0000_ ;\-#,##0.0000\ "/>
    <numFmt numFmtId="199" formatCode="#,##0.00000"/>
    <numFmt numFmtId="200" formatCode="_ * #,##0.0_ ;_ * \-#,##0.0_ ;_ * &quot;-&quot;?????_ ;_ @_ "/>
    <numFmt numFmtId="201" formatCode="_ * #,##0_ ;_ * \-#,##0_ ;_ * &quot;-&quot;?????_ ;_ @_ "/>
  </numFmts>
  <fonts count="172">
    <font>
      <sz val="10"/>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6"/>
      <color indexed="9"/>
      <name val="Arial"/>
      <family val="2"/>
    </font>
    <font>
      <sz val="8"/>
      <name val="Arial"/>
      <family val="2"/>
    </font>
    <font>
      <b/>
      <sz val="8"/>
      <name val="Arial"/>
      <family val="2"/>
    </font>
    <font>
      <sz val="10"/>
      <name val="Arial"/>
      <family val="2"/>
    </font>
    <font>
      <b/>
      <sz val="8"/>
      <name val="Arial"/>
      <family val="2"/>
    </font>
    <font>
      <sz val="8"/>
      <color indexed="81"/>
      <name val="Tahoma"/>
      <family val="2"/>
    </font>
    <font>
      <b/>
      <sz val="8"/>
      <color indexed="81"/>
      <name val="Tahoma"/>
      <family val="2"/>
    </font>
    <font>
      <b/>
      <sz val="14"/>
      <color indexed="9"/>
      <name val="Arial"/>
      <family val="2"/>
    </font>
    <font>
      <b/>
      <sz val="14"/>
      <name val="Arial"/>
      <family val="2"/>
    </font>
    <font>
      <b/>
      <sz val="10"/>
      <name val="Arial"/>
      <family val="2"/>
    </font>
    <font>
      <sz val="9"/>
      <name val="Arial"/>
      <family val="2"/>
    </font>
    <font>
      <sz val="9"/>
      <color indexed="12"/>
      <name val="Arial"/>
      <family val="2"/>
    </font>
    <font>
      <sz val="9"/>
      <color indexed="23"/>
      <name val="Arial"/>
      <family val="2"/>
    </font>
    <font>
      <sz val="9"/>
      <color indexed="8"/>
      <name val="Arial"/>
      <family val="2"/>
    </font>
    <font>
      <sz val="9"/>
      <color indexed="17"/>
      <name val="Arial"/>
      <family val="2"/>
    </font>
    <font>
      <sz val="9"/>
      <color indexed="14"/>
      <name val="Arial"/>
      <family val="2"/>
    </font>
    <font>
      <sz val="9"/>
      <color indexed="10"/>
      <name val="Arial"/>
      <family val="2"/>
    </font>
    <font>
      <i/>
      <sz val="9"/>
      <name val="Arial"/>
      <family val="2"/>
    </font>
    <font>
      <sz val="9"/>
      <color indexed="9"/>
      <name val="Arial"/>
      <family val="2"/>
    </font>
    <font>
      <b/>
      <sz val="12"/>
      <name val="Arial"/>
      <family val="2"/>
    </font>
    <font>
      <b/>
      <u/>
      <sz val="10"/>
      <name val="Arial"/>
      <family val="2"/>
    </font>
    <font>
      <i/>
      <sz val="10"/>
      <name val="Arial"/>
      <family val="2"/>
    </font>
    <font>
      <sz val="10"/>
      <color indexed="12"/>
      <name val="Arial"/>
      <family val="2"/>
    </font>
    <font>
      <sz val="10"/>
      <color indexed="8"/>
      <name val="Arial"/>
      <family val="2"/>
    </font>
    <font>
      <i/>
      <sz val="10"/>
      <color indexed="14"/>
      <name val="Arial"/>
      <family val="2"/>
    </font>
    <font>
      <sz val="10"/>
      <color indexed="14"/>
      <name val="Arial"/>
      <family val="2"/>
    </font>
    <font>
      <sz val="10"/>
      <color indexed="12"/>
      <name val="Arial"/>
      <family val="2"/>
    </font>
    <font>
      <sz val="10"/>
      <color indexed="17"/>
      <name val="Arial"/>
      <family val="2"/>
    </font>
    <font>
      <sz val="10"/>
      <color indexed="8"/>
      <name val="Arial"/>
      <family val="2"/>
    </font>
    <font>
      <i/>
      <sz val="10"/>
      <color indexed="8"/>
      <name val="Arial"/>
      <family val="2"/>
    </font>
    <font>
      <sz val="10"/>
      <color indexed="14"/>
      <name val="Arial"/>
      <family val="2"/>
    </font>
    <font>
      <sz val="10"/>
      <color indexed="17"/>
      <name val="Arial"/>
      <family val="2"/>
    </font>
    <font>
      <sz val="10"/>
      <color indexed="8"/>
      <name val="Arial"/>
      <family val="2"/>
    </font>
    <font>
      <sz val="10"/>
      <color indexed="17"/>
      <name val="Arial"/>
      <family val="2"/>
    </font>
    <font>
      <sz val="10"/>
      <color indexed="12"/>
      <name val="Arial"/>
      <family val="2"/>
    </font>
    <font>
      <sz val="10"/>
      <color indexed="14"/>
      <name val="Arial"/>
      <family val="2"/>
    </font>
    <font>
      <b/>
      <sz val="14"/>
      <color rgb="FFFF0000"/>
      <name val="Arial"/>
      <family val="2"/>
    </font>
    <font>
      <sz val="10"/>
      <color theme="0" tint="-4.9989318521683403E-2"/>
      <name val="Arial"/>
      <family val="2"/>
    </font>
    <font>
      <b/>
      <sz val="10"/>
      <color theme="0" tint="-4.9989318521683403E-2"/>
      <name val="Arial"/>
      <family val="2"/>
    </font>
    <font>
      <sz val="8"/>
      <color theme="0" tint="-0.249977111117893"/>
      <name val="Arial"/>
      <family val="2"/>
    </font>
    <font>
      <u/>
      <sz val="8"/>
      <color theme="0" tint="-0.249977111117893"/>
      <name val="Arial"/>
      <family val="2"/>
    </font>
    <font>
      <sz val="10"/>
      <color rgb="FF0070C0"/>
      <name val="Arial"/>
      <family val="2"/>
    </font>
    <font>
      <b/>
      <sz val="10"/>
      <color theme="4"/>
      <name val="Arial"/>
      <family val="2"/>
    </font>
    <font>
      <sz val="10"/>
      <color theme="1"/>
      <name val="Arial"/>
      <family val="2"/>
    </font>
    <font>
      <b/>
      <sz val="16"/>
      <name val="Arial"/>
      <family val="2"/>
    </font>
    <font>
      <sz val="10"/>
      <color rgb="FF0000FF"/>
      <name val="Arial"/>
      <family val="2"/>
    </font>
    <font>
      <sz val="10"/>
      <color rgb="FF00B050"/>
      <name val="Arial"/>
      <family val="2"/>
    </font>
    <font>
      <b/>
      <i/>
      <sz val="10"/>
      <name val="Arial"/>
      <family val="2"/>
    </font>
    <font>
      <sz val="10"/>
      <color rgb="FFFF0000"/>
      <name val="Arial"/>
      <family val="2"/>
    </font>
    <font>
      <sz val="9"/>
      <color theme="0"/>
      <name val="Arial"/>
      <family val="2"/>
    </font>
    <font>
      <b/>
      <sz val="10"/>
      <color rgb="FFFF0000"/>
      <name val="Arial"/>
      <family val="2"/>
    </font>
    <font>
      <i/>
      <sz val="10"/>
      <color theme="1"/>
      <name val="Arial"/>
      <family val="2"/>
    </font>
    <font>
      <sz val="8"/>
      <color rgb="FF00B050"/>
      <name val="ariel"/>
    </font>
    <font>
      <b/>
      <sz val="9"/>
      <name val="Arial"/>
      <family val="2"/>
    </font>
    <font>
      <sz val="10"/>
      <color rgb="FF000000"/>
      <name val="Arial"/>
      <family val="2"/>
    </font>
    <font>
      <b/>
      <sz val="10"/>
      <color rgb="FF000000"/>
      <name val="Arial"/>
      <family val="2"/>
    </font>
    <font>
      <sz val="10"/>
      <name val="Arial"/>
      <family val="2"/>
    </font>
    <font>
      <b/>
      <sz val="18"/>
      <color theme="3"/>
      <name val="Cambria"/>
      <family val="2"/>
      <scheme val="maj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6"/>
      <color theme="0"/>
      <name val="Calibri"/>
      <family val="2"/>
      <scheme val="minor"/>
    </font>
    <font>
      <b/>
      <sz val="13"/>
      <color theme="0"/>
      <name val="Calibri"/>
      <family val="2"/>
      <scheme val="minor"/>
    </font>
    <font>
      <b/>
      <sz val="12"/>
      <color theme="0"/>
      <name val="Calibri"/>
      <family val="2"/>
      <scheme val="minor"/>
    </font>
    <font>
      <sz val="10"/>
      <color rgb="FFFFC000"/>
      <name val="Arial"/>
      <family val="2"/>
    </font>
    <font>
      <u/>
      <sz val="10"/>
      <name val="Arial"/>
      <family val="2"/>
    </font>
    <font>
      <sz val="10"/>
      <name val="Calibri"/>
      <family val="2"/>
      <scheme val="minor"/>
    </font>
    <font>
      <b/>
      <sz val="10"/>
      <name val="Calibri"/>
      <family val="2"/>
      <scheme val="minor"/>
    </font>
    <font>
      <sz val="10"/>
      <color indexed="8"/>
      <name val="Calibri"/>
      <family val="2"/>
      <scheme val="minor"/>
    </font>
    <font>
      <i/>
      <sz val="10"/>
      <name val="Calibri"/>
      <family val="2"/>
      <scheme val="minor"/>
    </font>
    <font>
      <sz val="10"/>
      <color rgb="FF00B050"/>
      <name val="Calibri"/>
      <family val="2"/>
    </font>
    <font>
      <sz val="10"/>
      <color rgb="FF0000FF"/>
      <name val="Calibri"/>
      <family val="2"/>
    </font>
    <font>
      <b/>
      <sz val="10"/>
      <name val="Calibri"/>
      <family val="2"/>
    </font>
    <font>
      <b/>
      <sz val="10"/>
      <color theme="0"/>
      <name val="Calibri"/>
      <family val="2"/>
      <scheme val="minor"/>
    </font>
    <font>
      <sz val="10"/>
      <name val="Calibri"/>
      <family val="2"/>
    </font>
    <font>
      <sz val="8"/>
      <name val="Calibri"/>
      <family val="2"/>
    </font>
    <font>
      <i/>
      <sz val="10"/>
      <name val="Calibri"/>
      <family val="2"/>
    </font>
    <font>
      <sz val="8"/>
      <name val="Calibri"/>
      <family val="2"/>
      <scheme val="minor"/>
    </font>
    <font>
      <b/>
      <sz val="14"/>
      <color indexed="9"/>
      <name val="Calibri"/>
      <family val="2"/>
      <scheme val="minor"/>
    </font>
    <font>
      <b/>
      <sz val="10"/>
      <color theme="4"/>
      <name val="Calibri"/>
      <family val="2"/>
      <scheme val="minor"/>
    </font>
    <font>
      <sz val="10"/>
      <color indexed="12"/>
      <name val="Calibri"/>
      <family val="2"/>
      <scheme val="minor"/>
    </font>
    <font>
      <i/>
      <sz val="10"/>
      <color indexed="14"/>
      <name val="Calibri"/>
      <family val="2"/>
      <scheme val="minor"/>
    </font>
    <font>
      <sz val="10"/>
      <color indexed="14"/>
      <name val="Calibri"/>
      <family val="2"/>
      <scheme val="minor"/>
    </font>
    <font>
      <sz val="10"/>
      <color rgb="FF0000FF"/>
      <name val="Calibri"/>
      <family val="2"/>
      <scheme val="minor"/>
    </font>
    <font>
      <i/>
      <sz val="10"/>
      <color indexed="8"/>
      <name val="Calibri"/>
      <family val="2"/>
      <scheme val="minor"/>
    </font>
    <font>
      <sz val="10"/>
      <color theme="0" tint="-4.9989318521683403E-2"/>
      <name val="Calibri"/>
      <family val="2"/>
      <scheme val="minor"/>
    </font>
    <font>
      <sz val="10"/>
      <color indexed="17"/>
      <name val="Calibri"/>
      <family val="2"/>
      <scheme val="minor"/>
    </font>
    <font>
      <b/>
      <sz val="10"/>
      <color theme="0" tint="-4.9989318521683403E-2"/>
      <name val="Calibri"/>
      <family val="2"/>
      <scheme val="minor"/>
    </font>
    <font>
      <b/>
      <sz val="12"/>
      <name val="Calibri"/>
      <family val="2"/>
      <scheme val="minor"/>
    </font>
    <font>
      <sz val="10"/>
      <color rgb="FF00B050"/>
      <name val="Calibri"/>
      <family val="2"/>
      <scheme val="minor"/>
    </font>
    <font>
      <b/>
      <sz val="8"/>
      <name val="Calibri"/>
      <family val="2"/>
      <scheme val="minor"/>
    </font>
    <font>
      <i/>
      <sz val="8"/>
      <name val="Calibri"/>
      <family val="2"/>
      <scheme val="minor"/>
    </font>
    <font>
      <b/>
      <sz val="8"/>
      <color indexed="17"/>
      <name val="Calibri"/>
      <family val="2"/>
      <scheme val="minor"/>
    </font>
    <font>
      <sz val="8"/>
      <color rgb="FF0000FF"/>
      <name val="Calibri"/>
      <family val="2"/>
      <scheme val="minor"/>
    </font>
    <font>
      <sz val="8"/>
      <color theme="1"/>
      <name val="Calibri"/>
      <family val="2"/>
      <scheme val="minor"/>
    </font>
    <font>
      <sz val="8"/>
      <color theme="0" tint="-0.249977111117893"/>
      <name val="Calibri"/>
      <family val="2"/>
      <scheme val="minor"/>
    </font>
    <font>
      <sz val="8"/>
      <color rgb="FF00B050"/>
      <name val="Calibri"/>
      <family val="2"/>
      <scheme val="minor"/>
    </font>
    <font>
      <b/>
      <sz val="8"/>
      <color rgb="FF00B050"/>
      <name val="Calibri"/>
      <family val="2"/>
      <scheme val="minor"/>
    </font>
    <font>
      <b/>
      <sz val="10"/>
      <color rgb="FFFF0000"/>
      <name val="Calibri"/>
      <family val="2"/>
      <scheme val="minor"/>
    </font>
    <font>
      <b/>
      <sz val="11"/>
      <name val="Calibri"/>
      <family val="2"/>
    </font>
    <font>
      <b/>
      <i/>
      <sz val="16"/>
      <color theme="0"/>
      <name val="Calibri"/>
      <family val="2"/>
      <scheme val="minor"/>
    </font>
    <font>
      <sz val="10"/>
      <color rgb="FF000000"/>
      <name val="Calibri"/>
      <family val="2"/>
    </font>
    <font>
      <b/>
      <sz val="10"/>
      <color theme="4"/>
      <name val="Calibri"/>
      <family val="2"/>
    </font>
    <font>
      <sz val="10"/>
      <color indexed="12"/>
      <name val="Calibri"/>
      <family val="2"/>
    </font>
    <font>
      <i/>
      <sz val="10"/>
      <color indexed="14"/>
      <name val="Calibri"/>
      <family val="2"/>
    </font>
    <font>
      <sz val="10"/>
      <color indexed="14"/>
      <name val="Calibri"/>
      <family val="2"/>
    </font>
    <font>
      <sz val="10"/>
      <color indexed="8"/>
      <name val="Calibri"/>
      <family val="2"/>
    </font>
    <font>
      <i/>
      <sz val="10"/>
      <color indexed="8"/>
      <name val="Calibri"/>
      <family val="2"/>
    </font>
    <font>
      <sz val="10"/>
      <color theme="0" tint="-4.9989318521683403E-2"/>
      <name val="Calibri"/>
      <family val="2"/>
    </font>
    <font>
      <sz val="10"/>
      <color indexed="17"/>
      <name val="Calibri"/>
      <family val="2"/>
    </font>
    <font>
      <b/>
      <sz val="10"/>
      <color theme="0" tint="-4.9989318521683403E-2"/>
      <name val="Calibri"/>
      <family val="2"/>
    </font>
    <font>
      <b/>
      <sz val="14"/>
      <color indexed="9"/>
      <name val="Calibri"/>
      <family val="2"/>
    </font>
    <font>
      <b/>
      <sz val="12"/>
      <name val="Calibri"/>
      <family val="2"/>
    </font>
    <font>
      <b/>
      <sz val="14"/>
      <color theme="1"/>
      <name val="Calibri"/>
      <family val="2"/>
    </font>
    <font>
      <sz val="11"/>
      <color theme="1"/>
      <name val="Calibri"/>
      <family val="2"/>
    </font>
    <font>
      <b/>
      <sz val="11"/>
      <color theme="1"/>
      <name val="Calibri"/>
      <family val="2"/>
    </font>
    <font>
      <b/>
      <sz val="14"/>
      <color indexed="8"/>
      <name val="Calibri"/>
      <family val="2"/>
    </font>
    <font>
      <b/>
      <sz val="11"/>
      <color indexed="8"/>
      <name val="Calibri"/>
      <family val="2"/>
    </font>
    <font>
      <b/>
      <sz val="9"/>
      <color indexed="81"/>
      <name val="Tahoma"/>
      <family val="2"/>
    </font>
    <font>
      <sz val="9"/>
      <color indexed="81"/>
      <name val="Tahoma"/>
      <family val="2"/>
    </font>
    <font>
      <b/>
      <sz val="14"/>
      <color indexed="8"/>
      <name val="Calibri"/>
      <family val="2"/>
      <scheme val="minor"/>
    </font>
    <font>
      <b/>
      <sz val="11"/>
      <color indexed="8"/>
      <name val="Calibri"/>
      <family val="2"/>
      <scheme val="minor"/>
    </font>
    <font>
      <sz val="10"/>
      <color rgb="FF3E3E3E"/>
      <name val="Tahoma"/>
      <family val="2"/>
    </font>
    <font>
      <b/>
      <sz val="10"/>
      <color theme="1"/>
      <name val="Arial"/>
      <family val="2"/>
    </font>
    <font>
      <b/>
      <sz val="10"/>
      <color rgb="FF0000FF"/>
      <name val="Arial"/>
      <family val="2"/>
    </font>
    <font>
      <b/>
      <sz val="10"/>
      <color rgb="FF000000"/>
      <name val="Calibri"/>
      <family val="2"/>
    </font>
    <font>
      <sz val="10"/>
      <color rgb="FFFF0000"/>
      <name val="Calibri"/>
      <family val="2"/>
    </font>
    <font>
      <sz val="11"/>
      <color rgb="FF92D050"/>
      <name val="Calibri"/>
      <family val="2"/>
    </font>
    <font>
      <sz val="10"/>
      <color theme="1"/>
      <name val="Calibri"/>
      <family val="2"/>
    </font>
    <font>
      <i/>
      <sz val="10"/>
      <color rgb="FFFF0000"/>
      <name val="Calibri"/>
      <family val="2"/>
    </font>
    <font>
      <sz val="11"/>
      <color rgb="FF0000FF"/>
      <name val="Calibri"/>
      <family val="2"/>
    </font>
    <font>
      <sz val="11"/>
      <color rgb="FF0000FF"/>
      <name val="Calibri"/>
      <family val="2"/>
      <scheme val="minor"/>
    </font>
    <font>
      <sz val="10"/>
      <color rgb="FFFF0000"/>
      <name val="Calibri"/>
      <family val="2"/>
      <scheme val="minor"/>
    </font>
    <font>
      <sz val="10"/>
      <color rgb="FF002060"/>
      <name val="Calibri"/>
      <family val="2"/>
    </font>
    <font>
      <sz val="10"/>
      <color rgb="FF002060"/>
      <name val="Arial"/>
      <family val="2"/>
    </font>
    <font>
      <sz val="10"/>
      <color theme="0" tint="-0.34998626667073579"/>
      <name val="Arial"/>
      <family val="2"/>
    </font>
    <font>
      <u/>
      <sz val="10"/>
      <color theme="11"/>
      <name val="Calibri"/>
      <family val="2"/>
    </font>
    <font>
      <sz val="10"/>
      <color rgb="FF92D050"/>
      <name val="Calibri"/>
      <family val="2"/>
      <scheme val="minor"/>
    </font>
    <font>
      <u/>
      <sz val="10"/>
      <color indexed="12"/>
      <name val="Calibri"/>
      <family val="2"/>
    </font>
    <font>
      <sz val="10"/>
      <color rgb="FF0070C0"/>
      <name val="Calibri"/>
      <family val="2"/>
      <scheme val="minor"/>
    </font>
    <font>
      <sz val="10"/>
      <color theme="4" tint="-0.249977111117893"/>
      <name val="Calibri"/>
      <family val="2"/>
      <scheme val="minor"/>
    </font>
    <font>
      <sz val="9"/>
      <name val="Calibri"/>
      <family val="2"/>
      <scheme val="minor"/>
    </font>
    <font>
      <b/>
      <sz val="11"/>
      <name val="Calibri"/>
      <family val="2"/>
      <scheme val="minor"/>
    </font>
    <font>
      <sz val="10"/>
      <color theme="1"/>
      <name val="Calibri"/>
      <family val="2"/>
      <scheme val="minor"/>
    </font>
    <font>
      <sz val="8"/>
      <color indexed="12"/>
      <name val="Calibri"/>
      <family val="2"/>
      <scheme val="minor"/>
    </font>
    <font>
      <sz val="8"/>
      <color rgb="FF0070C0"/>
      <name val="Calibri"/>
      <family val="2"/>
      <scheme val="minor"/>
    </font>
    <font>
      <sz val="10"/>
      <color rgb="FF9C0006"/>
      <name val="Calibri"/>
      <family val="2"/>
      <scheme val="minor"/>
    </font>
    <font>
      <sz val="10"/>
      <color theme="4" tint="-0.249977111117893"/>
      <name val="Calibri"/>
      <family val="2"/>
    </font>
    <font>
      <b/>
      <sz val="9"/>
      <color theme="1"/>
      <name val="Calibri"/>
      <family val="2"/>
    </font>
    <font>
      <sz val="9"/>
      <color theme="1"/>
      <name val="Calibri"/>
      <family val="2"/>
    </font>
    <font>
      <u/>
      <sz val="10"/>
      <name val="Calibri"/>
      <family val="2"/>
    </font>
    <font>
      <u/>
      <sz val="10"/>
      <color theme="0"/>
      <name val="Calibri"/>
      <family val="2"/>
    </font>
    <font>
      <i/>
      <u/>
      <sz val="10"/>
      <name val="Calibri"/>
      <family val="2"/>
    </font>
    <font>
      <u/>
      <sz val="8"/>
      <color indexed="12"/>
      <name val="Arial"/>
      <family val="2"/>
    </font>
    <font>
      <sz val="10"/>
      <name val="Times New Roman"/>
      <family val="1"/>
    </font>
  </fonts>
  <fills count="62">
    <fill>
      <patternFill patternType="none"/>
    </fill>
    <fill>
      <patternFill patternType="gray125"/>
    </fill>
    <fill>
      <patternFill patternType="solid">
        <fgColor indexed="9"/>
        <bgColor indexed="64"/>
      </patternFill>
    </fill>
    <fill>
      <patternFill patternType="solid">
        <fgColor indexed="21"/>
        <bgColor indexed="64"/>
      </patternFill>
    </fill>
    <fill>
      <patternFill patternType="solid">
        <fgColor indexed="43"/>
        <bgColor indexed="64"/>
      </patternFill>
    </fill>
    <fill>
      <patternFill patternType="solid">
        <fgColor indexed="22"/>
        <bgColor indexed="64"/>
      </patternFill>
    </fill>
    <fill>
      <patternFill patternType="solid">
        <fgColor indexed="17"/>
        <bgColor indexed="64"/>
      </patternFill>
    </fill>
    <fill>
      <patternFill patternType="solid">
        <fgColor rgb="FFFFFF00"/>
        <bgColor indexed="64"/>
      </patternFill>
    </fill>
    <fill>
      <patternFill patternType="solid">
        <fgColor theme="0"/>
        <bgColor indexed="64"/>
      </patternFill>
    </fill>
    <fill>
      <patternFill patternType="solid">
        <fgColor theme="1"/>
        <bgColor indexed="64"/>
      </patternFill>
    </fill>
    <fill>
      <patternFill patternType="solid">
        <fgColor theme="0" tint="-4.9989318521683403E-2"/>
        <bgColor indexed="64"/>
      </patternFill>
    </fill>
    <fill>
      <patternFill patternType="solid">
        <fgColor theme="6" tint="0.59999389629810485"/>
        <bgColor indexed="64"/>
      </patternFill>
    </fill>
    <fill>
      <patternFill patternType="solid">
        <fgColor rgb="FFFFC000"/>
        <bgColor indexed="64"/>
      </patternFill>
    </fill>
    <fill>
      <patternFill patternType="solid">
        <fgColor rgb="FFFF0000"/>
        <bgColor indexed="64"/>
      </patternFill>
    </fill>
    <fill>
      <patternFill patternType="solid">
        <fgColor rgb="FF92D050"/>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00B0F0"/>
        <bgColor indexed="64"/>
      </patternFill>
    </fill>
    <fill>
      <patternFill patternType="solid">
        <fgColor theme="3" tint="0.59999389629810485"/>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24994659260841701"/>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rgb="FFBED6EE"/>
        <bgColor indexed="64"/>
      </patternFill>
    </fill>
    <fill>
      <patternFill patternType="solid">
        <fgColor theme="6" tint="0.59996337778862885"/>
        <bgColor indexed="64"/>
      </patternFill>
    </fill>
    <fill>
      <patternFill patternType="solid">
        <fgColor rgb="FF00B050"/>
        <bgColor indexed="64"/>
      </patternFill>
    </fill>
    <fill>
      <patternFill patternType="solid">
        <fgColor theme="8" tint="0.39997558519241921"/>
        <bgColor indexed="64"/>
      </patternFill>
    </fill>
    <fill>
      <patternFill patternType="solid">
        <fgColor rgb="FF0070C0"/>
        <bgColor indexed="64"/>
      </patternFill>
    </fill>
    <fill>
      <patternFill patternType="solid">
        <fgColor rgb="FF002060"/>
        <bgColor indexed="64"/>
      </patternFill>
    </fill>
  </fills>
  <borders count="9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bottom/>
      <diagonal/>
    </border>
    <border>
      <left/>
      <right style="thin">
        <color indexed="64"/>
      </right>
      <top/>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bottom style="hair">
        <color indexed="64"/>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style="medium">
        <color indexed="64"/>
      </right>
      <top/>
      <bottom style="thin">
        <color indexed="64"/>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style="thin">
        <color indexed="64"/>
      </right>
      <top style="thin">
        <color indexed="64"/>
      </top>
      <bottom/>
      <diagonal/>
    </border>
    <border>
      <left/>
      <right/>
      <top/>
      <bottom style="double">
        <color rgb="FFFF8001"/>
      </bottom>
      <diagonal/>
    </border>
    <border>
      <left/>
      <right/>
      <top style="dashed">
        <color indexed="64"/>
      </top>
      <bottom style="thin">
        <color indexed="64"/>
      </bottom>
      <diagonal/>
    </border>
    <border>
      <left/>
      <right/>
      <top style="thin">
        <color indexed="64"/>
      </top>
      <bottom style="dashed">
        <color indexed="64"/>
      </bottom>
      <diagonal/>
    </border>
    <border>
      <left/>
      <right/>
      <top style="dashed">
        <color indexed="64"/>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diagonal/>
    </border>
    <border>
      <left style="medium">
        <color theme="0" tint="-0.499984740745262"/>
      </left>
      <right style="medium">
        <color theme="0" tint="-0.499984740745262"/>
      </right>
      <top/>
      <bottom style="medium">
        <color theme="0" tint="-0.499984740745262"/>
      </bottom>
      <diagonal/>
    </border>
    <border>
      <left style="thin">
        <color indexed="64"/>
      </left>
      <right style="thin">
        <color indexed="64"/>
      </right>
      <top style="medium">
        <color indexed="64"/>
      </top>
      <bottom style="medium">
        <color indexed="64"/>
      </bottom>
      <diagonal/>
    </border>
  </borders>
  <cellStyleXfs count="78">
    <xf numFmtId="185" fontId="0" fillId="8" borderId="0" applyNumberFormat="0" applyBorder="0" applyAlignment="0"/>
    <xf numFmtId="164" fontId="7" fillId="0" borderId="0" applyFont="0" applyFill="0" applyBorder="0" applyAlignment="0" applyProtection="0"/>
    <xf numFmtId="9" fontId="7" fillId="0" borderId="0" applyFont="0" applyFill="0" applyBorder="0" applyAlignment="0" applyProtection="0"/>
    <xf numFmtId="177" fontId="60" fillId="0" borderId="54" applyNumberFormat="0" applyFill="0" applyBorder="0" applyAlignment="0" applyProtection="0"/>
    <xf numFmtId="0" fontId="80" fillId="53" borderId="0" applyNumberFormat="0" applyAlignment="0" applyProtection="0"/>
    <xf numFmtId="41" fontId="64" fillId="0" borderId="0" applyFont="0" applyFill="0" applyBorder="0" applyAlignment="0" applyProtection="0"/>
    <xf numFmtId="42" fontId="64" fillId="0" borderId="0" applyFont="0" applyFill="0" applyBorder="0" applyAlignment="0" applyProtection="0"/>
    <xf numFmtId="0" fontId="65" fillId="0" borderId="0" applyNumberFormat="0" applyFill="0" applyBorder="0" applyAlignment="0" applyProtection="0"/>
    <xf numFmtId="0" fontId="78" fillId="12" borderId="0" applyNumberFormat="0" applyAlignment="0" applyProtection="0"/>
    <xf numFmtId="0" fontId="79" fillId="15" borderId="0" applyNumberFormat="0" applyAlignment="0" applyProtection="0"/>
    <xf numFmtId="0" fontId="66" fillId="0" borderId="0" applyNumberFormat="0" applyFill="0" applyBorder="0" applyAlignment="0" applyProtection="0"/>
    <xf numFmtId="0" fontId="67" fillId="22" borderId="0" applyNumberFormat="0" applyBorder="0" applyAlignment="0" applyProtection="0"/>
    <xf numFmtId="0" fontId="68" fillId="23" borderId="0" applyNumberFormat="0" applyBorder="0" applyAlignment="0" applyProtection="0"/>
    <xf numFmtId="0" fontId="69" fillId="24" borderId="0" applyNumberFormat="0" applyBorder="0" applyAlignment="0" applyProtection="0"/>
    <xf numFmtId="0" fontId="70" fillId="25" borderId="58" applyNumberFormat="0" applyAlignment="0" applyProtection="0"/>
    <xf numFmtId="0" fontId="71" fillId="26" borderId="59" applyNumberFormat="0" applyAlignment="0" applyProtection="0"/>
    <xf numFmtId="0" fontId="72" fillId="26" borderId="58" applyNumberFormat="0" applyAlignment="0" applyProtection="0"/>
    <xf numFmtId="0" fontId="73" fillId="27" borderId="60" applyNumberFormat="0" applyAlignment="0" applyProtection="0"/>
    <xf numFmtId="0" fontId="74" fillId="0" borderId="0" applyNumberFormat="0" applyFill="0" applyBorder="0" applyAlignment="0" applyProtection="0"/>
    <xf numFmtId="0" fontId="64" fillId="28" borderId="61" applyNumberFormat="0" applyFont="0" applyAlignment="0" applyProtection="0"/>
    <xf numFmtId="0" fontId="75" fillId="0" borderId="0" applyNumberFormat="0" applyFill="0" applyBorder="0" applyAlignment="0" applyProtection="0"/>
    <xf numFmtId="0" fontId="76" fillId="0" borderId="62" applyNumberFormat="0" applyFill="0" applyAlignment="0" applyProtection="0"/>
    <xf numFmtId="0" fontId="77" fillId="29" borderId="0" applyNumberFormat="0" applyBorder="0" applyAlignment="0" applyProtection="0"/>
    <xf numFmtId="0" fontId="6" fillId="30" borderId="0" applyNumberFormat="0" applyBorder="0" applyAlignment="0" applyProtection="0"/>
    <xf numFmtId="0" fontId="6" fillId="31" borderId="0" applyNumberFormat="0" applyBorder="0" applyAlignment="0" applyProtection="0"/>
    <xf numFmtId="0" fontId="77" fillId="32" borderId="0" applyNumberFormat="0" applyBorder="0" applyAlignment="0" applyProtection="0"/>
    <xf numFmtId="0" fontId="77" fillId="33" borderId="0" applyNumberFormat="0" applyBorder="0" applyAlignment="0" applyProtection="0"/>
    <xf numFmtId="0" fontId="6" fillId="34" borderId="0" applyNumberFormat="0" applyBorder="0" applyAlignment="0" applyProtection="0"/>
    <xf numFmtId="0" fontId="6" fillId="35" borderId="0" applyNumberFormat="0" applyBorder="0" applyAlignment="0" applyProtection="0"/>
    <xf numFmtId="0" fontId="77" fillId="36" borderId="0" applyNumberFormat="0" applyBorder="0" applyAlignment="0" applyProtection="0"/>
    <xf numFmtId="0" fontId="77" fillId="37" borderId="0" applyNumberFormat="0" applyBorder="0" applyAlignment="0" applyProtection="0"/>
    <xf numFmtId="0" fontId="6" fillId="38" borderId="0" applyNumberFormat="0" applyBorder="0" applyAlignment="0" applyProtection="0"/>
    <xf numFmtId="0" fontId="6" fillId="39" borderId="0" applyNumberFormat="0" applyBorder="0" applyAlignment="0" applyProtection="0"/>
    <xf numFmtId="0" fontId="77" fillId="40" borderId="0" applyNumberFormat="0" applyBorder="0" applyAlignment="0" applyProtection="0"/>
    <xf numFmtId="0" fontId="77" fillId="41"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77" fillId="44" borderId="0" applyNumberFormat="0" applyBorder="0" applyAlignment="0" applyProtection="0"/>
    <xf numFmtId="0" fontId="77" fillId="45"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77" fillId="48" borderId="0" applyNumberFormat="0" applyBorder="0" applyAlignment="0" applyProtection="0"/>
    <xf numFmtId="0" fontId="77" fillId="49"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77" fillId="52" borderId="0" applyNumberFormat="0" applyBorder="0" applyAlignment="0" applyProtection="0"/>
    <xf numFmtId="185" fontId="116" fillId="2" borderId="0" applyNumberFormat="0" applyFill="0" applyBorder="0" applyAlignment="0">
      <alignment horizontal="center"/>
    </xf>
    <xf numFmtId="0" fontId="70" fillId="25" borderId="58" applyNumberFormat="0" applyAlignment="0" applyProtection="0"/>
    <xf numFmtId="0" fontId="72" fillId="26" borderId="58" applyNumberFormat="0" applyAlignment="0" applyProtection="0"/>
    <xf numFmtId="0" fontId="6" fillId="28" borderId="61" applyNumberFormat="0" applyFont="0" applyAlignment="0" applyProtection="0"/>
    <xf numFmtId="0" fontId="71" fillId="26" borderId="59" applyNumberFormat="0" applyAlignment="0" applyProtection="0"/>
    <xf numFmtId="44" fontId="7" fillId="0" borderId="0" applyFont="0" applyFill="0" applyBorder="0" applyAlignment="0" applyProtection="0"/>
    <xf numFmtId="185" fontId="87" fillId="57" borderId="0" applyNumberFormat="0" applyBorder="0" applyAlignment="0" applyProtection="0">
      <alignment horizontal="center" vertical="top" wrapText="1"/>
    </xf>
    <xf numFmtId="3" fontId="7" fillId="8" borderId="58" applyFont="0" applyFill="0" applyBorder="0" applyAlignment="0" applyProtection="0"/>
    <xf numFmtId="3" fontId="88" fillId="56" borderId="58" applyNumberFormat="0" applyBorder="0" applyAlignment="0" applyProtection="0"/>
    <xf numFmtId="0" fontId="91" fillId="8" borderId="58" applyNumberFormat="0" applyBorder="0" applyAlignment="0" applyProtection="0"/>
    <xf numFmtId="0" fontId="143" fillId="26" borderId="58" applyNumberFormat="0" applyFill="0" applyBorder="0" applyAlignment="0" applyProtection="0"/>
    <xf numFmtId="0" fontId="93" fillId="26" borderId="58" applyFill="0" applyBorder="0" applyAlignment="0" applyProtection="0"/>
    <xf numFmtId="185" fontId="153" fillId="0" borderId="0" applyNumberFormat="0" applyFill="0" applyBorder="0" applyAlignment="0" applyProtection="0"/>
    <xf numFmtId="0" fontId="68" fillId="23" borderId="0" applyNumberFormat="0" applyBorder="0" applyAlignment="0" applyProtection="0"/>
    <xf numFmtId="185" fontId="7" fillId="0" borderId="0"/>
    <xf numFmtId="164" fontId="7" fillId="0" borderId="0" applyFont="0" applyFill="0" applyBorder="0" applyAlignment="0" applyProtection="0"/>
    <xf numFmtId="164" fontId="7" fillId="0" borderId="0" applyFont="0" applyFill="0" applyBorder="0" applyAlignment="0" applyProtection="0"/>
    <xf numFmtId="177" fontId="7" fillId="0" borderId="0"/>
    <xf numFmtId="164" fontId="7" fillId="0" borderId="0" applyFont="0" applyFill="0" applyBorder="0" applyAlignment="0" applyProtection="0"/>
    <xf numFmtId="164" fontId="7" fillId="0" borderId="0" applyFont="0" applyFill="0" applyBorder="0" applyAlignment="0" applyProtection="0"/>
    <xf numFmtId="164" fontId="7" fillId="0" borderId="0" applyFont="0" applyFill="0" applyBorder="0" applyAlignment="0" applyProtection="0"/>
    <xf numFmtId="177" fontId="7" fillId="0" borderId="0" applyFont="0" applyFill="0" applyBorder="0" applyAlignment="0" applyProtection="0"/>
    <xf numFmtId="177" fontId="170" fillId="0" borderId="0" applyNumberFormat="0" applyFill="0" applyBorder="0" applyAlignment="0" applyProtection="0">
      <alignment vertical="top"/>
      <protection locked="0"/>
    </xf>
    <xf numFmtId="177" fontId="7" fillId="0" borderId="0"/>
    <xf numFmtId="177" fontId="7" fillId="0" borderId="0"/>
    <xf numFmtId="177" fontId="7" fillId="0" borderId="0"/>
    <xf numFmtId="177" fontId="171" fillId="0" borderId="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cellStyleXfs>
  <cellXfs count="2585">
    <xf numFmtId="185" fontId="0" fillId="8" borderId="0" xfId="0"/>
    <xf numFmtId="185" fontId="0" fillId="2" borderId="0" xfId="0" applyFill="1"/>
    <xf numFmtId="185" fontId="9" fillId="2" borderId="0" xfId="0" applyFont="1" applyFill="1"/>
    <xf numFmtId="185" fontId="9" fillId="2" borderId="0" xfId="0" applyFont="1" applyFill="1" applyBorder="1"/>
    <xf numFmtId="185" fontId="9" fillId="2" borderId="0" xfId="0" applyFont="1" applyFill="1" applyBorder="1" applyAlignment="1">
      <alignment horizontal="center"/>
    </xf>
    <xf numFmtId="185" fontId="12" fillId="2" borderId="0" xfId="0" applyFont="1" applyFill="1"/>
    <xf numFmtId="185" fontId="9" fillId="2" borderId="15" xfId="0" applyFont="1" applyFill="1" applyBorder="1"/>
    <xf numFmtId="185" fontId="9" fillId="2" borderId="16" xfId="0" applyFont="1" applyFill="1" applyBorder="1"/>
    <xf numFmtId="185" fontId="9" fillId="2" borderId="17" xfId="0" applyFont="1" applyFill="1" applyBorder="1"/>
    <xf numFmtId="185" fontId="9" fillId="2" borderId="18" xfId="0" applyFont="1" applyFill="1" applyBorder="1"/>
    <xf numFmtId="185" fontId="9" fillId="2" borderId="19" xfId="0" applyFont="1" applyFill="1" applyBorder="1"/>
    <xf numFmtId="185" fontId="9" fillId="2" borderId="22" xfId="0" applyFont="1" applyFill="1" applyBorder="1"/>
    <xf numFmtId="185" fontId="9" fillId="2" borderId="33" xfId="0" applyFont="1" applyFill="1" applyBorder="1" applyAlignment="1">
      <alignment horizontal="center"/>
    </xf>
    <xf numFmtId="185" fontId="9" fillId="2" borderId="34" xfId="0" applyFont="1" applyFill="1" applyBorder="1" applyAlignment="1">
      <alignment horizontal="center"/>
    </xf>
    <xf numFmtId="185" fontId="15" fillId="6" borderId="0" xfId="0" applyFont="1" applyFill="1"/>
    <xf numFmtId="185" fontId="0" fillId="5" borderId="0" xfId="0" applyFill="1"/>
    <xf numFmtId="176" fontId="7" fillId="5" borderId="0" xfId="1" applyNumberFormat="1" applyFill="1"/>
    <xf numFmtId="175" fontId="7" fillId="5" borderId="0" xfId="1" applyNumberFormat="1" applyFill="1"/>
    <xf numFmtId="185" fontId="7" fillId="5" borderId="0" xfId="0" applyFont="1" applyFill="1"/>
    <xf numFmtId="185" fontId="17" fillId="5" borderId="0" xfId="0" applyFont="1" applyFill="1"/>
    <xf numFmtId="185" fontId="17" fillId="5" borderId="0" xfId="0" applyFont="1" applyFill="1" applyBorder="1"/>
    <xf numFmtId="185" fontId="11" fillId="5" borderId="0" xfId="0" applyFont="1" applyFill="1" applyBorder="1"/>
    <xf numFmtId="185" fontId="11" fillId="5" borderId="0" xfId="0" applyFont="1" applyFill="1"/>
    <xf numFmtId="185" fontId="18" fillId="0" borderId="37" xfId="0" applyFont="1" applyFill="1" applyBorder="1"/>
    <xf numFmtId="185" fontId="11" fillId="0" borderId="2" xfId="0" applyFont="1" applyFill="1" applyBorder="1"/>
    <xf numFmtId="185" fontId="11" fillId="0" borderId="38" xfId="0" applyFont="1" applyFill="1" applyBorder="1"/>
    <xf numFmtId="185" fontId="18" fillId="0" borderId="17" xfId="0" applyFont="1" applyFill="1" applyBorder="1"/>
    <xf numFmtId="185" fontId="11" fillId="0" borderId="0" xfId="0" applyFont="1" applyFill="1" applyBorder="1"/>
    <xf numFmtId="185" fontId="11" fillId="0" borderId="18" xfId="0" applyFont="1" applyFill="1" applyBorder="1"/>
    <xf numFmtId="185" fontId="18" fillId="0" borderId="20" xfId="0" applyFont="1" applyFill="1" applyBorder="1"/>
    <xf numFmtId="185" fontId="18" fillId="0" borderId="3" xfId="0" applyFont="1" applyFill="1" applyBorder="1"/>
    <xf numFmtId="185" fontId="18" fillId="0" borderId="21" xfId="0" applyFont="1" applyFill="1" applyBorder="1"/>
    <xf numFmtId="185" fontId="18" fillId="5" borderId="0" xfId="0" applyFont="1" applyFill="1"/>
    <xf numFmtId="185" fontId="17" fillId="5" borderId="3" xfId="0" applyFont="1" applyFill="1" applyBorder="1"/>
    <xf numFmtId="185" fontId="11" fillId="5" borderId="3" xfId="0" applyFont="1" applyFill="1" applyBorder="1"/>
    <xf numFmtId="185" fontId="19" fillId="2" borderId="17" xfId="0" applyFont="1" applyFill="1" applyBorder="1"/>
    <xf numFmtId="185" fontId="11" fillId="2" borderId="0" xfId="0" applyFont="1" applyFill="1" applyBorder="1"/>
    <xf numFmtId="185" fontId="11" fillId="2" borderId="18" xfId="0" applyFont="1" applyFill="1" applyBorder="1"/>
    <xf numFmtId="185" fontId="18" fillId="2" borderId="17" xfId="0" applyFont="1" applyFill="1" applyBorder="1"/>
    <xf numFmtId="185" fontId="20" fillId="2" borderId="17" xfId="0" applyFont="1" applyFill="1" applyBorder="1"/>
    <xf numFmtId="185" fontId="22" fillId="2" borderId="17" xfId="0" applyFont="1" applyFill="1" applyBorder="1"/>
    <xf numFmtId="185" fontId="24" fillId="2" borderId="17" xfId="0" applyFont="1" applyFill="1" applyBorder="1"/>
    <xf numFmtId="185" fontId="25" fillId="2" borderId="20" xfId="0" applyFont="1" applyFill="1" applyBorder="1"/>
    <xf numFmtId="185" fontId="11" fillId="2" borderId="3" xfId="0" applyFont="1" applyFill="1" applyBorder="1"/>
    <xf numFmtId="185" fontId="11" fillId="2" borderId="21" xfId="0" applyFont="1" applyFill="1" applyBorder="1"/>
    <xf numFmtId="185" fontId="17" fillId="5" borderId="0" xfId="0" applyFont="1" applyFill="1"/>
    <xf numFmtId="185" fontId="25" fillId="2" borderId="40" xfId="0" applyFont="1" applyFill="1" applyBorder="1"/>
    <xf numFmtId="185" fontId="25" fillId="2" borderId="1" xfId="0" applyFont="1" applyFill="1" applyBorder="1"/>
    <xf numFmtId="185" fontId="18" fillId="2" borderId="41" xfId="0" applyFont="1" applyFill="1" applyBorder="1"/>
    <xf numFmtId="185" fontId="18" fillId="2" borderId="1" xfId="0" applyFont="1" applyFill="1" applyBorder="1"/>
    <xf numFmtId="185" fontId="18" fillId="2" borderId="42" xfId="0" applyFont="1" applyFill="1" applyBorder="1"/>
    <xf numFmtId="185" fontId="18" fillId="2" borderId="43" xfId="0" applyFont="1" applyFill="1" applyBorder="1"/>
    <xf numFmtId="185" fontId="18" fillId="2" borderId="0" xfId="0" applyFont="1" applyFill="1" applyBorder="1"/>
    <xf numFmtId="185" fontId="18" fillId="2" borderId="18" xfId="0" applyFont="1" applyFill="1" applyBorder="1"/>
    <xf numFmtId="185" fontId="18" fillId="2" borderId="44" xfId="0" applyFont="1" applyFill="1" applyBorder="1"/>
    <xf numFmtId="185" fontId="18" fillId="2" borderId="3" xfId="0" applyFont="1" applyFill="1" applyBorder="1"/>
    <xf numFmtId="185" fontId="18" fillId="2" borderId="21" xfId="0" applyFont="1" applyFill="1" applyBorder="1"/>
    <xf numFmtId="185" fontId="8" fillId="3" borderId="0" xfId="0" applyFont="1" applyFill="1"/>
    <xf numFmtId="185" fontId="0" fillId="2" borderId="0" xfId="0" applyFill="1"/>
    <xf numFmtId="185" fontId="0" fillId="2" borderId="8" xfId="0" applyFill="1" applyBorder="1"/>
    <xf numFmtId="185" fontId="0" fillId="2" borderId="7" xfId="0" applyFill="1" applyBorder="1"/>
    <xf numFmtId="185" fontId="0" fillId="2" borderId="11" xfId="0" applyFill="1" applyBorder="1"/>
    <xf numFmtId="185" fontId="0" fillId="2" borderId="9" xfId="0" applyFill="1" applyBorder="1"/>
    <xf numFmtId="185" fontId="0" fillId="8" borderId="4" xfId="0" applyFill="1" applyBorder="1"/>
    <xf numFmtId="185" fontId="0" fillId="8" borderId="5" xfId="0" applyFill="1" applyBorder="1"/>
    <xf numFmtId="185" fontId="0" fillId="8" borderId="0" xfId="0" applyFill="1" applyBorder="1"/>
    <xf numFmtId="185" fontId="0" fillId="8" borderId="12" xfId="0" applyFill="1" applyBorder="1"/>
    <xf numFmtId="185" fontId="0" fillId="8" borderId="3" xfId="0" applyFill="1" applyBorder="1"/>
    <xf numFmtId="185" fontId="0" fillId="8" borderId="26" xfId="0" applyFill="1" applyBorder="1"/>
    <xf numFmtId="185" fontId="0" fillId="8" borderId="10" xfId="0" applyFill="1" applyBorder="1"/>
    <xf numFmtId="185" fontId="0" fillId="8" borderId="0" xfId="0" applyFill="1"/>
    <xf numFmtId="185" fontId="0" fillId="8" borderId="39" xfId="0" applyFill="1" applyBorder="1"/>
    <xf numFmtId="185" fontId="0" fillId="8" borderId="6" xfId="0" applyFill="1" applyBorder="1"/>
    <xf numFmtId="185" fontId="29" fillId="8" borderId="21" xfId="0" applyFont="1" applyFill="1" applyBorder="1"/>
    <xf numFmtId="185" fontId="29" fillId="8" borderId="3" xfId="0" applyFont="1" applyFill="1" applyBorder="1"/>
    <xf numFmtId="185" fontId="29" fillId="8" borderId="18" xfId="0" applyFont="1" applyFill="1" applyBorder="1"/>
    <xf numFmtId="185" fontId="30" fillId="8" borderId="0" xfId="0" applyFont="1" applyFill="1" applyBorder="1" applyProtection="1">
      <protection locked="0"/>
    </xf>
    <xf numFmtId="185" fontId="39" fillId="8" borderId="0" xfId="0" applyFont="1" applyFill="1" applyBorder="1" applyAlignment="1">
      <alignment horizontal="left"/>
    </xf>
    <xf numFmtId="185" fontId="29" fillId="8" borderId="25" xfId="0" applyFont="1" applyFill="1" applyBorder="1"/>
    <xf numFmtId="185" fontId="29" fillId="8" borderId="45" xfId="0" applyFont="1" applyFill="1" applyBorder="1"/>
    <xf numFmtId="185" fontId="0" fillId="8" borderId="14" xfId="0" applyFill="1" applyBorder="1"/>
    <xf numFmtId="185" fontId="0" fillId="8" borderId="45" xfId="0" applyFill="1" applyBorder="1"/>
    <xf numFmtId="185" fontId="11" fillId="8" borderId="7" xfId="0" applyFont="1" applyFill="1" applyBorder="1"/>
    <xf numFmtId="185" fontId="0" fillId="8" borderId="18" xfId="0" applyFill="1" applyBorder="1"/>
    <xf numFmtId="185" fontId="0" fillId="8" borderId="25" xfId="0" applyFill="1" applyBorder="1"/>
    <xf numFmtId="164" fontId="30" fillId="8" borderId="0" xfId="1" applyFont="1" applyFill="1" applyBorder="1" applyProtection="1">
      <protection locked="0"/>
    </xf>
    <xf numFmtId="164" fontId="0" fillId="8" borderId="0" xfId="0" applyNumberFormat="1" applyFill="1"/>
    <xf numFmtId="185" fontId="17" fillId="8" borderId="0" xfId="0" applyFont="1" applyFill="1"/>
    <xf numFmtId="185" fontId="0" fillId="8" borderId="28" xfId="0" applyFill="1" applyBorder="1"/>
    <xf numFmtId="185" fontId="0" fillId="8" borderId="30" xfId="0" applyFill="1" applyBorder="1"/>
    <xf numFmtId="185" fontId="30" fillId="8" borderId="0" xfId="0" applyFont="1" applyFill="1" applyBorder="1"/>
    <xf numFmtId="185" fontId="0" fillId="8" borderId="8" xfId="0" quotePrefix="1" applyFill="1" applyBorder="1"/>
    <xf numFmtId="185" fontId="0" fillId="8" borderId="38" xfId="0" applyFill="1" applyBorder="1"/>
    <xf numFmtId="2" fontId="0" fillId="8" borderId="0" xfId="0" applyNumberFormat="1" applyFill="1" applyBorder="1"/>
    <xf numFmtId="2" fontId="0" fillId="8" borderId="17" xfId="0" applyNumberFormat="1" applyFill="1" applyBorder="1"/>
    <xf numFmtId="185" fontId="0" fillId="8" borderId="17" xfId="0" applyFill="1" applyBorder="1"/>
    <xf numFmtId="185" fontId="34" fillId="8" borderId="10" xfId="0" applyFont="1" applyFill="1" applyBorder="1"/>
    <xf numFmtId="185" fontId="29" fillId="8" borderId="0" xfId="0" applyFont="1" applyFill="1" applyBorder="1"/>
    <xf numFmtId="185" fontId="0" fillId="8" borderId="0" xfId="0" applyFill="1" applyBorder="1" applyAlignment="1">
      <alignment horizontal="right"/>
    </xf>
    <xf numFmtId="185" fontId="0" fillId="8" borderId="3" xfId="0" applyFill="1" applyBorder="1" applyAlignment="1">
      <alignment horizontal="right"/>
    </xf>
    <xf numFmtId="185" fontId="28" fillId="8" borderId="4" xfId="0" applyFont="1" applyFill="1" applyBorder="1"/>
    <xf numFmtId="185" fontId="17" fillId="8" borderId="7" xfId="0" applyFont="1" applyFill="1" applyBorder="1"/>
    <xf numFmtId="185" fontId="28" fillId="8" borderId="7" xfId="0" applyFont="1" applyFill="1" applyBorder="1"/>
    <xf numFmtId="185" fontId="32" fillId="8" borderId="18" xfId="0" applyFont="1" applyFill="1" applyBorder="1"/>
    <xf numFmtId="185" fontId="33" fillId="8" borderId="0" xfId="0" applyFont="1" applyFill="1" applyBorder="1"/>
    <xf numFmtId="2" fontId="34" fillId="8" borderId="0" xfId="0" applyNumberFormat="1" applyFont="1" applyFill="1" applyBorder="1" applyProtection="1">
      <protection locked="0"/>
    </xf>
    <xf numFmtId="2" fontId="34" fillId="8" borderId="0" xfId="0" applyNumberFormat="1" applyFont="1" applyFill="1" applyBorder="1"/>
    <xf numFmtId="165" fontId="31" fillId="8" borderId="0" xfId="0" applyNumberFormat="1" applyFont="1" applyFill="1" applyBorder="1"/>
    <xf numFmtId="185" fontId="36" fillId="8" borderId="7" xfId="0" applyFont="1" applyFill="1" applyBorder="1"/>
    <xf numFmtId="2" fontId="36" fillId="8" borderId="0" xfId="0" applyNumberFormat="1" applyFont="1" applyFill="1" applyBorder="1"/>
    <xf numFmtId="185" fontId="45" fillId="8" borderId="0" xfId="0" applyFont="1" applyFill="1"/>
    <xf numFmtId="185" fontId="0" fillId="8" borderId="7" xfId="0" applyFill="1" applyBorder="1" applyAlignment="1">
      <alignment horizontal="left" indent="1"/>
    </xf>
    <xf numFmtId="185" fontId="46" fillId="8" borderId="0" xfId="0" applyFont="1" applyFill="1"/>
    <xf numFmtId="185" fontId="38" fillId="8" borderId="9" xfId="0" applyFont="1" applyFill="1" applyBorder="1"/>
    <xf numFmtId="185" fontId="32" fillId="8" borderId="25" xfId="0" applyFont="1" applyFill="1" applyBorder="1"/>
    <xf numFmtId="3" fontId="30" fillId="8" borderId="0" xfId="0" applyNumberFormat="1" applyFont="1" applyFill="1" applyBorder="1" applyProtection="1">
      <protection locked="0"/>
    </xf>
    <xf numFmtId="185" fontId="15" fillId="8" borderId="0" xfId="0" applyFont="1" applyFill="1"/>
    <xf numFmtId="185" fontId="0" fillId="8" borderId="29" xfId="0" applyFill="1" applyBorder="1"/>
    <xf numFmtId="185" fontId="9" fillId="8" borderId="0" xfId="0" applyFont="1" applyFill="1" applyBorder="1"/>
    <xf numFmtId="185" fontId="17" fillId="5" borderId="0" xfId="0" applyFont="1" applyFill="1"/>
    <xf numFmtId="185" fontId="0" fillId="5" borderId="0" xfId="0" applyFill="1"/>
    <xf numFmtId="9" fontId="0" fillId="5" borderId="0" xfId="0" applyNumberFormat="1" applyFill="1"/>
    <xf numFmtId="185" fontId="31" fillId="2" borderId="7" xfId="0" applyFont="1" applyFill="1" applyBorder="1"/>
    <xf numFmtId="185" fontId="41" fillId="2" borderId="0" xfId="0" applyFont="1" applyFill="1" applyBorder="1"/>
    <xf numFmtId="185" fontId="31" fillId="2" borderId="0" xfId="0" applyFont="1" applyFill="1" applyBorder="1" applyProtection="1">
      <protection locked="0"/>
    </xf>
    <xf numFmtId="175" fontId="30" fillId="2" borderId="0" xfId="0" applyNumberFormat="1" applyFont="1" applyFill="1" applyBorder="1" applyProtection="1">
      <protection locked="0"/>
    </xf>
    <xf numFmtId="2" fontId="31" fillId="2" borderId="0" xfId="0" applyNumberFormat="1" applyFont="1" applyFill="1" applyBorder="1" applyProtection="1">
      <protection locked="0"/>
    </xf>
    <xf numFmtId="168" fontId="31" fillId="2" borderId="0" xfId="0" applyNumberFormat="1" applyFont="1" applyFill="1" applyBorder="1" applyProtection="1">
      <protection locked="0"/>
    </xf>
    <xf numFmtId="185" fontId="43" fillId="2" borderId="9" xfId="0" applyFont="1" applyFill="1" applyBorder="1"/>
    <xf numFmtId="185" fontId="42" fillId="2" borderId="10" xfId="0" applyFont="1" applyFill="1" applyBorder="1"/>
    <xf numFmtId="185" fontId="27" fillId="5" borderId="0" xfId="0" applyFont="1" applyFill="1"/>
    <xf numFmtId="2" fontId="40" fillId="2" borderId="5" xfId="0" applyNumberFormat="1" applyFont="1" applyFill="1" applyBorder="1" applyProtection="1">
      <protection locked="0"/>
    </xf>
    <xf numFmtId="175" fontId="40" fillId="2" borderId="0" xfId="0" applyNumberFormat="1" applyFont="1" applyFill="1" applyBorder="1"/>
    <xf numFmtId="174" fontId="42" fillId="2" borderId="0" xfId="0" applyNumberFormat="1" applyFont="1" applyFill="1" applyBorder="1"/>
    <xf numFmtId="169" fontId="0" fillId="5" borderId="0" xfId="0" applyNumberFormat="1" applyFill="1"/>
    <xf numFmtId="170" fontId="0" fillId="5" borderId="0" xfId="0" applyNumberFormat="1" applyFill="1"/>
    <xf numFmtId="3" fontId="30" fillId="8" borderId="17" xfId="0" applyNumberFormat="1" applyFont="1" applyFill="1" applyBorder="1" applyProtection="1">
      <protection locked="0"/>
    </xf>
    <xf numFmtId="185" fontId="29" fillId="8" borderId="14" xfId="0" applyFont="1" applyFill="1" applyBorder="1"/>
    <xf numFmtId="185" fontId="29" fillId="8" borderId="36" xfId="0" applyFont="1" applyFill="1" applyBorder="1"/>
    <xf numFmtId="185" fontId="0" fillId="8" borderId="35" xfId="0" applyFill="1" applyBorder="1"/>
    <xf numFmtId="180" fontId="0" fillId="5" borderId="0" xfId="0" applyNumberFormat="1" applyFill="1"/>
    <xf numFmtId="175" fontId="42" fillId="2" borderId="0" xfId="0" applyNumberFormat="1" applyFont="1" applyFill="1" applyBorder="1"/>
    <xf numFmtId="185" fontId="0" fillId="5" borderId="0" xfId="0" applyFont="1" applyFill="1"/>
    <xf numFmtId="185" fontId="42" fillId="2" borderId="5" xfId="0" applyFont="1" applyFill="1" applyBorder="1" applyProtection="1">
      <protection locked="0"/>
    </xf>
    <xf numFmtId="175" fontId="40" fillId="2" borderId="0" xfId="0" applyNumberFormat="1" applyFont="1" applyFill="1" applyBorder="1" applyAlignment="1">
      <alignment horizontal="left" indent="1"/>
    </xf>
    <xf numFmtId="4" fontId="9" fillId="8" borderId="0" xfId="1" applyNumberFormat="1" applyFont="1" applyFill="1" applyBorder="1"/>
    <xf numFmtId="4" fontId="9" fillId="8" borderId="18" xfId="1" applyNumberFormat="1" applyFont="1" applyFill="1" applyBorder="1"/>
    <xf numFmtId="9" fontId="9" fillId="8" borderId="17" xfId="2" applyNumberFormat="1" applyFont="1" applyFill="1" applyBorder="1"/>
    <xf numFmtId="9" fontId="9" fillId="8" borderId="18" xfId="2" applyNumberFormat="1" applyFont="1" applyFill="1" applyBorder="1"/>
    <xf numFmtId="185" fontId="47" fillId="2" borderId="0" xfId="0" applyFont="1" applyFill="1"/>
    <xf numFmtId="173" fontId="9" fillId="8" borderId="0" xfId="1" applyNumberFormat="1" applyFont="1" applyFill="1" applyBorder="1"/>
    <xf numFmtId="185" fontId="0" fillId="8" borderId="27" xfId="0" applyFill="1" applyBorder="1"/>
    <xf numFmtId="185" fontId="29" fillId="8" borderId="20" xfId="0" applyFont="1" applyFill="1" applyBorder="1"/>
    <xf numFmtId="185" fontId="29" fillId="8" borderId="17" xfId="0" applyFont="1" applyFill="1" applyBorder="1"/>
    <xf numFmtId="185" fontId="30" fillId="8" borderId="17" xfId="0" applyFont="1" applyFill="1" applyBorder="1" applyProtection="1">
      <protection locked="0"/>
    </xf>
    <xf numFmtId="185" fontId="31" fillId="2" borderId="17" xfId="0" applyFont="1" applyFill="1" applyBorder="1" applyProtection="1">
      <protection locked="0"/>
    </xf>
    <xf numFmtId="185" fontId="30" fillId="8" borderId="17" xfId="0" applyFont="1" applyFill="1" applyBorder="1"/>
    <xf numFmtId="175" fontId="30" fillId="2" borderId="17" xfId="0" applyNumberFormat="1" applyFont="1" applyFill="1" applyBorder="1" applyProtection="1">
      <protection locked="0"/>
    </xf>
    <xf numFmtId="165" fontId="31" fillId="8" borderId="17" xfId="0" applyNumberFormat="1" applyFont="1" applyFill="1" applyBorder="1"/>
    <xf numFmtId="2" fontId="31" fillId="2" borderId="17" xfId="0" applyNumberFormat="1" applyFont="1" applyFill="1" applyBorder="1" applyProtection="1">
      <protection locked="0"/>
    </xf>
    <xf numFmtId="168" fontId="31" fillId="2" borderId="17" xfId="0" applyNumberFormat="1" applyFont="1" applyFill="1" applyBorder="1" applyProtection="1">
      <protection locked="0"/>
    </xf>
    <xf numFmtId="185" fontId="42" fillId="2" borderId="17" xfId="0" applyFont="1" applyFill="1" applyBorder="1"/>
    <xf numFmtId="185" fontId="42" fillId="2" borderId="24" xfId="0" applyFont="1" applyFill="1" applyBorder="1"/>
    <xf numFmtId="185" fontId="0" fillId="8" borderId="24" xfId="0" applyFill="1" applyBorder="1"/>
    <xf numFmtId="43" fontId="0" fillId="5" borderId="0" xfId="0" applyNumberFormat="1" applyFill="1"/>
    <xf numFmtId="3" fontId="0" fillId="8" borderId="0" xfId="0" applyNumberFormat="1" applyFill="1"/>
    <xf numFmtId="2" fontId="11" fillId="8" borderId="0" xfId="0" applyNumberFormat="1" applyFont="1" applyFill="1" applyBorder="1"/>
    <xf numFmtId="185" fontId="0" fillId="8" borderId="0" xfId="0" applyFill="1"/>
    <xf numFmtId="185" fontId="9" fillId="2" borderId="0" xfId="0" applyFont="1" applyFill="1"/>
    <xf numFmtId="10" fontId="9" fillId="8" borderId="0" xfId="2" applyNumberFormat="1" applyFont="1" applyFill="1" applyBorder="1"/>
    <xf numFmtId="173" fontId="9" fillId="8" borderId="8" xfId="1" applyNumberFormat="1" applyFont="1" applyFill="1" applyBorder="1"/>
    <xf numFmtId="185" fontId="17" fillId="5" borderId="0" xfId="0" applyFont="1" applyFill="1"/>
    <xf numFmtId="185" fontId="0" fillId="5" borderId="0" xfId="0" applyFill="1"/>
    <xf numFmtId="185" fontId="28" fillId="2" borderId="4" xfId="0" applyFont="1" applyFill="1" applyBorder="1"/>
    <xf numFmtId="185" fontId="0" fillId="2" borderId="5" xfId="0" applyFill="1" applyBorder="1"/>
    <xf numFmtId="185" fontId="0" fillId="2" borderId="6" xfId="0" applyFill="1" applyBorder="1"/>
    <xf numFmtId="185" fontId="11" fillId="2" borderId="7" xfId="0" applyFont="1" applyFill="1" applyBorder="1"/>
    <xf numFmtId="185" fontId="0" fillId="2" borderId="0" xfId="0" applyFill="1" applyBorder="1"/>
    <xf numFmtId="185" fontId="0" fillId="2" borderId="8" xfId="0" applyFill="1" applyBorder="1"/>
    <xf numFmtId="185" fontId="17" fillId="2" borderId="7" xfId="0" applyFont="1" applyFill="1" applyBorder="1"/>
    <xf numFmtId="185" fontId="28" fillId="2" borderId="7" xfId="0" applyFont="1" applyFill="1" applyBorder="1"/>
    <xf numFmtId="185" fontId="0" fillId="2" borderId="9" xfId="0" applyFill="1" applyBorder="1"/>
    <xf numFmtId="185" fontId="0" fillId="2" borderId="10" xfId="0" applyFill="1" applyBorder="1"/>
    <xf numFmtId="185" fontId="0" fillId="2" borderId="11" xfId="0" applyFill="1" applyBorder="1"/>
    <xf numFmtId="9" fontId="0" fillId="5" borderId="0" xfId="0" applyNumberFormat="1" applyFill="1"/>
    <xf numFmtId="185" fontId="0" fillId="2" borderId="4" xfId="0" applyFill="1" applyBorder="1"/>
    <xf numFmtId="185" fontId="0" fillId="2" borderId="39" xfId="0" applyFill="1" applyBorder="1"/>
    <xf numFmtId="185" fontId="0" fillId="2" borderId="12" xfId="0" applyFill="1" applyBorder="1"/>
    <xf numFmtId="185" fontId="29" fillId="2" borderId="21" xfId="0" applyFont="1" applyFill="1" applyBorder="1"/>
    <xf numFmtId="185" fontId="29" fillId="2" borderId="3" xfId="0" applyFont="1" applyFill="1" applyBorder="1"/>
    <xf numFmtId="185" fontId="0" fillId="2" borderId="3" xfId="0" applyFill="1" applyBorder="1"/>
    <xf numFmtId="185" fontId="0" fillId="2" borderId="26" xfId="0" applyFill="1" applyBorder="1"/>
    <xf numFmtId="185" fontId="0" fillId="2" borderId="7" xfId="0" applyFill="1" applyBorder="1"/>
    <xf numFmtId="185" fontId="27" fillId="5" borderId="0" xfId="0" applyFont="1" applyFill="1"/>
    <xf numFmtId="2" fontId="31" fillId="2" borderId="5" xfId="0" applyNumberFormat="1" applyFont="1" applyFill="1" applyBorder="1" applyProtection="1">
      <protection locked="0"/>
    </xf>
    <xf numFmtId="2" fontId="31" fillId="2" borderId="0" xfId="0" applyNumberFormat="1" applyFont="1" applyFill="1" applyBorder="1" applyProtection="1">
      <protection locked="0"/>
    </xf>
    <xf numFmtId="164" fontId="0" fillId="5" borderId="0" xfId="0" applyNumberFormat="1" applyFill="1"/>
    <xf numFmtId="3" fontId="0" fillId="5" borderId="0" xfId="0" applyNumberFormat="1" applyFill="1"/>
    <xf numFmtId="175" fontId="30" fillId="2" borderId="0" xfId="0" applyNumberFormat="1" applyFont="1" applyFill="1" applyBorder="1"/>
    <xf numFmtId="185" fontId="49" fillId="2" borderId="0" xfId="0" applyFont="1" applyFill="1"/>
    <xf numFmtId="185" fontId="9" fillId="8" borderId="0" xfId="0" applyFont="1" applyFill="1" applyBorder="1" applyAlignment="1">
      <alignment horizontal="center"/>
    </xf>
    <xf numFmtId="2" fontId="51" fillId="8" borderId="0" xfId="0" applyNumberFormat="1" applyFont="1" applyFill="1" applyBorder="1" applyProtection="1">
      <protection locked="0"/>
    </xf>
    <xf numFmtId="185" fontId="18" fillId="7" borderId="43" xfId="0" applyFont="1" applyFill="1" applyBorder="1"/>
    <xf numFmtId="185" fontId="7" fillId="8" borderId="5" xfId="0" applyFont="1" applyFill="1" applyBorder="1"/>
    <xf numFmtId="178" fontId="49" fillId="8" borderId="0" xfId="0" applyNumberFormat="1" applyFont="1" applyFill="1"/>
    <xf numFmtId="173" fontId="9" fillId="8" borderId="0" xfId="1" applyNumberFormat="1" applyFont="1" applyFill="1" applyBorder="1" applyAlignment="1">
      <alignment horizontal="right"/>
    </xf>
    <xf numFmtId="4" fontId="9" fillId="8" borderId="0" xfId="1" applyNumberFormat="1" applyFont="1" applyFill="1" applyBorder="1" applyAlignment="1">
      <alignment horizontal="right"/>
    </xf>
    <xf numFmtId="185" fontId="0" fillId="8" borderId="1" xfId="0" applyFill="1" applyBorder="1"/>
    <xf numFmtId="185" fontId="7" fillId="8" borderId="8" xfId="0" applyFont="1" applyFill="1" applyBorder="1"/>
    <xf numFmtId="185" fontId="29" fillId="8" borderId="0" xfId="0" applyFont="1" applyFill="1" applyBorder="1"/>
    <xf numFmtId="185" fontId="29" fillId="8" borderId="18" xfId="0" applyFont="1" applyFill="1" applyBorder="1"/>
    <xf numFmtId="2" fontId="30" fillId="8" borderId="0" xfId="0" applyNumberFormat="1" applyFont="1" applyFill="1" applyBorder="1" applyProtection="1">
      <protection locked="0"/>
    </xf>
    <xf numFmtId="185" fontId="30" fillId="8" borderId="0" xfId="0" applyFont="1" applyFill="1" applyBorder="1" applyProtection="1">
      <protection locked="0"/>
    </xf>
    <xf numFmtId="185" fontId="33" fillId="8" borderId="0" xfId="0" applyFont="1" applyFill="1" applyBorder="1"/>
    <xf numFmtId="165" fontId="31" fillId="8" borderId="0" xfId="0" applyNumberFormat="1" applyFont="1" applyFill="1" applyBorder="1"/>
    <xf numFmtId="185" fontId="15" fillId="8" borderId="0" xfId="0" applyFont="1" applyFill="1"/>
    <xf numFmtId="185" fontId="17" fillId="8" borderId="7" xfId="0" applyFont="1" applyFill="1" applyBorder="1"/>
    <xf numFmtId="185" fontId="50" fillId="8" borderId="40" xfId="0" applyFont="1" applyFill="1" applyBorder="1"/>
    <xf numFmtId="185" fontId="7" fillId="8" borderId="10" xfId="0" applyFont="1" applyFill="1" applyBorder="1"/>
    <xf numFmtId="185" fontId="0" fillId="8" borderId="4" xfId="0" applyFill="1" applyBorder="1"/>
    <xf numFmtId="185" fontId="0" fillId="8" borderId="39" xfId="0" applyFill="1" applyBorder="1"/>
    <xf numFmtId="185" fontId="0" fillId="8" borderId="5" xfId="0" applyFill="1" applyBorder="1"/>
    <xf numFmtId="185" fontId="0" fillId="8" borderId="6" xfId="0" applyFill="1" applyBorder="1"/>
    <xf numFmtId="185" fontId="0" fillId="8" borderId="12" xfId="0" applyFill="1" applyBorder="1"/>
    <xf numFmtId="185" fontId="29" fillId="8" borderId="21" xfId="0" applyFont="1" applyFill="1" applyBorder="1"/>
    <xf numFmtId="185" fontId="29" fillId="8" borderId="3" xfId="0" applyFont="1" applyFill="1" applyBorder="1"/>
    <xf numFmtId="185" fontId="0" fillId="8" borderId="3" xfId="0" applyFill="1" applyBorder="1"/>
    <xf numFmtId="185" fontId="0" fillId="8" borderId="26" xfId="0" applyFill="1" applyBorder="1"/>
    <xf numFmtId="185" fontId="0" fillId="8" borderId="0" xfId="0" applyFill="1" applyBorder="1"/>
    <xf numFmtId="185" fontId="0" fillId="8" borderId="8" xfId="0" applyFill="1" applyBorder="1"/>
    <xf numFmtId="185" fontId="0" fillId="8" borderId="7" xfId="0" applyFill="1" applyBorder="1"/>
    <xf numFmtId="185" fontId="32" fillId="8" borderId="18" xfId="0" applyFont="1" applyFill="1" applyBorder="1"/>
    <xf numFmtId="185" fontId="31" fillId="8" borderId="7" xfId="0" applyFont="1" applyFill="1" applyBorder="1"/>
    <xf numFmtId="185" fontId="37" fillId="8" borderId="18" xfId="0" applyFont="1" applyFill="1" applyBorder="1"/>
    <xf numFmtId="185" fontId="17" fillId="8" borderId="0" xfId="0" applyFont="1" applyFill="1"/>
    <xf numFmtId="185" fontId="35" fillId="8" borderId="0" xfId="0" applyFont="1" applyFill="1" applyBorder="1"/>
    <xf numFmtId="185" fontId="0" fillId="8" borderId="7" xfId="0" applyFill="1" applyBorder="1" applyAlignment="1">
      <alignment horizontal="left" indent="1"/>
    </xf>
    <xf numFmtId="2" fontId="31" fillId="8" borderId="0" xfId="0" applyNumberFormat="1" applyFont="1" applyFill="1" applyBorder="1"/>
    <xf numFmtId="185" fontId="32" fillId="8" borderId="25" xfId="0" applyFont="1" applyFill="1" applyBorder="1"/>
    <xf numFmtId="185" fontId="35" fillId="8" borderId="10" xfId="0" applyFont="1" applyFill="1" applyBorder="1"/>
    <xf numFmtId="185" fontId="0" fillId="8" borderId="11" xfId="0" applyFill="1" applyBorder="1"/>
    <xf numFmtId="185" fontId="0" fillId="8" borderId="18" xfId="0" applyFill="1" applyBorder="1"/>
    <xf numFmtId="185" fontId="0" fillId="8" borderId="9" xfId="0" applyFill="1" applyBorder="1"/>
    <xf numFmtId="185" fontId="0" fillId="8" borderId="25" xfId="0" applyFill="1" applyBorder="1"/>
    <xf numFmtId="185" fontId="0" fillId="8" borderId="10" xfId="0" applyFill="1" applyBorder="1"/>
    <xf numFmtId="185" fontId="11" fillId="8" borderId="5" xfId="0" applyFont="1" applyFill="1" applyBorder="1"/>
    <xf numFmtId="185" fontId="11" fillId="8" borderId="6" xfId="0" applyFont="1" applyFill="1" applyBorder="1"/>
    <xf numFmtId="185" fontId="11" fillId="8" borderId="7" xfId="0" applyFont="1" applyFill="1" applyBorder="1"/>
    <xf numFmtId="185" fontId="11" fillId="8" borderId="0" xfId="0" applyFont="1" applyFill="1" applyBorder="1"/>
    <xf numFmtId="185" fontId="11" fillId="8" borderId="8" xfId="0" applyFont="1" applyFill="1" applyBorder="1"/>
    <xf numFmtId="185" fontId="11" fillId="8" borderId="10" xfId="0" applyFont="1" applyFill="1" applyBorder="1"/>
    <xf numFmtId="185" fontId="11" fillId="8" borderId="11" xfId="0" applyFont="1" applyFill="1" applyBorder="1"/>
    <xf numFmtId="175" fontId="30" fillId="8" borderId="0" xfId="0" applyNumberFormat="1" applyFont="1" applyFill="1" applyBorder="1" applyProtection="1">
      <protection locked="0"/>
    </xf>
    <xf numFmtId="185" fontId="33" fillId="8" borderId="0" xfId="0" applyFont="1" applyFill="1" applyBorder="1" applyProtection="1">
      <protection locked="0"/>
    </xf>
    <xf numFmtId="173" fontId="49" fillId="2" borderId="0" xfId="0" applyNumberFormat="1" applyFont="1" applyFill="1"/>
    <xf numFmtId="171" fontId="9" fillId="8" borderId="0" xfId="1" applyNumberFormat="1" applyFont="1" applyFill="1" applyBorder="1"/>
    <xf numFmtId="171" fontId="9" fillId="8" borderId="0" xfId="1" applyNumberFormat="1" applyFont="1" applyFill="1" applyBorder="1" applyAlignment="1">
      <alignment horizontal="right"/>
    </xf>
    <xf numFmtId="166" fontId="9" fillId="8" borderId="0" xfId="2" applyNumberFormat="1" applyFont="1" applyFill="1" applyBorder="1"/>
    <xf numFmtId="166" fontId="9" fillId="8" borderId="0" xfId="2" applyNumberFormat="1" applyFont="1" applyFill="1" applyBorder="1" applyAlignment="1">
      <alignment horizontal="right"/>
    </xf>
    <xf numFmtId="3" fontId="9" fillId="2" borderId="31" xfId="0" applyNumberFormat="1" applyFont="1" applyFill="1" applyBorder="1" applyAlignment="1">
      <alignment horizontal="center"/>
    </xf>
    <xf numFmtId="185" fontId="51" fillId="8" borderId="0" xfId="0" applyFont="1" applyFill="1" applyBorder="1"/>
    <xf numFmtId="175" fontId="51" fillId="2" borderId="0" xfId="0" applyNumberFormat="1" applyFont="1" applyFill="1" applyBorder="1"/>
    <xf numFmtId="185" fontId="51" fillId="8" borderId="10" xfId="0" applyFont="1" applyFill="1" applyBorder="1"/>
    <xf numFmtId="185" fontId="9" fillId="2" borderId="8" xfId="0" applyFont="1" applyFill="1" applyBorder="1" applyAlignment="1">
      <alignment horizontal="center"/>
    </xf>
    <xf numFmtId="185" fontId="0" fillId="8" borderId="29" xfId="0" applyFill="1" applyBorder="1" applyAlignment="1">
      <alignment horizontal="center"/>
    </xf>
    <xf numFmtId="185" fontId="0" fillId="8" borderId="30" xfId="0" applyFill="1" applyBorder="1" applyAlignment="1">
      <alignment horizontal="center"/>
    </xf>
    <xf numFmtId="185" fontId="7" fillId="2" borderId="11" xfId="0" applyFont="1" applyFill="1" applyBorder="1"/>
    <xf numFmtId="166" fontId="0" fillId="2" borderId="0" xfId="2" applyNumberFormat="1" applyFont="1" applyFill="1"/>
    <xf numFmtId="166" fontId="0" fillId="2" borderId="0" xfId="0" applyNumberFormat="1" applyFill="1"/>
    <xf numFmtId="173" fontId="49" fillId="8" borderId="0" xfId="0" applyNumberFormat="1" applyFont="1" applyFill="1" applyBorder="1"/>
    <xf numFmtId="185" fontId="12" fillId="8" borderId="0" xfId="0" applyFont="1" applyFill="1" applyBorder="1"/>
    <xf numFmtId="9" fontId="9" fillId="8" borderId="0" xfId="2" applyNumberFormat="1" applyFont="1" applyFill="1" applyBorder="1"/>
    <xf numFmtId="3" fontId="9" fillId="8" borderId="0" xfId="0" applyNumberFormat="1" applyFont="1" applyFill="1" applyBorder="1" applyAlignment="1">
      <alignment horizontal="center"/>
    </xf>
    <xf numFmtId="9" fontId="9" fillId="8" borderId="0" xfId="2" applyNumberFormat="1" applyFont="1" applyFill="1" applyBorder="1" applyAlignment="1">
      <alignment horizontal="right"/>
    </xf>
    <xf numFmtId="173" fontId="9" fillId="8" borderId="0" xfId="0" applyNumberFormat="1" applyFont="1" applyFill="1" applyBorder="1"/>
    <xf numFmtId="185" fontId="10" fillId="8" borderId="0" xfId="0" applyFont="1" applyFill="1" applyBorder="1" applyAlignment="1">
      <alignment horizontal="center" vertical="center" textRotation="90"/>
    </xf>
    <xf numFmtId="185" fontId="10" fillId="8" borderId="0" xfId="0" applyFont="1" applyFill="1" applyBorder="1" applyAlignment="1">
      <alignment vertical="center" textRotation="90"/>
    </xf>
    <xf numFmtId="185" fontId="53" fillId="8" borderId="0" xfId="0" applyFont="1" applyFill="1" applyBorder="1"/>
    <xf numFmtId="185" fontId="7" fillId="2" borderId="8" xfId="0" applyFont="1" applyFill="1" applyBorder="1"/>
    <xf numFmtId="186" fontId="0" fillId="8" borderId="0" xfId="0" applyNumberFormat="1" applyFill="1" applyBorder="1"/>
    <xf numFmtId="185" fontId="0" fillId="2" borderId="8" xfId="0" quotePrefix="1" applyFill="1" applyBorder="1"/>
    <xf numFmtId="181" fontId="7" fillId="2" borderId="0" xfId="0" applyNumberFormat="1" applyFont="1" applyFill="1" applyBorder="1" applyProtection="1">
      <protection locked="0"/>
    </xf>
    <xf numFmtId="189" fontId="53" fillId="8" borderId="10" xfId="0" applyNumberFormat="1" applyFont="1" applyFill="1" applyBorder="1"/>
    <xf numFmtId="185" fontId="7" fillId="2" borderId="0" xfId="0" applyFont="1" applyFill="1" applyBorder="1"/>
    <xf numFmtId="9" fontId="53" fillId="8" borderId="0" xfId="2" applyFont="1" applyFill="1" applyBorder="1"/>
    <xf numFmtId="175" fontId="30" fillId="7" borderId="0" xfId="0" applyNumberFormat="1" applyFont="1" applyFill="1" applyBorder="1" applyProtection="1">
      <protection locked="0"/>
    </xf>
    <xf numFmtId="185" fontId="0" fillId="15" borderId="0" xfId="0" applyFill="1"/>
    <xf numFmtId="185" fontId="0" fillId="13" borderId="3" xfId="0" applyFill="1" applyBorder="1"/>
    <xf numFmtId="4" fontId="0" fillId="2" borderId="0" xfId="0" applyNumberFormat="1" applyFont="1" applyFill="1" applyBorder="1"/>
    <xf numFmtId="185" fontId="7" fillId="8" borderId="2" xfId="0" applyFont="1" applyFill="1" applyBorder="1"/>
    <xf numFmtId="185" fontId="7" fillId="8" borderId="3" xfId="0" applyFont="1" applyFill="1" applyBorder="1"/>
    <xf numFmtId="164" fontId="54" fillId="8" borderId="0" xfId="0" applyNumberFormat="1" applyFont="1" applyFill="1" applyBorder="1"/>
    <xf numFmtId="185" fontId="53" fillId="5" borderId="0" xfId="0" applyFont="1" applyFill="1"/>
    <xf numFmtId="187" fontId="42" fillId="8" borderId="5" xfId="0" applyNumberFormat="1" applyFont="1" applyFill="1" applyBorder="1" applyProtection="1">
      <protection locked="0"/>
    </xf>
    <xf numFmtId="185" fontId="41" fillId="2" borderId="5" xfId="0" applyFont="1" applyFill="1" applyBorder="1"/>
    <xf numFmtId="2" fontId="53" fillId="8" borderId="0" xfId="0" applyNumberFormat="1" applyFont="1" applyFill="1" applyBorder="1"/>
    <xf numFmtId="188" fontId="0" fillId="8" borderId="0" xfId="0" applyNumberFormat="1" applyFill="1"/>
    <xf numFmtId="190" fontId="0" fillId="8" borderId="0" xfId="0" applyNumberFormat="1" applyFill="1"/>
    <xf numFmtId="9" fontId="0" fillId="8" borderId="0" xfId="2" applyFont="1" applyFill="1" applyBorder="1"/>
    <xf numFmtId="185" fontId="7" fillId="8" borderId="18" xfId="0" applyFont="1" applyFill="1" applyBorder="1"/>
    <xf numFmtId="185" fontId="7" fillId="8" borderId="0" xfId="0" applyFont="1" applyFill="1" applyBorder="1" applyProtection="1">
      <protection locked="0"/>
    </xf>
    <xf numFmtId="175" fontId="53" fillId="2" borderId="0" xfId="0" applyNumberFormat="1" applyFont="1" applyFill="1" applyBorder="1" applyAlignment="1">
      <alignment horizontal="left" indent="1"/>
    </xf>
    <xf numFmtId="186" fontId="0" fillId="8" borderId="0" xfId="0" applyNumberFormat="1" applyFill="1"/>
    <xf numFmtId="187" fontId="0" fillId="8" borderId="0" xfId="0" applyNumberFormat="1" applyFill="1"/>
    <xf numFmtId="4" fontId="7" fillId="8" borderId="17" xfId="0" applyNumberFormat="1" applyFont="1" applyFill="1" applyBorder="1" applyProtection="1">
      <protection locked="0"/>
    </xf>
    <xf numFmtId="4" fontId="7" fillId="8" borderId="0" xfId="0" applyNumberFormat="1" applyFont="1" applyFill="1" applyBorder="1" applyProtection="1">
      <protection locked="0"/>
    </xf>
    <xf numFmtId="3" fontId="53" fillId="8" borderId="17" xfId="0" applyNumberFormat="1" applyFont="1" applyFill="1" applyBorder="1"/>
    <xf numFmtId="2" fontId="7" fillId="8" borderId="0" xfId="0" applyNumberFormat="1" applyFont="1" applyFill="1" applyBorder="1" applyProtection="1">
      <protection locked="0"/>
    </xf>
    <xf numFmtId="181" fontId="7" fillId="2" borderId="17" xfId="0" applyNumberFormat="1" applyFont="1" applyFill="1" applyBorder="1" applyProtection="1">
      <protection locked="0"/>
    </xf>
    <xf numFmtId="185" fontId="35" fillId="2" borderId="0" xfId="0" applyFont="1" applyFill="1" applyBorder="1"/>
    <xf numFmtId="185" fontId="7" fillId="8" borderId="7" xfId="0" applyFont="1" applyFill="1" applyBorder="1"/>
    <xf numFmtId="3" fontId="30" fillId="2" borderId="0" xfId="0" applyNumberFormat="1" applyFont="1" applyFill="1" applyBorder="1"/>
    <xf numFmtId="3" fontId="31" fillId="8" borderId="17" xfId="0" applyNumberFormat="1" applyFont="1" applyFill="1" applyBorder="1"/>
    <xf numFmtId="185" fontId="33" fillId="2" borderId="9" xfId="0" applyFont="1" applyFill="1" applyBorder="1"/>
    <xf numFmtId="185" fontId="30" fillId="2" borderId="10" xfId="0" applyFont="1" applyFill="1" applyBorder="1"/>
    <xf numFmtId="185" fontId="35" fillId="2" borderId="10" xfId="0" applyFont="1" applyFill="1" applyBorder="1"/>
    <xf numFmtId="173" fontId="30" fillId="2" borderId="0" xfId="0" applyNumberFormat="1" applyFont="1" applyFill="1" applyBorder="1"/>
    <xf numFmtId="185" fontId="7" fillId="2" borderId="7" xfId="0" applyFont="1" applyFill="1" applyBorder="1"/>
    <xf numFmtId="167" fontId="30" fillId="2" borderId="0" xfId="0" applyNumberFormat="1" applyFont="1" applyFill="1" applyBorder="1"/>
    <xf numFmtId="9" fontId="30" fillId="2" borderId="0" xfId="2" applyFont="1" applyFill="1" applyBorder="1"/>
    <xf numFmtId="185" fontId="7" fillId="2" borderId="9" xfId="0" applyFont="1" applyFill="1" applyBorder="1"/>
    <xf numFmtId="185" fontId="7" fillId="8" borderId="25" xfId="0" applyFont="1" applyFill="1" applyBorder="1"/>
    <xf numFmtId="167" fontId="30" fillId="2" borderId="10" xfId="0" applyNumberFormat="1" applyFont="1" applyFill="1" applyBorder="1"/>
    <xf numFmtId="185" fontId="7" fillId="8" borderId="0" xfId="0" applyFont="1" applyFill="1" applyBorder="1"/>
    <xf numFmtId="175" fontId="54" fillId="8" borderId="0" xfId="0" applyNumberFormat="1" applyFont="1" applyFill="1" applyBorder="1"/>
    <xf numFmtId="188" fontId="31" fillId="2" borderId="17" xfId="0" applyNumberFormat="1" applyFont="1" applyFill="1" applyBorder="1" applyProtection="1">
      <protection locked="0"/>
    </xf>
    <xf numFmtId="188" fontId="31" fillId="2" borderId="0" xfId="0" applyNumberFormat="1" applyFont="1" applyFill="1" applyBorder="1" applyProtection="1">
      <protection locked="0"/>
    </xf>
    <xf numFmtId="185" fontId="55" fillId="8" borderId="13" xfId="0" applyFont="1" applyFill="1" applyBorder="1" applyAlignment="1">
      <alignment horizontal="left"/>
    </xf>
    <xf numFmtId="185" fontId="0" fillId="8" borderId="36" xfId="0" applyFill="1" applyBorder="1" applyAlignment="1">
      <alignment horizontal="right"/>
    </xf>
    <xf numFmtId="185" fontId="0" fillId="8" borderId="14" xfId="0" applyFill="1" applyBorder="1" applyAlignment="1">
      <alignment horizontal="right"/>
    </xf>
    <xf numFmtId="3" fontId="56" fillId="2" borderId="0" xfId="0" applyNumberFormat="1" applyFont="1" applyFill="1" applyBorder="1"/>
    <xf numFmtId="185" fontId="7" fillId="15" borderId="0" xfId="0" applyFont="1" applyFill="1"/>
    <xf numFmtId="4" fontId="56" fillId="2" borderId="0" xfId="0" applyNumberFormat="1" applyFont="1" applyFill="1" applyBorder="1"/>
    <xf numFmtId="187" fontId="0" fillId="5" borderId="0" xfId="0" applyNumberFormat="1" applyFill="1"/>
    <xf numFmtId="188" fontId="0" fillId="5" borderId="0" xfId="0" applyNumberFormat="1" applyFill="1"/>
    <xf numFmtId="43" fontId="7" fillId="5" borderId="0" xfId="0" applyNumberFormat="1" applyFont="1" applyFill="1"/>
    <xf numFmtId="187" fontId="0" fillId="8" borderId="10" xfId="0" applyNumberFormat="1" applyFill="1" applyBorder="1"/>
    <xf numFmtId="185" fontId="7" fillId="8" borderId="9" xfId="0" applyFont="1" applyFill="1" applyBorder="1"/>
    <xf numFmtId="187" fontId="53" fillId="8" borderId="0" xfId="0" applyNumberFormat="1" applyFont="1" applyFill="1" applyBorder="1"/>
    <xf numFmtId="185" fontId="0" fillId="8" borderId="13" xfId="0" applyFill="1" applyBorder="1"/>
    <xf numFmtId="185" fontId="7" fillId="8" borderId="3" xfId="0" applyFont="1" applyFill="1" applyBorder="1"/>
    <xf numFmtId="185" fontId="7" fillId="8" borderId="2" xfId="0" applyFont="1" applyFill="1" applyBorder="1"/>
    <xf numFmtId="185" fontId="0" fillId="8" borderId="1" xfId="0" applyFill="1" applyBorder="1"/>
    <xf numFmtId="185" fontId="0" fillId="8" borderId="35" xfId="0" applyFill="1" applyBorder="1" applyAlignment="1">
      <alignment horizontal="center"/>
    </xf>
    <xf numFmtId="185" fontId="10" fillId="2" borderId="0" xfId="0" applyFont="1" applyFill="1" applyBorder="1" applyAlignment="1">
      <alignment horizontal="center" vertical="center" textRotation="90"/>
    </xf>
    <xf numFmtId="188" fontId="0" fillId="2" borderId="0" xfId="0" applyNumberFormat="1" applyFill="1"/>
    <xf numFmtId="175" fontId="7" fillId="2" borderId="17" xfId="0" applyNumberFormat="1" applyFont="1" applyFill="1" applyBorder="1" applyProtection="1">
      <protection locked="0"/>
    </xf>
    <xf numFmtId="175" fontId="7" fillId="2" borderId="0" xfId="0" applyNumberFormat="1" applyFont="1" applyFill="1" applyBorder="1" applyProtection="1">
      <protection locked="0"/>
    </xf>
    <xf numFmtId="4" fontId="53" fillId="8" borderId="0" xfId="0" applyNumberFormat="1" applyFont="1" applyFill="1" applyBorder="1"/>
    <xf numFmtId="185" fontId="18" fillId="18" borderId="43" xfId="0" applyFont="1" applyFill="1" applyBorder="1"/>
    <xf numFmtId="185" fontId="57" fillId="9" borderId="43" xfId="0" applyFont="1" applyFill="1" applyBorder="1"/>
    <xf numFmtId="167" fontId="56" fillId="2" borderId="10" xfId="0" applyNumberFormat="1" applyFont="1" applyFill="1" applyBorder="1"/>
    <xf numFmtId="188" fontId="53" fillId="8" borderId="0" xfId="0" applyNumberFormat="1" applyFont="1" applyFill="1" applyBorder="1"/>
    <xf numFmtId="185" fontId="56" fillId="2" borderId="8" xfId="0" applyFont="1" applyFill="1" applyBorder="1"/>
    <xf numFmtId="185" fontId="7" fillId="8" borderId="14" xfId="0" applyFont="1" applyFill="1" applyBorder="1" applyAlignment="1">
      <alignment horizontal="right"/>
    </xf>
    <xf numFmtId="185" fontId="17" fillId="15" borderId="0" xfId="0" applyFont="1" applyFill="1"/>
    <xf numFmtId="167" fontId="54" fillId="2" borderId="0" xfId="0" applyNumberFormat="1" applyFont="1" applyFill="1" applyBorder="1"/>
    <xf numFmtId="185" fontId="58" fillId="2" borderId="11" xfId="0" applyFont="1" applyFill="1" applyBorder="1"/>
    <xf numFmtId="9" fontId="51" fillId="2" borderId="0" xfId="2" applyFont="1" applyFill="1" applyBorder="1"/>
    <xf numFmtId="3" fontId="53" fillId="2" borderId="0" xfId="0" applyNumberFormat="1" applyFont="1" applyFill="1" applyBorder="1"/>
    <xf numFmtId="167" fontId="53" fillId="2" borderId="0" xfId="0" applyNumberFormat="1" applyFont="1" applyFill="1" applyBorder="1"/>
    <xf numFmtId="9" fontId="53" fillId="2" borderId="0" xfId="2" applyFont="1" applyFill="1" applyBorder="1"/>
    <xf numFmtId="3" fontId="58" fillId="7" borderId="0" xfId="0" applyNumberFormat="1" applyFont="1" applyFill="1" applyBorder="1"/>
    <xf numFmtId="175" fontId="54" fillId="8" borderId="8" xfId="0" applyNumberFormat="1" applyFont="1" applyFill="1" applyBorder="1"/>
    <xf numFmtId="164" fontId="54" fillId="8" borderId="8" xfId="0" applyNumberFormat="1" applyFont="1" applyFill="1" applyBorder="1"/>
    <xf numFmtId="164" fontId="54" fillId="8" borderId="10" xfId="0" applyNumberFormat="1" applyFont="1" applyFill="1" applyBorder="1"/>
    <xf numFmtId="164" fontId="54" fillId="8" borderId="11" xfId="0" applyNumberFormat="1" applyFont="1" applyFill="1" applyBorder="1"/>
    <xf numFmtId="1" fontId="59" fillId="8" borderId="5" xfId="0" applyNumberFormat="1" applyFont="1" applyFill="1" applyBorder="1" applyAlignment="1">
      <alignment horizontal="right"/>
    </xf>
    <xf numFmtId="1" fontId="59" fillId="8" borderId="6" xfId="0" applyNumberFormat="1" applyFont="1" applyFill="1" applyBorder="1" applyAlignment="1">
      <alignment horizontal="right"/>
    </xf>
    <xf numFmtId="173" fontId="7" fillId="2" borderId="0" xfId="0" applyNumberFormat="1" applyFont="1" applyFill="1" applyBorder="1"/>
    <xf numFmtId="173" fontId="53" fillId="2" borderId="0" xfId="0" applyNumberFormat="1" applyFont="1" applyFill="1" applyBorder="1"/>
    <xf numFmtId="171" fontId="51" fillId="2" borderId="0" xfId="0" applyNumberFormat="1" applyFont="1" applyFill="1" applyBorder="1"/>
    <xf numFmtId="3" fontId="51" fillId="2" borderId="0" xfId="0" applyNumberFormat="1" applyFont="1" applyFill="1" applyBorder="1"/>
    <xf numFmtId="185" fontId="53" fillId="8" borderId="17" xfId="0" applyFont="1" applyFill="1" applyBorder="1" applyProtection="1">
      <protection locked="0"/>
    </xf>
    <xf numFmtId="185" fontId="53" fillId="8" borderId="0" xfId="0" applyFont="1" applyFill="1" applyBorder="1" applyProtection="1">
      <protection locked="0"/>
    </xf>
    <xf numFmtId="185" fontId="51" fillId="2" borderId="8" xfId="0" applyFont="1" applyFill="1" applyBorder="1"/>
    <xf numFmtId="167" fontId="53" fillId="2" borderId="10" xfId="0" applyNumberFormat="1" applyFont="1" applyFill="1" applyBorder="1"/>
    <xf numFmtId="185" fontId="7" fillId="5" borderId="0" xfId="0" applyFont="1" applyFill="1"/>
    <xf numFmtId="4" fontId="7" fillId="2" borderId="0" xfId="0" applyNumberFormat="1" applyFont="1" applyFill="1" applyBorder="1"/>
    <xf numFmtId="9" fontId="7" fillId="2" borderId="0" xfId="2" applyFont="1" applyFill="1" applyBorder="1"/>
    <xf numFmtId="185" fontId="9" fillId="8" borderId="0" xfId="0" applyFont="1" applyFill="1" applyBorder="1" applyAlignment="1">
      <alignment horizontal="center"/>
    </xf>
    <xf numFmtId="3" fontId="9" fillId="2" borderId="0" xfId="0" applyNumberFormat="1" applyFont="1" applyFill="1" applyBorder="1" applyAlignment="1">
      <alignment horizontal="center"/>
    </xf>
    <xf numFmtId="185" fontId="10" fillId="2" borderId="33" xfId="0" applyFont="1" applyFill="1" applyBorder="1" applyAlignment="1">
      <alignment horizontal="center"/>
    </xf>
    <xf numFmtId="185" fontId="9" fillId="2" borderId="31" xfId="0" applyFont="1" applyFill="1" applyBorder="1" applyAlignment="1">
      <alignment horizontal="center"/>
    </xf>
    <xf numFmtId="173" fontId="9" fillId="8" borderId="31" xfId="1" applyNumberFormat="1" applyFont="1" applyFill="1" applyBorder="1" applyAlignment="1">
      <alignment horizontal="center"/>
    </xf>
    <xf numFmtId="185" fontId="10" fillId="2" borderId="8" xfId="0" applyFont="1" applyFill="1" applyBorder="1" applyAlignment="1">
      <alignment vertical="center" textRotation="90"/>
    </xf>
    <xf numFmtId="185" fontId="0" fillId="2" borderId="0" xfId="0" applyFill="1" applyBorder="1"/>
    <xf numFmtId="167" fontId="7" fillId="2" borderId="0" xfId="0" applyNumberFormat="1" applyFont="1" applyFill="1" applyBorder="1"/>
    <xf numFmtId="164" fontId="54" fillId="19" borderId="0" xfId="0" applyNumberFormat="1" applyFont="1" applyFill="1" applyBorder="1"/>
    <xf numFmtId="3" fontId="51" fillId="19" borderId="0" xfId="0" applyNumberFormat="1" applyFont="1" applyFill="1" applyBorder="1"/>
    <xf numFmtId="181" fontId="51" fillId="19" borderId="0" xfId="0" applyNumberFormat="1" applyFont="1" applyFill="1" applyBorder="1"/>
    <xf numFmtId="185" fontId="17" fillId="8" borderId="0" xfId="0" applyFont="1" applyFill="1" applyAlignment="1">
      <alignment horizontal="center" vertical="center" wrapText="1"/>
    </xf>
    <xf numFmtId="185" fontId="17" fillId="8" borderId="1" xfId="0" applyFont="1" applyFill="1" applyBorder="1" applyAlignment="1">
      <alignment horizontal="center" vertical="center" wrapText="1"/>
    </xf>
    <xf numFmtId="185" fontId="7" fillId="8" borderId="0" xfId="0" applyFont="1" applyFill="1"/>
    <xf numFmtId="193" fontId="17" fillId="8" borderId="2" xfId="0" applyNumberFormat="1" applyFont="1" applyFill="1" applyBorder="1"/>
    <xf numFmtId="188" fontId="0" fillId="8" borderId="2" xfId="0" applyNumberFormat="1" applyFill="1" applyBorder="1" applyAlignment="1">
      <alignment horizontal="center"/>
    </xf>
    <xf numFmtId="185" fontId="17" fillId="8" borderId="3" xfId="0" applyFont="1" applyFill="1" applyBorder="1"/>
    <xf numFmtId="188" fontId="0" fillId="8" borderId="3" xfId="0" applyNumberFormat="1" applyFill="1" applyBorder="1" applyAlignment="1">
      <alignment horizontal="center"/>
    </xf>
    <xf numFmtId="185" fontId="7" fillId="8" borderId="37" xfId="0" applyFont="1" applyFill="1" applyBorder="1"/>
    <xf numFmtId="185" fontId="7" fillId="8" borderId="20" xfId="0" applyFont="1" applyFill="1" applyBorder="1"/>
    <xf numFmtId="187" fontId="0" fillId="8" borderId="38" xfId="0" applyNumberFormat="1" applyFill="1" applyBorder="1"/>
    <xf numFmtId="187" fontId="0" fillId="8" borderId="21" xfId="0" applyNumberFormat="1" applyFill="1" applyBorder="1"/>
    <xf numFmtId="185" fontId="7" fillId="8" borderId="40" xfId="0" applyFont="1" applyFill="1" applyBorder="1"/>
    <xf numFmtId="185" fontId="0" fillId="8" borderId="42" xfId="0" applyFill="1" applyBorder="1"/>
    <xf numFmtId="185" fontId="17" fillId="8" borderId="1" xfId="0" applyFont="1" applyFill="1" applyBorder="1" applyAlignment="1">
      <alignment horizontal="left" vertical="center" wrapText="1"/>
    </xf>
    <xf numFmtId="2" fontId="0" fillId="8" borderId="0" xfId="0" applyNumberFormat="1" applyFill="1" applyBorder="1"/>
    <xf numFmtId="185" fontId="7" fillId="5" borderId="0" xfId="0" applyFont="1" applyFill="1"/>
    <xf numFmtId="1" fontId="53" fillId="8" borderId="0" xfId="0" applyNumberFormat="1" applyFont="1" applyFill="1" applyBorder="1" applyProtection="1">
      <protection locked="0"/>
    </xf>
    <xf numFmtId="185" fontId="80" fillId="53" borderId="0" xfId="4" applyNumberFormat="1"/>
    <xf numFmtId="186" fontId="0" fillId="20" borderId="0" xfId="0" applyNumberFormat="1" applyFill="1" applyBorder="1" applyAlignment="1">
      <alignment horizontal="left"/>
    </xf>
    <xf numFmtId="185" fontId="7" fillId="8" borderId="1" xfId="0" applyFont="1" applyFill="1" applyBorder="1"/>
    <xf numFmtId="179" fontId="0" fillId="8" borderId="0" xfId="2" applyNumberFormat="1" applyFont="1" applyFill="1"/>
    <xf numFmtId="179" fontId="0" fillId="8" borderId="1" xfId="2" applyNumberFormat="1" applyFont="1" applyFill="1" applyBorder="1"/>
    <xf numFmtId="185" fontId="7" fillId="12" borderId="0" xfId="0" applyFont="1" applyFill="1"/>
    <xf numFmtId="185" fontId="61" fillId="5" borderId="0" xfId="0" applyFont="1" applyFill="1"/>
    <xf numFmtId="10" fontId="0" fillId="8" borderId="1" xfId="2" applyNumberFormat="1" applyFont="1" applyFill="1" applyBorder="1"/>
    <xf numFmtId="164" fontId="0" fillId="2" borderId="17" xfId="0" applyNumberFormat="1" applyFill="1" applyBorder="1" applyProtection="1">
      <protection locked="0"/>
    </xf>
    <xf numFmtId="181" fontId="0" fillId="2" borderId="0" xfId="0" applyNumberFormat="1" applyFill="1" applyBorder="1" applyProtection="1">
      <protection locked="0"/>
    </xf>
    <xf numFmtId="185" fontId="29" fillId="8" borderId="7" xfId="0" applyFont="1" applyFill="1" applyBorder="1"/>
    <xf numFmtId="168" fontId="0" fillId="2" borderId="0" xfId="0" applyNumberFormat="1" applyFill="1" applyBorder="1" applyProtection="1">
      <protection locked="0"/>
    </xf>
    <xf numFmtId="168" fontId="0" fillId="2" borderId="17" xfId="0" applyNumberFormat="1" applyFill="1" applyBorder="1" applyProtection="1">
      <protection locked="0"/>
    </xf>
    <xf numFmtId="165" fontId="31" fillId="15" borderId="17" xfId="0" applyNumberFormat="1" applyFont="1" applyFill="1" applyBorder="1" applyProtection="1">
      <protection locked="0"/>
    </xf>
    <xf numFmtId="165" fontId="31" fillId="15" borderId="0" xfId="0" applyNumberFormat="1" applyFont="1" applyFill="1" applyBorder="1" applyProtection="1">
      <protection locked="0"/>
    </xf>
    <xf numFmtId="1" fontId="31" fillId="15" borderId="17" xfId="0" applyNumberFormat="1" applyFont="1" applyFill="1" applyBorder="1" applyProtection="1">
      <protection locked="0"/>
    </xf>
    <xf numFmtId="1" fontId="31" fillId="15" borderId="0" xfId="0" applyNumberFormat="1" applyFont="1" applyFill="1" applyBorder="1" applyProtection="1">
      <protection locked="0"/>
    </xf>
    <xf numFmtId="2" fontId="31" fillId="15" borderId="17" xfId="0" applyNumberFormat="1" applyFont="1" applyFill="1" applyBorder="1" applyProtection="1">
      <protection locked="0"/>
    </xf>
    <xf numFmtId="2" fontId="31" fillId="15" borderId="0" xfId="0" applyNumberFormat="1" applyFont="1" applyFill="1" applyBorder="1" applyProtection="1">
      <protection locked="0"/>
    </xf>
    <xf numFmtId="185" fontId="17" fillId="8" borderId="2" xfId="0" applyFont="1" applyFill="1" applyBorder="1" applyAlignment="1">
      <alignment horizontal="center" vertical="center" wrapText="1"/>
    </xf>
    <xf numFmtId="193" fontId="17" fillId="21" borderId="0" xfId="0" applyNumberFormat="1" applyFont="1" applyFill="1" applyBorder="1"/>
    <xf numFmtId="188" fontId="53" fillId="21" borderId="0" xfId="0" applyNumberFormat="1" applyFont="1" applyFill="1" applyBorder="1" applyAlignment="1">
      <alignment horizontal="center"/>
    </xf>
    <xf numFmtId="185" fontId="0" fillId="21" borderId="0" xfId="0" applyFill="1" applyBorder="1"/>
    <xf numFmtId="186" fontId="53" fillId="21" borderId="0" xfId="0" applyNumberFormat="1" applyFont="1" applyFill="1" applyBorder="1" applyAlignment="1">
      <alignment horizontal="center"/>
    </xf>
    <xf numFmtId="185" fontId="0" fillId="21" borderId="0" xfId="0" applyFill="1" applyBorder="1"/>
    <xf numFmtId="166" fontId="53" fillId="21" borderId="0" xfId="2" applyNumberFormat="1" applyFont="1" applyFill="1" applyBorder="1" applyAlignment="1">
      <alignment horizontal="center"/>
    </xf>
    <xf numFmtId="190" fontId="0" fillId="8" borderId="2" xfId="0" applyNumberFormat="1" applyFill="1" applyBorder="1" applyAlignment="1">
      <alignment horizontal="center"/>
    </xf>
    <xf numFmtId="185" fontId="7" fillId="2" borderId="5" xfId="0" applyFont="1" applyFill="1" applyBorder="1" applyAlignment="1" applyProtection="1">
      <alignment horizontal="left" indent="1"/>
      <protection locked="0"/>
    </xf>
    <xf numFmtId="188" fontId="54" fillId="8" borderId="0" xfId="0" applyNumberFormat="1" applyFont="1" applyFill="1" applyBorder="1"/>
    <xf numFmtId="4" fontId="7" fillId="8" borderId="0" xfId="0" applyNumberFormat="1" applyFont="1" applyFill="1" applyBorder="1"/>
    <xf numFmtId="188" fontId="7" fillId="8" borderId="0" xfId="0" applyNumberFormat="1" applyFont="1" applyFill="1" applyBorder="1"/>
    <xf numFmtId="189" fontId="7" fillId="8" borderId="0" xfId="0" applyNumberFormat="1" applyFont="1" applyFill="1" applyBorder="1"/>
    <xf numFmtId="164" fontId="0" fillId="2" borderId="0" xfId="0" applyNumberFormat="1" applyFill="1" applyBorder="1" applyProtection="1">
      <protection locked="0"/>
    </xf>
    <xf numFmtId="188" fontId="51" fillId="2" borderId="5" xfId="0" applyNumberFormat="1" applyFont="1" applyFill="1" applyBorder="1" applyProtection="1">
      <protection locked="0"/>
    </xf>
    <xf numFmtId="191" fontId="53" fillId="8" borderId="0" xfId="0" applyNumberFormat="1" applyFont="1" applyFill="1" applyBorder="1"/>
    <xf numFmtId="191" fontId="7" fillId="8" borderId="0" xfId="0" applyNumberFormat="1" applyFont="1" applyFill="1" applyBorder="1"/>
    <xf numFmtId="185" fontId="0" fillId="8" borderId="21" xfId="0" applyFill="1" applyBorder="1"/>
    <xf numFmtId="185" fontId="7" fillId="8" borderId="3" xfId="0" applyFont="1" applyFill="1" applyBorder="1" applyAlignment="1">
      <alignment horizontal="center" vertical="center"/>
    </xf>
    <xf numFmtId="185" fontId="0" fillId="8" borderId="0" xfId="0" applyFill="1" applyBorder="1" applyAlignment="1">
      <alignment horizontal="center"/>
    </xf>
    <xf numFmtId="3" fontId="7" fillId="8" borderId="17" xfId="0" applyNumberFormat="1" applyFont="1" applyFill="1" applyBorder="1" applyProtection="1">
      <protection locked="0"/>
    </xf>
    <xf numFmtId="3" fontId="7" fillId="8" borderId="0" xfId="0" applyNumberFormat="1" applyFont="1" applyFill="1" applyBorder="1" applyProtection="1">
      <protection locked="0"/>
    </xf>
    <xf numFmtId="185" fontId="0" fillId="8" borderId="3" xfId="0" applyFill="1" applyBorder="1" applyAlignment="1">
      <alignment horizontal="center" vertical="center"/>
    </xf>
    <xf numFmtId="188" fontId="0" fillId="8" borderId="0" xfId="0" applyNumberFormat="1" applyFill="1" applyBorder="1" applyAlignment="1">
      <alignment horizontal="center"/>
    </xf>
    <xf numFmtId="168" fontId="53" fillId="8" borderId="0" xfId="0" applyNumberFormat="1" applyFont="1" applyFill="1" applyBorder="1" applyProtection="1">
      <protection locked="0"/>
    </xf>
    <xf numFmtId="169" fontId="0" fillId="8" borderId="0" xfId="0" applyNumberFormat="1" applyFill="1" applyBorder="1"/>
    <xf numFmtId="185" fontId="0" fillId="7" borderId="8" xfId="0" applyFill="1" applyBorder="1"/>
    <xf numFmtId="185" fontId="116" fillId="8" borderId="0" xfId="46" applyFill="1" applyAlignment="1"/>
    <xf numFmtId="185" fontId="0" fillId="8" borderId="0" xfId="0" applyFill="1" applyBorder="1"/>
    <xf numFmtId="187" fontId="0" fillId="8" borderId="0" xfId="0" applyNumberFormat="1" applyFill="1" applyBorder="1"/>
    <xf numFmtId="185" fontId="0" fillId="8" borderId="0" xfId="0" applyFont="1" applyFill="1"/>
    <xf numFmtId="3" fontId="9" fillId="8" borderId="0" xfId="1" applyNumberFormat="1" applyFont="1" applyFill="1" applyBorder="1"/>
    <xf numFmtId="188" fontId="0" fillId="8" borderId="10" xfId="0" applyNumberFormat="1" applyFill="1" applyBorder="1"/>
    <xf numFmtId="4" fontId="0" fillId="8" borderId="0" xfId="0" applyNumberFormat="1" applyFill="1" applyBorder="1"/>
    <xf numFmtId="2" fontId="39" fillId="8" borderId="0" xfId="0" applyNumberFormat="1" applyFont="1" applyFill="1" applyBorder="1"/>
    <xf numFmtId="166" fontId="36" fillId="8" borderId="0" xfId="2" applyNumberFormat="1" applyFont="1" applyFill="1" applyBorder="1"/>
    <xf numFmtId="4" fontId="0" fillId="8" borderId="0" xfId="0" applyNumberFormat="1" applyFill="1" applyBorder="1"/>
    <xf numFmtId="185" fontId="0" fillId="8" borderId="0" xfId="0" applyNumberFormat="1" applyFill="1" applyBorder="1"/>
    <xf numFmtId="185" fontId="78" fillId="12" borderId="0" xfId="8" applyNumberFormat="1"/>
    <xf numFmtId="185" fontId="78" fillId="12" borderId="0" xfId="8" applyNumberFormat="1" applyAlignment="1">
      <alignment horizontal="center"/>
    </xf>
    <xf numFmtId="2" fontId="78" fillId="12" borderId="0" xfId="8" applyNumberFormat="1"/>
    <xf numFmtId="1" fontId="78" fillId="12" borderId="0" xfId="8" applyNumberFormat="1"/>
    <xf numFmtId="185" fontId="83" fillId="8" borderId="0" xfId="0" applyFont="1" applyFill="1"/>
    <xf numFmtId="185" fontId="84" fillId="8" borderId="0" xfId="46" applyFont="1" applyFill="1" applyAlignment="1"/>
    <xf numFmtId="185" fontId="84" fillId="8" borderId="0" xfId="0" applyFont="1" applyFill="1"/>
    <xf numFmtId="185" fontId="83" fillId="8" borderId="4" xfId="0" applyFont="1" applyFill="1" applyBorder="1"/>
    <xf numFmtId="185" fontId="83" fillId="8" borderId="5" xfId="0" applyFont="1" applyFill="1" applyBorder="1"/>
    <xf numFmtId="185" fontId="83" fillId="8" borderId="6" xfId="0" applyFont="1" applyFill="1" applyBorder="1"/>
    <xf numFmtId="185" fontId="83" fillId="8" borderId="7" xfId="0" applyFont="1" applyFill="1" applyBorder="1"/>
    <xf numFmtId="185" fontId="83" fillId="8" borderId="0" xfId="0" applyFont="1" applyFill="1" applyBorder="1"/>
    <xf numFmtId="185" fontId="83" fillId="8" borderId="8" xfId="0" applyFont="1" applyFill="1" applyBorder="1"/>
    <xf numFmtId="186" fontId="83" fillId="8" borderId="0" xfId="0" applyNumberFormat="1" applyFont="1" applyFill="1" applyBorder="1"/>
    <xf numFmtId="185" fontId="83" fillId="8" borderId="0" xfId="0" quotePrefix="1" applyFont="1" applyFill="1" applyBorder="1"/>
    <xf numFmtId="188" fontId="0" fillId="8" borderId="0" xfId="0" applyNumberFormat="1" applyFill="1" applyBorder="1"/>
    <xf numFmtId="185" fontId="83" fillId="8" borderId="9" xfId="0" applyFont="1" applyFill="1" applyBorder="1"/>
    <xf numFmtId="185" fontId="83" fillId="8" borderId="10" xfId="0" applyFont="1" applyFill="1" applyBorder="1"/>
    <xf numFmtId="185" fontId="83" fillId="8" borderId="11" xfId="0" applyFont="1" applyFill="1" applyBorder="1"/>
    <xf numFmtId="185" fontId="83" fillId="8" borderId="12" xfId="0" applyFont="1" applyFill="1" applyBorder="1"/>
    <xf numFmtId="185" fontId="83" fillId="8" borderId="3" xfId="0" applyFont="1" applyFill="1" applyBorder="1"/>
    <xf numFmtId="185" fontId="86" fillId="8" borderId="3" xfId="0" applyFont="1" applyFill="1" applyBorder="1"/>
    <xf numFmtId="185" fontId="83" fillId="8" borderId="26" xfId="0" applyFont="1" applyFill="1" applyBorder="1"/>
    <xf numFmtId="185" fontId="83" fillId="2" borderId="0" xfId="0" applyFont="1" applyFill="1" applyAlignment="1">
      <alignment horizontal="center"/>
    </xf>
    <xf numFmtId="185" fontId="83" fillId="2" borderId="0" xfId="0" applyFont="1" applyFill="1"/>
    <xf numFmtId="185" fontId="83" fillId="2" borderId="1" xfId="0" applyFont="1" applyFill="1" applyBorder="1" applyAlignment="1">
      <alignment horizontal="center"/>
    </xf>
    <xf numFmtId="185" fontId="83" fillId="2" borderId="2" xfId="0" applyFont="1" applyFill="1" applyBorder="1" applyAlignment="1">
      <alignment horizontal="center"/>
    </xf>
    <xf numFmtId="185" fontId="83" fillId="2" borderId="3" xfId="0" applyFont="1" applyFill="1" applyBorder="1" applyAlignment="1">
      <alignment horizontal="left"/>
    </xf>
    <xf numFmtId="185" fontId="83" fillId="2" borderId="3" xfId="0" applyFont="1" applyFill="1" applyBorder="1" applyAlignment="1">
      <alignment horizontal="center"/>
    </xf>
    <xf numFmtId="185" fontId="83" fillId="2" borderId="0" xfId="0" applyFont="1" applyFill="1" applyAlignment="1">
      <alignment horizontal="left"/>
    </xf>
    <xf numFmtId="185" fontId="83" fillId="2" borderId="2" xfId="0" applyFont="1" applyFill="1" applyBorder="1" applyAlignment="1">
      <alignment horizontal="left"/>
    </xf>
    <xf numFmtId="185" fontId="84" fillId="8" borderId="40" xfId="0" applyFont="1" applyFill="1" applyBorder="1"/>
    <xf numFmtId="185" fontId="83" fillId="8" borderId="2" xfId="0" applyFont="1" applyFill="1" applyBorder="1"/>
    <xf numFmtId="185" fontId="0" fillId="8" borderId="2" xfId="0" applyFill="1" applyBorder="1"/>
    <xf numFmtId="189" fontId="0" fillId="8" borderId="0" xfId="0" applyNumberFormat="1" applyFill="1" applyBorder="1"/>
    <xf numFmtId="185" fontId="0" fillId="2" borderId="7" xfId="0" applyFill="1" applyBorder="1" applyAlignment="1">
      <alignment horizontal="left"/>
    </xf>
    <xf numFmtId="185" fontId="83" fillId="8" borderId="18" xfId="0" applyFont="1" applyFill="1" applyBorder="1"/>
    <xf numFmtId="185" fontId="83" fillId="8" borderId="25" xfId="0" applyFont="1" applyFill="1" applyBorder="1"/>
    <xf numFmtId="185" fontId="0" fillId="2" borderId="53" xfId="0" applyFill="1" applyBorder="1"/>
    <xf numFmtId="185" fontId="0" fillId="2" borderId="43" xfId="0" applyFill="1" applyBorder="1"/>
    <xf numFmtId="185" fontId="0" fillId="16" borderId="0" xfId="0" applyFill="1" applyBorder="1"/>
    <xf numFmtId="186" fontId="83" fillId="8" borderId="0" xfId="0" applyNumberFormat="1" applyFont="1" applyFill="1"/>
    <xf numFmtId="9" fontId="83" fillId="8" borderId="0" xfId="2" applyFont="1" applyFill="1" applyBorder="1"/>
    <xf numFmtId="188" fontId="83" fillId="8" borderId="0" xfId="0" applyNumberFormat="1" applyFont="1" applyFill="1" applyBorder="1"/>
    <xf numFmtId="185" fontId="83" fillId="8" borderId="40" xfId="0" applyFont="1" applyFill="1" applyBorder="1"/>
    <xf numFmtId="185" fontId="89" fillId="8" borderId="0" xfId="0" applyFont="1" applyFill="1" applyBorder="1"/>
    <xf numFmtId="185" fontId="7" fillId="8" borderId="0" xfId="0" applyFont="1" applyFill="1" applyBorder="1" applyAlignment="1">
      <alignment horizontal="left" vertical="center"/>
    </xf>
    <xf numFmtId="185" fontId="89" fillId="8" borderId="3" xfId="0" applyFont="1" applyFill="1" applyBorder="1"/>
    <xf numFmtId="185" fontId="0" fillId="8" borderId="0" xfId="0" applyFill="1" applyBorder="1" applyAlignment="1">
      <alignment horizontal="center" vertical="center" wrapText="1"/>
    </xf>
    <xf numFmtId="185" fontId="0" fillId="8" borderId="0" xfId="0" applyFont="1" applyFill="1" applyBorder="1"/>
    <xf numFmtId="185" fontId="90" fillId="53" borderId="0" xfId="4" applyNumberFormat="1" applyFont="1"/>
    <xf numFmtId="185" fontId="90" fillId="53" borderId="3" xfId="4" applyNumberFormat="1" applyFont="1" applyBorder="1"/>
    <xf numFmtId="185" fontId="0" fillId="8" borderId="3" xfId="0" applyFont="1" applyFill="1" applyBorder="1"/>
    <xf numFmtId="185" fontId="0" fillId="8" borderId="0" xfId="0" applyFont="1" applyFill="1" applyBorder="1" applyAlignment="1">
      <alignment wrapText="1"/>
    </xf>
    <xf numFmtId="185" fontId="0" fillId="8" borderId="3" xfId="0" applyFont="1" applyFill="1" applyBorder="1" applyAlignment="1">
      <alignment wrapText="1"/>
    </xf>
    <xf numFmtId="185" fontId="0" fillId="8" borderId="0" xfId="0" applyFill="1" applyBorder="1" applyAlignment="1">
      <alignment vertical="center"/>
    </xf>
    <xf numFmtId="185" fontId="0" fillId="8" borderId="3" xfId="0" applyFill="1" applyBorder="1" applyAlignment="1">
      <alignment vertical="center"/>
    </xf>
    <xf numFmtId="185" fontId="0" fillId="8" borderId="1" xfId="0" applyFill="1" applyBorder="1" applyAlignment="1">
      <alignment vertical="center"/>
    </xf>
    <xf numFmtId="185" fontId="0" fillId="8" borderId="0" xfId="0" applyFill="1"/>
    <xf numFmtId="9" fontId="0" fillId="8" borderId="0" xfId="0" applyNumberFormat="1" applyFill="1"/>
    <xf numFmtId="185" fontId="0" fillId="8" borderId="3" xfId="0" applyFont="1" applyFill="1" applyBorder="1"/>
    <xf numFmtId="175" fontId="0" fillId="8" borderId="0" xfId="0" applyNumberFormat="1" applyFont="1" applyFill="1"/>
    <xf numFmtId="188" fontId="0" fillId="8" borderId="0" xfId="0" applyNumberFormat="1" applyFont="1" applyFill="1"/>
    <xf numFmtId="166" fontId="0" fillId="8" borderId="0" xfId="0" applyNumberFormat="1" applyFont="1" applyFill="1"/>
    <xf numFmtId="164" fontId="0" fillId="8" borderId="0" xfId="0" applyNumberFormat="1" applyFont="1" applyFill="1"/>
    <xf numFmtId="185" fontId="0" fillId="8" borderId="0" xfId="0" applyFont="1" applyFill="1"/>
    <xf numFmtId="185" fontId="0" fillId="8" borderId="0" xfId="0" applyFont="1" applyFill="1" applyBorder="1"/>
    <xf numFmtId="185" fontId="0" fillId="53" borderId="0" xfId="0" applyNumberFormat="1" applyFont="1" applyFill="1"/>
    <xf numFmtId="9" fontId="0" fillId="8" borderId="0" xfId="0" applyNumberFormat="1" applyFont="1" applyFill="1"/>
    <xf numFmtId="9" fontId="0" fillId="8" borderId="0" xfId="0" applyNumberFormat="1" applyFont="1" applyFill="1" applyBorder="1"/>
    <xf numFmtId="188" fontId="0" fillId="8" borderId="3" xfId="0" applyNumberFormat="1" applyFont="1" applyFill="1" applyBorder="1"/>
    <xf numFmtId="187" fontId="0" fillId="8" borderId="1" xfId="0" applyNumberFormat="1" applyFont="1" applyFill="1" applyBorder="1" applyAlignment="1">
      <alignment vertical="center"/>
    </xf>
    <xf numFmtId="188" fontId="0" fillId="8" borderId="0" xfId="0" applyNumberFormat="1" applyFont="1" applyFill="1" applyBorder="1"/>
    <xf numFmtId="185" fontId="89" fillId="8" borderId="56" xfId="0" applyFont="1" applyFill="1" applyBorder="1"/>
    <xf numFmtId="188" fontId="89" fillId="8" borderId="56" xfId="0" applyNumberFormat="1" applyFont="1" applyFill="1" applyBorder="1"/>
    <xf numFmtId="166" fontId="0" fillId="8" borderId="3" xfId="0" applyNumberFormat="1" applyFont="1" applyFill="1" applyBorder="1"/>
    <xf numFmtId="185" fontId="0" fillId="8" borderId="1" xfId="0" applyFont="1" applyFill="1" applyBorder="1"/>
    <xf numFmtId="164" fontId="91" fillId="8" borderId="1" xfId="0" applyNumberFormat="1" applyFont="1" applyFill="1" applyBorder="1"/>
    <xf numFmtId="164" fontId="0" fillId="8" borderId="3" xfId="0" applyNumberFormat="1" applyFont="1" applyFill="1" applyBorder="1"/>
    <xf numFmtId="166" fontId="0" fillId="8" borderId="0" xfId="0" applyNumberFormat="1" applyFont="1" applyFill="1" applyBorder="1"/>
    <xf numFmtId="9" fontId="0" fillId="8" borderId="0" xfId="2" applyFont="1" applyFill="1"/>
    <xf numFmtId="185" fontId="0" fillId="8" borderId="53" xfId="0" applyFill="1" applyBorder="1"/>
    <xf numFmtId="185" fontId="0" fillId="8" borderId="2" xfId="0" applyFill="1" applyBorder="1" applyAlignment="1">
      <alignment horizontal="center" vertical="center"/>
    </xf>
    <xf numFmtId="185" fontId="0" fillId="8" borderId="44" xfId="0" applyFill="1" applyBorder="1"/>
    <xf numFmtId="185" fontId="0" fillId="8" borderId="43" xfId="0" applyFill="1" applyBorder="1"/>
    <xf numFmtId="185" fontId="7" fillId="8" borderId="43" xfId="0" applyFont="1" applyFill="1" applyBorder="1"/>
    <xf numFmtId="185" fontId="29" fillId="8" borderId="37" xfId="0" applyFont="1" applyFill="1" applyBorder="1"/>
    <xf numFmtId="185" fontId="7" fillId="8" borderId="2" xfId="0" applyFont="1" applyFill="1" applyBorder="1" applyAlignment="1">
      <alignment horizontal="center" vertical="center"/>
    </xf>
    <xf numFmtId="185" fontId="7" fillId="8" borderId="38" xfId="0" applyFont="1" applyFill="1" applyBorder="1" applyAlignment="1">
      <alignment horizontal="center" vertical="center"/>
    </xf>
    <xf numFmtId="185" fontId="7" fillId="8" borderId="21" xfId="0" applyFont="1" applyFill="1" applyBorder="1" applyAlignment="1">
      <alignment horizontal="center" vertical="center"/>
    </xf>
    <xf numFmtId="185" fontId="0" fillId="8" borderId="0" xfId="0" applyFont="1" applyFill="1" applyBorder="1"/>
    <xf numFmtId="185" fontId="0" fillId="8" borderId="3" xfId="0" applyFont="1" applyFill="1" applyBorder="1"/>
    <xf numFmtId="185" fontId="89" fillId="8" borderId="0" xfId="0" applyFont="1" applyFill="1"/>
    <xf numFmtId="185" fontId="95" fillId="8" borderId="0" xfId="0" applyFont="1" applyFill="1"/>
    <xf numFmtId="185" fontId="96" fillId="8" borderId="40" xfId="0" applyFont="1" applyFill="1" applyBorder="1"/>
    <xf numFmtId="164" fontId="83" fillId="8" borderId="0" xfId="0" applyNumberFormat="1" applyFont="1" applyFill="1"/>
    <xf numFmtId="185" fontId="83" fillId="8" borderId="39" xfId="0" applyFont="1" applyFill="1" applyBorder="1"/>
    <xf numFmtId="185" fontId="84" fillId="8" borderId="12" xfId="0" applyFont="1" applyFill="1" applyBorder="1"/>
    <xf numFmtId="185" fontId="86" fillId="8" borderId="21" xfId="0" applyFont="1" applyFill="1" applyBorder="1"/>
    <xf numFmtId="185" fontId="86" fillId="8" borderId="18" xfId="0" applyFont="1" applyFill="1" applyBorder="1"/>
    <xf numFmtId="2" fontId="97" fillId="8" borderId="0" xfId="0" applyNumberFormat="1" applyFont="1" applyFill="1" applyBorder="1"/>
    <xf numFmtId="2" fontId="83" fillId="8" borderId="0" xfId="0" applyNumberFormat="1" applyFont="1" applyFill="1" applyBorder="1" applyProtection="1">
      <protection locked="0"/>
    </xf>
    <xf numFmtId="165" fontId="83" fillId="8" borderId="0" xfId="0" applyNumberFormat="1" applyFont="1" applyFill="1" applyBorder="1" applyProtection="1">
      <protection locked="0"/>
    </xf>
    <xf numFmtId="175" fontId="97" fillId="8" borderId="0" xfId="0" applyNumberFormat="1" applyFont="1" applyFill="1" applyBorder="1" applyProtection="1">
      <protection locked="0"/>
    </xf>
    <xf numFmtId="185" fontId="97" fillId="8" borderId="0" xfId="0" applyFont="1" applyFill="1" applyBorder="1" applyProtection="1">
      <protection locked="0"/>
    </xf>
    <xf numFmtId="185" fontId="84" fillId="8" borderId="7" xfId="0" applyFont="1" applyFill="1" applyBorder="1"/>
    <xf numFmtId="185" fontId="98" fillId="8" borderId="18" xfId="0" applyFont="1" applyFill="1" applyBorder="1"/>
    <xf numFmtId="185" fontId="99" fillId="8" borderId="0" xfId="0" applyFont="1" applyFill="1" applyBorder="1" applyProtection="1">
      <protection locked="0"/>
    </xf>
    <xf numFmtId="185" fontId="99" fillId="8" borderId="0" xfId="0" applyFont="1" applyFill="1" applyBorder="1"/>
    <xf numFmtId="2" fontId="97" fillId="8" borderId="0" xfId="0" applyNumberFormat="1" applyFont="1" applyFill="1" applyBorder="1" applyProtection="1">
      <protection locked="0"/>
    </xf>
    <xf numFmtId="185" fontId="85" fillId="8" borderId="7" xfId="0" applyFont="1" applyFill="1" applyBorder="1"/>
    <xf numFmtId="2" fontId="100" fillId="8" borderId="0" xfId="0" applyNumberFormat="1" applyFont="1" applyFill="1" applyBorder="1"/>
    <xf numFmtId="2" fontId="85" fillId="8" borderId="0" xfId="0" applyNumberFormat="1" applyFont="1" applyFill="1" applyBorder="1"/>
    <xf numFmtId="185" fontId="101" fillId="8" borderId="18" xfId="0" applyFont="1" applyFill="1" applyBorder="1"/>
    <xf numFmtId="166" fontId="85" fillId="8" borderId="0" xfId="2" applyNumberFormat="1" applyFont="1" applyFill="1" applyBorder="1"/>
    <xf numFmtId="9" fontId="85" fillId="8" borderId="0" xfId="0" applyNumberFormat="1" applyFont="1" applyFill="1" applyBorder="1"/>
    <xf numFmtId="3" fontId="97" fillId="8" borderId="0" xfId="0" applyNumberFormat="1" applyFont="1" applyFill="1" applyBorder="1" applyProtection="1">
      <protection locked="0"/>
    </xf>
    <xf numFmtId="185" fontId="102" fillId="8" borderId="0" xfId="0" applyFont="1" applyFill="1"/>
    <xf numFmtId="2" fontId="83" fillId="8" borderId="0" xfId="0" applyNumberFormat="1" applyFont="1" applyFill="1" applyBorder="1"/>
    <xf numFmtId="185" fontId="103" fillId="8" borderId="0" xfId="0" applyFont="1" applyFill="1" applyBorder="1"/>
    <xf numFmtId="185" fontId="83" fillId="8" borderId="7" xfId="0" applyFont="1" applyFill="1" applyBorder="1" applyAlignment="1">
      <alignment horizontal="left" indent="1"/>
    </xf>
    <xf numFmtId="4" fontId="100" fillId="8" borderId="0" xfId="0" applyNumberFormat="1" applyFont="1" applyFill="1" applyBorder="1"/>
    <xf numFmtId="185" fontId="84" fillId="8" borderId="7" xfId="0" applyFont="1" applyFill="1" applyBorder="1" applyAlignment="1">
      <alignment horizontal="left" indent="1"/>
    </xf>
    <xf numFmtId="169" fontId="100" fillId="8" borderId="0" xfId="0" applyNumberFormat="1" applyFont="1" applyFill="1" applyBorder="1"/>
    <xf numFmtId="185" fontId="104" fillId="8" borderId="0" xfId="0" applyFont="1" applyFill="1"/>
    <xf numFmtId="168" fontId="85" fillId="8" borderId="0" xfId="0" applyNumberFormat="1" applyFont="1" applyFill="1" applyBorder="1" applyProtection="1">
      <protection locked="0"/>
    </xf>
    <xf numFmtId="185" fontId="99" fillId="8" borderId="9" xfId="0" applyFont="1" applyFill="1" applyBorder="1"/>
    <xf numFmtId="185" fontId="98" fillId="8" borderId="25" xfId="0" applyFont="1" applyFill="1" applyBorder="1"/>
    <xf numFmtId="185" fontId="97" fillId="8" borderId="10" xfId="0" applyFont="1" applyFill="1" applyBorder="1"/>
    <xf numFmtId="185" fontId="103" fillId="8" borderId="10" xfId="0" applyFont="1" applyFill="1" applyBorder="1"/>
    <xf numFmtId="185" fontId="0" fillId="8" borderId="40" xfId="0" applyFill="1" applyBorder="1"/>
    <xf numFmtId="9" fontId="83" fillId="8" borderId="0" xfId="0" applyNumberFormat="1" applyFont="1" applyFill="1"/>
    <xf numFmtId="185" fontId="105" fillId="8" borderId="0" xfId="0" applyFont="1" applyFill="1" applyBorder="1"/>
    <xf numFmtId="185" fontId="86" fillId="8" borderId="0" xfId="0" applyFont="1" applyFill="1" applyBorder="1"/>
    <xf numFmtId="185" fontId="84" fillId="8" borderId="0" xfId="0" applyFont="1" applyFill="1" applyBorder="1"/>
    <xf numFmtId="165" fontId="97" fillId="8" borderId="0" xfId="0" applyNumberFormat="1" applyFont="1" applyFill="1" applyBorder="1"/>
    <xf numFmtId="175" fontId="97" fillId="8" borderId="0" xfId="0" applyNumberFormat="1" applyFont="1" applyFill="1" applyBorder="1" applyAlignment="1" applyProtection="1">
      <alignment horizontal="right"/>
      <protection locked="0"/>
    </xf>
    <xf numFmtId="175" fontId="97" fillId="8" borderId="0" xfId="0" applyNumberFormat="1" applyFont="1" applyFill="1" applyBorder="1"/>
    <xf numFmtId="185" fontId="97" fillId="8" borderId="0" xfId="0" applyFont="1" applyFill="1" applyBorder="1"/>
    <xf numFmtId="185" fontId="98" fillId="8" borderId="0" xfId="0" applyFont="1" applyFill="1" applyBorder="1"/>
    <xf numFmtId="190" fontId="83" fillId="8" borderId="0" xfId="0" applyNumberFormat="1" applyFont="1" applyFill="1" applyBorder="1"/>
    <xf numFmtId="1" fontId="97" fillId="8" borderId="0" xfId="0" applyNumberFormat="1" applyFont="1" applyFill="1" applyBorder="1"/>
    <xf numFmtId="1" fontId="85" fillId="8" borderId="0" xfId="0" applyNumberFormat="1" applyFont="1" applyFill="1" applyBorder="1"/>
    <xf numFmtId="185" fontId="85" fillId="8" borderId="0" xfId="0" applyFont="1" applyFill="1" applyBorder="1"/>
    <xf numFmtId="185" fontId="101" fillId="8" borderId="0" xfId="0" applyFont="1" applyFill="1" applyBorder="1"/>
    <xf numFmtId="165" fontId="85" fillId="8" borderId="0" xfId="0" applyNumberFormat="1" applyFont="1" applyFill="1" applyBorder="1"/>
    <xf numFmtId="4" fontId="83" fillId="8" borderId="0" xfId="0" applyNumberFormat="1" applyFont="1" applyFill="1" applyBorder="1"/>
    <xf numFmtId="3" fontId="83" fillId="8" borderId="0" xfId="0" applyNumberFormat="1" applyFont="1" applyFill="1" applyBorder="1"/>
    <xf numFmtId="185" fontId="83" fillId="8" borderId="0" xfId="0" applyFont="1" applyFill="1" applyBorder="1" applyAlignment="1">
      <alignment horizontal="left" indent="1"/>
    </xf>
    <xf numFmtId="169" fontId="85" fillId="8" borderId="0" xfId="0" applyNumberFormat="1" applyFont="1" applyFill="1" applyBorder="1" applyProtection="1">
      <protection locked="0"/>
    </xf>
    <xf numFmtId="169" fontId="85" fillId="8" borderId="0" xfId="0" applyNumberFormat="1" applyFont="1" applyFill="1" applyBorder="1"/>
    <xf numFmtId="174" fontId="85" fillId="8" borderId="0" xfId="0" applyNumberFormat="1" applyFont="1" applyFill="1" applyBorder="1"/>
    <xf numFmtId="185" fontId="105" fillId="8" borderId="0" xfId="0" applyFont="1" applyFill="1"/>
    <xf numFmtId="1" fontId="83" fillId="8" borderId="0" xfId="0" applyNumberFormat="1" applyFont="1" applyFill="1" applyBorder="1"/>
    <xf numFmtId="190" fontId="83" fillId="8" borderId="0" xfId="0" applyNumberFormat="1" applyFont="1" applyFill="1"/>
    <xf numFmtId="188" fontId="83" fillId="8" borderId="0" xfId="0" applyNumberFormat="1" applyFont="1" applyFill="1"/>
    <xf numFmtId="187" fontId="83" fillId="8" borderId="0" xfId="0" applyNumberFormat="1" applyFont="1" applyFill="1"/>
    <xf numFmtId="192" fontId="9" fillId="5" borderId="0" xfId="0" applyNumberFormat="1" applyFont="1" applyFill="1"/>
    <xf numFmtId="192" fontId="9" fillId="8" borderId="0" xfId="0" applyNumberFormat="1" applyFont="1" applyFill="1"/>
    <xf numFmtId="192" fontId="94" fillId="8" borderId="0" xfId="0" applyNumberFormat="1" applyFont="1" applyFill="1"/>
    <xf numFmtId="192" fontId="92" fillId="15" borderId="0" xfId="0" applyNumberFormat="1" applyFont="1" applyFill="1"/>
    <xf numFmtId="192" fontId="92" fillId="5" borderId="0" xfId="0" applyNumberFormat="1" applyFont="1" applyFill="1"/>
    <xf numFmtId="185" fontId="0" fillId="7" borderId="0" xfId="0" applyFill="1" applyBorder="1"/>
    <xf numFmtId="1" fontId="97" fillId="8" borderId="0" xfId="0" applyNumberFormat="1" applyFont="1" applyFill="1" applyBorder="1" applyProtection="1">
      <protection locked="0"/>
    </xf>
    <xf numFmtId="165" fontId="83" fillId="8" borderId="0" xfId="0" applyNumberFormat="1" applyFont="1" applyFill="1"/>
    <xf numFmtId="165" fontId="97" fillId="8" borderId="0" xfId="0" applyNumberFormat="1" applyFont="1" applyFill="1" applyBorder="1" applyProtection="1">
      <protection locked="0"/>
    </xf>
    <xf numFmtId="185" fontId="100" fillId="8" borderId="0" xfId="0" applyNumberFormat="1" applyFont="1" applyFill="1" applyBorder="1"/>
    <xf numFmtId="179" fontId="85" fillId="8" borderId="0" xfId="0" applyNumberFormat="1" applyFont="1" applyFill="1" applyBorder="1"/>
    <xf numFmtId="174" fontId="85" fillId="8" borderId="0" xfId="0" applyNumberFormat="1" applyFont="1" applyFill="1" applyBorder="1" applyProtection="1">
      <protection locked="0"/>
    </xf>
    <xf numFmtId="190" fontId="100" fillId="8" borderId="0" xfId="0" applyNumberFormat="1" applyFont="1" applyFill="1"/>
    <xf numFmtId="169" fontId="83" fillId="8" borderId="0" xfId="0" applyNumberFormat="1" applyFont="1" applyFill="1" applyBorder="1"/>
    <xf numFmtId="165" fontId="83" fillId="8" borderId="0" xfId="0" applyNumberFormat="1" applyFont="1" applyFill="1" applyBorder="1"/>
    <xf numFmtId="188" fontId="100" fillId="8" borderId="0" xfId="0" applyNumberFormat="1" applyFont="1" applyFill="1" applyBorder="1"/>
    <xf numFmtId="188" fontId="97" fillId="8" borderId="0" xfId="0" applyNumberFormat="1" applyFont="1" applyFill="1" applyBorder="1" applyProtection="1">
      <protection locked="0"/>
    </xf>
    <xf numFmtId="185" fontId="86" fillId="8" borderId="0" xfId="0" applyFont="1" applyFill="1" applyBorder="1" applyAlignment="1">
      <alignment horizontal="center"/>
    </xf>
    <xf numFmtId="164" fontId="83" fillId="8" borderId="0" xfId="0" applyNumberFormat="1" applyFont="1" applyFill="1" applyBorder="1"/>
    <xf numFmtId="177" fontId="83" fillId="8" borderId="0" xfId="0" applyNumberFormat="1" applyFont="1" applyFill="1" applyBorder="1"/>
    <xf numFmtId="185" fontId="83" fillId="8" borderId="0" xfId="0" applyFont="1" applyFill="1" applyBorder="1" applyAlignment="1" applyProtection="1"/>
    <xf numFmtId="2" fontId="83" fillId="8" borderId="0" xfId="0" applyNumberFormat="1" applyFont="1" applyFill="1"/>
    <xf numFmtId="185" fontId="94" fillId="8" borderId="8" xfId="0" applyFont="1" applyFill="1" applyBorder="1" applyAlignment="1" applyProtection="1"/>
    <xf numFmtId="185" fontId="83" fillId="8" borderId="8" xfId="0" applyFont="1" applyFill="1" applyBorder="1" applyAlignment="1" applyProtection="1"/>
    <xf numFmtId="169" fontId="97" fillId="8" borderId="0" xfId="0" applyNumberFormat="1" applyFont="1" applyFill="1" applyBorder="1"/>
    <xf numFmtId="166" fontId="99" fillId="8" borderId="0" xfId="2" applyNumberFormat="1" applyFont="1" applyFill="1" applyBorder="1"/>
    <xf numFmtId="185" fontId="103" fillId="8" borderId="8" xfId="0" applyFont="1" applyFill="1" applyBorder="1"/>
    <xf numFmtId="185" fontId="103" fillId="8" borderId="11" xfId="0" applyFont="1" applyFill="1" applyBorder="1"/>
    <xf numFmtId="169" fontId="100" fillId="8" borderId="0" xfId="0" applyNumberFormat="1" applyFont="1" applyFill="1" applyBorder="1" applyProtection="1">
      <protection locked="0"/>
    </xf>
    <xf numFmtId="170" fontId="97" fillId="8" borderId="0" xfId="0" applyNumberFormat="1" applyFont="1" applyFill="1" applyBorder="1" applyProtection="1">
      <protection locked="0"/>
    </xf>
    <xf numFmtId="182" fontId="85" fillId="8" borderId="0" xfId="0" applyNumberFormat="1" applyFont="1" applyFill="1" applyBorder="1" applyProtection="1">
      <protection locked="0"/>
    </xf>
    <xf numFmtId="185" fontId="99" fillId="8" borderId="8" xfId="0" applyFont="1" applyFill="1" applyBorder="1"/>
    <xf numFmtId="185" fontId="96" fillId="8" borderId="0" xfId="0" applyFont="1" applyFill="1" applyBorder="1"/>
    <xf numFmtId="185" fontId="83" fillId="8" borderId="21" xfId="0" applyFont="1" applyFill="1" applyBorder="1"/>
    <xf numFmtId="185" fontId="84" fillId="8" borderId="51" xfId="0" applyFont="1" applyFill="1" applyBorder="1"/>
    <xf numFmtId="185" fontId="86" fillId="8" borderId="38" xfId="0" applyFont="1" applyFill="1" applyBorder="1"/>
    <xf numFmtId="185" fontId="86" fillId="8" borderId="2" xfId="0" applyFont="1" applyFill="1" applyBorder="1"/>
    <xf numFmtId="185" fontId="83" fillId="8" borderId="52" xfId="0" applyFont="1" applyFill="1" applyBorder="1"/>
    <xf numFmtId="185" fontId="95" fillId="8" borderId="0" xfId="0" applyFont="1" applyFill="1" applyBorder="1"/>
    <xf numFmtId="165" fontId="83" fillId="8" borderId="11" xfId="0" applyNumberFormat="1" applyFont="1" applyFill="1" applyBorder="1"/>
    <xf numFmtId="188" fontId="0" fillId="8" borderId="3" xfId="0" applyNumberFormat="1" applyFill="1" applyBorder="1"/>
    <xf numFmtId="188" fontId="0" fillId="8" borderId="2" xfId="0" applyNumberFormat="1" applyFill="1" applyBorder="1"/>
    <xf numFmtId="185" fontId="94" fillId="2" borderId="0" xfId="0" applyFont="1" applyFill="1"/>
    <xf numFmtId="3" fontId="94" fillId="2" borderId="0" xfId="0" applyNumberFormat="1" applyFont="1" applyFill="1"/>
    <xf numFmtId="185" fontId="94" fillId="2" borderId="0" xfId="0" applyFont="1" applyFill="1" applyAlignment="1">
      <alignment horizontal="left"/>
    </xf>
    <xf numFmtId="185" fontId="94" fillId="2" borderId="0" xfId="0" applyFont="1" applyFill="1" applyAlignment="1">
      <alignment horizontal="center"/>
    </xf>
    <xf numFmtId="185" fontId="107" fillId="2" borderId="0" xfId="0" applyFont="1" applyFill="1" applyAlignment="1">
      <alignment horizontal="left"/>
    </xf>
    <xf numFmtId="185" fontId="108" fillId="2" borderId="0" xfId="0" applyFont="1" applyFill="1"/>
    <xf numFmtId="185" fontId="107" fillId="2" borderId="1" xfId="0" applyFont="1" applyFill="1" applyBorder="1" applyAlignment="1">
      <alignment horizontal="left"/>
    </xf>
    <xf numFmtId="185" fontId="94" fillId="2" borderId="1" xfId="0" applyFont="1" applyFill="1" applyBorder="1" applyAlignment="1">
      <alignment horizontal="center"/>
    </xf>
    <xf numFmtId="185" fontId="107" fillId="2" borderId="1" xfId="0" applyFont="1" applyFill="1" applyBorder="1" applyAlignment="1">
      <alignment horizontal="center" vertical="center" wrapText="1"/>
    </xf>
    <xf numFmtId="185" fontId="107" fillId="8" borderId="1" xfId="0" applyFont="1" applyFill="1" applyBorder="1" applyAlignment="1">
      <alignment horizontal="center" vertical="center" wrapText="1"/>
    </xf>
    <xf numFmtId="185" fontId="107" fillId="10" borderId="1" xfId="0" applyFont="1" applyFill="1" applyBorder="1" applyAlignment="1">
      <alignment horizontal="center" vertical="center" wrapText="1"/>
    </xf>
    <xf numFmtId="185" fontId="94" fillId="2" borderId="56" xfId="0" applyFont="1" applyFill="1" applyBorder="1" applyAlignment="1">
      <alignment horizontal="left" vertical="center"/>
    </xf>
    <xf numFmtId="185" fontId="94" fillId="2" borderId="56" xfId="0" applyFont="1" applyFill="1" applyBorder="1" applyAlignment="1">
      <alignment horizontal="center" vertical="center"/>
    </xf>
    <xf numFmtId="185" fontId="94" fillId="2" borderId="55" xfId="0" applyFont="1" applyFill="1" applyBorder="1" applyAlignment="1">
      <alignment horizontal="left" vertical="center"/>
    </xf>
    <xf numFmtId="185" fontId="94" fillId="2" borderId="55" xfId="0" applyFont="1" applyFill="1" applyBorder="1" applyAlignment="1">
      <alignment horizontal="center" vertical="center"/>
    </xf>
    <xf numFmtId="185" fontId="94" fillId="2" borderId="1" xfId="0" applyFont="1" applyFill="1" applyBorder="1" applyAlignment="1">
      <alignment horizontal="left"/>
    </xf>
    <xf numFmtId="185" fontId="94" fillId="2" borderId="2" xfId="0" applyFont="1" applyFill="1" applyBorder="1" applyAlignment="1">
      <alignment horizontal="center"/>
    </xf>
    <xf numFmtId="185" fontId="109" fillId="4" borderId="2" xfId="0" applyFont="1" applyFill="1" applyBorder="1" applyAlignment="1">
      <alignment horizontal="center" vertical="center" wrapText="1"/>
    </xf>
    <xf numFmtId="185" fontId="94" fillId="2" borderId="0" xfId="0" applyFont="1" applyFill="1" applyBorder="1" applyAlignment="1">
      <alignment horizontal="left"/>
    </xf>
    <xf numFmtId="185" fontId="94" fillId="2" borderId="3" xfId="0" applyFont="1" applyFill="1" applyBorder="1" applyAlignment="1">
      <alignment horizontal="left"/>
    </xf>
    <xf numFmtId="185" fontId="94" fillId="2" borderId="3" xfId="0" applyFont="1" applyFill="1" applyBorder="1" applyAlignment="1">
      <alignment horizontal="center"/>
    </xf>
    <xf numFmtId="190" fontId="94" fillId="2" borderId="0" xfId="0" applyNumberFormat="1" applyFont="1" applyFill="1"/>
    <xf numFmtId="185" fontId="94" fillId="2" borderId="2" xfId="0" applyFont="1" applyFill="1" applyBorder="1" applyAlignment="1">
      <alignment horizontal="left"/>
    </xf>
    <xf numFmtId="185" fontId="94" fillId="2" borderId="2" xfId="0" applyNumberFormat="1" applyFont="1" applyFill="1" applyBorder="1" applyAlignment="1">
      <alignment horizontal="center"/>
    </xf>
    <xf numFmtId="185" fontId="94" fillId="2" borderId="3" xfId="0" applyNumberFormat="1" applyFont="1" applyFill="1" applyBorder="1" applyAlignment="1">
      <alignment horizontal="center"/>
    </xf>
    <xf numFmtId="185" fontId="95" fillId="6" borderId="0" xfId="0" applyFont="1" applyFill="1"/>
    <xf numFmtId="185" fontId="94" fillId="6" borderId="0" xfId="0" applyFont="1" applyFill="1"/>
    <xf numFmtId="185" fontId="94" fillId="6" borderId="0" xfId="0" applyFont="1" applyFill="1" applyAlignment="1">
      <alignment horizontal="left"/>
    </xf>
    <xf numFmtId="185" fontId="94" fillId="6" borderId="0" xfId="0" applyFont="1" applyFill="1" applyAlignment="1">
      <alignment horizontal="center"/>
    </xf>
    <xf numFmtId="173" fontId="94" fillId="8" borderId="1" xfId="0" applyNumberFormat="1" applyFont="1" applyFill="1" applyBorder="1"/>
    <xf numFmtId="185" fontId="94" fillId="2" borderId="0" xfId="0" applyFont="1" applyFill="1" applyBorder="1" applyAlignment="1">
      <alignment horizontal="center"/>
    </xf>
    <xf numFmtId="173" fontId="94" fillId="8" borderId="0" xfId="0" applyNumberFormat="1" applyFont="1" applyFill="1" applyBorder="1"/>
    <xf numFmtId="4" fontId="94" fillId="8" borderId="3" xfId="0" applyNumberFormat="1" applyFont="1" applyFill="1" applyBorder="1"/>
    <xf numFmtId="4" fontId="94" fillId="8" borderId="0" xfId="0" applyNumberFormat="1" applyFont="1" applyFill="1" applyBorder="1"/>
    <xf numFmtId="185" fontId="94" fillId="8" borderId="0" xfId="0" applyFont="1" applyFill="1"/>
    <xf numFmtId="185" fontId="110" fillId="2" borderId="0" xfId="0" applyFont="1" applyFill="1"/>
    <xf numFmtId="185" fontId="108" fillId="8" borderId="0" xfId="0" applyFont="1" applyFill="1" applyBorder="1" applyAlignment="1">
      <alignment horizontal="center"/>
    </xf>
    <xf numFmtId="185" fontId="94" fillId="8" borderId="0" xfId="0" applyFont="1" applyFill="1" applyBorder="1" applyAlignment="1">
      <alignment horizontal="left" indent="1"/>
    </xf>
    <xf numFmtId="166" fontId="111" fillId="8" borderId="3" xfId="0" applyNumberFormat="1" applyFont="1" applyFill="1" applyBorder="1"/>
    <xf numFmtId="2" fontId="94" fillId="8" borderId="1" xfId="0" applyNumberFormat="1" applyFont="1" applyFill="1" applyBorder="1"/>
    <xf numFmtId="2" fontId="94" fillId="8" borderId="0" xfId="0" applyNumberFormat="1" applyFont="1" applyFill="1" applyBorder="1"/>
    <xf numFmtId="185" fontId="107" fillId="2" borderId="0" xfId="0" applyFont="1" applyFill="1" applyBorder="1" applyAlignment="1">
      <alignment horizontal="left"/>
    </xf>
    <xf numFmtId="2" fontId="94" fillId="8" borderId="0" xfId="0" applyNumberFormat="1" applyFont="1" applyFill="1" applyBorder="1" applyAlignment="1">
      <alignment horizontal="right"/>
    </xf>
    <xf numFmtId="2" fontId="94" fillId="8" borderId="3" xfId="0" applyNumberFormat="1" applyFont="1" applyFill="1" applyBorder="1" applyAlignment="1">
      <alignment horizontal="right"/>
    </xf>
    <xf numFmtId="166" fontId="94" fillId="2" borderId="1" xfId="2" applyNumberFormat="1" applyFont="1" applyFill="1" applyBorder="1"/>
    <xf numFmtId="185" fontId="107" fillId="8" borderId="0" xfId="0" applyFont="1" applyFill="1" applyAlignment="1">
      <alignment horizontal="left"/>
    </xf>
    <xf numFmtId="185" fontId="83" fillId="2" borderId="1" xfId="0" applyFont="1" applyFill="1" applyBorder="1"/>
    <xf numFmtId="9" fontId="83" fillId="2" borderId="1" xfId="2" applyFont="1" applyFill="1" applyBorder="1"/>
    <xf numFmtId="10" fontId="94" fillId="2" borderId="0" xfId="2" applyNumberFormat="1" applyFont="1" applyFill="1"/>
    <xf numFmtId="185" fontId="83" fillId="2" borderId="1" xfId="0" applyFont="1" applyFill="1" applyBorder="1" applyAlignment="1">
      <alignment horizontal="left"/>
    </xf>
    <xf numFmtId="185" fontId="83" fillId="2" borderId="0" xfId="0" applyFont="1" applyFill="1" applyBorder="1" applyAlignment="1">
      <alignment horizontal="left"/>
    </xf>
    <xf numFmtId="185" fontId="83" fillId="2" borderId="0" xfId="0" applyFont="1" applyFill="1" applyBorder="1" applyAlignment="1">
      <alignment horizontal="center"/>
    </xf>
    <xf numFmtId="185" fontId="94" fillId="8" borderId="0" xfId="0" applyFont="1" applyFill="1" applyBorder="1" applyAlignment="1">
      <alignment horizontal="left"/>
    </xf>
    <xf numFmtId="185" fontId="94" fillId="8" borderId="0" xfId="0" applyFont="1" applyFill="1" applyBorder="1" applyAlignment="1">
      <alignment horizontal="center"/>
    </xf>
    <xf numFmtId="182" fontId="94" fillId="8" borderId="0" xfId="1" applyNumberFormat="1" applyFont="1" applyFill="1" applyBorder="1"/>
    <xf numFmtId="185" fontId="94" fillId="8" borderId="0" xfId="0" applyFont="1" applyFill="1" applyAlignment="1">
      <alignment horizontal="left"/>
    </xf>
    <xf numFmtId="185" fontId="94" fillId="8" borderId="0" xfId="0" applyFont="1" applyFill="1" applyAlignment="1">
      <alignment horizontal="center"/>
    </xf>
    <xf numFmtId="190" fontId="94" fillId="8" borderId="0" xfId="0" applyNumberFormat="1" applyFont="1" applyFill="1"/>
    <xf numFmtId="185" fontId="94" fillId="8" borderId="2" xfId="0" applyFont="1" applyFill="1" applyBorder="1" applyAlignment="1">
      <alignment horizontal="left"/>
    </xf>
    <xf numFmtId="185" fontId="94" fillId="8" borderId="2" xfId="0" applyFont="1" applyFill="1" applyBorder="1" applyAlignment="1">
      <alignment horizontal="center"/>
    </xf>
    <xf numFmtId="185" fontId="94" fillId="8" borderId="3" xfId="0" applyFont="1" applyFill="1" applyBorder="1" applyAlignment="1">
      <alignment horizontal="left"/>
    </xf>
    <xf numFmtId="185" fontId="94" fillId="8" borderId="3" xfId="0" applyFont="1" applyFill="1" applyBorder="1" applyAlignment="1">
      <alignment horizontal="center"/>
    </xf>
    <xf numFmtId="188" fontId="94" fillId="8" borderId="0" xfId="0" applyNumberFormat="1" applyFont="1" applyFill="1"/>
    <xf numFmtId="186" fontId="94" fillId="8" borderId="0" xfId="0" applyNumberFormat="1" applyFont="1" applyFill="1"/>
    <xf numFmtId="185" fontId="94" fillId="8" borderId="1" xfId="0" applyFont="1" applyFill="1" applyBorder="1" applyAlignment="1">
      <alignment horizontal="left"/>
    </xf>
    <xf numFmtId="185" fontId="94" fillId="8" borderId="1" xfId="0" applyFont="1" applyFill="1" applyBorder="1" applyAlignment="1">
      <alignment horizontal="center"/>
    </xf>
    <xf numFmtId="182" fontId="94" fillId="8" borderId="1" xfId="1" applyNumberFormat="1" applyFont="1" applyFill="1" applyBorder="1"/>
    <xf numFmtId="174" fontId="94" fillId="8" borderId="0" xfId="1" applyNumberFormat="1" applyFont="1" applyFill="1" applyBorder="1"/>
    <xf numFmtId="184" fontId="94" fillId="8" borderId="2" xfId="0" applyNumberFormat="1" applyFont="1" applyFill="1" applyBorder="1"/>
    <xf numFmtId="184" fontId="94" fillId="8" borderId="0" xfId="0" applyNumberFormat="1" applyFont="1" applyFill="1" applyBorder="1"/>
    <xf numFmtId="184" fontId="94" fillId="8" borderId="3" xfId="0" applyNumberFormat="1" applyFont="1" applyFill="1" applyBorder="1"/>
    <xf numFmtId="166" fontId="113" fillId="8" borderId="2" xfId="2" applyNumberFormat="1" applyFont="1" applyFill="1" applyBorder="1"/>
    <xf numFmtId="166" fontId="113" fillId="8" borderId="3" xfId="2" applyNumberFormat="1" applyFont="1" applyFill="1" applyBorder="1"/>
    <xf numFmtId="182" fontId="94" fillId="8" borderId="0" xfId="1" applyNumberFormat="1" applyFont="1" applyFill="1"/>
    <xf numFmtId="190" fontId="94" fillId="2" borderId="2" xfId="0" applyNumberFormat="1" applyFont="1" applyFill="1" applyBorder="1"/>
    <xf numFmtId="190" fontId="94" fillId="2" borderId="0" xfId="0" applyNumberFormat="1" applyFont="1" applyFill="1" applyBorder="1"/>
    <xf numFmtId="190" fontId="94" fillId="2" borderId="3" xfId="0" applyNumberFormat="1" applyFont="1" applyFill="1" applyBorder="1"/>
    <xf numFmtId="182" fontId="94" fillId="2" borderId="0" xfId="1" applyNumberFormat="1" applyFont="1" applyFill="1"/>
    <xf numFmtId="188" fontId="94" fillId="2" borderId="0" xfId="0" applyNumberFormat="1" applyFont="1" applyFill="1"/>
    <xf numFmtId="184" fontId="94" fillId="2" borderId="2" xfId="0" applyNumberFormat="1" applyFont="1" applyFill="1" applyBorder="1"/>
    <xf numFmtId="183" fontId="94" fillId="2" borderId="0" xfId="0" applyNumberFormat="1" applyFont="1" applyFill="1" applyBorder="1"/>
    <xf numFmtId="183" fontId="94" fillId="2" borderId="3" xfId="0" applyNumberFormat="1" applyFont="1" applyFill="1" applyBorder="1"/>
    <xf numFmtId="183" fontId="94" fillId="2" borderId="2" xfId="0" applyNumberFormat="1" applyFont="1" applyFill="1" applyBorder="1"/>
    <xf numFmtId="15" fontId="94" fillId="8" borderId="0" xfId="0" applyNumberFormat="1" applyFont="1" applyFill="1"/>
    <xf numFmtId="185" fontId="94" fillId="8" borderId="0" xfId="0" applyFont="1" applyFill="1" applyBorder="1"/>
    <xf numFmtId="185" fontId="107" fillId="8" borderId="0" xfId="0" applyFont="1" applyFill="1"/>
    <xf numFmtId="194" fontId="94" fillId="2" borderId="0" xfId="0" applyNumberFormat="1" applyFont="1" applyFill="1"/>
    <xf numFmtId="195" fontId="94" fillId="2" borderId="0" xfId="0" applyNumberFormat="1" applyFont="1" applyFill="1"/>
    <xf numFmtId="185" fontId="84" fillId="2" borderId="0" xfId="46" applyFont="1" applyFill="1" applyAlignment="1"/>
    <xf numFmtId="185" fontId="83" fillId="2" borderId="2" xfId="0" applyFont="1" applyFill="1" applyBorder="1"/>
    <xf numFmtId="185" fontId="84" fillId="2" borderId="2" xfId="0" applyFont="1" applyFill="1" applyBorder="1" applyAlignment="1">
      <alignment horizontal="center" vertical="center" wrapText="1"/>
    </xf>
    <xf numFmtId="185" fontId="107" fillId="2" borderId="2" xfId="0" applyFont="1" applyFill="1" applyBorder="1" applyAlignment="1">
      <alignment horizontal="center" vertical="center" wrapText="1"/>
    </xf>
    <xf numFmtId="185" fontId="114" fillId="4" borderId="1" xfId="0" applyFont="1" applyFill="1" applyBorder="1" applyAlignment="1">
      <alignment horizontal="center" vertical="center" wrapText="1"/>
    </xf>
    <xf numFmtId="185" fontId="83" fillId="2" borderId="56" xfId="0" applyFont="1" applyFill="1" applyBorder="1" applyAlignment="1">
      <alignment vertical="center"/>
    </xf>
    <xf numFmtId="185" fontId="83" fillId="2" borderId="56" xfId="0" applyFont="1" applyFill="1" applyBorder="1" applyAlignment="1">
      <alignment horizontal="center"/>
    </xf>
    <xf numFmtId="185" fontId="114" fillId="4" borderId="56" xfId="0" applyFont="1" applyFill="1" applyBorder="1" applyAlignment="1">
      <alignment horizontal="center" vertical="center" wrapText="1"/>
    </xf>
    <xf numFmtId="185" fontId="83" fillId="2" borderId="3" xfId="0" applyFont="1" applyFill="1" applyBorder="1" applyAlignment="1">
      <alignment vertical="center"/>
    </xf>
    <xf numFmtId="185" fontId="114" fillId="4" borderId="3" xfId="0" applyFont="1" applyFill="1" applyBorder="1" applyAlignment="1">
      <alignment horizontal="center" vertical="center" wrapText="1"/>
    </xf>
    <xf numFmtId="185" fontId="83" fillId="2" borderId="0" xfId="0" applyFont="1" applyFill="1" applyAlignment="1"/>
    <xf numFmtId="185" fontId="114" fillId="11" borderId="56" xfId="0" applyFont="1" applyFill="1" applyBorder="1" applyAlignment="1">
      <alignment horizontal="center" vertical="center" wrapText="1"/>
    </xf>
    <xf numFmtId="185" fontId="114" fillId="11" borderId="3" xfId="0" applyFont="1" applyFill="1" applyBorder="1" applyAlignment="1">
      <alignment horizontal="center" vertical="center" wrapText="1"/>
    </xf>
    <xf numFmtId="185" fontId="79" fillId="15" borderId="0" xfId="9" applyNumberFormat="1" applyFont="1"/>
    <xf numFmtId="185" fontId="79" fillId="15" borderId="0" xfId="9" applyNumberFormat="1" applyFont="1" applyAlignment="1">
      <alignment horizontal="center"/>
    </xf>
    <xf numFmtId="186" fontId="83" fillId="8" borderId="2" xfId="0" applyNumberFormat="1" applyFont="1" applyFill="1" applyBorder="1"/>
    <xf numFmtId="185" fontId="83" fillId="2" borderId="0" xfId="0" quotePrefix="1" applyFont="1" applyFill="1" applyBorder="1"/>
    <xf numFmtId="185" fontId="83" fillId="2" borderId="3" xfId="0" quotePrefix="1" applyFont="1" applyFill="1" applyBorder="1"/>
    <xf numFmtId="185" fontId="83" fillId="2" borderId="56" xfId="0" quotePrefix="1" applyFont="1" applyFill="1" applyBorder="1"/>
    <xf numFmtId="186" fontId="83" fillId="8" borderId="56" xfId="0" applyNumberFormat="1" applyFont="1" applyFill="1" applyBorder="1"/>
    <xf numFmtId="186" fontId="83" fillId="2" borderId="3" xfId="0" applyNumberFormat="1" applyFont="1" applyFill="1" applyBorder="1"/>
    <xf numFmtId="185" fontId="83" fillId="2" borderId="0" xfId="0" applyFont="1" applyFill="1" applyBorder="1"/>
    <xf numFmtId="185" fontId="83" fillId="2" borderId="3" xfId="0" applyFont="1" applyFill="1" applyBorder="1"/>
    <xf numFmtId="192" fontId="83" fillId="8" borderId="0" xfId="0" applyNumberFormat="1" applyFont="1" applyFill="1" applyBorder="1"/>
    <xf numFmtId="185" fontId="84" fillId="2" borderId="0" xfId="46" applyFont="1" applyFill="1" applyBorder="1" applyAlignment="1"/>
    <xf numFmtId="190" fontId="83" fillId="2" borderId="0" xfId="0" applyNumberFormat="1" applyFont="1" applyFill="1"/>
    <xf numFmtId="166" fontId="94" fillId="0" borderId="0" xfId="2" applyNumberFormat="1" applyFont="1" applyFill="1"/>
    <xf numFmtId="185" fontId="83" fillId="8" borderId="0" xfId="0" applyFont="1" applyFill="1" applyBorder="1" applyAlignment="1">
      <alignment horizontal="center"/>
    </xf>
    <xf numFmtId="185" fontId="80" fillId="53" borderId="0" xfId="4" applyNumberFormat="1" applyFont="1"/>
    <xf numFmtId="185" fontId="80" fillId="53" borderId="0" xfId="4" applyNumberFormat="1" applyFont="1" applyAlignment="1">
      <alignment horizontal="center"/>
    </xf>
    <xf numFmtId="185" fontId="83" fillId="8" borderId="0" xfId="0" applyFont="1" applyFill="1" applyAlignment="1">
      <alignment horizontal="center"/>
    </xf>
    <xf numFmtId="185" fontId="84" fillId="2" borderId="0" xfId="46" applyFont="1" applyFill="1" applyAlignment="1">
      <alignment horizontal="left"/>
    </xf>
    <xf numFmtId="187" fontId="83" fillId="2" borderId="0" xfId="0" applyNumberFormat="1" applyFont="1" applyFill="1"/>
    <xf numFmtId="188" fontId="83" fillId="2" borderId="3" xfId="0" applyNumberFormat="1" applyFont="1" applyFill="1" applyBorder="1"/>
    <xf numFmtId="190" fontId="83" fillId="2" borderId="2" xfId="0" applyNumberFormat="1" applyFont="1" applyFill="1" applyBorder="1"/>
    <xf numFmtId="190" fontId="83" fillId="17" borderId="0" xfId="0" applyNumberFormat="1" applyFont="1" applyFill="1" applyBorder="1"/>
    <xf numFmtId="190" fontId="83" fillId="2" borderId="0" xfId="0" applyNumberFormat="1" applyFont="1" applyFill="1" applyBorder="1"/>
    <xf numFmtId="190" fontId="83" fillId="17" borderId="3" xfId="0" applyNumberFormat="1" applyFont="1" applyFill="1" applyBorder="1"/>
    <xf numFmtId="185" fontId="84" fillId="2" borderId="3" xfId="46" applyFont="1" applyFill="1" applyBorder="1" applyAlignment="1">
      <alignment horizontal="left"/>
    </xf>
    <xf numFmtId="190" fontId="83" fillId="2" borderId="3" xfId="0" applyNumberFormat="1" applyFont="1" applyFill="1" applyBorder="1"/>
    <xf numFmtId="192" fontId="83" fillId="2" borderId="0" xfId="0" applyNumberFormat="1" applyFont="1" applyFill="1"/>
    <xf numFmtId="190" fontId="94" fillId="2" borderId="0" xfId="0" applyNumberFormat="1" applyFont="1" applyFill="1" applyAlignment="1">
      <alignment horizontal="center"/>
    </xf>
    <xf numFmtId="190" fontId="83" fillId="2" borderId="2" xfId="0" applyNumberFormat="1" applyFont="1" applyFill="1" applyBorder="1" applyAlignment="1">
      <alignment horizontal="left"/>
    </xf>
    <xf numFmtId="190" fontId="83" fillId="2" borderId="2" xfId="0" applyNumberFormat="1" applyFont="1" applyFill="1" applyBorder="1" applyAlignment="1">
      <alignment horizontal="center"/>
    </xf>
    <xf numFmtId="190" fontId="83" fillId="2" borderId="0" xfId="0" applyNumberFormat="1" applyFont="1" applyFill="1" applyBorder="1" applyAlignment="1">
      <alignment horizontal="left"/>
    </xf>
    <xf numFmtId="190" fontId="83" fillId="2" borderId="0" xfId="0" applyNumberFormat="1" applyFont="1" applyFill="1" applyBorder="1" applyAlignment="1">
      <alignment horizontal="center"/>
    </xf>
    <xf numFmtId="190" fontId="83" fillId="2" borderId="3" xfId="0" applyNumberFormat="1" applyFont="1" applyFill="1" applyBorder="1" applyAlignment="1">
      <alignment horizontal="left"/>
    </xf>
    <xf numFmtId="190" fontId="83" fillId="2" borderId="3" xfId="0" applyNumberFormat="1" applyFont="1" applyFill="1" applyBorder="1" applyAlignment="1">
      <alignment horizontal="center"/>
    </xf>
    <xf numFmtId="174" fontId="94" fillId="2" borderId="0" xfId="1" applyNumberFormat="1" applyFont="1" applyFill="1"/>
    <xf numFmtId="9" fontId="94" fillId="2" borderId="0" xfId="2" applyFont="1" applyFill="1"/>
    <xf numFmtId="185" fontId="83" fillId="2" borderId="55" xfId="0" applyFont="1" applyFill="1" applyBorder="1" applyAlignment="1">
      <alignment horizontal="left"/>
    </xf>
    <xf numFmtId="185" fontId="83" fillId="2" borderId="55" xfId="0" applyFont="1" applyFill="1" applyBorder="1" applyAlignment="1">
      <alignment horizontal="center"/>
    </xf>
    <xf numFmtId="9" fontId="83" fillId="2" borderId="55" xfId="2" applyFont="1" applyFill="1" applyBorder="1"/>
    <xf numFmtId="187" fontId="83" fillId="2" borderId="0" xfId="0" applyNumberFormat="1" applyFont="1" applyFill="1" applyBorder="1"/>
    <xf numFmtId="185" fontId="84" fillId="2" borderId="0" xfId="46" applyFont="1" applyFill="1" applyBorder="1" applyAlignment="1">
      <alignment horizontal="left"/>
    </xf>
    <xf numFmtId="185" fontId="83" fillId="2" borderId="57" xfId="0" applyFont="1" applyFill="1" applyBorder="1" applyAlignment="1">
      <alignment horizontal="center"/>
    </xf>
    <xf numFmtId="185" fontId="83" fillId="2" borderId="57" xfId="0" applyFont="1" applyFill="1" applyBorder="1"/>
    <xf numFmtId="190" fontId="106" fillId="0" borderId="0" xfId="52" applyNumberFormat="1" applyFont="1" applyFill="1" applyAlignment="1"/>
    <xf numFmtId="190" fontId="106" fillId="0" borderId="3" xfId="52" applyNumberFormat="1" applyFont="1" applyFill="1" applyBorder="1" applyAlignment="1"/>
    <xf numFmtId="190" fontId="83" fillId="2" borderId="0" xfId="0" applyNumberFormat="1" applyFont="1" applyFill="1" applyAlignment="1">
      <alignment horizontal="center"/>
    </xf>
    <xf numFmtId="185" fontId="83" fillId="53" borderId="0" xfId="0" applyFont="1" applyFill="1" applyBorder="1"/>
    <xf numFmtId="194" fontId="83" fillId="2" borderId="0" xfId="0" applyNumberFormat="1" applyFont="1" applyFill="1"/>
    <xf numFmtId="185" fontId="94" fillId="8" borderId="53" xfId="0" applyFont="1" applyFill="1" applyBorder="1"/>
    <xf numFmtId="185" fontId="94" fillId="8" borderId="44" xfId="0" applyFont="1" applyFill="1" applyBorder="1"/>
    <xf numFmtId="185" fontId="0" fillId="8" borderId="40" xfId="0" applyFill="1" applyBorder="1" applyAlignment="1">
      <alignment horizontal="center"/>
    </xf>
    <xf numFmtId="197" fontId="9" fillId="8" borderId="0" xfId="2" applyNumberFormat="1" applyFont="1" applyFill="1"/>
    <xf numFmtId="187" fontId="87" fillId="8" borderId="0" xfId="52" applyNumberFormat="1" applyFill="1" applyBorder="1" applyAlignment="1"/>
    <xf numFmtId="186" fontId="87" fillId="8" borderId="0" xfId="52" applyNumberFormat="1" applyFill="1" applyBorder="1" applyAlignment="1"/>
    <xf numFmtId="186" fontId="0" fillId="8" borderId="0" xfId="0" applyNumberFormat="1" applyFill="1" applyBorder="1"/>
    <xf numFmtId="185" fontId="0" fillId="14" borderId="4" xfId="0" applyFill="1" applyBorder="1"/>
    <xf numFmtId="185" fontId="0" fillId="14" borderId="5" xfId="0" applyFill="1" applyBorder="1"/>
    <xf numFmtId="185" fontId="0" fillId="14" borderId="6" xfId="0" applyFill="1" applyBorder="1"/>
    <xf numFmtId="185" fontId="0" fillId="8" borderId="10" xfId="0" applyNumberFormat="1" applyFill="1" applyBorder="1"/>
    <xf numFmtId="187" fontId="87" fillId="8" borderId="10" xfId="52" applyNumberFormat="1" applyFill="1" applyBorder="1" applyAlignment="1"/>
    <xf numFmtId="186" fontId="0" fillId="8" borderId="10" xfId="0" applyNumberFormat="1" applyFill="1" applyBorder="1"/>
    <xf numFmtId="185" fontId="89" fillId="2" borderId="13" xfId="0" applyFont="1" applyFill="1" applyBorder="1"/>
    <xf numFmtId="186" fontId="87" fillId="8" borderId="3" xfId="52" applyNumberFormat="1" applyFill="1" applyBorder="1" applyAlignment="1"/>
    <xf numFmtId="2" fontId="87" fillId="7" borderId="0" xfId="52" applyNumberFormat="1" applyFill="1" applyBorder="1" applyAlignment="1" applyProtection="1">
      <protection locked="0"/>
    </xf>
    <xf numFmtId="185" fontId="87" fillId="8" borderId="17" xfId="52" applyFill="1" applyBorder="1" applyAlignment="1">
      <alignment horizontal="center"/>
    </xf>
    <xf numFmtId="186" fontId="0" fillId="8" borderId="18" xfId="0" applyNumberFormat="1" applyFill="1" applyBorder="1"/>
    <xf numFmtId="187" fontId="87" fillId="8" borderId="0" xfId="52" applyNumberFormat="1" applyFill="1" applyBorder="1" applyAlignment="1">
      <alignment horizontal="center"/>
    </xf>
    <xf numFmtId="185" fontId="87" fillId="7" borderId="17" xfId="52" applyFill="1" applyBorder="1" applyAlignment="1">
      <alignment horizontal="center"/>
    </xf>
    <xf numFmtId="187" fontId="87" fillId="7" borderId="0" xfId="52" applyNumberFormat="1" applyFill="1" applyBorder="1" applyAlignment="1">
      <alignment horizontal="center"/>
    </xf>
    <xf numFmtId="185" fontId="0" fillId="7" borderId="0" xfId="0" applyFill="1" applyBorder="1" applyAlignment="1">
      <alignment horizontal="center"/>
    </xf>
    <xf numFmtId="186" fontId="0" fillId="7" borderId="18" xfId="0" applyNumberFormat="1" applyFill="1" applyBorder="1"/>
    <xf numFmtId="188" fontId="0" fillId="8" borderId="0" xfId="0" applyNumberFormat="1" applyFill="1" applyAlignment="1">
      <alignment horizontal="left" indent="1"/>
    </xf>
    <xf numFmtId="193" fontId="17" fillId="8" borderId="0" xfId="0" applyNumberFormat="1" applyFont="1" applyFill="1" applyBorder="1"/>
    <xf numFmtId="190" fontId="0" fillId="8" borderId="0" xfId="0" applyNumberFormat="1" applyFill="1" applyBorder="1" applyAlignment="1">
      <alignment horizontal="center"/>
    </xf>
    <xf numFmtId="185" fontId="117" fillId="12" borderId="0" xfId="8" applyNumberFormat="1" applyFont="1"/>
    <xf numFmtId="185" fontId="93" fillId="8" borderId="0" xfId="0" applyFont="1" applyFill="1"/>
    <xf numFmtId="185" fontId="0" fillId="8" borderId="37" xfId="0" applyFill="1" applyBorder="1"/>
    <xf numFmtId="188" fontId="0" fillId="8" borderId="38" xfId="0" applyNumberFormat="1" applyFill="1" applyBorder="1"/>
    <xf numFmtId="185" fontId="0" fillId="8" borderId="1" xfId="0" applyFill="1" applyBorder="1" applyAlignment="1">
      <alignment horizontal="right"/>
    </xf>
    <xf numFmtId="185" fontId="0" fillId="8" borderId="42" xfId="0" applyFill="1" applyBorder="1" applyAlignment="1">
      <alignment horizontal="right"/>
    </xf>
    <xf numFmtId="185" fontId="0" fillId="8" borderId="41" xfId="0" applyFill="1" applyBorder="1"/>
    <xf numFmtId="185" fontId="0" fillId="8" borderId="20" xfId="0" applyFill="1" applyBorder="1"/>
    <xf numFmtId="185" fontId="0" fillId="8" borderId="17" xfId="0" applyFont="1" applyFill="1" applyBorder="1"/>
    <xf numFmtId="185" fontId="0" fillId="8" borderId="18" xfId="0" applyFont="1" applyFill="1" applyBorder="1"/>
    <xf numFmtId="185" fontId="0" fillId="8" borderId="20" xfId="0" applyFont="1" applyFill="1" applyBorder="1"/>
    <xf numFmtId="185" fontId="0" fillId="8" borderId="21" xfId="0" applyFont="1" applyFill="1" applyBorder="1"/>
    <xf numFmtId="187" fontId="87" fillId="8" borderId="41" xfId="52" applyNumberFormat="1" applyFill="1" applyBorder="1" applyAlignment="1"/>
    <xf numFmtId="187" fontId="87" fillId="8" borderId="1" xfId="52" applyNumberFormat="1" applyFill="1" applyBorder="1" applyAlignment="1"/>
    <xf numFmtId="187" fontId="87" fillId="8" borderId="42" xfId="52" applyNumberFormat="1" applyFill="1" applyBorder="1" applyAlignment="1"/>
    <xf numFmtId="188" fontId="0" fillId="8" borderId="18" xfId="0" applyNumberFormat="1" applyFill="1" applyBorder="1"/>
    <xf numFmtId="188" fontId="0" fillId="8" borderId="21" xfId="0" applyNumberFormat="1" applyFill="1" applyBorder="1"/>
    <xf numFmtId="187" fontId="0" fillId="8" borderId="3" xfId="0" applyNumberFormat="1" applyFill="1" applyBorder="1"/>
    <xf numFmtId="185" fontId="87" fillId="7" borderId="0" xfId="52" applyFill="1" applyBorder="1" applyAlignment="1">
      <alignment horizontal="center"/>
    </xf>
    <xf numFmtId="188" fontId="87" fillId="7" borderId="0" xfId="52" applyNumberFormat="1" applyFill="1" applyBorder="1" applyAlignment="1">
      <alignment horizontal="center"/>
    </xf>
    <xf numFmtId="190" fontId="87" fillId="0" borderId="0" xfId="52" applyNumberFormat="1" applyFill="1" applyAlignment="1"/>
    <xf numFmtId="190" fontId="87" fillId="0" borderId="3" xfId="52" applyNumberFormat="1" applyFill="1" applyBorder="1" applyAlignment="1"/>
    <xf numFmtId="190" fontId="87" fillId="2" borderId="2" xfId="52" applyNumberFormat="1" applyFill="1" applyBorder="1" applyAlignment="1"/>
    <xf numFmtId="190" fontId="87" fillId="2" borderId="0" xfId="52" applyNumberFormat="1" applyFill="1" applyBorder="1" applyAlignment="1"/>
    <xf numFmtId="188" fontId="83" fillId="2" borderId="2" xfId="0" applyNumberFormat="1" applyFont="1" applyFill="1" applyBorder="1"/>
    <xf numFmtId="190" fontId="87" fillId="2" borderId="3" xfId="52" applyNumberFormat="1" applyFill="1" applyBorder="1" applyAlignment="1"/>
    <xf numFmtId="176" fontId="54" fillId="2" borderId="0" xfId="0" applyNumberFormat="1" applyFont="1" applyFill="1" applyBorder="1" applyProtection="1">
      <protection locked="0"/>
    </xf>
    <xf numFmtId="185" fontId="30" fillId="2" borderId="17" xfId="0" applyFont="1" applyFill="1" applyBorder="1"/>
    <xf numFmtId="168" fontId="7" fillId="2" borderId="17" xfId="0" applyNumberFormat="1" applyFont="1" applyFill="1" applyBorder="1" applyProtection="1">
      <protection locked="0"/>
    </xf>
    <xf numFmtId="168" fontId="7" fillId="2" borderId="0" xfId="0" applyNumberFormat="1" applyFont="1" applyFill="1" applyBorder="1" applyProtection="1">
      <protection locked="0"/>
    </xf>
    <xf numFmtId="174" fontId="0" fillId="2" borderId="17" xfId="0" applyNumberFormat="1" applyFont="1" applyFill="1" applyBorder="1"/>
    <xf numFmtId="174" fontId="0" fillId="2" borderId="0" xfId="0" applyNumberFormat="1" applyFont="1" applyFill="1" applyBorder="1"/>
    <xf numFmtId="188" fontId="7" fillId="2" borderId="17" xfId="0" applyNumberFormat="1" applyFont="1" applyFill="1" applyBorder="1" applyProtection="1">
      <protection locked="0"/>
    </xf>
    <xf numFmtId="185" fontId="30" fillId="2" borderId="24" xfId="0" applyFont="1" applyFill="1" applyBorder="1"/>
    <xf numFmtId="185" fontId="35" fillId="2" borderId="0" xfId="0" applyFont="1" applyFill="1" applyBorder="1" applyAlignment="1">
      <alignment horizontal="left"/>
    </xf>
    <xf numFmtId="175" fontId="88" fillId="2" borderId="0" xfId="0" applyNumberFormat="1" applyFont="1" applyFill="1" applyBorder="1"/>
    <xf numFmtId="175" fontId="87" fillId="2" borderId="0" xfId="0" applyNumberFormat="1" applyFont="1" applyFill="1" applyBorder="1"/>
    <xf numFmtId="185" fontId="30" fillId="2" borderId="0" xfId="0" applyFont="1" applyFill="1" applyBorder="1"/>
    <xf numFmtId="9" fontId="0" fillId="5" borderId="0" xfId="2" applyFont="1" applyFill="1"/>
    <xf numFmtId="185" fontId="35" fillId="2" borderId="5" xfId="0" applyFont="1" applyFill="1" applyBorder="1"/>
    <xf numFmtId="164" fontId="7" fillId="2" borderId="0" xfId="0" applyNumberFormat="1" applyFont="1" applyFill="1" applyBorder="1" applyProtection="1">
      <protection locked="0"/>
    </xf>
    <xf numFmtId="164" fontId="7" fillId="2" borderId="17" xfId="0" applyNumberFormat="1" applyFont="1" applyFill="1" applyBorder="1" applyProtection="1">
      <protection locked="0"/>
    </xf>
    <xf numFmtId="188" fontId="7" fillId="2" borderId="5" xfId="0" applyNumberFormat="1" applyFont="1" applyFill="1" applyBorder="1" applyAlignment="1" applyProtection="1">
      <alignment horizontal="left" indent="1"/>
      <protection locked="0"/>
    </xf>
    <xf numFmtId="187" fontId="7" fillId="2" borderId="5" xfId="0" applyNumberFormat="1" applyFont="1" applyFill="1" applyBorder="1" applyAlignment="1" applyProtection="1">
      <alignment horizontal="left" indent="1"/>
      <protection locked="0"/>
    </xf>
    <xf numFmtId="176" fontId="53" fillId="2" borderId="0" xfId="0" applyNumberFormat="1" applyFont="1" applyFill="1" applyBorder="1" applyProtection="1">
      <protection locked="0"/>
    </xf>
    <xf numFmtId="175" fontId="31" fillId="2" borderId="0" xfId="0" applyNumberFormat="1" applyFont="1" applyFill="1" applyBorder="1" applyAlignment="1">
      <alignment horizontal="left" indent="1"/>
    </xf>
    <xf numFmtId="174" fontId="30" fillId="2" borderId="0" xfId="0" applyNumberFormat="1" applyFont="1" applyFill="1" applyBorder="1"/>
    <xf numFmtId="191" fontId="51" fillId="8" borderId="0" xfId="0" applyNumberFormat="1" applyFont="1" applyFill="1" applyBorder="1"/>
    <xf numFmtId="185" fontId="30" fillId="8" borderId="17" xfId="0" applyFont="1" applyFill="1" applyBorder="1" applyProtection="1"/>
    <xf numFmtId="185" fontId="30" fillId="8" borderId="0" xfId="0" applyFont="1" applyFill="1" applyBorder="1" applyProtection="1"/>
    <xf numFmtId="185" fontId="31" fillId="2" borderId="17" xfId="0" applyFont="1" applyFill="1" applyBorder="1" applyProtection="1"/>
    <xf numFmtId="185" fontId="31" fillId="2" borderId="0" xfId="0" applyFont="1" applyFill="1" applyBorder="1" applyProtection="1"/>
    <xf numFmtId="175" fontId="30" fillId="2" borderId="17" xfId="0" applyNumberFormat="1" applyFont="1" applyFill="1" applyBorder="1" applyProtection="1"/>
    <xf numFmtId="175" fontId="30" fillId="2" borderId="0" xfId="0" applyNumberFormat="1" applyFont="1" applyFill="1" applyBorder="1" applyProtection="1"/>
    <xf numFmtId="165" fontId="31" fillId="8" borderId="17" xfId="0" applyNumberFormat="1" applyFont="1" applyFill="1" applyBorder="1" applyProtection="1"/>
    <xf numFmtId="165" fontId="31" fillId="8" borderId="0" xfId="0" applyNumberFormat="1" applyFont="1" applyFill="1" applyBorder="1" applyProtection="1"/>
    <xf numFmtId="2" fontId="31" fillId="2" borderId="17" xfId="0" applyNumberFormat="1" applyFont="1" applyFill="1" applyBorder="1" applyProtection="1"/>
    <xf numFmtId="2" fontId="31" fillId="2" borderId="0" xfId="0" applyNumberFormat="1" applyFont="1" applyFill="1" applyBorder="1" applyProtection="1"/>
    <xf numFmtId="1" fontId="31" fillId="15" borderId="17" xfId="0" applyNumberFormat="1" applyFont="1" applyFill="1" applyBorder="1" applyProtection="1"/>
    <xf numFmtId="1" fontId="31" fillId="15" borderId="0" xfId="0" applyNumberFormat="1" applyFont="1" applyFill="1" applyBorder="1" applyProtection="1"/>
    <xf numFmtId="168" fontId="31" fillId="2" borderId="0" xfId="0" applyNumberFormat="1" applyFont="1" applyFill="1" applyBorder="1" applyProtection="1"/>
    <xf numFmtId="185" fontId="33" fillId="8" borderId="0" xfId="0" applyFont="1" applyFill="1" applyBorder="1" applyProtection="1"/>
    <xf numFmtId="185" fontId="0" fillId="8" borderId="0" xfId="0" applyFill="1" applyBorder="1" applyProtection="1"/>
    <xf numFmtId="168" fontId="0" fillId="2" borderId="0" xfId="0" applyNumberFormat="1" applyFill="1" applyBorder="1" applyProtection="1"/>
    <xf numFmtId="185" fontId="88" fillId="5" borderId="0" xfId="0" applyFont="1" applyFill="1"/>
    <xf numFmtId="181" fontId="87" fillId="2" borderId="0" xfId="0" applyNumberFormat="1" applyFont="1" applyFill="1" applyBorder="1"/>
    <xf numFmtId="187" fontId="88" fillId="5" borderId="0" xfId="0" applyNumberFormat="1" applyFont="1" applyFill="1"/>
    <xf numFmtId="187" fontId="30" fillId="8" borderId="5" xfId="0" applyNumberFormat="1" applyFont="1" applyFill="1" applyBorder="1" applyProtection="1">
      <protection locked="0"/>
    </xf>
    <xf numFmtId="188" fontId="30" fillId="13" borderId="17" xfId="0" applyNumberFormat="1" applyFont="1" applyFill="1" applyBorder="1" applyProtection="1">
      <protection locked="0"/>
    </xf>
    <xf numFmtId="188" fontId="7" fillId="13" borderId="0" xfId="0" applyNumberFormat="1" applyFont="1" applyFill="1" applyBorder="1" applyProtection="1">
      <protection locked="0"/>
    </xf>
    <xf numFmtId="188" fontId="7" fillId="13" borderId="17" xfId="0" applyNumberFormat="1" applyFont="1" applyFill="1" applyBorder="1" applyProtection="1">
      <protection locked="0"/>
    </xf>
    <xf numFmtId="174" fontId="0" fillId="13" borderId="17" xfId="0" applyNumberFormat="1" applyFont="1" applyFill="1" applyBorder="1"/>
    <xf numFmtId="174" fontId="0" fillId="13" borderId="0" xfId="0" applyNumberFormat="1" applyFont="1" applyFill="1" applyBorder="1"/>
    <xf numFmtId="164" fontId="88" fillId="2" borderId="17" xfId="0" applyNumberFormat="1" applyFont="1" applyFill="1" applyBorder="1" applyProtection="1">
      <protection locked="0"/>
    </xf>
    <xf numFmtId="181" fontId="88" fillId="2" borderId="0" xfId="0" applyNumberFormat="1" applyFont="1" applyFill="1" applyBorder="1" applyProtection="1">
      <protection locked="0"/>
    </xf>
    <xf numFmtId="181" fontId="7" fillId="13" borderId="0" xfId="0" applyNumberFormat="1" applyFont="1" applyFill="1" applyBorder="1" applyProtection="1">
      <protection locked="0"/>
    </xf>
    <xf numFmtId="164" fontId="0" fillId="13" borderId="17" xfId="0" applyNumberFormat="1" applyFill="1" applyBorder="1" applyProtection="1">
      <protection locked="0"/>
    </xf>
    <xf numFmtId="181" fontId="0" fillId="13" borderId="0" xfId="0" applyNumberFormat="1" applyFill="1" applyBorder="1" applyProtection="1">
      <protection locked="0"/>
    </xf>
    <xf numFmtId="188" fontId="30" fillId="13" borderId="0" xfId="0" applyNumberFormat="1" applyFont="1" applyFill="1" applyBorder="1" applyProtection="1">
      <protection locked="0"/>
    </xf>
    <xf numFmtId="188" fontId="0" fillId="13" borderId="17" xfId="0" applyNumberFormat="1" applyFill="1" applyBorder="1" applyProtection="1">
      <protection locked="0"/>
    </xf>
    <xf numFmtId="188" fontId="0" fillId="13" borderId="0" xfId="0" applyNumberFormat="1" applyFill="1" applyBorder="1" applyProtection="1">
      <protection locked="0"/>
    </xf>
    <xf numFmtId="175" fontId="30" fillId="13" borderId="0" xfId="0" applyNumberFormat="1" applyFont="1" applyFill="1" applyBorder="1" applyProtection="1">
      <protection locked="0"/>
    </xf>
    <xf numFmtId="185" fontId="42" fillId="13" borderId="0" xfId="0" applyFont="1" applyFill="1" applyBorder="1"/>
    <xf numFmtId="175" fontId="40" fillId="8" borderId="0" xfId="0" applyNumberFormat="1" applyFont="1" applyFill="1" applyBorder="1"/>
    <xf numFmtId="175" fontId="40" fillId="8" borderId="0" xfId="0" applyNumberFormat="1" applyFont="1" applyFill="1" applyBorder="1" applyAlignment="1">
      <alignment horizontal="left" indent="1"/>
    </xf>
    <xf numFmtId="166" fontId="53" fillId="13" borderId="0" xfId="2" applyNumberFormat="1" applyFont="1" applyFill="1" applyBorder="1"/>
    <xf numFmtId="9" fontId="53" fillId="13" borderId="0" xfId="2" applyFont="1" applyFill="1" applyBorder="1"/>
    <xf numFmtId="188" fontId="53" fillId="13" borderId="17" xfId="0" applyNumberFormat="1" applyFont="1" applyFill="1" applyBorder="1"/>
    <xf numFmtId="188" fontId="53" fillId="13" borderId="0" xfId="0" applyNumberFormat="1" applyFont="1" applyFill="1" applyBorder="1"/>
    <xf numFmtId="185" fontId="30" fillId="13" borderId="17" xfId="0" applyFont="1" applyFill="1" applyBorder="1"/>
    <xf numFmtId="185" fontId="30" fillId="13" borderId="0" xfId="0" applyFont="1" applyFill="1" applyBorder="1"/>
    <xf numFmtId="185" fontId="42" fillId="13" borderId="17" xfId="0" applyFont="1" applyFill="1" applyBorder="1"/>
    <xf numFmtId="196" fontId="53" fillId="8" borderId="0" xfId="0" applyNumberFormat="1" applyFont="1" applyFill="1" applyBorder="1"/>
    <xf numFmtId="198" fontId="51" fillId="8" borderId="0" xfId="0" applyNumberFormat="1" applyFont="1" applyFill="1" applyBorder="1"/>
    <xf numFmtId="164" fontId="87" fillId="2" borderId="0" xfId="0" applyNumberFormat="1" applyFont="1" applyFill="1" applyBorder="1" applyProtection="1">
      <protection locked="0"/>
    </xf>
    <xf numFmtId="198" fontId="54" fillId="8" borderId="0" xfId="0" applyNumberFormat="1" applyFont="1" applyFill="1" applyBorder="1"/>
    <xf numFmtId="181" fontId="87" fillId="2" borderId="0" xfId="0" applyNumberFormat="1" applyFont="1" applyFill="1" applyBorder="1" applyProtection="1">
      <protection locked="0"/>
    </xf>
    <xf numFmtId="188" fontId="53" fillId="8" borderId="10" xfId="0" applyNumberFormat="1" applyFont="1" applyFill="1" applyBorder="1"/>
    <xf numFmtId="164" fontId="87" fillId="8" borderId="17" xfId="0" applyNumberFormat="1" applyFont="1" applyFill="1" applyBorder="1" applyProtection="1">
      <protection locked="0"/>
    </xf>
    <xf numFmtId="164" fontId="87" fillId="8" borderId="0" xfId="0" applyNumberFormat="1" applyFont="1" applyFill="1" applyBorder="1" applyProtection="1">
      <protection locked="0"/>
    </xf>
    <xf numFmtId="190" fontId="0" fillId="5" borderId="0" xfId="0" applyNumberFormat="1" applyFill="1"/>
    <xf numFmtId="188" fontId="7" fillId="8" borderId="17" xfId="0" applyNumberFormat="1" applyFont="1" applyFill="1" applyBorder="1" applyProtection="1">
      <protection locked="0"/>
    </xf>
    <xf numFmtId="181" fontId="7" fillId="8" borderId="0" xfId="0" applyNumberFormat="1" applyFont="1" applyFill="1" applyBorder="1" applyProtection="1">
      <protection locked="0"/>
    </xf>
    <xf numFmtId="9" fontId="7" fillId="8" borderId="0" xfId="2" applyFont="1" applyFill="1" applyBorder="1"/>
    <xf numFmtId="164" fontId="87" fillId="2" borderId="17" xfId="0" applyNumberFormat="1" applyFont="1" applyFill="1" applyBorder="1" applyProtection="1"/>
    <xf numFmtId="164" fontId="87" fillId="2" borderId="0" xfId="0" applyNumberFormat="1" applyFont="1" applyFill="1" applyBorder="1" applyProtection="1"/>
    <xf numFmtId="164" fontId="87" fillId="8" borderId="0" xfId="52" applyNumberFormat="1" applyFont="1" applyFill="1" applyBorder="1" applyAlignment="1" applyProtection="1"/>
    <xf numFmtId="188" fontId="51" fillId="13" borderId="0" xfId="0" applyNumberFormat="1" applyFont="1" applyFill="1" applyBorder="1"/>
    <xf numFmtId="164" fontId="87" fillId="8" borderId="17" xfId="0" applyNumberFormat="1" applyFont="1" applyFill="1" applyBorder="1" applyProtection="1"/>
    <xf numFmtId="164" fontId="87" fillId="8" borderId="0" xfId="0" applyNumberFormat="1" applyFont="1" applyFill="1" applyBorder="1" applyProtection="1"/>
    <xf numFmtId="188" fontId="31" fillId="2" borderId="17" xfId="0" applyNumberFormat="1" applyFont="1" applyFill="1" applyBorder="1" applyProtection="1"/>
    <xf numFmtId="164" fontId="7" fillId="8" borderId="0" xfId="0" applyNumberFormat="1" applyFont="1" applyFill="1" applyBorder="1" applyProtection="1"/>
    <xf numFmtId="164" fontId="88" fillId="2" borderId="0" xfId="0" applyNumberFormat="1" applyFont="1" applyFill="1" applyBorder="1" applyProtection="1">
      <protection locked="0"/>
    </xf>
    <xf numFmtId="164" fontId="87" fillId="2" borderId="17" xfId="0" applyNumberFormat="1" applyFont="1" applyFill="1" applyBorder="1" applyProtection="1">
      <protection locked="0"/>
    </xf>
    <xf numFmtId="164" fontId="88" fillId="2" borderId="0" xfId="0" applyNumberFormat="1" applyFont="1" applyFill="1" applyBorder="1"/>
    <xf numFmtId="175" fontId="88" fillId="8" borderId="0" xfId="0" applyNumberFormat="1" applyFont="1" applyFill="1" applyBorder="1"/>
    <xf numFmtId="175" fontId="87" fillId="8" borderId="0" xfId="0" applyNumberFormat="1" applyFont="1" applyFill="1" applyBorder="1"/>
    <xf numFmtId="164" fontId="87" fillId="8" borderId="0" xfId="0" applyNumberFormat="1" applyFont="1" applyFill="1" applyBorder="1"/>
    <xf numFmtId="192" fontId="92" fillId="8" borderId="0" xfId="0" applyNumberFormat="1" applyFont="1" applyFill="1"/>
    <xf numFmtId="194" fontId="92" fillId="8" borderId="0" xfId="0" applyNumberFormat="1" applyFont="1" applyFill="1"/>
    <xf numFmtId="185" fontId="89" fillId="8" borderId="0" xfId="46" applyFont="1" applyFill="1" applyAlignment="1"/>
    <xf numFmtId="185" fontId="0" fillId="8" borderId="4" xfId="0" applyFont="1" applyFill="1" applyBorder="1"/>
    <xf numFmtId="185" fontId="0" fillId="8" borderId="5" xfId="0" applyFont="1" applyFill="1" applyBorder="1"/>
    <xf numFmtId="185" fontId="0" fillId="8" borderId="6" xfId="0" applyFont="1" applyFill="1" applyBorder="1"/>
    <xf numFmtId="185" fontId="0" fillId="8" borderId="7" xfId="0" applyFont="1" applyFill="1" applyBorder="1"/>
    <xf numFmtId="185" fontId="0" fillId="8" borderId="8" xfId="0" applyFont="1" applyFill="1" applyBorder="1"/>
    <xf numFmtId="185" fontId="119" fillId="8" borderId="40" xfId="0" applyFont="1" applyFill="1" applyBorder="1"/>
    <xf numFmtId="185" fontId="0" fillId="8" borderId="9" xfId="0" applyFont="1" applyFill="1" applyBorder="1"/>
    <xf numFmtId="185" fontId="0" fillId="8" borderId="10" xfId="0" applyFont="1" applyFill="1" applyBorder="1"/>
    <xf numFmtId="185" fontId="0" fillId="8" borderId="11" xfId="0" applyFont="1" applyFill="1" applyBorder="1"/>
    <xf numFmtId="185" fontId="0" fillId="8" borderId="39" xfId="0" applyFont="1" applyFill="1" applyBorder="1"/>
    <xf numFmtId="185" fontId="0" fillId="8" borderId="12" xfId="0" applyFont="1" applyFill="1" applyBorder="1"/>
    <xf numFmtId="185" fontId="93" fillId="8" borderId="21" xfId="0" applyFont="1" applyFill="1" applyBorder="1"/>
    <xf numFmtId="185" fontId="93" fillId="8" borderId="3" xfId="0" applyFont="1" applyFill="1" applyBorder="1"/>
    <xf numFmtId="185" fontId="0" fillId="8" borderId="26" xfId="0" applyFont="1" applyFill="1" applyBorder="1"/>
    <xf numFmtId="185" fontId="89" fillId="8" borderId="7" xfId="0" applyFont="1" applyFill="1" applyBorder="1"/>
    <xf numFmtId="185" fontId="93" fillId="8" borderId="18" xfId="0" applyFont="1" applyFill="1" applyBorder="1"/>
    <xf numFmtId="185" fontId="93" fillId="8" borderId="0" xfId="0" applyFont="1" applyFill="1" applyBorder="1"/>
    <xf numFmtId="2" fontId="0" fillId="8" borderId="0" xfId="0" applyNumberFormat="1" applyFont="1" applyFill="1" applyBorder="1" applyProtection="1">
      <protection locked="0"/>
    </xf>
    <xf numFmtId="165" fontId="0" fillId="8" borderId="0" xfId="0" applyNumberFormat="1" applyFont="1" applyFill="1" applyBorder="1" applyProtection="1">
      <protection locked="0"/>
    </xf>
    <xf numFmtId="185" fontId="120" fillId="8" borderId="0" xfId="0" applyFont="1" applyFill="1" applyBorder="1" applyProtection="1">
      <protection locked="0"/>
    </xf>
    <xf numFmtId="185" fontId="121" fillId="8" borderId="18" xfId="0" applyFont="1" applyFill="1" applyBorder="1"/>
    <xf numFmtId="185" fontId="122" fillId="8" borderId="0" xfId="0" applyFont="1" applyFill="1" applyBorder="1" applyProtection="1">
      <protection locked="0"/>
    </xf>
    <xf numFmtId="185" fontId="122" fillId="8" borderId="0" xfId="0" applyFont="1" applyFill="1" applyBorder="1"/>
    <xf numFmtId="2" fontId="120" fillId="8" borderId="0" xfId="0" applyNumberFormat="1" applyFont="1" applyFill="1" applyBorder="1" applyProtection="1">
      <protection locked="0"/>
    </xf>
    <xf numFmtId="185" fontId="123" fillId="8" borderId="7" xfId="0" applyFont="1" applyFill="1" applyBorder="1"/>
    <xf numFmtId="2" fontId="120" fillId="8" borderId="0" xfId="0" applyNumberFormat="1" applyFont="1" applyFill="1" applyBorder="1"/>
    <xf numFmtId="2" fontId="123" fillId="8" borderId="0" xfId="0" applyNumberFormat="1" applyFont="1" applyFill="1" applyBorder="1"/>
    <xf numFmtId="185" fontId="124" fillId="8" borderId="18" xfId="0" applyFont="1" applyFill="1" applyBorder="1"/>
    <xf numFmtId="166" fontId="123" fillId="8" borderId="0" xfId="2" applyNumberFormat="1" applyFont="1" applyFill="1" applyBorder="1"/>
    <xf numFmtId="166" fontId="0" fillId="8" borderId="0" xfId="2" applyNumberFormat="1" applyFont="1" applyFill="1" applyBorder="1" applyProtection="1">
      <protection locked="0"/>
    </xf>
    <xf numFmtId="185" fontId="125" fillId="8" borderId="0" xfId="0" applyFont="1" applyFill="1"/>
    <xf numFmtId="3" fontId="0" fillId="8" borderId="0" xfId="0" applyNumberFormat="1" applyFont="1" applyFill="1" applyBorder="1"/>
    <xf numFmtId="2" fontId="0" fillId="8" borderId="0" xfId="0" applyNumberFormat="1" applyFont="1" applyFill="1" applyBorder="1"/>
    <xf numFmtId="185" fontId="126" fillId="8" borderId="0" xfId="0" applyFont="1" applyFill="1" applyBorder="1"/>
    <xf numFmtId="185" fontId="0" fillId="8" borderId="7" xfId="0" applyFont="1" applyFill="1" applyBorder="1" applyAlignment="1">
      <alignment horizontal="left" indent="1"/>
    </xf>
    <xf numFmtId="4" fontId="0" fillId="8" borderId="0" xfId="0" applyNumberFormat="1" applyFont="1" applyFill="1" applyBorder="1"/>
    <xf numFmtId="4" fontId="88" fillId="8" borderId="0" xfId="0" applyNumberFormat="1" applyFont="1" applyFill="1" applyBorder="1"/>
    <xf numFmtId="185" fontId="127" fillId="8" borderId="0" xfId="0" applyFont="1" applyFill="1"/>
    <xf numFmtId="169" fontId="88" fillId="8" borderId="0" xfId="0" applyNumberFormat="1" applyFont="1" applyFill="1" applyBorder="1"/>
    <xf numFmtId="168" fontId="123" fillId="8" borderId="0" xfId="0" applyNumberFormat="1" applyFont="1" applyFill="1" applyBorder="1" applyProtection="1">
      <protection locked="0"/>
    </xf>
    <xf numFmtId="185" fontId="122" fillId="8" borderId="9" xfId="0" applyFont="1" applyFill="1" applyBorder="1"/>
    <xf numFmtId="185" fontId="121" fillId="8" borderId="25" xfId="0" applyFont="1" applyFill="1" applyBorder="1"/>
    <xf numFmtId="185" fontId="120" fillId="8" borderId="10" xfId="0" applyFont="1" applyFill="1" applyBorder="1"/>
    <xf numFmtId="185" fontId="126" fillId="8" borderId="10" xfId="0" applyFont="1" applyFill="1" applyBorder="1"/>
    <xf numFmtId="185" fontId="128" fillId="8" borderId="0" xfId="0" applyFont="1" applyFill="1"/>
    <xf numFmtId="185" fontId="129" fillId="8" borderId="0" xfId="0" applyFont="1" applyFill="1"/>
    <xf numFmtId="169" fontId="0" fillId="8" borderId="0" xfId="0" applyNumberFormat="1" applyFont="1" applyFill="1"/>
    <xf numFmtId="185" fontId="0" fillId="8" borderId="13" xfId="0" applyFont="1" applyFill="1" applyBorder="1"/>
    <xf numFmtId="185" fontId="93" fillId="8" borderId="14" xfId="0" applyFont="1" applyFill="1" applyBorder="1"/>
    <xf numFmtId="185" fontId="93" fillId="8" borderId="36" xfId="0" applyFont="1" applyFill="1" applyBorder="1"/>
    <xf numFmtId="185" fontId="0" fillId="8" borderId="14" xfId="0" applyFont="1" applyFill="1" applyBorder="1"/>
    <xf numFmtId="185" fontId="0" fillId="8" borderId="35" xfId="0" applyFont="1" applyFill="1" applyBorder="1"/>
    <xf numFmtId="170" fontId="120" fillId="8" borderId="17" xfId="0" applyNumberFormat="1" applyFont="1" applyFill="1" applyBorder="1" applyProtection="1">
      <protection locked="0"/>
    </xf>
    <xf numFmtId="170" fontId="120" fillId="8" borderId="0" xfId="0" applyNumberFormat="1" applyFont="1" applyFill="1" applyBorder="1" applyProtection="1">
      <protection locked="0"/>
    </xf>
    <xf numFmtId="3" fontId="120" fillId="8" borderId="17" xfId="0" applyNumberFormat="1" applyFont="1" applyFill="1" applyBorder="1" applyProtection="1">
      <protection locked="0"/>
    </xf>
    <xf numFmtId="3" fontId="120" fillId="8" borderId="0" xfId="0" applyNumberFormat="1" applyFont="1" applyFill="1" applyBorder="1" applyProtection="1">
      <protection locked="0"/>
    </xf>
    <xf numFmtId="165" fontId="120" fillId="8" borderId="17" xfId="0" applyNumberFormat="1" applyFont="1" applyFill="1" applyBorder="1" applyProtection="1">
      <protection locked="0"/>
    </xf>
    <xf numFmtId="165" fontId="120" fillId="8" borderId="0" xfId="0" applyNumberFormat="1" applyFont="1" applyFill="1" applyBorder="1" applyProtection="1">
      <protection locked="0"/>
    </xf>
    <xf numFmtId="165" fontId="0" fillId="8" borderId="17" xfId="0" applyNumberFormat="1" applyFont="1" applyFill="1" applyBorder="1" applyProtection="1">
      <protection locked="0"/>
    </xf>
    <xf numFmtId="185" fontId="0" fillId="8" borderId="25" xfId="0" applyFont="1" applyFill="1" applyBorder="1"/>
    <xf numFmtId="3" fontId="120" fillId="8" borderId="10" xfId="0" applyNumberFormat="1" applyFont="1" applyFill="1" applyBorder="1" applyProtection="1">
      <protection locked="0"/>
    </xf>
    <xf numFmtId="185" fontId="0" fillId="8" borderId="63" xfId="0" applyFont="1" applyFill="1" applyBorder="1"/>
    <xf numFmtId="185" fontId="130" fillId="8" borderId="4" xfId="0" applyFont="1" applyFill="1" applyBorder="1" applyAlignment="1">
      <alignment horizontal="left"/>
    </xf>
    <xf numFmtId="185" fontId="130" fillId="8" borderId="5" xfId="0" applyFont="1" applyFill="1" applyBorder="1" applyAlignment="1">
      <alignment horizontal="left"/>
    </xf>
    <xf numFmtId="185" fontId="131" fillId="8" borderId="5" xfId="0" applyFont="1" applyFill="1" applyBorder="1"/>
    <xf numFmtId="185" fontId="131" fillId="8" borderId="7" xfId="0" applyFont="1" applyFill="1" applyBorder="1"/>
    <xf numFmtId="185" fontId="131" fillId="8" borderId="0" xfId="0" applyFont="1" applyFill="1" applyBorder="1"/>
    <xf numFmtId="185" fontId="132" fillId="8" borderId="0" xfId="0" applyFont="1" applyFill="1" applyBorder="1" applyAlignment="1">
      <alignment horizontal="center"/>
    </xf>
    <xf numFmtId="185" fontId="132" fillId="8" borderId="7" xfId="0" applyFont="1" applyFill="1" applyBorder="1"/>
    <xf numFmtId="185" fontId="132" fillId="8" borderId="0" xfId="0" applyFont="1" applyFill="1" applyBorder="1"/>
    <xf numFmtId="185" fontId="131" fillId="8" borderId="0" xfId="0" applyFont="1" applyFill="1" applyBorder="1" applyAlignment="1">
      <alignment horizontal="center"/>
    </xf>
    <xf numFmtId="185" fontId="131" fillId="8" borderId="0" xfId="0" applyFont="1" applyFill="1" applyBorder="1" applyAlignment="1">
      <alignment horizontal="right"/>
    </xf>
    <xf numFmtId="185" fontId="131" fillId="8" borderId="9" xfId="0" applyFont="1" applyFill="1" applyBorder="1"/>
    <xf numFmtId="185" fontId="131" fillId="8" borderId="10" xfId="0" applyFont="1" applyFill="1" applyBorder="1"/>
    <xf numFmtId="185" fontId="131" fillId="8" borderId="10" xfId="0" applyFont="1" applyFill="1" applyBorder="1" applyAlignment="1">
      <alignment horizontal="center"/>
    </xf>
    <xf numFmtId="185" fontId="131" fillId="8" borderId="10" xfId="0" applyFont="1" applyFill="1" applyBorder="1" applyAlignment="1">
      <alignment horizontal="right"/>
    </xf>
    <xf numFmtId="9" fontId="123" fillId="8" borderId="0" xfId="2" applyNumberFormat="1" applyFont="1" applyFill="1" applyBorder="1"/>
    <xf numFmtId="192" fontId="0" fillId="8" borderId="0" xfId="0" applyNumberFormat="1" applyFont="1" applyFill="1"/>
    <xf numFmtId="185" fontId="131" fillId="8" borderId="0" xfId="0" applyFont="1" applyFill="1" applyBorder="1" applyAlignment="1"/>
    <xf numFmtId="185" fontId="0" fillId="8" borderId="47" xfId="0" applyFont="1" applyFill="1" applyBorder="1"/>
    <xf numFmtId="185" fontId="133" fillId="8" borderId="4" xfId="0" applyFont="1" applyFill="1" applyBorder="1"/>
    <xf numFmtId="185" fontId="133" fillId="8" borderId="5" xfId="0" applyFont="1" applyFill="1" applyBorder="1"/>
    <xf numFmtId="185" fontId="134" fillId="8" borderId="7" xfId="0" applyFont="1" applyFill="1" applyBorder="1"/>
    <xf numFmtId="185" fontId="134" fillId="8" borderId="0" xfId="0" applyFont="1" applyFill="1" applyBorder="1"/>
    <xf numFmtId="185" fontId="0" fillId="8" borderId="66" xfId="0" applyFont="1" applyFill="1" applyBorder="1"/>
    <xf numFmtId="185" fontId="0" fillId="8" borderId="46" xfId="0" applyFont="1" applyFill="1" applyBorder="1" applyAlignment="1">
      <alignment horizontal="right"/>
    </xf>
    <xf numFmtId="185" fontId="0" fillId="8" borderId="67" xfId="0" applyFont="1" applyFill="1" applyBorder="1"/>
    <xf numFmtId="185" fontId="0" fillId="8" borderId="34" xfId="0" applyFont="1" applyFill="1" applyBorder="1"/>
    <xf numFmtId="185" fontId="0" fillId="8" borderId="68" xfId="0" applyFont="1" applyFill="1" applyBorder="1"/>
    <xf numFmtId="185" fontId="0" fillId="8" borderId="69" xfId="0" applyFont="1" applyFill="1" applyBorder="1"/>
    <xf numFmtId="188" fontId="0" fillId="8" borderId="42" xfId="0" applyNumberFormat="1" applyFont="1" applyFill="1" applyBorder="1"/>
    <xf numFmtId="188" fontId="0" fillId="8" borderId="70" xfId="0" applyNumberFormat="1" applyFont="1" applyFill="1" applyBorder="1"/>
    <xf numFmtId="185" fontId="0" fillId="8" borderId="71" xfId="0" applyFont="1" applyFill="1" applyBorder="1"/>
    <xf numFmtId="188" fontId="0" fillId="8" borderId="72" xfId="0" applyNumberFormat="1" applyFont="1" applyFill="1" applyBorder="1"/>
    <xf numFmtId="188" fontId="0" fillId="8" borderId="64" xfId="0" applyNumberFormat="1" applyFont="1" applyFill="1" applyBorder="1"/>
    <xf numFmtId="185" fontId="119" fillId="7" borderId="40" xfId="0" applyFont="1" applyFill="1" applyBorder="1"/>
    <xf numFmtId="185" fontId="0" fillId="7" borderId="0" xfId="0" applyFont="1" applyFill="1" applyBorder="1"/>
    <xf numFmtId="165" fontId="88" fillId="8" borderId="17" xfId="0" applyNumberFormat="1" applyFont="1" applyFill="1" applyBorder="1" applyProtection="1">
      <protection locked="0"/>
    </xf>
    <xf numFmtId="185" fontId="0" fillId="7" borderId="8" xfId="0" applyFont="1" applyFill="1" applyBorder="1"/>
    <xf numFmtId="2" fontId="35" fillId="8" borderId="0" xfId="0" applyNumberFormat="1" applyFont="1" applyFill="1" applyBorder="1"/>
    <xf numFmtId="187" fontId="122" fillId="8" borderId="0" xfId="0" applyNumberFormat="1" applyFont="1" applyFill="1" applyBorder="1"/>
    <xf numFmtId="9" fontId="122" fillId="8" borderId="0" xfId="2" applyFont="1" applyFill="1" applyBorder="1"/>
    <xf numFmtId="185" fontId="0" fillId="8" borderId="48" xfId="0" applyFont="1" applyFill="1" applyBorder="1" applyAlignment="1">
      <alignment horizontal="right"/>
    </xf>
    <xf numFmtId="185" fontId="0" fillId="8" borderId="65" xfId="0" applyFont="1" applyFill="1" applyBorder="1"/>
    <xf numFmtId="185" fontId="0" fillId="8" borderId="73" xfId="0" applyFont="1" applyFill="1" applyBorder="1"/>
    <xf numFmtId="185" fontId="0" fillId="8" borderId="40" xfId="0" applyFont="1" applyFill="1" applyBorder="1" applyAlignment="1">
      <alignment horizontal="right"/>
    </xf>
    <xf numFmtId="185" fontId="0" fillId="8" borderId="70" xfId="0" applyFont="1" applyFill="1" applyBorder="1"/>
    <xf numFmtId="188" fontId="0" fillId="8" borderId="40" xfId="0" applyNumberFormat="1" applyFont="1" applyFill="1" applyBorder="1"/>
    <xf numFmtId="188" fontId="0" fillId="8" borderId="74" xfId="0" applyNumberFormat="1" applyFont="1" applyFill="1" applyBorder="1"/>
    <xf numFmtId="194" fontId="94" fillId="8" borderId="0" xfId="0" applyNumberFormat="1" applyFont="1" applyFill="1"/>
    <xf numFmtId="170" fontId="83" fillId="8" borderId="0" xfId="0" applyNumberFormat="1" applyFont="1" applyFill="1" applyBorder="1" applyProtection="1">
      <protection locked="0"/>
    </xf>
    <xf numFmtId="9" fontId="85" fillId="8" borderId="0" xfId="2" applyNumberFormat="1" applyFont="1" applyFill="1" applyBorder="1"/>
    <xf numFmtId="4" fontId="100" fillId="8" borderId="0" xfId="0" applyNumberFormat="1" applyFont="1" applyFill="1" applyBorder="1"/>
    <xf numFmtId="188" fontId="83" fillId="7" borderId="0" xfId="0" applyNumberFormat="1" applyFont="1" applyFill="1" applyBorder="1"/>
    <xf numFmtId="169" fontId="100" fillId="8" borderId="0" xfId="0" applyNumberFormat="1" applyFont="1" applyFill="1" applyBorder="1"/>
    <xf numFmtId="169" fontId="83" fillId="8" borderId="0" xfId="0" applyNumberFormat="1" applyFont="1" applyFill="1"/>
    <xf numFmtId="185" fontId="83" fillId="8" borderId="13" xfId="0" applyFont="1" applyFill="1" applyBorder="1"/>
    <xf numFmtId="185" fontId="86" fillId="8" borderId="14" xfId="0" applyFont="1" applyFill="1" applyBorder="1"/>
    <xf numFmtId="185" fontId="86" fillId="8" borderId="36" xfId="0" applyFont="1" applyFill="1" applyBorder="1"/>
    <xf numFmtId="185" fontId="83" fillId="8" borderId="14" xfId="0" applyFont="1" applyFill="1" applyBorder="1"/>
    <xf numFmtId="185" fontId="83" fillId="8" borderId="35" xfId="0" applyFont="1" applyFill="1" applyBorder="1"/>
    <xf numFmtId="170" fontId="97" fillId="8" borderId="17" xfId="0" applyNumberFormat="1" applyFont="1" applyFill="1" applyBorder="1" applyProtection="1">
      <protection locked="0"/>
    </xf>
    <xf numFmtId="3" fontId="97" fillId="8" borderId="17" xfId="0" applyNumberFormat="1" applyFont="1" applyFill="1" applyBorder="1" applyProtection="1">
      <protection locked="0"/>
    </xf>
    <xf numFmtId="165" fontId="97" fillId="8" borderId="17" xfId="0" applyNumberFormat="1" applyFont="1" applyFill="1" applyBorder="1" applyProtection="1">
      <protection locked="0"/>
    </xf>
    <xf numFmtId="165" fontId="83" fillId="8" borderId="17" xfId="0" applyNumberFormat="1" applyFont="1" applyFill="1" applyBorder="1" applyProtection="1">
      <protection locked="0"/>
    </xf>
    <xf numFmtId="3" fontId="97" fillId="8" borderId="10" xfId="0" applyNumberFormat="1" applyFont="1" applyFill="1" applyBorder="1" applyProtection="1">
      <protection locked="0"/>
    </xf>
    <xf numFmtId="185" fontId="137" fillId="8" borderId="4" xfId="0" applyFont="1" applyFill="1" applyBorder="1"/>
    <xf numFmtId="185" fontId="137" fillId="8" borderId="5" xfId="0" applyFont="1" applyFill="1" applyBorder="1"/>
    <xf numFmtId="185" fontId="5" fillId="8" borderId="5" xfId="0" applyFont="1" applyFill="1" applyBorder="1"/>
    <xf numFmtId="185" fontId="5" fillId="8" borderId="7" xfId="0" applyFont="1" applyFill="1" applyBorder="1"/>
    <xf numFmtId="185" fontId="5" fillId="8" borderId="0" xfId="0" applyFont="1" applyFill="1" applyBorder="1"/>
    <xf numFmtId="185" fontId="76" fillId="8" borderId="0" xfId="0" applyFont="1" applyFill="1" applyBorder="1" applyAlignment="1">
      <alignment horizontal="center"/>
    </xf>
    <xf numFmtId="185" fontId="138" fillId="8" borderId="7" xfId="0" applyFont="1" applyFill="1" applyBorder="1"/>
    <xf numFmtId="185" fontId="138" fillId="8" borderId="0" xfId="0" applyFont="1" applyFill="1" applyBorder="1"/>
    <xf numFmtId="185" fontId="5" fillId="8" borderId="0" xfId="0" applyFont="1" applyFill="1" applyBorder="1" applyAlignment="1">
      <alignment horizontal="left"/>
    </xf>
    <xf numFmtId="185" fontId="5" fillId="8" borderId="0" xfId="0" applyFont="1" applyFill="1" applyBorder="1" applyAlignment="1">
      <alignment horizontal="center"/>
    </xf>
    <xf numFmtId="185" fontId="5" fillId="8" borderId="0" xfId="0" applyFont="1" applyFill="1" applyBorder="1" applyAlignment="1">
      <alignment horizontal="right"/>
    </xf>
    <xf numFmtId="186" fontId="100" fillId="8" borderId="0" xfId="0" applyNumberFormat="1" applyFont="1" applyFill="1" applyBorder="1"/>
    <xf numFmtId="185" fontId="76" fillId="8" borderId="7" xfId="0" applyFont="1" applyFill="1" applyBorder="1"/>
    <xf numFmtId="185" fontId="76" fillId="8" borderId="0" xfId="0" applyFont="1" applyFill="1" applyBorder="1"/>
    <xf numFmtId="185" fontId="5" fillId="8" borderId="9" xfId="0" applyFont="1" applyFill="1" applyBorder="1"/>
    <xf numFmtId="185" fontId="5" fillId="8" borderId="10" xfId="0" applyFont="1" applyFill="1" applyBorder="1"/>
    <xf numFmtId="185" fontId="5" fillId="8" borderId="10" xfId="0" applyFont="1" applyFill="1" applyBorder="1" applyAlignment="1">
      <alignment horizontal="center"/>
    </xf>
    <xf numFmtId="185" fontId="5" fillId="8" borderId="10" xfId="0" applyFont="1" applyFill="1" applyBorder="1" applyAlignment="1">
      <alignment horizontal="right"/>
    </xf>
    <xf numFmtId="185" fontId="139" fillId="8" borderId="0" xfId="0" applyFont="1" applyAlignment="1">
      <alignment horizontal="left" vertical="center"/>
    </xf>
    <xf numFmtId="167" fontId="7" fillId="8" borderId="17" xfId="0" applyNumberFormat="1" applyFont="1" applyFill="1" applyBorder="1" applyProtection="1">
      <protection locked="0"/>
    </xf>
    <xf numFmtId="185" fontId="87" fillId="8" borderId="0" xfId="0" applyFont="1" applyFill="1" applyBorder="1"/>
    <xf numFmtId="3" fontId="54" fillId="8" borderId="0" xfId="0" applyNumberFormat="1" applyFont="1" applyFill="1" applyBorder="1" applyProtection="1">
      <protection locked="0"/>
    </xf>
    <xf numFmtId="170" fontId="7" fillId="8" borderId="17" xfId="2" applyNumberFormat="1" applyFont="1" applyFill="1" applyBorder="1" applyProtection="1">
      <protection locked="0"/>
    </xf>
    <xf numFmtId="170" fontId="7" fillId="8" borderId="0" xfId="2" applyNumberFormat="1" applyFont="1" applyFill="1" applyBorder="1" applyProtection="1">
      <protection locked="0"/>
    </xf>
    <xf numFmtId="185" fontId="16" fillId="8" borderId="0" xfId="0" applyFont="1" applyFill="1"/>
    <xf numFmtId="188" fontId="83" fillId="2" borderId="0" xfId="0" quotePrefix="1" applyNumberFormat="1" applyFont="1" applyFill="1" applyBorder="1"/>
    <xf numFmtId="188" fontId="83" fillId="2" borderId="0" xfId="0" applyNumberFormat="1" applyFont="1" applyFill="1" applyBorder="1" applyAlignment="1">
      <alignment horizontal="center"/>
    </xf>
    <xf numFmtId="188" fontId="87" fillId="8" borderId="0" xfId="52" applyNumberFormat="1" applyFill="1" applyBorder="1" applyAlignment="1"/>
    <xf numFmtId="188" fontId="83" fillId="2" borderId="3" xfId="0" quotePrefix="1" applyNumberFormat="1" applyFont="1" applyFill="1" applyBorder="1"/>
    <xf numFmtId="188" fontId="83" fillId="2" borderId="3" xfId="0" applyNumberFormat="1" applyFont="1" applyFill="1" applyBorder="1" applyAlignment="1">
      <alignment horizontal="center"/>
    </xf>
    <xf numFmtId="188" fontId="87" fillId="8" borderId="3" xfId="52" applyNumberFormat="1" applyFill="1" applyBorder="1" applyAlignment="1"/>
    <xf numFmtId="188" fontId="83" fillId="2" borderId="2" xfId="0" applyNumberFormat="1" applyFont="1" applyFill="1" applyBorder="1" applyAlignment="1">
      <alignment horizontal="center"/>
    </xf>
    <xf numFmtId="188" fontId="83" fillId="8" borderId="2" xfId="0" applyNumberFormat="1" applyFont="1" applyFill="1" applyBorder="1"/>
    <xf numFmtId="188" fontId="83" fillId="8" borderId="3" xfId="0" applyNumberFormat="1" applyFont="1" applyFill="1" applyBorder="1"/>
    <xf numFmtId="188" fontId="83" fillId="2" borderId="0" xfId="0" applyNumberFormat="1" applyFont="1" applyFill="1"/>
    <xf numFmtId="188" fontId="84" fillId="2" borderId="0" xfId="46" applyNumberFormat="1" applyFont="1" applyFill="1" applyAlignment="1"/>
    <xf numFmtId="188" fontId="83" fillId="2" borderId="0" xfId="0" applyNumberFormat="1" applyFont="1" applyFill="1" applyAlignment="1">
      <alignment horizontal="center"/>
    </xf>
    <xf numFmtId="188" fontId="83" fillId="7" borderId="3" xfId="0" applyNumberFormat="1" applyFont="1" applyFill="1" applyBorder="1"/>
    <xf numFmtId="185" fontId="94" fillId="2" borderId="0" xfId="0" applyNumberFormat="1" applyFont="1" applyFill="1"/>
    <xf numFmtId="185" fontId="83" fillId="2" borderId="0" xfId="0" applyNumberFormat="1" applyFont="1" applyFill="1"/>
    <xf numFmtId="185" fontId="83" fillId="2" borderId="0" xfId="0" applyNumberFormat="1" applyFont="1" applyFill="1" applyAlignment="1"/>
    <xf numFmtId="185" fontId="110" fillId="2" borderId="0" xfId="0" applyNumberFormat="1" applyFont="1" applyFill="1"/>
    <xf numFmtId="185" fontId="94" fillId="8" borderId="0" xfId="0" applyNumberFormat="1" applyFont="1" applyFill="1"/>
    <xf numFmtId="185" fontId="95" fillId="8" borderId="0" xfId="0" applyNumberFormat="1" applyFont="1" applyFill="1"/>
    <xf numFmtId="185" fontId="83" fillId="8" borderId="0" xfId="0" applyNumberFormat="1" applyFont="1" applyFill="1"/>
    <xf numFmtId="185" fontId="83" fillId="2" borderId="0" xfId="0" applyNumberFormat="1" applyFont="1" applyFill="1" applyBorder="1"/>
    <xf numFmtId="2" fontId="54" fillId="8" borderId="0" xfId="0" applyNumberFormat="1" applyFont="1" applyFill="1" applyBorder="1" applyProtection="1">
      <protection locked="0"/>
    </xf>
    <xf numFmtId="164" fontId="54" fillId="8" borderId="0" xfId="0" applyNumberFormat="1" applyFont="1" applyFill="1" applyBorder="1" applyProtection="1">
      <protection locked="0"/>
    </xf>
    <xf numFmtId="167" fontId="7" fillId="8" borderId="0" xfId="0" applyNumberFormat="1" applyFont="1" applyFill="1" applyBorder="1" applyProtection="1">
      <protection locked="0"/>
    </xf>
    <xf numFmtId="169" fontId="0" fillId="15" borderId="0" xfId="0" applyNumberFormat="1" applyFill="1" applyBorder="1"/>
    <xf numFmtId="168" fontId="36" fillId="15" borderId="0" xfId="0" applyNumberFormat="1" applyFont="1" applyFill="1" applyBorder="1" applyProtection="1">
      <protection locked="0"/>
    </xf>
    <xf numFmtId="3" fontId="53" fillId="8" borderId="0" xfId="0" applyNumberFormat="1" applyFont="1" applyFill="1" applyBorder="1"/>
    <xf numFmtId="185" fontId="0" fillId="55" borderId="13" xfId="0" applyFill="1" applyBorder="1"/>
    <xf numFmtId="185" fontId="29" fillId="55" borderId="14" xfId="0" applyFont="1" applyFill="1" applyBorder="1"/>
    <xf numFmtId="185" fontId="29" fillId="55" borderId="36" xfId="0" applyFont="1" applyFill="1" applyBorder="1"/>
    <xf numFmtId="185" fontId="0" fillId="55" borderId="14" xfId="0" applyFill="1" applyBorder="1"/>
    <xf numFmtId="185" fontId="0" fillId="55" borderId="35" xfId="0" applyFill="1" applyBorder="1"/>
    <xf numFmtId="185" fontId="0" fillId="55" borderId="7" xfId="0" applyFill="1" applyBorder="1"/>
    <xf numFmtId="185" fontId="29" fillId="55" borderId="0" xfId="0" applyFont="1" applyFill="1" applyBorder="1"/>
    <xf numFmtId="3" fontId="30" fillId="55" borderId="17" xfId="0" applyNumberFormat="1" applyFont="1" applyFill="1" applyBorder="1" applyProtection="1">
      <protection locked="0"/>
    </xf>
    <xf numFmtId="3" fontId="30" fillId="55" borderId="0" xfId="0" applyNumberFormat="1" applyFont="1" applyFill="1" applyBorder="1" applyProtection="1">
      <protection locked="0"/>
    </xf>
    <xf numFmtId="185" fontId="87" fillId="55" borderId="0" xfId="0" applyFont="1" applyFill="1" applyBorder="1"/>
    <xf numFmtId="185" fontId="0" fillId="55" borderId="8" xfId="0" applyFill="1" applyBorder="1"/>
    <xf numFmtId="185" fontId="11" fillId="55" borderId="7" xfId="0" applyFont="1" applyFill="1" applyBorder="1"/>
    <xf numFmtId="3" fontId="54" fillId="55" borderId="17" xfId="0" applyNumberFormat="1" applyFont="1" applyFill="1" applyBorder="1" applyProtection="1">
      <protection locked="0"/>
    </xf>
    <xf numFmtId="3" fontId="54" fillId="55" borderId="0" xfId="0" applyNumberFormat="1" applyFont="1" applyFill="1" applyBorder="1" applyProtection="1">
      <protection locked="0"/>
    </xf>
    <xf numFmtId="167" fontId="54" fillId="55" borderId="17" xfId="0" applyNumberFormat="1" applyFont="1" applyFill="1" applyBorder="1" applyProtection="1">
      <protection locked="0"/>
    </xf>
    <xf numFmtId="167" fontId="54" fillId="55" borderId="0" xfId="0" applyNumberFormat="1" applyFont="1" applyFill="1" applyBorder="1" applyProtection="1">
      <protection locked="0"/>
    </xf>
    <xf numFmtId="4" fontId="54" fillId="55" borderId="17" xfId="0" applyNumberFormat="1" applyFont="1" applyFill="1" applyBorder="1" applyProtection="1">
      <protection locked="0"/>
    </xf>
    <xf numFmtId="4" fontId="54" fillId="55" borderId="0" xfId="0" applyNumberFormat="1" applyFont="1" applyFill="1" applyBorder="1" applyProtection="1">
      <protection locked="0"/>
    </xf>
    <xf numFmtId="185" fontId="7" fillId="55" borderId="7" xfId="0" applyFont="1" applyFill="1" applyBorder="1"/>
    <xf numFmtId="170" fontId="54" fillId="55" borderId="17" xfId="2" applyNumberFormat="1" applyFont="1" applyFill="1" applyBorder="1" applyProtection="1">
      <protection locked="0"/>
    </xf>
    <xf numFmtId="170" fontId="54" fillId="55" borderId="0" xfId="2" applyNumberFormat="1" applyFont="1" applyFill="1" applyBorder="1" applyProtection="1">
      <protection locked="0"/>
    </xf>
    <xf numFmtId="185" fontId="44" fillId="8" borderId="0" xfId="0" applyFont="1" applyFill="1"/>
    <xf numFmtId="185" fontId="7" fillId="8" borderId="6" xfId="0" applyFont="1" applyFill="1" applyBorder="1"/>
    <xf numFmtId="185" fontId="7" fillId="8" borderId="11" xfId="0" applyFont="1" applyFill="1" applyBorder="1"/>
    <xf numFmtId="173" fontId="7" fillId="8" borderId="0" xfId="0" applyNumberFormat="1" applyFont="1" applyFill="1" applyBorder="1" applyProtection="1">
      <protection locked="0"/>
    </xf>
    <xf numFmtId="167" fontId="54" fillId="8" borderId="0" xfId="0" applyNumberFormat="1" applyFont="1" applyFill="1" applyBorder="1" applyProtection="1">
      <protection locked="0"/>
    </xf>
    <xf numFmtId="175" fontId="7" fillId="8" borderId="0" xfId="0" applyNumberFormat="1" applyFont="1" applyFill="1" applyBorder="1" applyProtection="1">
      <protection locked="0"/>
    </xf>
    <xf numFmtId="2" fontId="30" fillId="8" borderId="0" xfId="0" applyNumberFormat="1" applyFont="1" applyFill="1" applyBorder="1"/>
    <xf numFmtId="166" fontId="31" fillId="8" borderId="0" xfId="2" applyNumberFormat="1" applyFont="1" applyFill="1" applyBorder="1"/>
    <xf numFmtId="169" fontId="31" fillId="8" borderId="0" xfId="0" applyNumberFormat="1" applyFont="1" applyFill="1" applyBorder="1" applyProtection="1">
      <protection locked="0"/>
    </xf>
    <xf numFmtId="168" fontId="31" fillId="8" borderId="0" xfId="0" applyNumberFormat="1" applyFont="1" applyFill="1" applyBorder="1" applyProtection="1">
      <protection locked="0"/>
    </xf>
    <xf numFmtId="168" fontId="0" fillId="8" borderId="0" xfId="0" applyNumberFormat="1" applyFill="1" applyBorder="1"/>
    <xf numFmtId="185" fontId="33" fillId="8" borderId="9" xfId="0" applyFont="1" applyFill="1" applyBorder="1"/>
    <xf numFmtId="185" fontId="30" fillId="8" borderId="10" xfId="0" applyFont="1" applyFill="1" applyBorder="1"/>
    <xf numFmtId="185" fontId="53" fillId="8" borderId="0" xfId="0" applyFont="1" applyFill="1"/>
    <xf numFmtId="167" fontId="0" fillId="8" borderId="0" xfId="0" applyNumberFormat="1" applyFill="1"/>
    <xf numFmtId="185" fontId="155" fillId="0" borderId="0" xfId="52" applyNumberFormat="1" applyFont="1" applyFill="1" applyAlignment="1" applyProtection="1"/>
    <xf numFmtId="175" fontId="0" fillId="8" borderId="0" xfId="1" applyNumberFormat="1" applyFont="1" applyFill="1"/>
    <xf numFmtId="185" fontId="0" fillId="8" borderId="0" xfId="0" applyFill="1" applyAlignment="1">
      <alignment horizontal="right"/>
    </xf>
    <xf numFmtId="175" fontId="88" fillId="8" borderId="0" xfId="1" applyNumberFormat="1" applyFont="1" applyFill="1" applyBorder="1"/>
    <xf numFmtId="185" fontId="0" fillId="8" borderId="75" xfId="0" applyFill="1" applyBorder="1" applyAlignment="1">
      <alignment horizontal="center"/>
    </xf>
    <xf numFmtId="185" fontId="0" fillId="8" borderId="44" xfId="0" applyFill="1" applyBorder="1" applyAlignment="1">
      <alignment horizontal="center" vertical="center"/>
    </xf>
    <xf numFmtId="173" fontId="7" fillId="8" borderId="3" xfId="0" applyNumberFormat="1" applyFont="1" applyFill="1" applyBorder="1" applyAlignment="1" applyProtection="1">
      <alignment horizontal="center" vertical="center"/>
      <protection locked="0"/>
    </xf>
    <xf numFmtId="173" fontId="7" fillId="8" borderId="20" xfId="0" applyNumberFormat="1" applyFont="1" applyFill="1" applyBorder="1" applyAlignment="1" applyProtection="1">
      <alignment horizontal="center" vertical="center"/>
      <protection locked="0"/>
    </xf>
    <xf numFmtId="173" fontId="7" fillId="8" borderId="21" xfId="0" applyNumberFormat="1" applyFont="1" applyFill="1" applyBorder="1" applyAlignment="1" applyProtection="1">
      <alignment horizontal="center" vertical="center"/>
      <protection locked="0"/>
    </xf>
    <xf numFmtId="173" fontId="7" fillId="8" borderId="44" xfId="0" applyNumberFormat="1" applyFont="1" applyFill="1" applyBorder="1" applyAlignment="1" applyProtection="1">
      <alignment horizontal="center" vertical="center"/>
      <protection locked="0"/>
    </xf>
    <xf numFmtId="173" fontId="7" fillId="8" borderId="3" xfId="0" applyNumberFormat="1" applyFont="1" applyFill="1" applyBorder="1" applyAlignment="1" applyProtection="1">
      <alignment horizontal="center" vertical="center" wrapText="1"/>
      <protection locked="0"/>
    </xf>
    <xf numFmtId="173" fontId="7" fillId="8" borderId="26" xfId="0" applyNumberFormat="1" applyFont="1" applyFill="1" applyBorder="1" applyAlignment="1" applyProtection="1">
      <alignment horizontal="center" vertical="center" wrapText="1"/>
      <protection locked="0"/>
    </xf>
    <xf numFmtId="173" fontId="7" fillId="8" borderId="51" xfId="0" applyNumberFormat="1" applyFont="1" applyFill="1" applyBorder="1" applyProtection="1">
      <protection locked="0"/>
    </xf>
    <xf numFmtId="3" fontId="7" fillId="8" borderId="0" xfId="0" applyNumberFormat="1" applyFont="1" applyFill="1" applyBorder="1" applyAlignment="1" applyProtection="1">
      <alignment horizontal="center"/>
      <protection locked="0"/>
    </xf>
    <xf numFmtId="3" fontId="7" fillId="8" borderId="0" xfId="0" applyNumberFormat="1" applyFont="1" applyFill="1" applyBorder="1" applyAlignment="1" applyProtection="1">
      <alignment horizontal="center" vertical="center"/>
      <protection locked="0"/>
    </xf>
    <xf numFmtId="185" fontId="30" fillId="8" borderId="17" xfId="0" applyFont="1" applyFill="1" applyBorder="1" applyAlignment="1" applyProtection="1">
      <alignment horizontal="center" vertical="center"/>
      <protection locked="0"/>
    </xf>
    <xf numFmtId="9" fontId="30" fillId="8" borderId="0" xfId="2" applyFont="1" applyFill="1" applyBorder="1" applyAlignment="1" applyProtection="1">
      <alignment horizontal="center" vertical="center"/>
      <protection locked="0"/>
    </xf>
    <xf numFmtId="9" fontId="30" fillId="8" borderId="18" xfId="2" applyFont="1" applyFill="1" applyBorder="1" applyAlignment="1" applyProtection="1">
      <alignment horizontal="center" vertical="center"/>
      <protection locked="0"/>
    </xf>
    <xf numFmtId="4" fontId="7" fillId="8" borderId="43" xfId="0" applyNumberFormat="1" applyFont="1" applyFill="1" applyBorder="1" applyAlignment="1" applyProtection="1">
      <alignment horizontal="center" vertical="center"/>
      <protection locked="0"/>
    </xf>
    <xf numFmtId="3" fontId="53" fillId="8" borderId="0" xfId="0" applyNumberFormat="1" applyFont="1" applyFill="1" applyBorder="1" applyAlignment="1" applyProtection="1">
      <alignment horizontal="center" vertical="center"/>
      <protection locked="0"/>
    </xf>
    <xf numFmtId="3" fontId="53" fillId="8" borderId="8" xfId="0" applyNumberFormat="1" applyFont="1" applyFill="1" applyBorder="1" applyAlignment="1" applyProtection="1">
      <alignment horizontal="center" vertical="center"/>
      <protection locked="0"/>
    </xf>
    <xf numFmtId="173" fontId="7" fillId="8" borderId="7" xfId="0" applyNumberFormat="1" applyFont="1" applyFill="1" applyBorder="1" applyProtection="1">
      <protection locked="0"/>
    </xf>
    <xf numFmtId="4" fontId="7" fillId="8" borderId="44" xfId="0" applyNumberFormat="1" applyFont="1" applyFill="1" applyBorder="1" applyAlignment="1" applyProtection="1">
      <alignment horizontal="center" vertical="center"/>
      <protection locked="0"/>
    </xf>
    <xf numFmtId="185" fontId="0" fillId="8" borderId="76" xfId="0" applyFill="1" applyBorder="1"/>
    <xf numFmtId="185" fontId="0" fillId="8" borderId="74" xfId="0" applyFill="1" applyBorder="1"/>
    <xf numFmtId="3" fontId="7" fillId="8" borderId="77" xfId="0" applyNumberFormat="1" applyFont="1" applyFill="1" applyBorder="1" applyAlignment="1" applyProtection="1">
      <alignment horizontal="center" vertical="center"/>
      <protection locked="0"/>
    </xf>
    <xf numFmtId="3" fontId="7" fillId="8" borderId="78" xfId="0" applyNumberFormat="1" applyFont="1" applyFill="1" applyBorder="1" applyAlignment="1" applyProtection="1">
      <alignment horizontal="center" vertical="center"/>
      <protection locked="0"/>
    </xf>
    <xf numFmtId="3" fontId="7" fillId="8" borderId="72" xfId="0" applyNumberFormat="1" applyFont="1" applyFill="1" applyBorder="1" applyAlignment="1" applyProtection="1">
      <alignment horizontal="center" vertical="center"/>
      <protection locked="0"/>
    </xf>
    <xf numFmtId="4" fontId="7" fillId="8" borderId="77" xfId="0" applyNumberFormat="1" applyFont="1" applyFill="1" applyBorder="1" applyAlignment="1" applyProtection="1">
      <alignment horizontal="center" vertical="center"/>
      <protection locked="0"/>
    </xf>
    <xf numFmtId="3" fontId="7" fillId="8" borderId="79" xfId="0" applyNumberFormat="1" applyFont="1" applyFill="1" applyBorder="1" applyAlignment="1" applyProtection="1">
      <alignment horizontal="center" vertical="center"/>
      <protection locked="0"/>
    </xf>
    <xf numFmtId="190" fontId="29" fillId="8" borderId="0" xfId="0" applyNumberFormat="1" applyFont="1" applyFill="1" applyBorder="1" applyAlignment="1">
      <alignment horizontal="right"/>
    </xf>
    <xf numFmtId="187" fontId="87" fillId="8" borderId="29" xfId="52" applyNumberFormat="1" applyFill="1" applyBorder="1" applyAlignment="1"/>
    <xf numFmtId="187" fontId="0" fillId="8" borderId="29" xfId="0" applyNumberFormat="1" applyFill="1" applyBorder="1"/>
    <xf numFmtId="185" fontId="84" fillId="8" borderId="2" xfId="0" applyFont="1" applyFill="1" applyBorder="1" applyAlignment="1">
      <alignment horizontal="center" vertical="center" wrapText="1"/>
    </xf>
    <xf numFmtId="187" fontId="7" fillId="2" borderId="17" xfId="0" applyNumberFormat="1" applyFont="1" applyFill="1" applyBorder="1" applyProtection="1">
      <protection locked="0"/>
    </xf>
    <xf numFmtId="181" fontId="87" fillId="8" borderId="0" xfId="52" applyNumberFormat="1" applyFill="1" applyBorder="1" applyAlignment="1" applyProtection="1">
      <protection locked="0"/>
    </xf>
    <xf numFmtId="185" fontId="0" fillId="2" borderId="0" xfId="0" applyFont="1" applyFill="1" applyBorder="1"/>
    <xf numFmtId="187" fontId="7" fillId="2" borderId="0" xfId="0" applyNumberFormat="1" applyFont="1" applyFill="1" applyBorder="1" applyProtection="1">
      <protection locked="0"/>
    </xf>
    <xf numFmtId="188" fontId="53" fillId="8" borderId="17" xfId="0" applyNumberFormat="1" applyFont="1" applyFill="1" applyBorder="1"/>
    <xf numFmtId="185" fontId="7" fillId="2" borderId="17" xfId="0" applyNumberFormat="1" applyFont="1" applyFill="1" applyBorder="1" applyProtection="1">
      <protection locked="0"/>
    </xf>
    <xf numFmtId="185" fontId="7" fillId="2" borderId="0" xfId="0" applyNumberFormat="1" applyFont="1" applyFill="1" applyBorder="1" applyProtection="1">
      <protection locked="0"/>
    </xf>
    <xf numFmtId="9" fontId="7" fillId="2" borderId="24" xfId="2" applyFont="1" applyFill="1" applyBorder="1" applyProtection="1">
      <protection locked="0"/>
    </xf>
    <xf numFmtId="9" fontId="7" fillId="2" borderId="10" xfId="2" applyFont="1" applyFill="1" applyBorder="1" applyProtection="1">
      <protection locked="0"/>
    </xf>
    <xf numFmtId="185" fontId="30" fillId="2" borderId="5" xfId="0" applyFont="1" applyFill="1" applyBorder="1" applyProtection="1">
      <protection locked="0"/>
    </xf>
    <xf numFmtId="185" fontId="35" fillId="2" borderId="5" xfId="0" applyFont="1" applyFill="1" applyBorder="1" applyAlignment="1">
      <alignment horizontal="left"/>
    </xf>
    <xf numFmtId="164" fontId="30" fillId="2" borderId="0" xfId="0" applyNumberFormat="1" applyFont="1" applyFill="1" applyBorder="1"/>
    <xf numFmtId="188" fontId="0" fillId="7" borderId="0" xfId="0" applyNumberFormat="1" applyFill="1" applyBorder="1"/>
    <xf numFmtId="187" fontId="0" fillId="8" borderId="0" xfId="0" applyNumberFormat="1" applyFont="1" applyFill="1"/>
    <xf numFmtId="187" fontId="53" fillId="2" borderId="17" xfId="0" applyNumberFormat="1" applyFont="1" applyFill="1" applyBorder="1" applyProtection="1">
      <protection locked="0"/>
    </xf>
    <xf numFmtId="2" fontId="31" fillId="8" borderId="17" xfId="0" applyNumberFormat="1" applyFont="1" applyFill="1" applyBorder="1"/>
    <xf numFmtId="186" fontId="7" fillId="2" borderId="17" xfId="0" applyNumberFormat="1" applyFont="1" applyFill="1" applyBorder="1" applyProtection="1">
      <protection locked="0"/>
    </xf>
    <xf numFmtId="185" fontId="0" fillId="16" borderId="0" xfId="0" applyFill="1"/>
    <xf numFmtId="43" fontId="0" fillId="16" borderId="0" xfId="0" applyNumberFormat="1" applyFill="1" applyBorder="1"/>
    <xf numFmtId="175" fontId="7" fillId="2" borderId="0" xfId="0" applyNumberFormat="1" applyFont="1" applyFill="1" applyBorder="1" applyAlignment="1">
      <alignment horizontal="left" indent="1"/>
    </xf>
    <xf numFmtId="164" fontId="7" fillId="2" borderId="0" xfId="0" applyNumberFormat="1" applyFont="1" applyFill="1" applyBorder="1"/>
    <xf numFmtId="185" fontId="0" fillId="8" borderId="0" xfId="0" applyBorder="1"/>
    <xf numFmtId="187" fontId="53" fillId="2" borderId="24" xfId="0" applyNumberFormat="1" applyFont="1" applyFill="1" applyBorder="1" applyProtection="1">
      <protection locked="0"/>
    </xf>
    <xf numFmtId="185" fontId="35" fillId="2" borderId="10" xfId="0" applyFont="1" applyFill="1" applyBorder="1" applyAlignment="1">
      <alignment horizontal="left"/>
    </xf>
    <xf numFmtId="185" fontId="7" fillId="2" borderId="5" xfId="0" applyFont="1" applyFill="1" applyBorder="1" applyProtection="1">
      <protection locked="0"/>
    </xf>
    <xf numFmtId="187" fontId="53" fillId="2" borderId="0" xfId="0" applyNumberFormat="1" applyFont="1" applyFill="1" applyBorder="1" applyProtection="1">
      <protection locked="0"/>
    </xf>
    <xf numFmtId="175" fontId="0" fillId="2" borderId="17" xfId="0" applyNumberFormat="1" applyFill="1" applyBorder="1" applyProtection="1">
      <protection locked="0"/>
    </xf>
    <xf numFmtId="175" fontId="0" fillId="2" borderId="0" xfId="0" applyNumberFormat="1" applyFill="1" applyBorder="1" applyProtection="1">
      <protection locked="0"/>
    </xf>
    <xf numFmtId="185" fontId="54" fillId="8" borderId="0" xfId="0" applyFont="1" applyFill="1" applyBorder="1"/>
    <xf numFmtId="186" fontId="0" fillId="5" borderId="0" xfId="0" applyNumberFormat="1" applyFill="1"/>
    <xf numFmtId="4" fontId="94" fillId="8" borderId="1" xfId="0" applyNumberFormat="1" applyFont="1" applyFill="1" applyBorder="1"/>
    <xf numFmtId="185" fontId="0" fillId="8" borderId="0" xfId="0" applyFill="1"/>
    <xf numFmtId="185" fontId="0" fillId="55" borderId="0" xfId="0" applyFill="1"/>
    <xf numFmtId="185" fontId="140" fillId="55" borderId="0" xfId="0" applyFont="1" applyFill="1"/>
    <xf numFmtId="185" fontId="0" fillId="8" borderId="1" xfId="0" applyFill="1" applyBorder="1" applyAlignment="1">
      <alignment horizontal="center" vertical="center" wrapText="1"/>
    </xf>
    <xf numFmtId="185" fontId="140" fillId="8" borderId="1" xfId="0" applyFont="1" applyFill="1" applyBorder="1" applyAlignment="1">
      <alignment horizontal="center" vertical="center" wrapText="1"/>
    </xf>
    <xf numFmtId="185" fontId="0" fillId="8" borderId="1" xfId="0" applyFill="1" applyBorder="1"/>
    <xf numFmtId="185" fontId="51" fillId="8" borderId="1" xfId="0" applyFont="1" applyFill="1" applyBorder="1" applyAlignment="1">
      <alignment horizontal="center" vertical="center"/>
    </xf>
    <xf numFmtId="185" fontId="0" fillId="55" borderId="0" xfId="0" applyFill="1" applyAlignment="1">
      <alignment horizontal="center"/>
    </xf>
    <xf numFmtId="185" fontId="141" fillId="8" borderId="1" xfId="0" applyFont="1" applyFill="1" applyBorder="1" applyAlignment="1">
      <alignment horizontal="center" vertical="center" wrapText="1"/>
    </xf>
    <xf numFmtId="185" fontId="53" fillId="8" borderId="0" xfId="0" applyFont="1" applyFill="1"/>
    <xf numFmtId="185" fontId="7" fillId="8" borderId="0" xfId="0" applyFont="1" applyFill="1" applyAlignment="1">
      <alignment horizontal="left"/>
    </xf>
    <xf numFmtId="185" fontId="7" fillId="8" borderId="0" xfId="0" applyFont="1" applyFill="1" applyAlignment="1">
      <alignment horizontal="left"/>
    </xf>
    <xf numFmtId="171" fontId="0" fillId="55" borderId="0" xfId="0" applyNumberFormat="1" applyFill="1"/>
    <xf numFmtId="185" fontId="0" fillId="55" borderId="0" xfId="0" applyFont="1" applyFill="1"/>
    <xf numFmtId="185" fontId="7" fillId="8" borderId="0" xfId="0" applyFont="1" applyFill="1" applyAlignment="1">
      <alignment horizontal="center"/>
    </xf>
    <xf numFmtId="3" fontId="88" fillId="56" borderId="0" xfId="54" applyBorder="1"/>
    <xf numFmtId="3" fontId="87" fillId="8" borderId="0" xfId="52" applyNumberFormat="1" applyFill="1" applyAlignment="1"/>
    <xf numFmtId="185" fontId="0" fillId="8" borderId="2" xfId="0" applyFill="1" applyBorder="1"/>
    <xf numFmtId="185" fontId="0" fillId="8" borderId="0" xfId="0" applyFill="1" applyBorder="1"/>
    <xf numFmtId="185" fontId="0" fillId="8" borderId="3" xfId="0" applyFill="1" applyBorder="1"/>
    <xf numFmtId="3" fontId="88" fillId="56" borderId="2" xfId="54" applyBorder="1"/>
    <xf numFmtId="3" fontId="88" fillId="56" borderId="3" xfId="54" applyBorder="1"/>
    <xf numFmtId="4" fontId="7" fillId="8" borderId="0" xfId="0" applyNumberFormat="1" applyFont="1" applyFill="1"/>
    <xf numFmtId="4" fontId="0" fillId="8" borderId="1" xfId="0" applyNumberFormat="1" applyFill="1" applyBorder="1"/>
    <xf numFmtId="3" fontId="88" fillId="56" borderId="0" xfId="54" applyBorder="1" applyAlignment="1">
      <alignment horizontal="center"/>
    </xf>
    <xf numFmtId="9" fontId="88" fillId="56" borderId="0" xfId="2" applyFont="1" applyFill="1" applyBorder="1" applyAlignment="1">
      <alignment horizontal="center"/>
    </xf>
    <xf numFmtId="3" fontId="7" fillId="8" borderId="0" xfId="53" applyBorder="1"/>
    <xf numFmtId="9" fontId="0" fillId="7" borderId="0" xfId="2" applyFont="1" applyFill="1" applyBorder="1"/>
    <xf numFmtId="9" fontId="0" fillId="7" borderId="10" xfId="2" applyFont="1" applyFill="1" applyBorder="1"/>
    <xf numFmtId="9" fontId="0" fillId="8" borderId="1" xfId="2" applyFont="1" applyFill="1" applyBorder="1" applyAlignment="1">
      <alignment horizontal="center" vertical="center"/>
    </xf>
    <xf numFmtId="9" fontId="51" fillId="8" borderId="1" xfId="2" applyFont="1" applyFill="1" applyBorder="1" applyAlignment="1">
      <alignment horizontal="center" vertical="center"/>
    </xf>
    <xf numFmtId="4" fontId="7" fillId="8" borderId="0" xfId="0" applyNumberFormat="1" applyFont="1" applyFill="1" applyAlignment="1">
      <alignment horizontal="center"/>
    </xf>
    <xf numFmtId="173" fontId="7" fillId="8" borderId="0" xfId="0" applyNumberFormat="1" applyFont="1" applyFill="1" applyAlignment="1">
      <alignment horizontal="center"/>
    </xf>
    <xf numFmtId="199" fontId="94" fillId="8" borderId="0" xfId="0" applyNumberFormat="1" applyFont="1" applyFill="1" applyBorder="1"/>
    <xf numFmtId="3" fontId="88" fillId="56" borderId="2" xfId="54" applyBorder="1" applyAlignment="1">
      <alignment horizontal="right"/>
    </xf>
    <xf numFmtId="3" fontId="88" fillId="56" borderId="0" xfId="54" applyBorder="1" applyAlignment="1">
      <alignment horizontal="right"/>
    </xf>
    <xf numFmtId="3" fontId="88" fillId="56" borderId="3" xfId="54" applyBorder="1" applyAlignment="1">
      <alignment horizontal="right"/>
    </xf>
    <xf numFmtId="185" fontId="90" fillId="53" borderId="2" xfId="4" applyNumberFormat="1" applyFont="1" applyBorder="1"/>
    <xf numFmtId="185" fontId="90" fillId="53" borderId="2" xfId="4" applyNumberFormat="1" applyFont="1" applyBorder="1" applyAlignment="1">
      <alignment horizontal="right"/>
    </xf>
    <xf numFmtId="188" fontId="0" fillId="8" borderId="1" xfId="0" applyNumberFormat="1" applyFont="1" applyFill="1" applyBorder="1"/>
    <xf numFmtId="189" fontId="0" fillId="8" borderId="0" xfId="0" applyNumberFormat="1" applyFill="1"/>
    <xf numFmtId="9" fontId="0" fillId="8" borderId="3" xfId="2" applyFont="1" applyFill="1" applyBorder="1"/>
    <xf numFmtId="186" fontId="0" fillId="8" borderId="1" xfId="0" applyNumberFormat="1" applyFill="1" applyBorder="1"/>
    <xf numFmtId="9" fontId="0" fillId="8" borderId="1" xfId="2" applyFont="1" applyFill="1" applyBorder="1"/>
    <xf numFmtId="185" fontId="131" fillId="8" borderId="0" xfId="0" applyFont="1" applyFill="1" applyBorder="1" applyAlignment="1">
      <alignment horizontal="left"/>
    </xf>
    <xf numFmtId="164" fontId="131" fillId="8" borderId="0" xfId="1" applyFont="1" applyFill="1" applyBorder="1" applyAlignment="1">
      <alignment horizontal="left"/>
    </xf>
    <xf numFmtId="185" fontId="131" fillId="8" borderId="10" xfId="0" applyFont="1" applyFill="1" applyBorder="1" applyAlignment="1">
      <alignment horizontal="left"/>
    </xf>
    <xf numFmtId="175" fontId="100" fillId="8" borderId="0" xfId="1" applyNumberFormat="1" applyFont="1" applyFill="1" applyBorder="1"/>
    <xf numFmtId="185" fontId="5" fillId="8" borderId="10" xfId="0" applyFont="1" applyFill="1" applyBorder="1" applyAlignment="1">
      <alignment horizontal="left"/>
    </xf>
    <xf numFmtId="0" fontId="0" fillId="2" borderId="0" xfId="0" applyNumberFormat="1" applyFill="1"/>
    <xf numFmtId="185" fontId="0" fillId="2" borderId="80" xfId="0" applyFill="1" applyBorder="1"/>
    <xf numFmtId="185" fontId="0" fillId="2" borderId="50" xfId="0" applyFill="1" applyBorder="1"/>
    <xf numFmtId="185" fontId="89" fillId="2" borderId="6" xfId="0" applyFont="1" applyFill="1" applyBorder="1"/>
    <xf numFmtId="185" fontId="89" fillId="2" borderId="48" xfId="0" applyFont="1" applyFill="1" applyBorder="1"/>
    <xf numFmtId="185" fontId="0" fillId="2" borderId="43" xfId="0" applyFill="1" applyBorder="1" applyAlignment="1"/>
    <xf numFmtId="9" fontId="88" fillId="8" borderId="0" xfId="2" applyFont="1" applyFill="1" applyBorder="1"/>
    <xf numFmtId="175" fontId="0" fillId="8" borderId="0" xfId="1" applyNumberFormat="1" applyFont="1" applyFill="1" applyBorder="1"/>
    <xf numFmtId="164" fontId="88" fillId="8" borderId="0" xfId="1" applyNumberFormat="1" applyFont="1" applyFill="1" applyBorder="1"/>
    <xf numFmtId="164" fontId="0" fillId="8" borderId="0" xfId="1" applyNumberFormat="1" applyFont="1" applyFill="1" applyBorder="1"/>
    <xf numFmtId="188" fontId="88" fillId="8" borderId="0" xfId="0" applyNumberFormat="1" applyFont="1" applyFill="1" applyBorder="1"/>
    <xf numFmtId="185" fontId="88" fillId="8" borderId="0" xfId="0" applyFont="1" applyFill="1" applyBorder="1"/>
    <xf numFmtId="185" fontId="29" fillId="8" borderId="5" xfId="0" applyFont="1" applyFill="1" applyBorder="1"/>
    <xf numFmtId="188" fontId="0" fillId="8" borderId="5" xfId="0" applyNumberFormat="1" applyFill="1" applyBorder="1"/>
    <xf numFmtId="185" fontId="0" fillId="8" borderId="9" xfId="0" applyFill="1" applyBorder="1" applyAlignment="1">
      <alignment horizontal="left" indent="1"/>
    </xf>
    <xf numFmtId="170" fontId="35" fillId="8" borderId="0" xfId="0" applyNumberFormat="1" applyFont="1" applyFill="1" applyBorder="1" applyAlignment="1">
      <alignment vertical="center"/>
    </xf>
    <xf numFmtId="181" fontId="7" fillId="8" borderId="0" xfId="1" applyNumberFormat="1" applyFont="1" applyFill="1" applyBorder="1" applyAlignment="1">
      <alignment vertical="center"/>
    </xf>
    <xf numFmtId="170" fontId="53" fillId="8" borderId="0" xfId="0" applyNumberFormat="1" applyFont="1" applyFill="1" applyBorder="1" applyAlignment="1">
      <alignment vertical="center"/>
    </xf>
    <xf numFmtId="171" fontId="7" fillId="8" borderId="0" xfId="0" applyNumberFormat="1" applyFont="1" applyFill="1" applyBorder="1" applyAlignment="1" applyProtection="1">
      <alignment vertical="center"/>
      <protection locked="0"/>
    </xf>
    <xf numFmtId="169" fontId="51" fillId="8" borderId="0" xfId="0" applyNumberFormat="1" applyFont="1" applyFill="1" applyBorder="1" applyAlignment="1">
      <alignment vertical="center"/>
    </xf>
    <xf numFmtId="9" fontId="53" fillId="8" borderId="0" xfId="2" applyFont="1" applyFill="1" applyBorder="1" applyAlignment="1">
      <alignment vertical="center"/>
    </xf>
    <xf numFmtId="174" fontId="7" fillId="8" borderId="0" xfId="1" applyNumberFormat="1" applyFont="1" applyFill="1" applyBorder="1" applyAlignment="1">
      <alignment vertical="center"/>
    </xf>
    <xf numFmtId="185" fontId="7" fillId="8" borderId="0" xfId="0" applyFont="1" applyFill="1" applyBorder="1" applyAlignment="1">
      <alignment vertical="center"/>
    </xf>
    <xf numFmtId="175" fontId="7" fillId="8" borderId="0" xfId="1" applyNumberFormat="1" applyFont="1" applyFill="1" applyBorder="1" applyAlignment="1">
      <alignment vertical="center"/>
    </xf>
    <xf numFmtId="182" fontId="7" fillId="8" borderId="0" xfId="1" applyNumberFormat="1" applyFont="1" applyFill="1" applyBorder="1" applyAlignment="1">
      <alignment vertical="center"/>
    </xf>
    <xf numFmtId="188" fontId="7" fillId="8" borderId="0" xfId="0" applyNumberFormat="1" applyFont="1" applyFill="1" applyBorder="1" applyAlignment="1">
      <alignment vertical="center"/>
    </xf>
    <xf numFmtId="186" fontId="7" fillId="8" borderId="0" xfId="0" applyNumberFormat="1" applyFont="1" applyFill="1" applyBorder="1" applyAlignment="1">
      <alignment vertical="center"/>
    </xf>
    <xf numFmtId="185" fontId="7" fillId="8" borderId="10" xfId="0" applyFont="1" applyFill="1" applyBorder="1" applyAlignment="1">
      <alignment vertical="center"/>
    </xf>
    <xf numFmtId="164" fontId="0" fillId="8" borderId="0" xfId="1" applyFont="1" applyFill="1"/>
    <xf numFmtId="181" fontId="0" fillId="8" borderId="0" xfId="1" applyNumberFormat="1" applyFont="1" applyFill="1"/>
    <xf numFmtId="185" fontId="0" fillId="8" borderId="33" xfId="0" applyFill="1" applyBorder="1"/>
    <xf numFmtId="185" fontId="0" fillId="8" borderId="34" xfId="0" applyFill="1" applyBorder="1"/>
    <xf numFmtId="185" fontId="88" fillId="8" borderId="31" xfId="0" applyFont="1" applyFill="1" applyBorder="1"/>
    <xf numFmtId="4" fontId="7" fillId="8" borderId="0" xfId="0" applyNumberFormat="1" applyFont="1" applyFill="1" applyBorder="1" applyAlignment="1" applyProtection="1">
      <alignment vertical="center"/>
      <protection locked="0"/>
    </xf>
    <xf numFmtId="185" fontId="131" fillId="8" borderId="82" xfId="0" applyFont="1" applyFill="1" applyBorder="1"/>
    <xf numFmtId="185" fontId="132" fillId="8" borderId="50" xfId="0" applyFont="1" applyFill="1" applyBorder="1" applyAlignment="1">
      <alignment horizontal="center"/>
    </xf>
    <xf numFmtId="185" fontId="131" fillId="8" borderId="50" xfId="0" applyFont="1" applyFill="1" applyBorder="1"/>
    <xf numFmtId="185" fontId="131" fillId="8" borderId="50" xfId="0" applyFont="1" applyFill="1" applyBorder="1" applyAlignment="1">
      <alignment horizontal="right"/>
    </xf>
    <xf numFmtId="185" fontId="131" fillId="8" borderId="81" xfId="0" applyFont="1" applyFill="1" applyBorder="1" applyAlignment="1">
      <alignment horizontal="right"/>
    </xf>
    <xf numFmtId="185" fontId="0" fillId="8" borderId="81" xfId="0" applyFont="1" applyFill="1" applyBorder="1"/>
    <xf numFmtId="185" fontId="0" fillId="8" borderId="23" xfId="0" applyFont="1" applyFill="1" applyBorder="1"/>
    <xf numFmtId="9" fontId="0" fillId="8" borderId="24" xfId="2" applyFont="1" applyFill="1" applyBorder="1"/>
    <xf numFmtId="185" fontId="0" fillId="8" borderId="50" xfId="0" applyFont="1" applyFill="1" applyBorder="1"/>
    <xf numFmtId="185" fontId="88" fillId="8" borderId="0" xfId="0" applyNumberFormat="1" applyFont="1" applyFill="1" applyBorder="1" applyProtection="1">
      <protection locked="0"/>
    </xf>
    <xf numFmtId="164" fontId="0" fillId="8" borderId="0" xfId="1" applyFont="1" applyFill="1" applyBorder="1" applyProtection="1">
      <protection locked="0"/>
    </xf>
    <xf numFmtId="2" fontId="88" fillId="8" borderId="0" xfId="0" applyNumberFormat="1" applyFont="1" applyFill="1" applyBorder="1" applyProtection="1">
      <protection locked="0"/>
    </xf>
    <xf numFmtId="185" fontId="143" fillId="8" borderId="0" xfId="0" applyFont="1" applyFill="1" applyBorder="1"/>
    <xf numFmtId="185" fontId="143" fillId="8" borderId="7" xfId="0" applyFont="1" applyFill="1" applyBorder="1"/>
    <xf numFmtId="185" fontId="0" fillId="8" borderId="0" xfId="0" applyFont="1" applyFill="1" applyBorder="1" applyAlignment="1"/>
    <xf numFmtId="185" fontId="132" fillId="8" borderId="7" xfId="0" applyFont="1" applyFill="1" applyBorder="1" applyAlignment="1">
      <alignment horizontal="center"/>
    </xf>
    <xf numFmtId="185" fontId="131" fillId="8" borderId="7" xfId="0" applyFont="1" applyFill="1" applyBorder="1" applyAlignment="1">
      <alignment horizontal="right"/>
    </xf>
    <xf numFmtId="185" fontId="0" fillId="8" borderId="48" xfId="0" applyFont="1" applyFill="1" applyBorder="1"/>
    <xf numFmtId="9" fontId="0" fillId="8" borderId="74" xfId="2" applyFont="1" applyFill="1" applyBorder="1"/>
    <xf numFmtId="185" fontId="0" fillId="8" borderId="64" xfId="0" applyFont="1" applyFill="1" applyBorder="1"/>
    <xf numFmtId="190" fontId="144" fillId="8" borderId="0" xfId="0" applyNumberFormat="1" applyFont="1" applyFill="1" applyBorder="1"/>
    <xf numFmtId="2" fontId="0" fillId="8" borderId="0" xfId="52" applyNumberFormat="1" applyFont="1" applyFill="1" applyBorder="1" applyAlignment="1" applyProtection="1">
      <protection locked="0"/>
    </xf>
    <xf numFmtId="164" fontId="145" fillId="8" borderId="0" xfId="1" applyFont="1" applyFill="1" applyBorder="1" applyProtection="1">
      <protection locked="0"/>
    </xf>
    <xf numFmtId="1" fontId="88" fillId="8" borderId="0" xfId="0" applyNumberFormat="1" applyFont="1" applyFill="1" applyBorder="1" applyProtection="1">
      <protection locked="0"/>
    </xf>
    <xf numFmtId="185" fontId="143" fillId="8" borderId="0" xfId="0" applyFont="1" applyFill="1" applyBorder="1" applyAlignment="1">
      <alignment horizontal="right"/>
    </xf>
    <xf numFmtId="176" fontId="0" fillId="8" borderId="0" xfId="1" applyNumberFormat="1" applyFont="1" applyFill="1" applyBorder="1" applyProtection="1">
      <protection locked="0"/>
    </xf>
    <xf numFmtId="9" fontId="123" fillId="8" borderId="0" xfId="2" applyFont="1" applyFill="1" applyBorder="1"/>
    <xf numFmtId="9" fontId="0" fillId="8" borderId="0" xfId="2" applyFont="1" applyFill="1" applyBorder="1" applyProtection="1">
      <protection locked="0"/>
    </xf>
    <xf numFmtId="185" fontId="146" fillId="8" borderId="18" xfId="0" applyFont="1" applyFill="1" applyBorder="1"/>
    <xf numFmtId="164" fontId="0" fillId="8" borderId="0" xfId="1" applyNumberFormat="1" applyFont="1" applyFill="1" applyBorder="1" applyProtection="1">
      <protection locked="0"/>
    </xf>
    <xf numFmtId="185" fontId="146" fillId="8" borderId="0" xfId="0" applyFont="1" applyFill="1" applyBorder="1"/>
    <xf numFmtId="185" fontId="130" fillId="8" borderId="7" xfId="0" applyFont="1" applyFill="1" applyBorder="1" applyAlignment="1">
      <alignment horizontal="left"/>
    </xf>
    <xf numFmtId="185" fontId="130" fillId="8" borderId="0" xfId="0" applyFont="1" applyFill="1" applyBorder="1" applyAlignment="1">
      <alignment horizontal="left"/>
    </xf>
    <xf numFmtId="185" fontId="0" fillId="8" borderId="31" xfId="0" applyFont="1" applyFill="1" applyBorder="1"/>
    <xf numFmtId="185" fontId="0" fillId="8" borderId="32" xfId="0" applyFont="1" applyFill="1" applyBorder="1"/>
    <xf numFmtId="164" fontId="0" fillId="8" borderId="0" xfId="1" applyFont="1" applyFill="1" applyBorder="1"/>
    <xf numFmtId="176" fontId="88" fillId="8" borderId="0" xfId="1" applyNumberFormat="1" applyFont="1" applyFill="1" applyBorder="1" applyProtection="1">
      <protection locked="0"/>
    </xf>
    <xf numFmtId="175" fontId="88" fillId="8" borderId="0" xfId="1" applyNumberFormat="1" applyFont="1" applyFill="1" applyBorder="1" applyProtection="1">
      <protection locked="0"/>
    </xf>
    <xf numFmtId="185" fontId="0" fillId="8" borderId="83" xfId="0" applyFont="1" applyFill="1" applyBorder="1"/>
    <xf numFmtId="188" fontId="0" fillId="8" borderId="41" xfId="0" applyNumberFormat="1" applyFont="1" applyFill="1" applyBorder="1"/>
    <xf numFmtId="188" fontId="0" fillId="8" borderId="78" xfId="0" applyNumberFormat="1" applyFont="1" applyFill="1" applyBorder="1"/>
    <xf numFmtId="2" fontId="7" fillId="8" borderId="0" xfId="0" applyNumberFormat="1" applyFont="1" applyFill="1" applyBorder="1"/>
    <xf numFmtId="187" fontId="0" fillId="8" borderId="0" xfId="0" applyNumberFormat="1" applyFont="1" applyFill="1" applyBorder="1"/>
    <xf numFmtId="166" fontId="0" fillId="8" borderId="0" xfId="2" applyNumberFormat="1" applyFont="1" applyFill="1" applyBorder="1"/>
    <xf numFmtId="9" fontId="88" fillId="8" borderId="40" xfId="2" applyFont="1" applyFill="1" applyBorder="1"/>
    <xf numFmtId="175" fontId="147" fillId="8" borderId="0" xfId="1" applyNumberFormat="1" applyFont="1" applyFill="1" applyBorder="1"/>
    <xf numFmtId="164" fontId="147" fillId="8" borderId="0" xfId="1" applyNumberFormat="1" applyFont="1" applyFill="1" applyBorder="1"/>
    <xf numFmtId="185" fontId="147" fillId="8" borderId="0" xfId="0" applyFont="1" applyFill="1" applyBorder="1"/>
    <xf numFmtId="164" fontId="147" fillId="8" borderId="10" xfId="1" applyFont="1" applyFill="1" applyBorder="1"/>
    <xf numFmtId="2" fontId="147" fillId="8" borderId="0" xfId="0" applyNumberFormat="1" applyFont="1" applyFill="1" applyBorder="1"/>
    <xf numFmtId="188" fontId="147" fillId="8" borderId="0" xfId="0" applyNumberFormat="1" applyFont="1" applyFill="1" applyBorder="1"/>
    <xf numFmtId="185" fontId="147" fillId="8" borderId="10" xfId="0" applyFont="1" applyFill="1" applyBorder="1"/>
    <xf numFmtId="164" fontId="147" fillId="8" borderId="0" xfId="1" applyFont="1" applyFill="1" applyBorder="1"/>
    <xf numFmtId="185" fontId="88" fillId="8" borderId="21" xfId="0" applyFont="1" applyFill="1" applyBorder="1" applyAlignment="1">
      <alignment horizontal="right"/>
    </xf>
    <xf numFmtId="165" fontId="147" fillId="8" borderId="0" xfId="0" applyNumberFormat="1" applyFont="1" applyFill="1" applyBorder="1"/>
    <xf numFmtId="186" fontId="147" fillId="8" borderId="0" xfId="0" applyNumberFormat="1" applyFont="1" applyFill="1" applyBorder="1"/>
    <xf numFmtId="186" fontId="147" fillId="8" borderId="10" xfId="0" applyNumberFormat="1" applyFont="1" applyFill="1" applyBorder="1"/>
    <xf numFmtId="188" fontId="147" fillId="8" borderId="10" xfId="0" applyNumberFormat="1" applyFont="1" applyFill="1" applyBorder="1"/>
    <xf numFmtId="164" fontId="91" fillId="8" borderId="0" xfId="1" applyFont="1" applyFill="1" applyBorder="1" applyProtection="1">
      <protection locked="0"/>
    </xf>
    <xf numFmtId="176" fontId="147" fillId="8" borderId="0" xfId="1" applyNumberFormat="1" applyFont="1" applyFill="1" applyBorder="1"/>
    <xf numFmtId="192" fontId="83" fillId="8" borderId="65" xfId="0" applyNumberFormat="1" applyFont="1" applyFill="1" applyBorder="1"/>
    <xf numFmtId="188" fontId="83" fillId="8" borderId="70" xfId="0" applyNumberFormat="1" applyFont="1" applyFill="1" applyBorder="1"/>
    <xf numFmtId="185" fontId="83" fillId="8" borderId="64" xfId="0" applyFont="1" applyFill="1" applyBorder="1"/>
    <xf numFmtId="185" fontId="4" fillId="8" borderId="0" xfId="0" applyFont="1" applyFill="1" applyBorder="1" applyAlignment="1">
      <alignment horizontal="right"/>
    </xf>
    <xf numFmtId="185" fontId="76" fillId="8" borderId="7" xfId="0" applyFont="1" applyFill="1" applyBorder="1" applyAlignment="1">
      <alignment horizontal="center"/>
    </xf>
    <xf numFmtId="185" fontId="5" fillId="8" borderId="7" xfId="0" applyFont="1" applyFill="1" applyBorder="1" applyAlignment="1">
      <alignment horizontal="right"/>
    </xf>
    <xf numFmtId="185" fontId="148" fillId="8" borderId="0" xfId="0" applyFont="1" applyFill="1" applyBorder="1"/>
    <xf numFmtId="185" fontId="148" fillId="8" borderId="10" xfId="0" applyFont="1" applyFill="1" applyBorder="1"/>
    <xf numFmtId="185" fontId="88" fillId="8" borderId="40" xfId="0" applyFont="1" applyFill="1" applyBorder="1" applyAlignment="1">
      <alignment horizontal="right"/>
    </xf>
    <xf numFmtId="185" fontId="149" fillId="8" borderId="0" xfId="0" applyFont="1" applyFill="1" applyBorder="1"/>
    <xf numFmtId="185" fontId="100" fillId="8" borderId="0" xfId="0" applyNumberFormat="1" applyFont="1" applyFill="1" applyBorder="1" applyProtection="1">
      <protection locked="0"/>
    </xf>
    <xf numFmtId="2" fontId="54" fillId="8" borderId="0" xfId="0" applyNumberFormat="1" applyFont="1" applyFill="1" applyBorder="1"/>
    <xf numFmtId="175" fontId="106" fillId="8" borderId="0" xfId="1" applyNumberFormat="1" applyFont="1" applyFill="1" applyBorder="1" applyProtection="1">
      <protection locked="0"/>
    </xf>
    <xf numFmtId="175" fontId="87" fillId="8" borderId="0" xfId="1" applyNumberFormat="1" applyFont="1" applyFill="1" applyBorder="1" applyProtection="1">
      <protection locked="0"/>
    </xf>
    <xf numFmtId="175" fontId="87" fillId="8" borderId="0" xfId="0" applyNumberFormat="1" applyFont="1" applyFill="1" applyBorder="1" applyProtection="1">
      <protection locked="0"/>
    </xf>
    <xf numFmtId="169" fontId="87" fillId="8" borderId="0" xfId="0" applyNumberFormat="1" applyFont="1" applyFill="1" applyBorder="1" applyProtection="1">
      <protection locked="0"/>
    </xf>
    <xf numFmtId="185" fontId="54" fillId="8" borderId="0" xfId="0" applyFont="1" applyFill="1"/>
    <xf numFmtId="185" fontId="87" fillId="8" borderId="0" xfId="0" applyFont="1" applyFill="1"/>
    <xf numFmtId="185" fontId="29" fillId="8" borderId="10" xfId="0" applyFont="1" applyFill="1" applyBorder="1"/>
    <xf numFmtId="3" fontId="7" fillId="8" borderId="24" xfId="0" applyNumberFormat="1" applyFont="1" applyFill="1" applyBorder="1" applyProtection="1">
      <protection locked="0"/>
    </xf>
    <xf numFmtId="3" fontId="7" fillId="8" borderId="10" xfId="0" applyNumberFormat="1" applyFont="1" applyFill="1" applyBorder="1" applyProtection="1">
      <protection locked="0"/>
    </xf>
    <xf numFmtId="185" fontId="87" fillId="8" borderId="10" xfId="0" applyFont="1" applyFill="1" applyBorder="1"/>
    <xf numFmtId="185" fontId="0" fillId="55" borderId="0" xfId="0" applyFont="1" applyFill="1" applyBorder="1"/>
    <xf numFmtId="185" fontId="7" fillId="55" borderId="9" xfId="0" applyFont="1" applyFill="1" applyBorder="1"/>
    <xf numFmtId="185" fontId="29" fillId="55" borderId="10" xfId="0" applyFont="1" applyFill="1" applyBorder="1"/>
    <xf numFmtId="3" fontId="54" fillId="55" borderId="24" xfId="0" applyNumberFormat="1" applyFont="1" applyFill="1" applyBorder="1" applyProtection="1">
      <protection locked="0"/>
    </xf>
    <xf numFmtId="3" fontId="54" fillId="55" borderId="10" xfId="0" applyNumberFormat="1" applyFont="1" applyFill="1" applyBorder="1" applyProtection="1">
      <protection locked="0"/>
    </xf>
    <xf numFmtId="185" fontId="87" fillId="55" borderId="10" xfId="0" applyFont="1" applyFill="1" applyBorder="1"/>
    <xf numFmtId="185" fontId="0" fillId="55" borderId="11" xfId="0" applyFill="1" applyBorder="1"/>
    <xf numFmtId="185" fontId="0" fillId="55" borderId="10" xfId="0" applyFont="1" applyFill="1" applyBorder="1"/>
    <xf numFmtId="185" fontId="150" fillId="8" borderId="0" xfId="0" applyFont="1" applyFill="1" applyBorder="1"/>
    <xf numFmtId="185" fontId="151" fillId="8" borderId="10" xfId="0" applyFont="1" applyFill="1" applyBorder="1"/>
    <xf numFmtId="185" fontId="150" fillId="8" borderId="0" xfId="0" applyFont="1" applyFill="1"/>
    <xf numFmtId="185" fontId="150" fillId="55" borderId="14" xfId="0" applyFont="1" applyFill="1" applyBorder="1"/>
    <xf numFmtId="185" fontId="150" fillId="55" borderId="0" xfId="0" applyFont="1" applyFill="1" applyBorder="1"/>
    <xf numFmtId="2" fontId="106" fillId="8" borderId="0" xfId="0" applyNumberFormat="1" applyFont="1" applyFill="1" applyBorder="1" applyProtection="1">
      <protection locked="0"/>
    </xf>
    <xf numFmtId="2" fontId="100" fillId="8" borderId="0" xfId="0" applyNumberFormat="1" applyFont="1" applyFill="1" applyBorder="1"/>
    <xf numFmtId="165" fontId="106" fillId="8" borderId="0" xfId="0" applyNumberFormat="1" applyFont="1" applyFill="1" applyBorder="1" applyProtection="1">
      <protection locked="0"/>
    </xf>
    <xf numFmtId="164" fontId="106" fillId="8" borderId="0" xfId="1" applyFont="1" applyFill="1" applyBorder="1" applyProtection="1">
      <protection locked="0"/>
    </xf>
    <xf numFmtId="164" fontId="97" fillId="8" borderId="0" xfId="1" applyFont="1" applyFill="1" applyBorder="1" applyProtection="1">
      <protection locked="0"/>
    </xf>
    <xf numFmtId="164" fontId="83" fillId="8" borderId="0" xfId="1" applyFont="1" applyFill="1" applyBorder="1" applyProtection="1">
      <protection locked="0"/>
    </xf>
    <xf numFmtId="164" fontId="106" fillId="8" borderId="18" xfId="1" applyFont="1" applyFill="1" applyBorder="1"/>
    <xf numFmtId="164" fontId="83" fillId="8" borderId="10" xfId="1" applyFont="1" applyFill="1" applyBorder="1"/>
    <xf numFmtId="164" fontId="106" fillId="8" borderId="25" xfId="1" applyFont="1" applyFill="1" applyBorder="1"/>
    <xf numFmtId="164" fontId="83" fillId="8" borderId="25" xfId="1" applyFont="1" applyFill="1" applyBorder="1"/>
    <xf numFmtId="164" fontId="83" fillId="8" borderId="0" xfId="1" applyFont="1" applyFill="1"/>
    <xf numFmtId="164" fontId="97" fillId="8" borderId="0" xfId="1" applyFont="1" applyFill="1" applyProtection="1">
      <protection locked="0"/>
    </xf>
    <xf numFmtId="164" fontId="106" fillId="8" borderId="0" xfId="1" applyFont="1" applyFill="1"/>
    <xf numFmtId="175" fontId="97" fillId="8" borderId="0" xfId="1" applyNumberFormat="1" applyFont="1" applyFill="1" applyBorder="1" applyProtection="1">
      <protection locked="0"/>
    </xf>
    <xf numFmtId="175" fontId="83" fillId="8" borderId="0" xfId="1" applyNumberFormat="1" applyFont="1" applyFill="1" applyBorder="1" applyProtection="1">
      <protection locked="0"/>
    </xf>
    <xf numFmtId="175" fontId="106" fillId="8" borderId="18" xfId="1" applyNumberFormat="1" applyFont="1" applyFill="1" applyBorder="1"/>
    <xf numFmtId="181" fontId="97" fillId="8" borderId="0" xfId="1" applyNumberFormat="1" applyFont="1" applyFill="1" applyProtection="1">
      <protection locked="0"/>
    </xf>
    <xf numFmtId="181" fontId="83" fillId="8" borderId="0" xfId="1" applyNumberFormat="1" applyFont="1" applyFill="1"/>
    <xf numFmtId="181" fontId="106" fillId="8" borderId="0" xfId="1" applyNumberFormat="1" applyFont="1" applyFill="1"/>
    <xf numFmtId="186" fontId="149" fillId="8" borderId="0" xfId="0" applyNumberFormat="1" applyFont="1" applyFill="1" applyBorder="1"/>
    <xf numFmtId="2" fontId="100" fillId="8" borderId="0" xfId="0" applyNumberFormat="1" applyFont="1" applyFill="1" applyBorder="1" applyProtection="1">
      <protection locked="0"/>
    </xf>
    <xf numFmtId="175" fontId="83" fillId="8" borderId="0" xfId="0" applyNumberFormat="1" applyFont="1" applyFill="1" applyBorder="1" applyProtection="1">
      <protection locked="0"/>
    </xf>
    <xf numFmtId="175" fontId="0" fillId="7" borderId="0" xfId="52" applyNumberFormat="1" applyFont="1" applyFill="1" applyBorder="1" applyAlignment="1" applyProtection="1">
      <protection locked="0"/>
    </xf>
    <xf numFmtId="175" fontId="83" fillId="7" borderId="0" xfId="0" applyNumberFormat="1" applyFont="1" applyFill="1" applyBorder="1" applyProtection="1">
      <protection locked="0"/>
    </xf>
    <xf numFmtId="185" fontId="7" fillId="2" borderId="0" xfId="0" applyFont="1" applyFill="1" applyBorder="1" applyAlignment="1">
      <alignment horizontal="left"/>
    </xf>
    <xf numFmtId="185" fontId="7" fillId="2" borderId="10" xfId="0" applyFont="1" applyFill="1" applyBorder="1"/>
    <xf numFmtId="186" fontId="35" fillId="2" borderId="0" xfId="0" applyNumberFormat="1" applyFont="1" applyFill="1" applyBorder="1"/>
    <xf numFmtId="9" fontId="91" fillId="8" borderId="0" xfId="2" applyFont="1" applyFill="1" applyBorder="1"/>
    <xf numFmtId="185" fontId="17" fillId="5" borderId="0" xfId="0" applyFont="1" applyFill="1"/>
    <xf numFmtId="185" fontId="0" fillId="5" borderId="0" xfId="0" applyFill="1"/>
    <xf numFmtId="185" fontId="28" fillId="8" borderId="4" xfId="0" applyFont="1" applyFill="1" applyBorder="1"/>
    <xf numFmtId="185" fontId="0" fillId="8" borderId="5" xfId="0" applyFill="1" applyBorder="1"/>
    <xf numFmtId="185" fontId="0" fillId="8" borderId="6" xfId="0" applyFill="1" applyBorder="1"/>
    <xf numFmtId="185" fontId="28" fillId="8" borderId="7" xfId="0" applyFont="1" applyFill="1" applyBorder="1" applyAlignment="1">
      <alignment vertical="top"/>
    </xf>
    <xf numFmtId="185" fontId="0" fillId="8" borderId="0" xfId="0" applyFill="1" applyBorder="1" applyAlignment="1">
      <alignment vertical="top"/>
    </xf>
    <xf numFmtId="185" fontId="0" fillId="2" borderId="8" xfId="0" applyFill="1" applyBorder="1" applyAlignment="1">
      <alignment vertical="top"/>
    </xf>
    <xf numFmtId="9" fontId="0" fillId="5" borderId="0" xfId="0" applyNumberFormat="1" applyFill="1"/>
    <xf numFmtId="185" fontId="0" fillId="8" borderId="4" xfId="0" applyFill="1" applyBorder="1"/>
    <xf numFmtId="185" fontId="0" fillId="8" borderId="39" xfId="0" applyFill="1" applyBorder="1"/>
    <xf numFmtId="185" fontId="0" fillId="8" borderId="4" xfId="0" applyFill="1" applyBorder="1" applyAlignment="1">
      <alignment vertical="center" wrapText="1"/>
    </xf>
    <xf numFmtId="185" fontId="0" fillId="8" borderId="5" xfId="0" applyFill="1" applyBorder="1" applyAlignment="1">
      <alignment vertical="center" wrapText="1"/>
    </xf>
    <xf numFmtId="185" fontId="0" fillId="8" borderId="6" xfId="0" applyFill="1" applyBorder="1" applyAlignment="1">
      <alignment vertical="center" wrapText="1"/>
    </xf>
    <xf numFmtId="185" fontId="0" fillId="8" borderId="12" xfId="0" applyFill="1" applyBorder="1"/>
    <xf numFmtId="185" fontId="29" fillId="8" borderId="21" xfId="0" applyFont="1" applyFill="1" applyBorder="1"/>
    <xf numFmtId="49" fontId="29" fillId="8" borderId="3" xfId="0" applyNumberFormat="1" applyFont="1" applyFill="1" applyBorder="1" applyAlignment="1">
      <alignment horizontal="right"/>
    </xf>
    <xf numFmtId="185" fontId="29" fillId="8" borderId="3" xfId="0" applyFont="1" applyFill="1" applyBorder="1" applyAlignment="1">
      <alignment horizontal="right"/>
    </xf>
    <xf numFmtId="185" fontId="0" fillId="8" borderId="3" xfId="0" applyFill="1" applyBorder="1"/>
    <xf numFmtId="185" fontId="0" fillId="8" borderId="26" xfId="0" applyFill="1" applyBorder="1"/>
    <xf numFmtId="185" fontId="0" fillId="8" borderId="0" xfId="0" applyFill="1" applyBorder="1" applyAlignment="1">
      <alignment vertical="center" wrapText="1"/>
    </xf>
    <xf numFmtId="185" fontId="0" fillId="8" borderId="8" xfId="0" applyFill="1" applyBorder="1" applyAlignment="1">
      <alignment vertical="center" wrapText="1"/>
    </xf>
    <xf numFmtId="185" fontId="17" fillId="8" borderId="7" xfId="0" applyFont="1" applyFill="1" applyBorder="1"/>
    <xf numFmtId="185" fontId="29" fillId="8" borderId="18" xfId="0" applyFont="1" applyFill="1" applyBorder="1"/>
    <xf numFmtId="185" fontId="29" fillId="8" borderId="0" xfId="0" applyFont="1" applyFill="1" applyBorder="1"/>
    <xf numFmtId="185" fontId="0" fillId="8" borderId="0" xfId="0" applyFill="1" applyBorder="1"/>
    <xf numFmtId="185" fontId="0" fillId="2" borderId="8" xfId="0" applyFill="1" applyBorder="1"/>
    <xf numFmtId="185" fontId="30" fillId="8" borderId="0" xfId="0" applyFont="1" applyFill="1" applyBorder="1" applyProtection="1">
      <protection locked="0"/>
    </xf>
    <xf numFmtId="185" fontId="35" fillId="2" borderId="0" xfId="0" applyFont="1" applyFill="1" applyBorder="1"/>
    <xf numFmtId="185" fontId="0" fillId="2" borderId="8" xfId="0" quotePrefix="1" applyFill="1" applyBorder="1"/>
    <xf numFmtId="185" fontId="7" fillId="8" borderId="7" xfId="0" applyFont="1" applyFill="1" applyBorder="1"/>
    <xf numFmtId="185" fontId="30" fillId="8" borderId="17" xfId="0" applyFont="1" applyFill="1" applyBorder="1" applyProtection="1">
      <protection locked="0"/>
    </xf>
    <xf numFmtId="185" fontId="30" fillId="8" borderId="0" xfId="0" applyFont="1" applyFill="1" applyBorder="1" applyProtection="1">
      <protection locked="0"/>
    </xf>
    <xf numFmtId="185" fontId="35" fillId="2" borderId="0" xfId="0" applyFont="1" applyFill="1" applyBorder="1" applyAlignment="1">
      <alignment horizontal="left"/>
    </xf>
    <xf numFmtId="185" fontId="31" fillId="8" borderId="0" xfId="0" applyFont="1" applyFill="1" applyBorder="1" applyProtection="1">
      <protection locked="0"/>
    </xf>
    <xf numFmtId="185" fontId="0" fillId="8" borderId="7" xfId="0" applyFill="1" applyBorder="1" applyAlignment="1">
      <alignment vertical="top" wrapText="1"/>
    </xf>
    <xf numFmtId="185" fontId="0" fillId="8" borderId="0" xfId="0" applyFill="1" applyBorder="1" applyAlignment="1">
      <alignment vertical="top" wrapText="1"/>
    </xf>
    <xf numFmtId="185" fontId="0" fillId="8" borderId="8" xfId="0" applyFill="1" applyBorder="1" applyAlignment="1">
      <alignment vertical="top" wrapText="1"/>
    </xf>
    <xf numFmtId="185" fontId="0" fillId="2" borderId="7" xfId="0" applyFill="1" applyBorder="1"/>
    <xf numFmtId="185" fontId="32" fillId="8" borderId="18" xfId="0" applyFont="1" applyFill="1" applyBorder="1"/>
    <xf numFmtId="185" fontId="30" fillId="8" borderId="0" xfId="0" applyFont="1" applyFill="1" applyBorder="1"/>
    <xf numFmtId="185" fontId="0" fillId="8" borderId="7" xfId="0" applyFill="1" applyBorder="1"/>
    <xf numFmtId="185" fontId="0" fillId="8" borderId="8" xfId="0" applyFill="1" applyBorder="1"/>
    <xf numFmtId="175" fontId="30" fillId="8" borderId="0" xfId="0" applyNumberFormat="1" applyFont="1" applyFill="1" applyBorder="1" applyProtection="1">
      <protection locked="0"/>
    </xf>
    <xf numFmtId="3" fontId="31" fillId="8" borderId="0" xfId="0" applyNumberFormat="1" applyFont="1" applyFill="1" applyBorder="1"/>
    <xf numFmtId="185" fontId="0" fillId="8" borderId="0" xfId="0" applyBorder="1"/>
    <xf numFmtId="185" fontId="0" fillId="8" borderId="7" xfId="0" applyFill="1" applyBorder="1" applyAlignment="1">
      <alignment horizontal="left" indent="1"/>
    </xf>
    <xf numFmtId="165" fontId="152" fillId="8" borderId="0" xfId="0" applyNumberFormat="1" applyFont="1" applyFill="1" applyBorder="1"/>
    <xf numFmtId="2" fontId="152" fillId="8" borderId="0" xfId="0" applyNumberFormat="1" applyFont="1" applyFill="1" applyBorder="1" applyProtection="1">
      <protection locked="0"/>
    </xf>
    <xf numFmtId="185" fontId="152" fillId="8" borderId="0" xfId="0" applyFont="1" applyFill="1" applyBorder="1" applyProtection="1">
      <protection locked="0"/>
    </xf>
    <xf numFmtId="185" fontId="33" fillId="8" borderId="0" xfId="0" applyFont="1" applyFill="1" applyBorder="1"/>
    <xf numFmtId="165" fontId="31" fillId="8" borderId="0" xfId="0" applyNumberFormat="1" applyFont="1" applyFill="1" applyBorder="1" applyProtection="1">
      <protection locked="0"/>
    </xf>
    <xf numFmtId="185" fontId="33" fillId="2" borderId="9" xfId="0" applyFont="1" applyFill="1" applyBorder="1"/>
    <xf numFmtId="185" fontId="32" fillId="8" borderId="25" xfId="0" applyFont="1" applyFill="1" applyBorder="1"/>
    <xf numFmtId="185" fontId="30" fillId="2" borderId="10" xfId="0" applyFont="1" applyFill="1" applyBorder="1"/>
    <xf numFmtId="185" fontId="0" fillId="8" borderId="10" xfId="0" applyFill="1" applyBorder="1"/>
    <xf numFmtId="185" fontId="35" fillId="2" borderId="10" xfId="0" applyFont="1" applyFill="1" applyBorder="1"/>
    <xf numFmtId="185" fontId="0" fillId="2" borderId="11" xfId="0" applyFill="1" applyBorder="1"/>
    <xf numFmtId="185" fontId="27" fillId="5" borderId="0" xfId="0" applyFont="1" applyFill="1"/>
    <xf numFmtId="186" fontId="0" fillId="8" borderId="0" xfId="0" applyNumberFormat="1" applyFill="1" applyBorder="1"/>
    <xf numFmtId="185" fontId="29" fillId="8" borderId="20" xfId="0" applyFont="1" applyFill="1" applyBorder="1"/>
    <xf numFmtId="185" fontId="29" fillId="8" borderId="3" xfId="0" applyFont="1" applyFill="1" applyBorder="1"/>
    <xf numFmtId="187" fontId="0" fillId="8" borderId="0" xfId="0" applyNumberFormat="1" applyFill="1" applyBorder="1"/>
    <xf numFmtId="185" fontId="0" fillId="8" borderId="18" xfId="0" applyFill="1" applyBorder="1"/>
    <xf numFmtId="164" fontId="7" fillId="8" borderId="0" xfId="0" applyNumberFormat="1" applyFont="1" applyFill="1" applyBorder="1"/>
    <xf numFmtId="189" fontId="30" fillId="8" borderId="0" xfId="0" applyNumberFormat="1" applyFont="1" applyFill="1" applyBorder="1" applyAlignment="1"/>
    <xf numFmtId="189" fontId="0" fillId="8" borderId="0" xfId="0" applyNumberFormat="1" applyFill="1" applyBorder="1" applyAlignment="1"/>
    <xf numFmtId="3" fontId="0" fillId="8" borderId="0" xfId="0" applyNumberFormat="1" applyFill="1" applyBorder="1" applyAlignment="1">
      <alignment horizontal="right"/>
    </xf>
    <xf numFmtId="188" fontId="53" fillId="8" borderId="17" xfId="0" applyNumberFormat="1" applyFont="1" applyFill="1" applyBorder="1" applyAlignment="1"/>
    <xf numFmtId="188" fontId="53" fillId="8" borderId="0" xfId="0" applyNumberFormat="1" applyFont="1" applyFill="1" applyBorder="1" applyAlignment="1"/>
    <xf numFmtId="188" fontId="0" fillId="8" borderId="0" xfId="0" applyNumberFormat="1" applyFill="1" applyBorder="1"/>
    <xf numFmtId="185" fontId="0" fillId="2" borderId="7" xfId="0" applyFill="1" applyBorder="1" applyAlignment="1">
      <alignment wrapText="1"/>
    </xf>
    <xf numFmtId="185" fontId="0" fillId="8" borderId="17" xfId="0" applyFill="1" applyBorder="1" applyAlignment="1">
      <alignment horizontal="right"/>
    </xf>
    <xf numFmtId="166" fontId="53" fillId="8" borderId="0" xfId="0" applyNumberFormat="1" applyFont="1" applyFill="1" applyBorder="1" applyAlignment="1">
      <alignment horizontal="right"/>
    </xf>
    <xf numFmtId="185" fontId="53" fillId="8" borderId="0" xfId="0" applyFont="1" applyFill="1" applyBorder="1" applyAlignment="1"/>
    <xf numFmtId="185" fontId="0" fillId="2" borderId="9" xfId="0" applyFill="1" applyBorder="1"/>
    <xf numFmtId="185" fontId="0" fillId="8" borderId="25" xfId="0" applyFill="1" applyBorder="1"/>
    <xf numFmtId="185" fontId="0" fillId="8" borderId="10" xfId="0" applyFill="1" applyBorder="1" applyAlignment="1"/>
    <xf numFmtId="185" fontId="0" fillId="8" borderId="9" xfId="0" applyFill="1" applyBorder="1" applyAlignment="1">
      <alignment vertical="top"/>
    </xf>
    <xf numFmtId="185" fontId="0" fillId="8" borderId="10" xfId="0" applyFill="1" applyBorder="1" applyAlignment="1">
      <alignment vertical="top"/>
    </xf>
    <xf numFmtId="185" fontId="29" fillId="8" borderId="11" xfId="0" applyFont="1" applyFill="1" applyBorder="1" applyAlignment="1">
      <alignment horizontal="right"/>
    </xf>
    <xf numFmtId="185" fontId="0" fillId="16" borderId="0" xfId="0" applyFill="1" applyBorder="1" applyAlignment="1">
      <alignment vertical="top"/>
    </xf>
    <xf numFmtId="185" fontId="0" fillId="16" borderId="0" xfId="0" applyFill="1" applyBorder="1"/>
    <xf numFmtId="185" fontId="7" fillId="8" borderId="5" xfId="0" applyFont="1" applyFill="1" applyBorder="1" applyAlignment="1" applyProtection="1">
      <alignment horizontal="left" indent="1"/>
      <protection locked="0"/>
    </xf>
    <xf numFmtId="185" fontId="0" fillId="8" borderId="7" xfId="0" applyFill="1" applyBorder="1" applyAlignment="1">
      <alignment vertical="center" wrapText="1"/>
    </xf>
    <xf numFmtId="175" fontId="31" fillId="8" borderId="0" xfId="0" applyNumberFormat="1" applyFont="1" applyFill="1" applyBorder="1"/>
    <xf numFmtId="175" fontId="31" fillId="8" borderId="0" xfId="0" applyNumberFormat="1" applyFont="1" applyFill="1" applyBorder="1" applyAlignment="1">
      <alignment horizontal="left" indent="1"/>
    </xf>
    <xf numFmtId="174" fontId="30" fillId="8" borderId="0" xfId="0" applyNumberFormat="1" applyFont="1" applyFill="1" applyBorder="1"/>
    <xf numFmtId="185" fontId="7" fillId="2" borderId="11" xfId="0" applyFont="1" applyFill="1" applyBorder="1"/>
    <xf numFmtId="169" fontId="0" fillId="5" borderId="0" xfId="0" applyNumberFormat="1" applyFill="1"/>
    <xf numFmtId="49" fontId="0" fillId="8" borderId="7" xfId="0" applyNumberFormat="1" applyFill="1" applyBorder="1" applyAlignment="1">
      <alignment vertical="top" wrapText="1"/>
    </xf>
    <xf numFmtId="49" fontId="0" fillId="8" borderId="0" xfId="0" applyNumberFormat="1" applyFill="1" applyBorder="1" applyAlignment="1">
      <alignment vertical="top" wrapText="1"/>
    </xf>
    <xf numFmtId="49" fontId="0" fillId="8" borderId="8" xfId="0" applyNumberFormat="1" applyFill="1" applyBorder="1" applyAlignment="1">
      <alignment vertical="top" wrapText="1"/>
    </xf>
    <xf numFmtId="49" fontId="0" fillId="8" borderId="9" xfId="0" applyNumberFormat="1" applyFill="1" applyBorder="1" applyAlignment="1">
      <alignment vertical="top" wrapText="1"/>
    </xf>
    <xf numFmtId="49" fontId="0" fillId="8" borderId="10" xfId="0" applyNumberFormat="1" applyFill="1" applyBorder="1" applyAlignment="1">
      <alignment vertical="top" wrapText="1"/>
    </xf>
    <xf numFmtId="49" fontId="0" fillId="8" borderId="11" xfId="0" applyNumberFormat="1" applyFill="1" applyBorder="1" applyAlignment="1">
      <alignment vertical="top" wrapText="1"/>
    </xf>
    <xf numFmtId="170" fontId="0" fillId="5" borderId="0" xfId="0" applyNumberFormat="1" applyFill="1"/>
    <xf numFmtId="185" fontId="17" fillId="8" borderId="5" xfId="0" applyFont="1" applyFill="1" applyBorder="1" applyAlignment="1">
      <alignment vertical="top" wrapText="1"/>
    </xf>
    <xf numFmtId="185" fontId="17" fillId="8" borderId="6" xfId="0" applyFont="1" applyFill="1" applyBorder="1" applyAlignment="1">
      <alignment vertical="top" wrapText="1"/>
    </xf>
    <xf numFmtId="185" fontId="17" fillId="8" borderId="0" xfId="0" applyFont="1" applyFill="1" applyBorder="1" applyAlignment="1">
      <alignment vertical="top" wrapText="1"/>
    </xf>
    <xf numFmtId="185" fontId="17" fillId="8" borderId="8" xfId="0" applyFont="1" applyFill="1" applyBorder="1" applyAlignment="1">
      <alignment vertical="top" wrapText="1"/>
    </xf>
    <xf numFmtId="185" fontId="7" fillId="8" borderId="7" xfId="0" applyFont="1" applyFill="1" applyBorder="1" applyAlignment="1">
      <alignment vertical="top" wrapText="1"/>
    </xf>
    <xf numFmtId="185" fontId="7" fillId="8" borderId="0" xfId="0" applyFont="1" applyFill="1" applyBorder="1" applyAlignment="1">
      <alignment vertical="top" wrapText="1"/>
    </xf>
    <xf numFmtId="185" fontId="7" fillId="8" borderId="8" xfId="0" applyFont="1" applyFill="1" applyBorder="1" applyAlignment="1">
      <alignment vertical="top" wrapText="1"/>
    </xf>
    <xf numFmtId="185" fontId="0" fillId="8" borderId="0" xfId="0" applyFill="1" applyBorder="1" applyAlignment="1">
      <alignment horizontal="left"/>
    </xf>
    <xf numFmtId="185" fontId="0" fillId="8" borderId="9" xfId="0" applyFill="1" applyBorder="1" applyAlignment="1">
      <alignment vertical="top" wrapText="1"/>
    </xf>
    <xf numFmtId="185" fontId="0" fillId="8" borderId="10" xfId="0" applyFill="1" applyBorder="1" applyAlignment="1">
      <alignment vertical="top" wrapText="1"/>
    </xf>
    <xf numFmtId="185" fontId="0" fillId="8" borderId="11" xfId="0" applyFill="1" applyBorder="1" applyAlignment="1">
      <alignment vertical="top" wrapText="1"/>
    </xf>
    <xf numFmtId="181" fontId="30" fillId="8" borderId="0" xfId="0" applyNumberFormat="1" applyFont="1" applyFill="1" applyBorder="1" applyProtection="1">
      <protection locked="0"/>
    </xf>
    <xf numFmtId="185" fontId="17" fillId="8" borderId="0" xfId="0" applyFont="1" applyFill="1" applyBorder="1" applyAlignment="1">
      <alignment horizontal="right"/>
    </xf>
    <xf numFmtId="185" fontId="28" fillId="8" borderId="7" xfId="0" applyFont="1" applyFill="1" applyBorder="1"/>
    <xf numFmtId="185" fontId="0" fillId="8" borderId="27" xfId="0" applyFill="1" applyBorder="1"/>
    <xf numFmtId="188" fontId="30" fillId="8" borderId="17" xfId="0" applyNumberFormat="1" applyFont="1" applyFill="1" applyBorder="1" applyProtection="1">
      <protection locked="0"/>
    </xf>
    <xf numFmtId="188" fontId="30" fillId="8" borderId="0" xfId="0" applyNumberFormat="1" applyFont="1" applyFill="1" applyBorder="1" applyProtection="1">
      <protection locked="0"/>
    </xf>
    <xf numFmtId="185" fontId="31" fillId="2" borderId="17" xfId="0" applyFont="1" applyFill="1" applyBorder="1" applyProtection="1">
      <protection locked="0"/>
    </xf>
    <xf numFmtId="185" fontId="31" fillId="2" borderId="0" xfId="0" applyFont="1" applyFill="1" applyBorder="1" applyProtection="1">
      <protection locked="0"/>
    </xf>
    <xf numFmtId="185" fontId="30" fillId="8" borderId="17" xfId="0" applyFont="1" applyFill="1" applyBorder="1"/>
    <xf numFmtId="175" fontId="30" fillId="2" borderId="17" xfId="0" applyNumberFormat="1" applyFont="1" applyFill="1" applyBorder="1" applyProtection="1">
      <protection locked="0"/>
    </xf>
    <xf numFmtId="175" fontId="30" fillId="2" borderId="0" xfId="0" applyNumberFormat="1" applyFont="1" applyFill="1" applyBorder="1" applyProtection="1">
      <protection locked="0"/>
    </xf>
    <xf numFmtId="165" fontId="31" fillId="8" borderId="17" xfId="0" applyNumberFormat="1" applyFont="1" applyFill="1" applyBorder="1"/>
    <xf numFmtId="165" fontId="31" fillId="8" borderId="0" xfId="0" applyNumberFormat="1" applyFont="1" applyFill="1" applyBorder="1"/>
    <xf numFmtId="2" fontId="31" fillId="2" borderId="17" xfId="0" applyNumberFormat="1" applyFont="1" applyFill="1" applyBorder="1" applyProtection="1">
      <protection locked="0"/>
    </xf>
    <xf numFmtId="2" fontId="31" fillId="2" borderId="0" xfId="0" applyNumberFormat="1" applyFont="1" applyFill="1" applyBorder="1" applyProtection="1">
      <protection locked="0"/>
    </xf>
    <xf numFmtId="185" fontId="0" fillId="8" borderId="0" xfId="0"/>
    <xf numFmtId="185" fontId="0" fillId="2" borderId="0" xfId="0" applyFont="1" applyFill="1" applyBorder="1"/>
    <xf numFmtId="189" fontId="30" fillId="8" borderId="0" xfId="0" applyNumberFormat="1" applyFont="1" applyFill="1" applyBorder="1"/>
    <xf numFmtId="185" fontId="7" fillId="2" borderId="7" xfId="0" applyFont="1" applyFill="1" applyBorder="1"/>
    <xf numFmtId="185" fontId="7" fillId="8" borderId="18" xfId="0" applyFont="1" applyFill="1" applyBorder="1"/>
    <xf numFmtId="185" fontId="7" fillId="2" borderId="8" xfId="0" applyFont="1" applyFill="1" applyBorder="1"/>
    <xf numFmtId="185" fontId="30" fillId="2" borderId="0" xfId="0" applyFont="1" applyFill="1" applyBorder="1"/>
    <xf numFmtId="185" fontId="7" fillId="2" borderId="0" xfId="0" applyFont="1" applyFill="1" applyBorder="1"/>
    <xf numFmtId="2" fontId="0" fillId="8" borderId="0" xfId="0" applyNumberFormat="1" applyFill="1" applyBorder="1"/>
    <xf numFmtId="185" fontId="0" fillId="8" borderId="9" xfId="0" applyFill="1" applyBorder="1"/>
    <xf numFmtId="189" fontId="53" fillId="8" borderId="10" xfId="0" applyNumberFormat="1" applyFont="1" applyFill="1" applyBorder="1"/>
    <xf numFmtId="180" fontId="0" fillId="5" borderId="0" xfId="0" applyNumberFormat="1" applyFill="1"/>
    <xf numFmtId="188" fontId="30" fillId="8" borderId="5" xfId="0" applyNumberFormat="1" applyFont="1" applyFill="1" applyBorder="1" applyProtection="1">
      <protection locked="0"/>
    </xf>
    <xf numFmtId="2" fontId="31" fillId="2" borderId="5" xfId="0" applyNumberFormat="1" applyFont="1" applyFill="1" applyBorder="1" applyProtection="1">
      <protection locked="0"/>
    </xf>
    <xf numFmtId="185" fontId="35" fillId="2" borderId="5" xfId="0" applyFont="1" applyFill="1" applyBorder="1"/>
    <xf numFmtId="175" fontId="30" fillId="2" borderId="0" xfId="0" applyNumberFormat="1" applyFont="1" applyFill="1" applyBorder="1"/>
    <xf numFmtId="185" fontId="54" fillId="8" borderId="0" xfId="0" applyFont="1" applyFill="1" applyBorder="1" applyProtection="1">
      <protection locked="0"/>
    </xf>
    <xf numFmtId="185" fontId="7" fillId="8" borderId="7" xfId="0" applyFont="1" applyFill="1" applyBorder="1" applyAlignment="1">
      <alignment horizontal="left" vertical="top" wrapText="1"/>
    </xf>
    <xf numFmtId="185" fontId="7" fillId="8" borderId="0" xfId="0" applyFont="1" applyFill="1" applyBorder="1" applyAlignment="1">
      <alignment horizontal="left" vertical="top" wrapText="1"/>
    </xf>
    <xf numFmtId="185" fontId="7" fillId="8" borderId="8" xfId="0" applyFont="1" applyFill="1" applyBorder="1" applyAlignment="1">
      <alignment horizontal="left" vertical="top" wrapText="1"/>
    </xf>
    <xf numFmtId="165" fontId="31" fillId="17" borderId="0" xfId="0" applyNumberFormat="1" applyFont="1" applyFill="1" applyBorder="1" applyProtection="1">
      <protection locked="0"/>
    </xf>
    <xf numFmtId="175" fontId="54" fillId="8" borderId="0" xfId="0" applyNumberFormat="1" applyFont="1" applyFill="1" applyBorder="1" applyProtection="1">
      <protection locked="0"/>
    </xf>
    <xf numFmtId="168" fontId="11" fillId="8" borderId="0" xfId="0" applyNumberFormat="1" applyFont="1" applyFill="1" applyBorder="1"/>
    <xf numFmtId="187" fontId="106" fillId="8" borderId="0" xfId="0" applyNumberFormat="1" applyFont="1" applyFill="1" applyBorder="1"/>
    <xf numFmtId="190" fontId="106" fillId="2" borderId="0" xfId="0" applyNumberFormat="1" applyFont="1" applyFill="1" applyBorder="1"/>
    <xf numFmtId="165" fontId="113" fillId="8" borderId="2" xfId="0" applyNumberFormat="1" applyFont="1" applyFill="1" applyBorder="1"/>
    <xf numFmtId="182" fontId="113" fillId="2" borderId="1" xfId="0" applyNumberFormat="1" applyFont="1" applyFill="1" applyBorder="1"/>
    <xf numFmtId="182" fontId="113" fillId="8" borderId="0" xfId="1" applyNumberFormat="1" applyFont="1" applyFill="1" applyBorder="1"/>
    <xf numFmtId="182" fontId="113" fillId="8" borderId="3" xfId="1" applyNumberFormat="1" applyFont="1" applyFill="1" applyBorder="1"/>
    <xf numFmtId="3" fontId="113" fillId="8" borderId="2" xfId="0" applyNumberFormat="1" applyFont="1" applyFill="1" applyBorder="1"/>
    <xf numFmtId="3" fontId="113" fillId="8" borderId="0" xfId="0" applyNumberFormat="1" applyFont="1" applyFill="1" applyBorder="1"/>
    <xf numFmtId="188" fontId="113" fillId="8" borderId="0" xfId="0" applyNumberFormat="1" applyFont="1" applyFill="1" applyBorder="1"/>
    <xf numFmtId="170" fontId="113" fillId="8" borderId="0" xfId="0" applyNumberFormat="1" applyFont="1" applyFill="1" applyBorder="1"/>
    <xf numFmtId="2" fontId="94" fillId="8" borderId="3" xfId="0" applyNumberFormat="1" applyFont="1" applyFill="1" applyBorder="1"/>
    <xf numFmtId="185" fontId="94" fillId="2" borderId="1" xfId="0" applyFont="1" applyFill="1" applyBorder="1"/>
    <xf numFmtId="9" fontId="113" fillId="2" borderId="0" xfId="2" applyFont="1" applyFill="1" applyBorder="1"/>
    <xf numFmtId="9" fontId="113" fillId="8" borderId="3" xfId="2" applyFont="1" applyFill="1" applyBorder="1"/>
    <xf numFmtId="9" fontId="94" fillId="2" borderId="1" xfId="2" applyFont="1" applyFill="1" applyBorder="1"/>
    <xf numFmtId="187" fontId="113" fillId="8" borderId="2" xfId="0" applyNumberFormat="1" applyFont="1" applyBorder="1"/>
    <xf numFmtId="187" fontId="113" fillId="8" borderId="0" xfId="0" applyNumberFormat="1" applyFont="1" applyBorder="1"/>
    <xf numFmtId="187" fontId="113" fillId="8" borderId="3" xfId="0" applyNumberFormat="1" applyFont="1" applyBorder="1"/>
    <xf numFmtId="190" fontId="113" fillId="8" borderId="2" xfId="0" applyNumberFormat="1" applyFont="1" applyBorder="1"/>
    <xf numFmtId="190" fontId="113" fillId="8" borderId="0" xfId="0" applyNumberFormat="1" applyFont="1" applyBorder="1"/>
    <xf numFmtId="190" fontId="113" fillId="8" borderId="3" xfId="0" applyNumberFormat="1" applyFont="1" applyBorder="1"/>
    <xf numFmtId="9" fontId="106" fillId="0" borderId="2" xfId="0" applyNumberFormat="1" applyFont="1" applyFill="1" applyBorder="1"/>
    <xf numFmtId="9" fontId="106" fillId="8" borderId="0" xfId="0" applyNumberFormat="1" applyFont="1" applyFill="1" applyBorder="1"/>
    <xf numFmtId="9" fontId="106" fillId="8" borderId="3" xfId="0" applyNumberFormat="1" applyFont="1" applyFill="1" applyBorder="1"/>
    <xf numFmtId="185" fontId="88" fillId="8" borderId="0" xfId="0" applyFont="1"/>
    <xf numFmtId="186" fontId="106" fillId="2" borderId="0" xfId="0" applyNumberFormat="1" applyFont="1" applyFill="1" applyBorder="1"/>
    <xf numFmtId="166" fontId="106" fillId="8" borderId="1" xfId="0" applyNumberFormat="1" applyFont="1" applyFill="1" applyBorder="1"/>
    <xf numFmtId="192" fontId="106" fillId="8" borderId="2" xfId="0" applyNumberFormat="1" applyFont="1" applyFill="1" applyBorder="1"/>
    <xf numFmtId="192" fontId="106" fillId="8" borderId="0" xfId="0" applyNumberFormat="1" applyFont="1" applyFill="1" applyBorder="1"/>
    <xf numFmtId="192" fontId="106" fillId="8" borderId="3" xfId="0" applyNumberFormat="1" applyFont="1" applyFill="1" applyBorder="1"/>
    <xf numFmtId="190" fontId="106" fillId="2" borderId="2" xfId="0" applyNumberFormat="1" applyFont="1" applyFill="1" applyBorder="1"/>
    <xf numFmtId="190" fontId="106" fillId="2" borderId="3" xfId="0" applyNumberFormat="1" applyFont="1" applyFill="1" applyBorder="1"/>
    <xf numFmtId="165" fontId="100" fillId="8" borderId="0" xfId="0" applyNumberFormat="1" applyFont="1" applyFill="1" applyBorder="1"/>
    <xf numFmtId="185" fontId="83" fillId="8" borderId="51" xfId="0" applyFont="1" applyFill="1" applyBorder="1"/>
    <xf numFmtId="185" fontId="83" fillId="8" borderId="1" xfId="0" applyFont="1" applyFill="1" applyBorder="1" applyAlignment="1">
      <alignment horizontal="center"/>
    </xf>
    <xf numFmtId="190" fontId="106" fillId="2" borderId="1" xfId="0" applyNumberFormat="1" applyFont="1" applyFill="1" applyBorder="1"/>
    <xf numFmtId="186" fontId="106" fillId="2" borderId="3" xfId="0" applyNumberFormat="1" applyFont="1" applyFill="1" applyBorder="1"/>
    <xf numFmtId="185" fontId="83" fillId="2" borderId="1" xfId="0" quotePrefix="1" applyFont="1" applyFill="1" applyBorder="1"/>
    <xf numFmtId="186" fontId="106" fillId="2" borderId="1" xfId="0" applyNumberFormat="1" applyFont="1" applyFill="1" applyBorder="1"/>
    <xf numFmtId="188" fontId="106" fillId="8" borderId="0" xfId="0" applyNumberFormat="1" applyFont="1" applyFill="1" applyBorder="1"/>
    <xf numFmtId="188" fontId="106" fillId="2" borderId="3" xfId="0" applyNumberFormat="1" applyFont="1" applyFill="1" applyBorder="1"/>
    <xf numFmtId="2" fontId="88" fillId="8" borderId="0" xfId="0" applyNumberFormat="1" applyFont="1" applyFill="1" applyBorder="1"/>
    <xf numFmtId="187" fontId="83" fillId="2" borderId="1" xfId="0" applyNumberFormat="1" applyFont="1" applyFill="1" applyBorder="1" applyAlignment="1"/>
    <xf numFmtId="165" fontId="88" fillId="8" borderId="0" xfId="0" applyNumberFormat="1" applyFont="1" applyFill="1" applyBorder="1" applyProtection="1">
      <protection locked="0"/>
    </xf>
    <xf numFmtId="2" fontId="53" fillId="8" borderId="0" xfId="0" applyNumberFormat="1" applyFont="1" applyFill="1" applyBorder="1" applyProtection="1">
      <protection locked="0"/>
    </xf>
    <xf numFmtId="2" fontId="87" fillId="8" borderId="0" xfId="0" applyNumberFormat="1" applyFont="1" applyFill="1" applyBorder="1"/>
    <xf numFmtId="9" fontId="0" fillId="8" borderId="84" xfId="2" applyFont="1" applyFill="1" applyBorder="1"/>
    <xf numFmtId="9" fontId="0" fillId="8" borderId="53" xfId="2" applyFont="1" applyFill="1" applyBorder="1"/>
    <xf numFmtId="9" fontId="0" fillId="8" borderId="80" xfId="2" applyFont="1" applyFill="1" applyBorder="1"/>
    <xf numFmtId="9" fontId="0" fillId="8" borderId="16" xfId="2" applyFont="1" applyFill="1" applyBorder="1"/>
    <xf numFmtId="9" fontId="0" fillId="8" borderId="43" xfId="2" applyFont="1" applyFill="1" applyBorder="1"/>
    <xf numFmtId="9" fontId="0" fillId="8" borderId="50" xfId="2" applyFont="1" applyFill="1" applyBorder="1"/>
    <xf numFmtId="9" fontId="0" fillId="8" borderId="63" xfId="2" applyFont="1" applyFill="1" applyBorder="1"/>
    <xf numFmtId="9" fontId="0" fillId="8" borderId="64" xfId="2" applyFont="1" applyFill="1" applyBorder="1"/>
    <xf numFmtId="185" fontId="0" fillId="8" borderId="31" xfId="0" applyFill="1" applyBorder="1"/>
    <xf numFmtId="185" fontId="0" fillId="8" borderId="32" xfId="0" applyFill="1" applyBorder="1"/>
    <xf numFmtId="185" fontId="31" fillId="8" borderId="9" xfId="0" applyFont="1" applyFill="1" applyBorder="1"/>
    <xf numFmtId="2" fontId="31" fillId="8" borderId="10" xfId="0" applyNumberFormat="1" applyFont="1" applyFill="1" applyBorder="1"/>
    <xf numFmtId="185" fontId="100" fillId="8" borderId="0" xfId="0" applyNumberFormat="1" applyFont="1" applyFill="1"/>
    <xf numFmtId="185" fontId="100" fillId="8" borderId="0" xfId="0" applyFont="1" applyFill="1"/>
    <xf numFmtId="3" fontId="83" fillId="8" borderId="0" xfId="0" applyNumberFormat="1" applyFont="1" applyFill="1" applyBorder="1" applyProtection="1">
      <protection locked="0"/>
    </xf>
    <xf numFmtId="186" fontId="83" fillId="8" borderId="0" xfId="0" applyNumberFormat="1" applyFont="1" applyFill="1" applyBorder="1"/>
    <xf numFmtId="9" fontId="100" fillId="8" borderId="0" xfId="2" applyFont="1" applyFill="1"/>
    <xf numFmtId="167" fontId="94" fillId="8" borderId="0" xfId="0" applyNumberFormat="1" applyFont="1" applyFill="1" applyBorder="1"/>
    <xf numFmtId="3" fontId="94" fillId="8" borderId="0" xfId="0" applyNumberFormat="1" applyFont="1" applyFill="1" applyBorder="1"/>
    <xf numFmtId="188" fontId="7" fillId="8" borderId="0" xfId="0" applyNumberFormat="1" applyFont="1" applyFill="1" applyBorder="1" applyProtection="1">
      <protection locked="0"/>
    </xf>
    <xf numFmtId="176" fontId="54" fillId="8" borderId="0" xfId="0" applyNumberFormat="1" applyFont="1" applyFill="1" applyBorder="1" applyProtection="1">
      <protection locked="0"/>
    </xf>
    <xf numFmtId="185" fontId="31" fillId="8" borderId="0" xfId="0" applyFont="1" applyFill="1" applyBorder="1" applyProtection="1">
      <protection locked="0"/>
    </xf>
    <xf numFmtId="2" fontId="31" fillId="8" borderId="0" xfId="0" applyNumberFormat="1" applyFont="1" applyFill="1" applyBorder="1" applyProtection="1">
      <protection locked="0"/>
    </xf>
    <xf numFmtId="168" fontId="7" fillId="8" borderId="0" xfId="0" applyNumberFormat="1" applyFont="1" applyFill="1" applyBorder="1" applyProtection="1">
      <protection locked="0"/>
    </xf>
    <xf numFmtId="174" fontId="0" fillId="8" borderId="0" xfId="0" applyNumberFormat="1" applyFont="1" applyFill="1" applyBorder="1"/>
    <xf numFmtId="185" fontId="143" fillId="8" borderId="0" xfId="0" applyNumberFormat="1" applyFont="1" applyFill="1" applyBorder="1"/>
    <xf numFmtId="185" fontId="0" fillId="8" borderId="84" xfId="0" applyFont="1" applyFill="1" applyBorder="1"/>
    <xf numFmtId="188" fontId="0" fillId="8" borderId="53" xfId="0" applyNumberFormat="1" applyFont="1" applyFill="1" applyBorder="1"/>
    <xf numFmtId="185" fontId="3" fillId="8" borderId="7" xfId="0" applyFont="1" applyFill="1" applyBorder="1"/>
    <xf numFmtId="185" fontId="3" fillId="8" borderId="9" xfId="0" applyFont="1" applyFill="1" applyBorder="1"/>
    <xf numFmtId="185" fontId="88" fillId="8" borderId="0" xfId="0" applyNumberFormat="1" applyFont="1" applyFill="1" applyBorder="1"/>
    <xf numFmtId="185" fontId="2" fillId="8" borderId="7" xfId="0" applyFont="1" applyFill="1" applyBorder="1"/>
    <xf numFmtId="185" fontId="0" fillId="8" borderId="70" xfId="0" applyNumberFormat="1" applyFont="1" applyFill="1" applyBorder="1"/>
    <xf numFmtId="188" fontId="0" fillId="8" borderId="80" xfId="0" applyNumberFormat="1" applyFont="1" applyFill="1" applyBorder="1"/>
    <xf numFmtId="185" fontId="0" fillId="8" borderId="64" xfId="0" applyNumberFormat="1" applyFont="1" applyFill="1" applyBorder="1"/>
    <xf numFmtId="185" fontId="106" fillId="8" borderId="0" xfId="0" applyFont="1" applyFill="1" applyBorder="1"/>
    <xf numFmtId="165" fontId="31" fillId="8" borderId="0" xfId="0" applyNumberFormat="1" applyFont="1" applyFill="1" applyBorder="1" applyProtection="1">
      <protection locked="0"/>
    </xf>
    <xf numFmtId="1" fontId="88" fillId="8" borderId="0" xfId="52" applyNumberFormat="1" applyFont="1" applyFill="1" applyBorder="1" applyAlignment="1" applyProtection="1">
      <protection locked="0"/>
    </xf>
    <xf numFmtId="1" fontId="88" fillId="2" borderId="0" xfId="0" applyNumberFormat="1" applyFont="1" applyFill="1" applyBorder="1" applyProtection="1">
      <protection locked="0"/>
    </xf>
    <xf numFmtId="1" fontId="53" fillId="8" borderId="0" xfId="0" applyNumberFormat="1" applyFont="1" applyFill="1" applyBorder="1"/>
    <xf numFmtId="171" fontId="94" fillId="8" borderId="0" xfId="0" applyNumberFormat="1" applyFont="1" applyFill="1" applyBorder="1"/>
    <xf numFmtId="167" fontId="94" fillId="8" borderId="1" xfId="0" applyNumberFormat="1" applyFont="1" applyFill="1" applyBorder="1"/>
    <xf numFmtId="3" fontId="94" fillId="8" borderId="1" xfId="0" applyNumberFormat="1" applyFont="1" applyFill="1" applyBorder="1"/>
    <xf numFmtId="9" fontId="91" fillId="8" borderId="17" xfId="2" applyFont="1" applyFill="1" applyBorder="1" applyProtection="1">
      <protection locked="0"/>
    </xf>
    <xf numFmtId="9" fontId="91" fillId="8" borderId="0" xfId="2" applyFont="1" applyFill="1" applyBorder="1" applyProtection="1">
      <protection locked="0"/>
    </xf>
    <xf numFmtId="185" fontId="0" fillId="12" borderId="3" xfId="0" applyFill="1" applyBorder="1"/>
    <xf numFmtId="185" fontId="0" fillId="12" borderId="37" xfId="0" applyFill="1" applyBorder="1"/>
    <xf numFmtId="185" fontId="0" fillId="12" borderId="2" xfId="0" applyFill="1" applyBorder="1"/>
    <xf numFmtId="185" fontId="93" fillId="12" borderId="38" xfId="0" applyFont="1" applyFill="1" applyBorder="1"/>
    <xf numFmtId="185" fontId="0" fillId="12" borderId="17" xfId="0" applyFill="1" applyBorder="1"/>
    <xf numFmtId="185" fontId="0" fillId="12" borderId="0" xfId="0" applyFill="1" applyBorder="1"/>
    <xf numFmtId="185" fontId="93" fillId="12" borderId="18" xfId="0" applyFont="1" applyFill="1" applyBorder="1"/>
    <xf numFmtId="185" fontId="0" fillId="12" borderId="20" xfId="0" applyFill="1" applyBorder="1"/>
    <xf numFmtId="185" fontId="93" fillId="12" borderId="21" xfId="0" applyFont="1" applyFill="1" applyBorder="1"/>
    <xf numFmtId="185" fontId="93" fillId="8" borderId="40" xfId="0" applyFont="1" applyFill="1" applyBorder="1"/>
    <xf numFmtId="3" fontId="88" fillId="56" borderId="40" xfId="54" applyBorder="1"/>
    <xf numFmtId="3" fontId="88" fillId="56" borderId="40" xfId="54" applyBorder="1" applyAlignment="1">
      <alignment horizontal="center"/>
    </xf>
    <xf numFmtId="185" fontId="0" fillId="8" borderId="0" xfId="0" applyFill="1" applyAlignment="1">
      <alignment horizontal="left"/>
    </xf>
    <xf numFmtId="4" fontId="83" fillId="8" borderId="0" xfId="55" applyNumberFormat="1" applyFont="1" applyBorder="1"/>
    <xf numFmtId="186" fontId="83" fillId="8" borderId="0" xfId="2" applyNumberFormat="1" applyFont="1" applyFill="1" applyBorder="1"/>
    <xf numFmtId="187" fontId="83" fillId="8" borderId="0" xfId="0" applyNumberFormat="1" applyFont="1" applyFill="1" applyBorder="1"/>
    <xf numFmtId="187" fontId="83" fillId="8" borderId="0" xfId="2" applyNumberFormat="1" applyFont="1" applyFill="1" applyBorder="1"/>
    <xf numFmtId="185" fontId="0" fillId="8" borderId="0" xfId="0" applyFill="1" applyBorder="1" applyAlignment="1">
      <alignment horizontal="left"/>
    </xf>
    <xf numFmtId="185" fontId="0" fillId="12" borderId="37" xfId="0" applyFill="1" applyBorder="1"/>
    <xf numFmtId="185" fontId="0" fillId="12" borderId="2" xfId="0" applyFill="1" applyBorder="1"/>
    <xf numFmtId="185" fontId="0" fillId="12" borderId="38" xfId="0" applyFill="1" applyBorder="1"/>
    <xf numFmtId="185" fontId="0" fillId="12" borderId="17" xfId="0" applyFill="1" applyBorder="1"/>
    <xf numFmtId="185" fontId="0" fillId="12" borderId="0" xfId="0" applyFill="1" applyBorder="1"/>
    <xf numFmtId="185" fontId="0" fillId="12" borderId="18" xfId="0" applyFill="1" applyBorder="1"/>
    <xf numFmtId="185" fontId="0" fillId="12" borderId="20" xfId="0" applyFill="1" applyBorder="1"/>
    <xf numFmtId="185" fontId="0" fillId="12" borderId="3" xfId="0" applyFill="1" applyBorder="1"/>
    <xf numFmtId="185" fontId="0" fillId="12" borderId="21" xfId="0" applyFill="1" applyBorder="1"/>
    <xf numFmtId="1" fontId="88" fillId="56" borderId="2" xfId="54" applyNumberFormat="1" applyBorder="1"/>
    <xf numFmtId="1" fontId="88" fillId="56" borderId="0" xfId="54" applyNumberFormat="1" applyBorder="1"/>
    <xf numFmtId="1" fontId="88" fillId="56" borderId="3" xfId="54" applyNumberFormat="1" applyBorder="1"/>
    <xf numFmtId="185" fontId="84" fillId="2" borderId="0" xfId="0" applyFont="1" applyFill="1"/>
    <xf numFmtId="186" fontId="87" fillId="57" borderId="0" xfId="52" applyNumberFormat="1" applyBorder="1" applyAlignment="1"/>
    <xf numFmtId="185" fontId="107" fillId="2" borderId="0" xfId="0" applyFont="1" applyFill="1"/>
    <xf numFmtId="185" fontId="94" fillId="2" borderId="37" xfId="0" applyFont="1" applyFill="1" applyBorder="1"/>
    <xf numFmtId="185" fontId="94" fillId="2" borderId="38" xfId="0" applyFont="1" applyFill="1" applyBorder="1"/>
    <xf numFmtId="185" fontId="94" fillId="2" borderId="53" xfId="0" applyFont="1" applyFill="1" applyBorder="1"/>
    <xf numFmtId="185" fontId="107" fillId="2" borderId="2" xfId="0" applyFont="1" applyFill="1" applyBorder="1" applyAlignment="1">
      <alignment horizontal="centerContinuous"/>
    </xf>
    <xf numFmtId="185" fontId="94" fillId="2" borderId="0" xfId="0" applyFont="1" applyFill="1" applyBorder="1"/>
    <xf numFmtId="185" fontId="83" fillId="8" borderId="41" xfId="0" applyFont="1" applyFill="1" applyBorder="1" applyAlignment="1">
      <alignment horizontal="right"/>
    </xf>
    <xf numFmtId="185" fontId="83" fillId="8" borderId="1" xfId="0" applyFont="1" applyFill="1" applyBorder="1" applyAlignment="1">
      <alignment horizontal="right"/>
    </xf>
    <xf numFmtId="185" fontId="83" fillId="8" borderId="42" xfId="0" applyFont="1" applyFill="1" applyBorder="1" applyAlignment="1">
      <alignment horizontal="right"/>
    </xf>
    <xf numFmtId="185" fontId="94" fillId="2" borderId="20" xfId="0" applyFont="1" applyFill="1" applyBorder="1"/>
    <xf numFmtId="185" fontId="94" fillId="2" borderId="21" xfId="0" applyFont="1" applyFill="1" applyBorder="1"/>
    <xf numFmtId="185" fontId="94" fillId="2" borderId="44" xfId="0" applyFont="1" applyFill="1" applyBorder="1"/>
    <xf numFmtId="185" fontId="94" fillId="2" borderId="3" xfId="0" applyFont="1" applyFill="1" applyBorder="1"/>
    <xf numFmtId="185" fontId="83" fillId="8" borderId="37" xfId="0" applyFont="1" applyFill="1" applyBorder="1"/>
    <xf numFmtId="167" fontId="100" fillId="56" borderId="37" xfId="54" applyNumberFormat="1" applyFont="1" applyBorder="1" applyProtection="1">
      <protection locked="0"/>
    </xf>
    <xf numFmtId="3" fontId="100" fillId="56" borderId="2" xfId="54" applyFont="1" applyBorder="1" applyProtection="1">
      <protection locked="0"/>
    </xf>
    <xf numFmtId="3" fontId="100" fillId="56" borderId="38" xfId="54" applyFont="1" applyBorder="1" applyProtection="1">
      <protection locked="0"/>
    </xf>
    <xf numFmtId="185" fontId="94" fillId="2" borderId="17" xfId="0" applyFont="1" applyFill="1" applyBorder="1"/>
    <xf numFmtId="185" fontId="94" fillId="2" borderId="18" xfId="0" applyFont="1" applyFill="1" applyBorder="1"/>
    <xf numFmtId="3" fontId="100" fillId="56" borderId="17" xfId="54" applyFont="1" applyBorder="1" applyAlignment="1">
      <alignment horizontal="center"/>
    </xf>
    <xf numFmtId="9" fontId="100" fillId="56" borderId="0" xfId="2" applyFont="1" applyFill="1" applyBorder="1"/>
    <xf numFmtId="185" fontId="94" fillId="2" borderId="42" xfId="0" applyFont="1" applyFill="1" applyBorder="1"/>
    <xf numFmtId="185" fontId="94" fillId="2" borderId="40" xfId="0" applyFont="1" applyFill="1" applyBorder="1"/>
    <xf numFmtId="185" fontId="94" fillId="2" borderId="2" xfId="0" applyFont="1" applyFill="1" applyBorder="1"/>
    <xf numFmtId="185" fontId="83" fillId="8" borderId="17" xfId="0" applyFont="1" applyFill="1" applyBorder="1"/>
    <xf numFmtId="3" fontId="100" fillId="56" borderId="17" xfId="54" applyFont="1" applyBorder="1" applyProtection="1">
      <protection locked="0"/>
    </xf>
    <xf numFmtId="3" fontId="100" fillId="56" borderId="0" xfId="54" applyFont="1" applyBorder="1" applyProtection="1">
      <protection locked="0"/>
    </xf>
    <xf numFmtId="3" fontId="100" fillId="56" borderId="18" xfId="54" applyFont="1" applyBorder="1" applyProtection="1">
      <protection locked="0"/>
    </xf>
    <xf numFmtId="188" fontId="94" fillId="2" borderId="0" xfId="0" applyNumberFormat="1" applyFont="1" applyFill="1" applyBorder="1"/>
    <xf numFmtId="4" fontId="100" fillId="56" borderId="17" xfId="54" applyNumberFormat="1" applyFont="1" applyBorder="1" applyProtection="1">
      <protection locked="0"/>
    </xf>
    <xf numFmtId="4" fontId="100" fillId="56" borderId="0" xfId="54" applyNumberFormat="1" applyFont="1" applyBorder="1" applyProtection="1">
      <protection locked="0"/>
    </xf>
    <xf numFmtId="4" fontId="100" fillId="56" borderId="18" xfId="54" applyNumberFormat="1" applyFont="1" applyBorder="1" applyProtection="1">
      <protection locked="0"/>
    </xf>
    <xf numFmtId="188" fontId="83" fillId="8" borderId="17" xfId="0" applyNumberFormat="1" applyFont="1" applyFill="1" applyBorder="1"/>
    <xf numFmtId="188" fontId="83" fillId="8" borderId="18" xfId="0" applyNumberFormat="1" applyFont="1" applyFill="1" applyBorder="1"/>
    <xf numFmtId="185" fontId="83" fillId="8" borderId="20" xfId="0" applyFont="1" applyFill="1" applyBorder="1"/>
    <xf numFmtId="188" fontId="83" fillId="8" borderId="20" xfId="0" applyNumberFormat="1" applyFont="1" applyFill="1" applyBorder="1"/>
    <xf numFmtId="188" fontId="83" fillId="8" borderId="21" xfId="0" applyNumberFormat="1" applyFont="1" applyFill="1" applyBorder="1"/>
    <xf numFmtId="3" fontId="100" fillId="56" borderId="20" xfId="54" applyFont="1" applyBorder="1" applyAlignment="1">
      <alignment horizontal="center"/>
    </xf>
    <xf numFmtId="187" fontId="94" fillId="2" borderId="0" xfId="0" applyNumberFormat="1" applyFont="1" applyFill="1" applyBorder="1"/>
    <xf numFmtId="185" fontId="83" fillId="2" borderId="37" xfId="0" applyFont="1" applyFill="1" applyBorder="1"/>
    <xf numFmtId="185" fontId="83" fillId="2" borderId="38" xfId="0" applyFont="1" applyFill="1" applyBorder="1"/>
    <xf numFmtId="185" fontId="83" fillId="2" borderId="53" xfId="0" applyFont="1" applyFill="1" applyBorder="1"/>
    <xf numFmtId="185" fontId="84" fillId="2" borderId="37" xfId="0" applyFont="1" applyFill="1" applyBorder="1" applyAlignment="1">
      <alignment horizontal="centerContinuous"/>
    </xf>
    <xf numFmtId="185" fontId="84" fillId="2" borderId="2" xfId="0" applyFont="1" applyFill="1" applyBorder="1" applyAlignment="1">
      <alignment horizontal="centerContinuous"/>
    </xf>
    <xf numFmtId="185" fontId="84" fillId="2" borderId="38" xfId="0" applyFont="1" applyFill="1" applyBorder="1" applyAlignment="1">
      <alignment horizontal="centerContinuous"/>
    </xf>
    <xf numFmtId="185" fontId="83" fillId="2" borderId="41" xfId="0" applyFont="1" applyFill="1" applyBorder="1"/>
    <xf numFmtId="185" fontId="83" fillId="2" borderId="20" xfId="0" applyFont="1" applyFill="1" applyBorder="1"/>
    <xf numFmtId="185" fontId="83" fillId="2" borderId="21" xfId="0" applyFont="1" applyFill="1" applyBorder="1"/>
    <xf numFmtId="185" fontId="83" fillId="2" borderId="1" xfId="0" applyFont="1" applyFill="1" applyBorder="1" applyAlignment="1">
      <alignment horizontal="right"/>
    </xf>
    <xf numFmtId="185" fontId="83" fillId="2" borderId="42" xfId="0" applyFont="1" applyFill="1" applyBorder="1" applyAlignment="1">
      <alignment horizontal="right"/>
    </xf>
    <xf numFmtId="185" fontId="83" fillId="2" borderId="17" xfId="0" applyFont="1" applyFill="1" applyBorder="1"/>
    <xf numFmtId="185" fontId="83" fillId="2" borderId="18" xfId="0" applyFont="1" applyFill="1" applyBorder="1"/>
    <xf numFmtId="10" fontId="83" fillId="2" borderId="0" xfId="2" applyNumberFormat="1" applyFont="1" applyFill="1" applyBorder="1" applyAlignment="1">
      <alignment horizontal="center"/>
    </xf>
    <xf numFmtId="185" fontId="83" fillId="2" borderId="17" xfId="0" applyFont="1" applyFill="1" applyBorder="1" applyAlignment="1">
      <alignment horizontal="center"/>
    </xf>
    <xf numFmtId="186" fontId="83" fillId="2" borderId="0" xfId="0" applyNumberFormat="1" applyFont="1" applyFill="1" applyBorder="1"/>
    <xf numFmtId="10" fontId="83" fillId="2" borderId="3" xfId="2" applyNumberFormat="1" applyFont="1" applyFill="1" applyBorder="1" applyAlignment="1">
      <alignment horizontal="center"/>
    </xf>
    <xf numFmtId="185" fontId="83" fillId="2" borderId="2" xfId="0" applyFont="1" applyFill="1" applyBorder="1" applyAlignment="1">
      <alignment horizontal="right"/>
    </xf>
    <xf numFmtId="185" fontId="83" fillId="2" borderId="38" xfId="0" applyFont="1" applyFill="1" applyBorder="1" applyAlignment="1">
      <alignment horizontal="right"/>
    </xf>
    <xf numFmtId="185" fontId="83" fillId="2" borderId="43" xfId="0" applyFont="1" applyFill="1" applyBorder="1"/>
    <xf numFmtId="185" fontId="83" fillId="2" borderId="44" xfId="0" applyFont="1" applyFill="1" applyBorder="1"/>
    <xf numFmtId="186" fontId="87" fillId="57" borderId="43" xfId="52" applyNumberFormat="1" applyBorder="1" applyAlignment="1"/>
    <xf numFmtId="186" fontId="87" fillId="57" borderId="44" xfId="52" applyNumberFormat="1" applyBorder="1" applyAlignment="1"/>
    <xf numFmtId="185" fontId="83" fillId="2" borderId="43" xfId="0" applyFont="1" applyFill="1" applyBorder="1"/>
    <xf numFmtId="185" fontId="83" fillId="2" borderId="20" xfId="0" applyFont="1" applyFill="1" applyBorder="1"/>
    <xf numFmtId="185" fontId="83" fillId="2" borderId="21" xfId="0" applyFont="1" applyFill="1" applyBorder="1"/>
    <xf numFmtId="185" fontId="0" fillId="2" borderId="20" xfId="0" applyFill="1" applyBorder="1"/>
    <xf numFmtId="185" fontId="0" fillId="2" borderId="44" xfId="0" applyFont="1" applyFill="1" applyBorder="1" applyAlignment="1">
      <alignment horizontal="right"/>
    </xf>
    <xf numFmtId="185" fontId="0" fillId="2" borderId="20" xfId="0" applyFont="1" applyFill="1" applyBorder="1"/>
    <xf numFmtId="185" fontId="0" fillId="2" borderId="21" xfId="0" applyFont="1" applyFill="1" applyBorder="1"/>
    <xf numFmtId="185" fontId="156" fillId="2" borderId="33" xfId="0" applyFont="1" applyFill="1" applyBorder="1"/>
    <xf numFmtId="185" fontId="156" fillId="2" borderId="31" xfId="0" applyFont="1" applyFill="1" applyBorder="1"/>
    <xf numFmtId="185" fontId="83" fillId="2" borderId="31" xfId="0" applyFont="1" applyFill="1" applyBorder="1"/>
    <xf numFmtId="185" fontId="83" fillId="2" borderId="32" xfId="0" applyFont="1" applyFill="1" applyBorder="1"/>
    <xf numFmtId="9" fontId="94" fillId="2" borderId="66" xfId="2" applyFont="1" applyFill="1" applyBorder="1"/>
    <xf numFmtId="185" fontId="94" fillId="2" borderId="4" xfId="0" applyFont="1" applyFill="1" applyBorder="1"/>
    <xf numFmtId="9" fontId="109" fillId="4" borderId="6" xfId="2" applyFont="1" applyFill="1" applyBorder="1"/>
    <xf numFmtId="185" fontId="94" fillId="13" borderId="0" xfId="0" applyFont="1" applyFill="1"/>
    <xf numFmtId="185" fontId="94" fillId="12" borderId="0" xfId="0" applyFont="1" applyFill="1"/>
    <xf numFmtId="9" fontId="94" fillId="2" borderId="0" xfId="0" applyNumberFormat="1" applyFont="1" applyFill="1"/>
    <xf numFmtId="185" fontId="94" fillId="2" borderId="7" xfId="0" applyFont="1" applyFill="1" applyBorder="1"/>
    <xf numFmtId="9" fontId="109" fillId="4" borderId="8" xfId="0" applyNumberFormat="1" applyFont="1" applyFill="1" applyBorder="1"/>
    <xf numFmtId="185" fontId="94" fillId="13" borderId="0" xfId="0" applyFont="1" applyFill="1" applyBorder="1"/>
    <xf numFmtId="4" fontId="109" fillId="4" borderId="8" xfId="0" applyNumberFormat="1" applyFont="1" applyFill="1" applyBorder="1"/>
    <xf numFmtId="185" fontId="94" fillId="2" borderId="9" xfId="0" applyFont="1" applyFill="1" applyBorder="1"/>
    <xf numFmtId="4" fontId="109" fillId="4" borderId="11" xfId="0" applyNumberFormat="1" applyFont="1" applyFill="1" applyBorder="1"/>
    <xf numFmtId="167" fontId="94" fillId="2" borderId="0" xfId="0" applyNumberFormat="1" applyFont="1" applyFill="1"/>
    <xf numFmtId="185" fontId="94" fillId="2" borderId="28" xfId="0" applyFont="1" applyFill="1" applyBorder="1"/>
    <xf numFmtId="1" fontId="109" fillId="4" borderId="30" xfId="0" applyNumberFormat="1" applyFont="1" applyFill="1" applyBorder="1"/>
    <xf numFmtId="164" fontId="94" fillId="2" borderId="0" xfId="0" applyNumberFormat="1" applyFont="1" applyFill="1"/>
    <xf numFmtId="177" fontId="105" fillId="8" borderId="0" xfId="0" applyNumberFormat="1" applyFont="1" applyFill="1"/>
    <xf numFmtId="167" fontId="94" fillId="8" borderId="0" xfId="0" applyNumberFormat="1" applyFont="1" applyFill="1"/>
    <xf numFmtId="185" fontId="83" fillId="8" borderId="47" xfId="0" applyFont="1" applyFill="1" applyBorder="1"/>
    <xf numFmtId="185" fontId="86" fillId="8" borderId="35" xfId="0" applyFont="1" applyFill="1" applyBorder="1"/>
    <xf numFmtId="185" fontId="83" fillId="8" borderId="23" xfId="0" applyFont="1" applyFill="1" applyBorder="1"/>
    <xf numFmtId="10" fontId="157" fillId="8" borderId="10" xfId="2" applyNumberFormat="1" applyFont="1" applyFill="1" applyBorder="1"/>
    <xf numFmtId="10" fontId="157" fillId="8" borderId="11" xfId="2" applyNumberFormat="1" applyFont="1" applyFill="1" applyBorder="1"/>
    <xf numFmtId="185" fontId="94" fillId="14" borderId="0" xfId="0" applyFont="1" applyFill="1" applyBorder="1"/>
    <xf numFmtId="185" fontId="83" fillId="8" borderId="15" xfId="0" applyFont="1" applyFill="1" applyBorder="1"/>
    <xf numFmtId="192" fontId="83" fillId="8" borderId="6" xfId="0" applyNumberFormat="1" applyFont="1" applyFill="1" applyBorder="1"/>
    <xf numFmtId="185" fontId="83" fillId="8" borderId="16" xfId="0" applyFont="1" applyFill="1" applyBorder="1"/>
    <xf numFmtId="185" fontId="100" fillId="8" borderId="0" xfId="0" applyFont="1" applyFill="1" applyBorder="1"/>
    <xf numFmtId="189" fontId="158" fillId="8" borderId="11" xfId="0" applyNumberFormat="1" applyFont="1" applyFill="1" applyBorder="1"/>
    <xf numFmtId="164" fontId="94" fillId="2" borderId="0" xfId="1" applyFont="1" applyFill="1"/>
    <xf numFmtId="185" fontId="94" fillId="2" borderId="5" xfId="0" applyFont="1" applyFill="1" applyBorder="1"/>
    <xf numFmtId="185" fontId="94" fillId="2" borderId="6" xfId="0" applyFont="1" applyFill="1" applyBorder="1"/>
    <xf numFmtId="185" fontId="94" fillId="2" borderId="10" xfId="0" applyFont="1" applyFill="1" applyBorder="1"/>
    <xf numFmtId="187" fontId="94" fillId="2" borderId="0" xfId="0" applyNumberFormat="1" applyFont="1" applyFill="1"/>
    <xf numFmtId="3" fontId="100" fillId="56" borderId="0" xfId="53" applyFont="1" applyFill="1" applyBorder="1" applyProtection="1">
      <protection locked="0"/>
    </xf>
    <xf numFmtId="167" fontId="100" fillId="56" borderId="0" xfId="53" applyNumberFormat="1" applyFont="1" applyFill="1" applyBorder="1" applyProtection="1">
      <protection locked="0"/>
    </xf>
    <xf numFmtId="185" fontId="83" fillId="8" borderId="1" xfId="0" applyFont="1" applyFill="1" applyBorder="1"/>
    <xf numFmtId="185" fontId="84" fillId="8" borderId="1" xfId="0" applyFont="1" applyFill="1" applyBorder="1" applyAlignment="1">
      <alignment horizontal="right"/>
    </xf>
    <xf numFmtId="186" fontId="100" fillId="17" borderId="2" xfId="0" applyNumberFormat="1" applyFont="1" applyFill="1" applyBorder="1"/>
    <xf numFmtId="186" fontId="100" fillId="8" borderId="2" xfId="0" applyNumberFormat="1" applyFont="1" applyFill="1" applyBorder="1"/>
    <xf numFmtId="186" fontId="100" fillId="17" borderId="0" xfId="0" applyNumberFormat="1" applyFont="1" applyFill="1" applyBorder="1"/>
    <xf numFmtId="188" fontId="149" fillId="8" borderId="0" xfId="0" applyNumberFormat="1" applyFont="1" applyFill="1" applyBorder="1"/>
    <xf numFmtId="185" fontId="108" fillId="2" borderId="2" xfId="0" applyFont="1" applyFill="1" applyBorder="1"/>
    <xf numFmtId="188" fontId="100" fillId="17" borderId="3" xfId="0" applyNumberFormat="1" applyFont="1" applyFill="1" applyBorder="1"/>
    <xf numFmtId="188" fontId="100" fillId="8" borderId="3" xfId="0" applyNumberFormat="1" applyFont="1" applyFill="1" applyBorder="1"/>
    <xf numFmtId="185" fontId="107" fillId="2" borderId="3" xfId="0" applyFont="1" applyFill="1" applyBorder="1" applyAlignment="1">
      <alignment horizontal="right"/>
    </xf>
    <xf numFmtId="3" fontId="100" fillId="56" borderId="3" xfId="53" applyFont="1" applyFill="1" applyBorder="1" applyProtection="1">
      <protection locked="0"/>
    </xf>
    <xf numFmtId="167" fontId="100" fillId="56" borderId="3" xfId="53" applyNumberFormat="1" applyFont="1" applyFill="1" applyBorder="1" applyProtection="1">
      <protection locked="0"/>
    </xf>
    <xf numFmtId="3" fontId="83" fillId="17" borderId="2" xfId="0" applyNumberFormat="1" applyFont="1" applyFill="1" applyBorder="1"/>
    <xf numFmtId="3" fontId="83" fillId="8" borderId="2" xfId="0" applyNumberFormat="1" applyFont="1" applyFill="1" applyBorder="1"/>
    <xf numFmtId="188" fontId="110" fillId="2" borderId="2" xfId="0" applyNumberFormat="1" applyFont="1" applyFill="1" applyBorder="1"/>
    <xf numFmtId="3" fontId="83" fillId="17" borderId="0" xfId="0" applyNumberFormat="1" applyFont="1" applyFill="1" applyBorder="1"/>
    <xf numFmtId="186" fontId="110" fillId="2" borderId="0" xfId="0" applyNumberFormat="1" applyFont="1" applyFill="1" applyBorder="1"/>
    <xf numFmtId="3" fontId="83" fillId="17" borderId="3" xfId="0" applyNumberFormat="1" applyFont="1" applyFill="1" applyBorder="1"/>
    <xf numFmtId="3" fontId="83" fillId="8" borderId="3" xfId="0" applyNumberFormat="1" applyFont="1" applyFill="1" applyBorder="1"/>
    <xf numFmtId="167" fontId="83" fillId="8" borderId="3" xfId="0" applyNumberFormat="1" applyFont="1" applyFill="1" applyBorder="1"/>
    <xf numFmtId="192" fontId="110" fillId="2" borderId="0" xfId="0" applyNumberFormat="1" applyFont="1" applyFill="1" applyBorder="1"/>
    <xf numFmtId="3" fontId="100" fillId="56" borderId="0" xfId="53" applyFont="1" applyFill="1" applyBorder="1" applyAlignment="1" applyProtection="1">
      <protection locked="0"/>
    </xf>
    <xf numFmtId="192" fontId="110" fillId="2" borderId="3" xfId="0" applyNumberFormat="1" applyFont="1" applyFill="1" applyBorder="1"/>
    <xf numFmtId="3" fontId="94" fillId="2" borderId="0" xfId="0" applyNumberFormat="1" applyFont="1" applyFill="1" applyBorder="1"/>
    <xf numFmtId="171" fontId="94" fillId="2" borderId="0" xfId="0" applyNumberFormat="1" applyFont="1" applyFill="1" applyBorder="1"/>
    <xf numFmtId="185" fontId="108" fillId="2" borderId="3" xfId="0" applyFont="1" applyFill="1" applyBorder="1" applyAlignment="1">
      <alignment horizontal="center"/>
    </xf>
    <xf numFmtId="189" fontId="113" fillId="2" borderId="2" xfId="0" applyNumberFormat="1" applyFont="1" applyFill="1" applyBorder="1"/>
    <xf numFmtId="189" fontId="113" fillId="2" borderId="0" xfId="0" applyNumberFormat="1" applyFont="1" applyFill="1" applyBorder="1"/>
    <xf numFmtId="167" fontId="94" fillId="2" borderId="0" xfId="0" applyNumberFormat="1" applyFont="1" applyFill="1" applyBorder="1"/>
    <xf numFmtId="171" fontId="94" fillId="2" borderId="3" xfId="0" applyNumberFormat="1" applyFont="1" applyFill="1" applyBorder="1"/>
    <xf numFmtId="189" fontId="113" fillId="2" borderId="3" xfId="0" applyNumberFormat="1" applyFont="1" applyFill="1" applyBorder="1"/>
    <xf numFmtId="186" fontId="94" fillId="2" borderId="1" xfId="0" applyNumberFormat="1" applyFont="1" applyFill="1" applyBorder="1"/>
    <xf numFmtId="185" fontId="159" fillId="2" borderId="0" xfId="46" applyFont="1" applyFill="1" applyAlignment="1"/>
    <xf numFmtId="185" fontId="83" fillId="2" borderId="41" xfId="0" applyFont="1" applyFill="1" applyBorder="1" applyAlignment="1">
      <alignment horizontal="right"/>
    </xf>
    <xf numFmtId="185" fontId="83" fillId="16" borderId="0" xfId="0" applyFont="1" applyFill="1" applyBorder="1"/>
    <xf numFmtId="185" fontId="83" fillId="16" borderId="18" xfId="0" applyFont="1" applyFill="1" applyBorder="1"/>
    <xf numFmtId="185" fontId="83" fillId="2" borderId="20" xfId="0" applyNumberFormat="1" applyFont="1" applyFill="1" applyBorder="1"/>
    <xf numFmtId="185" fontId="83" fillId="16" borderId="3" xfId="0" applyFont="1" applyFill="1" applyBorder="1"/>
    <xf numFmtId="185" fontId="83" fillId="16" borderId="21" xfId="0" applyFont="1" applyFill="1" applyBorder="1"/>
    <xf numFmtId="185" fontId="83" fillId="8" borderId="45" xfId="0" applyFont="1" applyFill="1" applyBorder="1"/>
    <xf numFmtId="185" fontId="83" fillId="8" borderId="48" xfId="0" applyFont="1" applyFill="1" applyBorder="1"/>
    <xf numFmtId="185" fontId="160" fillId="8" borderId="43" xfId="0" applyFont="1" applyFill="1" applyBorder="1" applyProtection="1">
      <protection locked="0"/>
    </xf>
    <xf numFmtId="185" fontId="154" fillId="8" borderId="43" xfId="0" applyFont="1" applyFill="1" applyBorder="1" applyProtection="1">
      <protection locked="0"/>
    </xf>
    <xf numFmtId="185" fontId="154" fillId="8" borderId="8" xfId="0" applyFont="1" applyFill="1" applyBorder="1" applyProtection="1">
      <protection locked="0"/>
    </xf>
    <xf numFmtId="185" fontId="83" fillId="14" borderId="0" xfId="0" applyFont="1" applyFill="1"/>
    <xf numFmtId="9" fontId="110" fillId="2" borderId="1" xfId="2" applyFont="1" applyFill="1" applyBorder="1"/>
    <xf numFmtId="185" fontId="160" fillId="8" borderId="8" xfId="0" applyFont="1" applyFill="1" applyBorder="1" applyProtection="1">
      <protection locked="0"/>
    </xf>
    <xf numFmtId="185" fontId="94" fillId="2" borderId="43" xfId="0" applyFont="1" applyFill="1" applyBorder="1"/>
    <xf numFmtId="2" fontId="160" fillId="8" borderId="43" xfId="0" applyNumberFormat="1" applyFont="1" applyFill="1" applyBorder="1" applyProtection="1">
      <protection locked="0"/>
    </xf>
    <xf numFmtId="2" fontId="160" fillId="8" borderId="8" xfId="0" applyNumberFormat="1" applyFont="1" applyFill="1" applyBorder="1" applyProtection="1">
      <protection locked="0"/>
    </xf>
    <xf numFmtId="2" fontId="154" fillId="8" borderId="43" xfId="0" applyNumberFormat="1" applyFont="1" applyFill="1" applyBorder="1" applyProtection="1">
      <protection locked="0"/>
    </xf>
    <xf numFmtId="2" fontId="154" fillId="8" borderId="8" xfId="0" applyNumberFormat="1" applyFont="1" applyFill="1" applyBorder="1" applyProtection="1">
      <protection locked="0"/>
    </xf>
    <xf numFmtId="186" fontId="110" fillId="2" borderId="3" xfId="0" applyNumberFormat="1" applyFont="1" applyFill="1" applyBorder="1"/>
    <xf numFmtId="2" fontId="154" fillId="8" borderId="18" xfId="0" applyNumberFormat="1" applyFont="1" applyFill="1" applyBorder="1" applyProtection="1">
      <protection locked="0"/>
    </xf>
    <xf numFmtId="185" fontId="160" fillId="8" borderId="49" xfId="0" applyFont="1" applyFill="1" applyBorder="1" applyProtection="1">
      <protection locked="0"/>
    </xf>
    <xf numFmtId="2" fontId="154" fillId="8" borderId="49" xfId="0" applyNumberFormat="1" applyFont="1" applyFill="1" applyBorder="1" applyProtection="1">
      <protection locked="0"/>
    </xf>
    <xf numFmtId="2" fontId="154" fillId="8" borderId="11" xfId="0" applyNumberFormat="1" applyFont="1" applyFill="1" applyBorder="1" applyProtection="1">
      <protection locked="0"/>
    </xf>
    <xf numFmtId="185" fontId="83" fillId="8" borderId="43" xfId="0" applyNumberFormat="1" applyFont="1" applyFill="1" applyBorder="1" applyAlignment="1"/>
    <xf numFmtId="185" fontId="83" fillId="8" borderId="8" xfId="0" applyNumberFormat="1" applyFont="1" applyFill="1" applyBorder="1" applyAlignment="1"/>
    <xf numFmtId="185" fontId="83" fillId="8" borderId="43" xfId="0" applyNumberFormat="1" applyFont="1" applyFill="1" applyBorder="1"/>
    <xf numFmtId="185" fontId="83" fillId="8" borderId="8" xfId="0" applyNumberFormat="1" applyFont="1" applyFill="1" applyBorder="1"/>
    <xf numFmtId="185" fontId="83" fillId="8" borderId="49" xfId="0" applyNumberFormat="1" applyFont="1" applyFill="1" applyBorder="1"/>
    <xf numFmtId="185" fontId="83" fillId="8" borderId="11" xfId="0" applyNumberFormat="1" applyFont="1" applyFill="1" applyBorder="1"/>
    <xf numFmtId="185" fontId="83" fillId="8" borderId="14" xfId="0" applyFont="1" applyFill="1" applyBorder="1" applyAlignment="1">
      <alignment horizontal="right"/>
    </xf>
    <xf numFmtId="185" fontId="83" fillId="8" borderId="35" xfId="0" applyFont="1" applyFill="1" applyBorder="1" applyAlignment="1">
      <alignment horizontal="right"/>
    </xf>
    <xf numFmtId="187" fontId="100" fillId="8" borderId="2" xfId="0" applyNumberFormat="1" applyFont="1" applyFill="1" applyBorder="1"/>
    <xf numFmtId="187" fontId="83" fillId="8" borderId="2" xfId="0" applyNumberFormat="1" applyFont="1" applyFill="1" applyBorder="1"/>
    <xf numFmtId="187" fontId="83" fillId="8" borderId="52" xfId="0" applyNumberFormat="1" applyFont="1" applyFill="1" applyBorder="1"/>
    <xf numFmtId="186" fontId="94" fillId="2" borderId="0" xfId="0" applyNumberFormat="1" applyFont="1" applyFill="1"/>
    <xf numFmtId="187" fontId="100" fillId="8" borderId="0" xfId="0" applyNumberFormat="1" applyFont="1" applyFill="1" applyBorder="1"/>
    <xf numFmtId="187" fontId="83" fillId="8" borderId="8" xfId="0" applyNumberFormat="1" applyFont="1" applyFill="1" applyBorder="1"/>
    <xf numFmtId="187" fontId="149" fillId="8" borderId="0" xfId="56" applyNumberFormat="1" applyFont="1" applyFill="1" applyBorder="1"/>
    <xf numFmtId="187" fontId="100" fillId="8" borderId="8" xfId="0" applyNumberFormat="1" applyFont="1" applyFill="1" applyBorder="1"/>
    <xf numFmtId="188" fontId="107" fillId="2" borderId="0" xfId="0" applyNumberFormat="1" applyFont="1" applyFill="1"/>
    <xf numFmtId="187" fontId="100" fillId="8" borderId="10" xfId="0" applyNumberFormat="1" applyFont="1" applyFill="1" applyBorder="1"/>
    <xf numFmtId="187" fontId="83" fillId="8" borderId="10" xfId="0" applyNumberFormat="1" applyFont="1" applyFill="1" applyBorder="1"/>
    <xf numFmtId="187" fontId="83" fillId="8" borderId="11" xfId="0" applyNumberFormat="1" applyFont="1" applyFill="1" applyBorder="1"/>
    <xf numFmtId="185" fontId="94" fillId="2" borderId="0" xfId="0" quotePrefix="1" applyFont="1" applyFill="1"/>
    <xf numFmtId="185" fontId="94" fillId="2" borderId="47" xfId="0" applyFont="1" applyFill="1" applyBorder="1"/>
    <xf numFmtId="185" fontId="94" fillId="2" borderId="14" xfId="0" applyFont="1" applyFill="1" applyBorder="1" applyAlignment="1">
      <alignment horizontal="right"/>
    </xf>
    <xf numFmtId="185" fontId="94" fillId="2" borderId="35" xfId="0" applyFont="1" applyFill="1" applyBorder="1" applyAlignment="1">
      <alignment horizontal="right"/>
    </xf>
    <xf numFmtId="185" fontId="94" fillId="2" borderId="16" xfId="0" applyFont="1" applyFill="1" applyBorder="1"/>
    <xf numFmtId="9" fontId="109" fillId="4" borderId="0" xfId="2" applyFont="1" applyFill="1" applyBorder="1"/>
    <xf numFmtId="9" fontId="109" fillId="4" borderId="8" xfId="2" applyFont="1" applyFill="1" applyBorder="1"/>
    <xf numFmtId="185" fontId="161" fillId="4" borderId="0" xfId="0" applyFont="1" applyFill="1" applyBorder="1"/>
    <xf numFmtId="185" fontId="161" fillId="4" borderId="8" xfId="0" applyFont="1" applyFill="1" applyBorder="1"/>
    <xf numFmtId="188" fontId="161" fillId="4" borderId="0" xfId="0" applyNumberFormat="1" applyFont="1" applyFill="1" applyBorder="1"/>
    <xf numFmtId="188" fontId="161" fillId="4" borderId="8" xfId="0" applyNumberFormat="1" applyFont="1" applyFill="1" applyBorder="1"/>
    <xf numFmtId="188" fontId="94" fillId="2" borderId="8" xfId="0" applyNumberFormat="1" applyFont="1" applyFill="1" applyBorder="1"/>
    <xf numFmtId="185" fontId="94" fillId="2" borderId="8" xfId="0" applyFont="1" applyFill="1" applyBorder="1"/>
    <xf numFmtId="172" fontId="94" fillId="2" borderId="0" xfId="2" applyNumberFormat="1" applyFont="1" applyFill="1" applyBorder="1"/>
    <xf numFmtId="10" fontId="94" fillId="2" borderId="8" xfId="2" applyNumberFormat="1" applyFont="1" applyFill="1" applyBorder="1"/>
    <xf numFmtId="185" fontId="94" fillId="2" borderId="23" xfId="0" applyFont="1" applyFill="1" applyBorder="1"/>
    <xf numFmtId="172" fontId="94" fillId="2" borderId="10" xfId="2" applyNumberFormat="1" applyFont="1" applyFill="1" applyBorder="1"/>
    <xf numFmtId="172" fontId="94" fillId="2" borderId="11" xfId="2" applyNumberFormat="1" applyFont="1" applyFill="1" applyBorder="1"/>
    <xf numFmtId="185" fontId="162" fillId="2" borderId="2" xfId="0" applyFont="1" applyFill="1" applyBorder="1"/>
    <xf numFmtId="185" fontId="162" fillId="2" borderId="0" xfId="0" applyFont="1" applyFill="1" applyBorder="1"/>
    <xf numFmtId="185" fontId="162" fillId="2" borderId="3" xfId="0" applyFont="1" applyFill="1" applyBorder="1"/>
    <xf numFmtId="185" fontId="108" fillId="2" borderId="40" xfId="0" applyFont="1" applyFill="1" applyBorder="1"/>
    <xf numFmtId="3" fontId="100" fillId="56" borderId="53" xfId="54" applyFont="1" applyBorder="1"/>
    <xf numFmtId="3" fontId="100" fillId="56" borderId="2" xfId="54" applyFont="1" applyBorder="1"/>
    <xf numFmtId="3" fontId="100" fillId="56" borderId="38" xfId="54" applyFont="1" applyBorder="1"/>
    <xf numFmtId="3" fontId="100" fillId="56" borderId="43" xfId="54" applyFont="1" applyBorder="1"/>
    <xf numFmtId="3" fontId="100" fillId="56" borderId="0" xfId="54" applyFont="1" applyBorder="1"/>
    <xf numFmtId="3" fontId="100" fillId="56" borderId="18" xfId="54" applyFont="1" applyBorder="1"/>
    <xf numFmtId="3" fontId="100" fillId="56" borderId="44" xfId="54" applyFont="1" applyBorder="1"/>
    <xf numFmtId="3" fontId="100" fillId="56" borderId="3" xfId="54" applyFont="1" applyBorder="1"/>
    <xf numFmtId="3" fontId="100" fillId="56" borderId="21" xfId="54" applyFont="1" applyBorder="1"/>
    <xf numFmtId="15" fontId="94" fillId="2" borderId="0" xfId="0" applyNumberFormat="1" applyFont="1" applyFill="1"/>
    <xf numFmtId="185" fontId="107" fillId="2" borderId="0" xfId="0" applyFont="1" applyFill="1" applyBorder="1"/>
    <xf numFmtId="185" fontId="162" fillId="2" borderId="0" xfId="0" applyFont="1" applyFill="1"/>
    <xf numFmtId="185" fontId="83" fillId="8" borderId="0" xfId="0" applyFont="1" applyAlignment="1">
      <alignment horizontal="left" vertical="center" indent="2"/>
    </xf>
    <xf numFmtId="185" fontId="0" fillId="8" borderId="20" xfId="0" applyFont="1" applyFill="1" applyBorder="1" applyAlignment="1">
      <alignment horizontal="center"/>
    </xf>
    <xf numFmtId="185" fontId="0" fillId="8" borderId="3" xfId="0" applyFont="1" applyFill="1" applyBorder="1" applyAlignment="1">
      <alignment horizontal="center"/>
    </xf>
    <xf numFmtId="185" fontId="0" fillId="2" borderId="17" xfId="0" applyFill="1" applyBorder="1"/>
    <xf numFmtId="190" fontId="0" fillId="2" borderId="0" xfId="0" applyNumberFormat="1" applyFill="1" applyBorder="1"/>
    <xf numFmtId="190" fontId="0" fillId="2" borderId="18" xfId="0" applyNumberFormat="1" applyFill="1" applyBorder="1"/>
    <xf numFmtId="190" fontId="0" fillId="2" borderId="3" xfId="0" applyNumberFormat="1" applyFill="1" applyBorder="1"/>
    <xf numFmtId="190" fontId="0" fillId="2" borderId="21" xfId="0" applyNumberFormat="1" applyFill="1" applyBorder="1"/>
    <xf numFmtId="188" fontId="87" fillId="57" borderId="42" xfId="52" applyNumberFormat="1" applyBorder="1" applyAlignment="1"/>
    <xf numFmtId="2" fontId="83" fillId="2" borderId="0" xfId="2" applyNumberFormat="1" applyFont="1" applyFill="1" applyBorder="1" applyAlignment="1">
      <alignment horizontal="center"/>
    </xf>
    <xf numFmtId="2" fontId="83" fillId="2" borderId="3" xfId="2" applyNumberFormat="1" applyFont="1" applyFill="1" applyBorder="1" applyAlignment="1">
      <alignment horizontal="center"/>
    </xf>
    <xf numFmtId="166" fontId="83" fillId="2" borderId="17" xfId="2" applyNumberFormat="1" applyFont="1" applyFill="1" applyBorder="1"/>
    <xf numFmtId="166" fontId="83" fillId="2" borderId="20" xfId="2" applyNumberFormat="1" applyFont="1" applyFill="1" applyBorder="1"/>
    <xf numFmtId="167" fontId="88" fillId="56" borderId="0" xfId="54" applyNumberFormat="1" applyBorder="1"/>
    <xf numFmtId="167" fontId="0" fillId="7" borderId="0" xfId="0" applyNumberFormat="1" applyFill="1" applyBorder="1"/>
    <xf numFmtId="167" fontId="88" fillId="56" borderId="0" xfId="54" applyNumberFormat="1" applyBorder="1" applyAlignment="1"/>
    <xf numFmtId="167" fontId="88" fillId="56" borderId="10" xfId="54" applyNumberFormat="1" applyBorder="1"/>
    <xf numFmtId="186" fontId="87" fillId="57" borderId="10" xfId="52" applyNumberFormat="1" applyBorder="1" applyAlignment="1"/>
    <xf numFmtId="9" fontId="83" fillId="2" borderId="18" xfId="2" applyFont="1" applyFill="1" applyBorder="1"/>
    <xf numFmtId="9" fontId="83" fillId="2" borderId="21" xfId="2" applyFont="1" applyFill="1" applyBorder="1"/>
    <xf numFmtId="10" fontId="0" fillId="2" borderId="18" xfId="2" applyNumberFormat="1" applyFont="1" applyFill="1" applyBorder="1"/>
    <xf numFmtId="10" fontId="0" fillId="2" borderId="21" xfId="2" applyNumberFormat="1" applyFont="1" applyFill="1" applyBorder="1"/>
    <xf numFmtId="166" fontId="0" fillId="2" borderId="0" xfId="2" applyNumberFormat="1" applyFont="1" applyFill="1" applyBorder="1"/>
    <xf numFmtId="166" fontId="0" fillId="2" borderId="3" xfId="2" applyNumberFormat="1" applyFont="1" applyFill="1" applyBorder="1"/>
    <xf numFmtId="9" fontId="88" fillId="56" borderId="0" xfId="54" applyNumberFormat="1" applyBorder="1" applyAlignment="1"/>
    <xf numFmtId="185" fontId="83" fillId="2" borderId="37" xfId="0" applyFont="1" applyFill="1" applyBorder="1" applyAlignment="1">
      <alignment horizontal="right"/>
    </xf>
    <xf numFmtId="3" fontId="143" fillId="56" borderId="0" xfId="56" applyNumberFormat="1" applyFill="1" applyBorder="1" applyProtection="1">
      <protection locked="0"/>
    </xf>
    <xf numFmtId="167" fontId="143" fillId="56" borderId="0" xfId="56" applyNumberFormat="1" applyFill="1" applyBorder="1" applyProtection="1">
      <protection locked="0"/>
    </xf>
    <xf numFmtId="4" fontId="100" fillId="56" borderId="0" xfId="53" applyNumberFormat="1" applyFont="1" applyFill="1" applyBorder="1" applyProtection="1">
      <protection locked="0"/>
    </xf>
    <xf numFmtId="4" fontId="100" fillId="56" borderId="3" xfId="53" applyNumberFormat="1" applyFont="1" applyFill="1" applyBorder="1" applyProtection="1">
      <protection locked="0"/>
    </xf>
    <xf numFmtId="4" fontId="143" fillId="56" borderId="0" xfId="56" applyNumberFormat="1" applyFill="1" applyBorder="1" applyProtection="1">
      <protection locked="0"/>
    </xf>
    <xf numFmtId="186" fontId="0" fillId="2" borderId="0" xfId="0" applyNumberFormat="1" applyFill="1" applyBorder="1"/>
    <xf numFmtId="186" fontId="0" fillId="2" borderId="3" xfId="0" applyNumberFormat="1" applyFill="1" applyBorder="1"/>
    <xf numFmtId="185" fontId="0" fillId="8" borderId="2" xfId="0" applyNumberFormat="1" applyFill="1" applyBorder="1" applyAlignment="1">
      <alignment horizontal="center"/>
    </xf>
    <xf numFmtId="185" fontId="0" fillId="8" borderId="0" xfId="0" applyNumberFormat="1" applyFill="1" applyBorder="1" applyAlignment="1">
      <alignment horizontal="center"/>
    </xf>
    <xf numFmtId="10" fontId="9" fillId="8" borderId="0" xfId="2" applyNumberFormat="1" applyFont="1" applyFill="1"/>
    <xf numFmtId="167" fontId="91" fillId="8" borderId="0" xfId="55" applyNumberFormat="1" applyBorder="1"/>
    <xf numFmtId="167" fontId="87" fillId="8" borderId="18" xfId="53" applyNumberFormat="1" applyFont="1" applyBorder="1" applyAlignment="1"/>
    <xf numFmtId="188" fontId="87" fillId="57" borderId="0" xfId="52" applyNumberFormat="1" applyBorder="1" applyAlignment="1"/>
    <xf numFmtId="186" fontId="87" fillId="57" borderId="38" xfId="52" applyNumberFormat="1" applyBorder="1" applyAlignment="1"/>
    <xf numFmtId="186" fontId="87" fillId="57" borderId="21" xfId="52" applyNumberFormat="1" applyBorder="1" applyAlignment="1"/>
    <xf numFmtId="2" fontId="87" fillId="57" borderId="0" xfId="52" applyNumberFormat="1" applyBorder="1" applyAlignment="1">
      <alignment horizontal="center"/>
    </xf>
    <xf numFmtId="185" fontId="84" fillId="2" borderId="38" xfId="0" applyFont="1" applyFill="1" applyBorder="1" applyAlignment="1">
      <alignment horizontal="left"/>
    </xf>
    <xf numFmtId="9" fontId="100" fillId="16" borderId="0" xfId="2" applyFont="1" applyFill="1" applyBorder="1"/>
    <xf numFmtId="9" fontId="100" fillId="16" borderId="18" xfId="2" applyFont="1" applyFill="1" applyBorder="1"/>
    <xf numFmtId="9" fontId="100" fillId="16" borderId="3" xfId="2" applyFont="1" applyFill="1" applyBorder="1"/>
    <xf numFmtId="9" fontId="100" fillId="16" borderId="21" xfId="2" applyFont="1" applyFill="1" applyBorder="1"/>
    <xf numFmtId="9" fontId="106" fillId="7" borderId="2" xfId="0" applyNumberFormat="1" applyFont="1" applyFill="1" applyBorder="1"/>
    <xf numFmtId="9" fontId="106" fillId="7" borderId="0" xfId="0" applyNumberFormat="1" applyFont="1" applyFill="1" applyBorder="1"/>
    <xf numFmtId="185" fontId="0" fillId="8" borderId="2" xfId="0" applyNumberFormat="1" applyFill="1" applyBorder="1"/>
    <xf numFmtId="185" fontId="0" fillId="8" borderId="38" xfId="0" applyNumberFormat="1" applyFill="1" applyBorder="1"/>
    <xf numFmtId="185" fontId="0" fillId="8" borderId="18" xfId="0" applyNumberFormat="1" applyFill="1" applyBorder="1"/>
    <xf numFmtId="185" fontId="0" fillId="8" borderId="3" xfId="0" applyNumberFormat="1" applyFill="1" applyBorder="1"/>
    <xf numFmtId="185" fontId="0" fillId="8" borderId="21" xfId="0" applyNumberFormat="1" applyFill="1" applyBorder="1"/>
    <xf numFmtId="185" fontId="84" fillId="55" borderId="40" xfId="0" applyFont="1" applyFill="1" applyBorder="1"/>
    <xf numFmtId="185" fontId="83" fillId="8" borderId="40" xfId="0" applyFont="1" applyFill="1" applyBorder="1" applyAlignment="1">
      <alignment horizontal="left"/>
    </xf>
    <xf numFmtId="164" fontId="83" fillId="15" borderId="40" xfId="1" applyFont="1" applyFill="1" applyBorder="1"/>
    <xf numFmtId="185" fontId="83" fillId="15" borderId="40" xfId="0" applyFont="1" applyFill="1" applyBorder="1"/>
    <xf numFmtId="2" fontId="83" fillId="8" borderId="40" xfId="0" applyNumberFormat="1" applyFont="1" applyFill="1" applyBorder="1"/>
    <xf numFmtId="165" fontId="83" fillId="15" borderId="40" xfId="0" applyNumberFormat="1" applyFont="1" applyFill="1" applyBorder="1" applyProtection="1">
      <protection locked="0"/>
    </xf>
    <xf numFmtId="188" fontId="83" fillId="15" borderId="0" xfId="0" applyNumberFormat="1" applyFont="1" applyFill="1" applyBorder="1" applyProtection="1">
      <protection locked="0"/>
    </xf>
    <xf numFmtId="186" fontId="83" fillId="15" borderId="40" xfId="0" applyNumberFormat="1" applyFont="1" applyFill="1" applyBorder="1" applyProtection="1">
      <protection locked="0"/>
    </xf>
    <xf numFmtId="185" fontId="83" fillId="8" borderId="44" xfId="0" applyFont="1" applyFill="1" applyBorder="1"/>
    <xf numFmtId="185" fontId="100" fillId="56" borderId="40" xfId="54" applyNumberFormat="1" applyFont="1" applyBorder="1"/>
    <xf numFmtId="188" fontId="100" fillId="56" borderId="40" xfId="54" applyNumberFormat="1" applyFont="1" applyBorder="1"/>
    <xf numFmtId="188" fontId="100" fillId="56" borderId="40" xfId="54" applyNumberFormat="1" applyFont="1" applyBorder="1" applyProtection="1">
      <protection locked="0"/>
    </xf>
    <xf numFmtId="185" fontId="103" fillId="8" borderId="40" xfId="0" applyFont="1" applyFill="1" applyBorder="1" applyAlignment="1">
      <alignment horizontal="left"/>
    </xf>
    <xf numFmtId="188" fontId="83" fillId="8" borderId="40" xfId="0" applyNumberFormat="1" applyFont="1" applyFill="1" applyBorder="1"/>
    <xf numFmtId="185" fontId="83" fillId="8" borderId="41" xfId="0" applyFont="1" applyFill="1" applyBorder="1"/>
    <xf numFmtId="188" fontId="83" fillId="8" borderId="40" xfId="55" applyNumberFormat="1" applyFont="1" applyBorder="1"/>
    <xf numFmtId="185" fontId="106" fillId="57" borderId="40" xfId="52" applyFont="1" applyBorder="1" applyAlignment="1">
      <alignment horizontal="left"/>
    </xf>
    <xf numFmtId="186" fontId="100" fillId="56" borderId="40" xfId="54" applyNumberFormat="1" applyFont="1" applyBorder="1"/>
    <xf numFmtId="185" fontId="106" fillId="57" borderId="40" xfId="52" applyFont="1" applyBorder="1" applyAlignment="1"/>
    <xf numFmtId="185" fontId="100" fillId="56" borderId="41" xfId="54" applyNumberFormat="1" applyFont="1" applyBorder="1"/>
    <xf numFmtId="188" fontId="83" fillId="17" borderId="40" xfId="55" applyNumberFormat="1" applyFont="1" applyFill="1" applyBorder="1"/>
    <xf numFmtId="3" fontId="100" fillId="56" borderId="40" xfId="54" applyNumberFormat="1" applyFont="1" applyBorder="1"/>
    <xf numFmtId="3" fontId="100" fillId="56" borderId="40" xfId="54" applyNumberFormat="1" applyFont="1" applyBorder="1" applyProtection="1">
      <protection locked="0"/>
    </xf>
    <xf numFmtId="186" fontId="83" fillId="8" borderId="40" xfId="55" applyNumberFormat="1" applyFont="1" applyBorder="1"/>
    <xf numFmtId="185" fontId="84" fillId="55" borderId="40" xfId="0" applyFont="1" applyFill="1" applyBorder="1" applyAlignment="1">
      <alignment horizontal="right"/>
    </xf>
    <xf numFmtId="185" fontId="83" fillId="8" borderId="53" xfId="0" applyFont="1" applyFill="1" applyBorder="1"/>
    <xf numFmtId="185" fontId="83" fillId="8" borderId="43" xfId="0" applyFont="1" applyFill="1" applyBorder="1"/>
    <xf numFmtId="185" fontId="163" fillId="23" borderId="40" xfId="0" applyNumberFormat="1" applyFont="1" applyFill="1" applyBorder="1"/>
    <xf numFmtId="192" fontId="83" fillId="8" borderId="0" xfId="0" applyNumberFormat="1" applyFont="1" applyFill="1"/>
    <xf numFmtId="185" fontId="83" fillId="17" borderId="40" xfId="0" applyFont="1" applyFill="1" applyBorder="1"/>
    <xf numFmtId="185" fontId="0" fillId="2" borderId="1" xfId="0" applyFill="1" applyBorder="1"/>
    <xf numFmtId="185" fontId="83" fillId="2" borderId="37" xfId="0" applyFont="1" applyFill="1" applyBorder="1" applyAlignment="1">
      <alignment horizontal="center" wrapText="1"/>
    </xf>
    <xf numFmtId="185" fontId="83" fillId="2" borderId="2" xfId="0" applyFont="1" applyFill="1" applyBorder="1" applyAlignment="1">
      <alignment horizontal="centerContinuous" wrapText="1"/>
    </xf>
    <xf numFmtId="185" fontId="83" fillId="2" borderId="2" xfId="0" applyFont="1" applyFill="1" applyBorder="1" applyAlignment="1">
      <alignment horizontal="center" wrapText="1"/>
    </xf>
    <xf numFmtId="185" fontId="83" fillId="2" borderId="2" xfId="0" applyFont="1" applyFill="1" applyBorder="1" applyAlignment="1">
      <alignment wrapText="1"/>
    </xf>
    <xf numFmtId="185" fontId="83" fillId="2" borderId="38" xfId="0" applyFont="1" applyFill="1" applyBorder="1" applyAlignment="1">
      <alignment horizontal="center" wrapText="1"/>
    </xf>
    <xf numFmtId="185" fontId="83" fillId="2" borderId="20" xfId="0" applyFont="1" applyFill="1" applyBorder="1" applyAlignment="1">
      <alignment horizontal="center"/>
    </xf>
    <xf numFmtId="185" fontId="83" fillId="2" borderId="3" xfId="0" applyFont="1" applyFill="1" applyBorder="1" applyAlignment="1">
      <alignment horizontal="right"/>
    </xf>
    <xf numFmtId="185" fontId="83" fillId="2" borderId="21" xfId="0" applyFont="1" applyFill="1" applyBorder="1" applyAlignment="1">
      <alignment horizontal="center"/>
    </xf>
    <xf numFmtId="185" fontId="83" fillId="2" borderId="38" xfId="0" applyFont="1" applyFill="1" applyBorder="1" applyAlignment="1">
      <alignment horizontal="left"/>
    </xf>
    <xf numFmtId="186" fontId="106" fillId="57" borderId="37" xfId="52" applyNumberFormat="1" applyFont="1" applyBorder="1" applyAlignment="1"/>
    <xf numFmtId="186" fontId="106" fillId="57" borderId="2" xfId="52" applyNumberFormat="1" applyFont="1" applyBorder="1" applyAlignment="1"/>
    <xf numFmtId="188" fontId="106" fillId="57" borderId="2" xfId="52" applyNumberFormat="1" applyFont="1" applyBorder="1" applyAlignment="1"/>
    <xf numFmtId="186" fontId="106" fillId="17" borderId="2" xfId="0" applyNumberFormat="1" applyFont="1" applyFill="1" applyBorder="1"/>
    <xf numFmtId="166" fontId="83" fillId="8" borderId="2" xfId="55" applyNumberFormat="1" applyFont="1" applyBorder="1" applyAlignment="1">
      <alignment horizontal="right"/>
    </xf>
    <xf numFmtId="188" fontId="106" fillId="57" borderId="38" xfId="52" applyNumberFormat="1" applyFont="1" applyBorder="1" applyAlignment="1"/>
    <xf numFmtId="194" fontId="106" fillId="57" borderId="38" xfId="52" applyNumberFormat="1" applyFont="1" applyBorder="1" applyAlignment="1"/>
    <xf numFmtId="190" fontId="106" fillId="57" borderId="38" xfId="52" applyNumberFormat="1" applyFont="1" applyBorder="1" applyAlignment="1"/>
    <xf numFmtId="185" fontId="83" fillId="17" borderId="53" xfId="55" applyNumberFormat="1" applyFont="1" applyFill="1" applyBorder="1" applyAlignment="1">
      <alignment horizontal="center"/>
    </xf>
    <xf numFmtId="9" fontId="106" fillId="17" borderId="38" xfId="2" applyFont="1" applyFill="1" applyBorder="1"/>
    <xf numFmtId="188" fontId="83" fillId="8" borderId="38" xfId="55" applyNumberFormat="1" applyFont="1" applyBorder="1"/>
    <xf numFmtId="185" fontId="83" fillId="2" borderId="18" xfId="0" applyFont="1" applyFill="1" applyBorder="1" applyAlignment="1">
      <alignment horizontal="left"/>
    </xf>
    <xf numFmtId="186" fontId="106" fillId="57" borderId="0" xfId="52" applyNumberFormat="1" applyFont="1" applyBorder="1" applyAlignment="1"/>
    <xf numFmtId="188" fontId="106" fillId="57" borderId="0" xfId="52" applyNumberFormat="1" applyFont="1" applyBorder="1" applyAlignment="1"/>
    <xf numFmtId="186" fontId="106" fillId="17" borderId="0" xfId="0" applyNumberFormat="1" applyFont="1" applyFill="1" applyBorder="1"/>
    <xf numFmtId="166" fontId="83" fillId="8" borderId="0" xfId="55" applyNumberFormat="1" applyFont="1" applyBorder="1" applyAlignment="1">
      <alignment horizontal="right"/>
    </xf>
    <xf numFmtId="188" fontId="106" fillId="57" borderId="18" xfId="52" applyNumberFormat="1" applyFont="1" applyBorder="1" applyAlignment="1"/>
    <xf numFmtId="194" fontId="106" fillId="57" borderId="18" xfId="52" applyNumberFormat="1" applyFont="1" applyBorder="1" applyAlignment="1"/>
    <xf numFmtId="190" fontId="106" fillId="57" borderId="18" xfId="52" applyNumberFormat="1" applyFont="1" applyBorder="1" applyAlignment="1"/>
    <xf numFmtId="185" fontId="83" fillId="17" borderId="43" xfId="55" applyNumberFormat="1" applyFont="1" applyFill="1" applyBorder="1" applyAlignment="1">
      <alignment horizontal="center"/>
    </xf>
    <xf numFmtId="9" fontId="106" fillId="17" borderId="18" xfId="2" applyFont="1" applyFill="1" applyBorder="1"/>
    <xf numFmtId="188" fontId="83" fillId="8" borderId="18" xfId="55" applyNumberFormat="1" applyFont="1" applyBorder="1"/>
    <xf numFmtId="185" fontId="106" fillId="17" borderId="0" xfId="0" applyNumberFormat="1" applyFont="1" applyFill="1" applyBorder="1"/>
    <xf numFmtId="188" fontId="83" fillId="8" borderId="43" xfId="55" applyNumberFormat="1" applyFont="1" applyBorder="1"/>
    <xf numFmtId="185" fontId="83" fillId="8" borderId="17" xfId="55" applyNumberFormat="1" applyFont="1" applyBorder="1"/>
    <xf numFmtId="9" fontId="106" fillId="57" borderId="18" xfId="52" applyNumberFormat="1" applyFont="1" applyBorder="1" applyAlignment="1"/>
    <xf numFmtId="185" fontId="83" fillId="2" borderId="21" xfId="0" applyFont="1" applyFill="1" applyBorder="1" applyAlignment="1">
      <alignment horizontal="left"/>
    </xf>
    <xf numFmtId="186" fontId="106" fillId="57" borderId="3" xfId="52" applyNumberFormat="1" applyFont="1" applyBorder="1" applyAlignment="1"/>
    <xf numFmtId="188" fontId="106" fillId="57" borderId="3" xfId="52" applyNumberFormat="1" applyFont="1" applyBorder="1" applyAlignment="1"/>
    <xf numFmtId="185" fontId="106" fillId="17" borderId="3" xfId="0" applyNumberFormat="1" applyFont="1" applyFill="1" applyBorder="1"/>
    <xf numFmtId="166" fontId="83" fillId="8" borderId="3" xfId="55" applyNumberFormat="1" applyFont="1" applyBorder="1" applyAlignment="1">
      <alignment horizontal="right"/>
    </xf>
    <xf numFmtId="188" fontId="106" fillId="57" borderId="21" xfId="52" applyNumberFormat="1" applyFont="1" applyBorder="1" applyAlignment="1"/>
    <xf numFmtId="194" fontId="106" fillId="57" borderId="21" xfId="52" applyNumberFormat="1" applyFont="1" applyBorder="1" applyAlignment="1"/>
    <xf numFmtId="190" fontId="106" fillId="57" borderId="21" xfId="52" applyNumberFormat="1" applyFont="1" applyBorder="1" applyAlignment="1"/>
    <xf numFmtId="185" fontId="83" fillId="17" borderId="44" xfId="55" applyNumberFormat="1" applyFont="1" applyFill="1" applyBorder="1" applyAlignment="1">
      <alignment horizontal="center"/>
    </xf>
    <xf numFmtId="9" fontId="106" fillId="57" borderId="21" xfId="52" applyNumberFormat="1" applyFont="1" applyBorder="1" applyAlignment="1"/>
    <xf numFmtId="188" fontId="83" fillId="8" borderId="21" xfId="55" applyNumberFormat="1" applyFont="1" applyBorder="1"/>
    <xf numFmtId="185" fontId="106" fillId="57" borderId="0" xfId="52" applyFont="1" applyBorder="1" applyAlignment="1">
      <alignment horizontal="left"/>
    </xf>
    <xf numFmtId="185" fontId="106" fillId="57" borderId="0" xfId="52" applyFont="1" applyBorder="1" applyAlignment="1"/>
    <xf numFmtId="2" fontId="149" fillId="8" borderId="40" xfId="56" applyNumberFormat="1" applyFont="1" applyFill="1" applyBorder="1"/>
    <xf numFmtId="185" fontId="159" fillId="8" borderId="0" xfId="46" applyFont="1" applyFill="1" applyAlignment="1"/>
    <xf numFmtId="185" fontId="94" fillId="2" borderId="41" xfId="0" applyFont="1" applyFill="1" applyBorder="1" applyAlignment="1">
      <alignment horizontal="right"/>
    </xf>
    <xf numFmtId="185" fontId="94" fillId="2" borderId="42" xfId="0" applyFont="1" applyFill="1" applyBorder="1" applyAlignment="1">
      <alignment horizontal="right"/>
    </xf>
    <xf numFmtId="192" fontId="83" fillId="8" borderId="40" xfId="55" applyNumberFormat="1" applyFont="1" applyBorder="1"/>
    <xf numFmtId="188" fontId="106" fillId="57" borderId="37" xfId="52" applyNumberFormat="1" applyFont="1" applyBorder="1" applyAlignment="1"/>
    <xf numFmtId="188" fontId="106" fillId="57" borderId="17" xfId="52" applyNumberFormat="1" applyFont="1" applyBorder="1" applyAlignment="1"/>
    <xf numFmtId="188" fontId="106" fillId="57" borderId="20" xfId="52" applyNumberFormat="1" applyFont="1" applyBorder="1" applyAlignment="1"/>
    <xf numFmtId="188" fontId="83" fillId="23" borderId="40" xfId="0" applyNumberFormat="1" applyFont="1" applyFill="1" applyBorder="1"/>
    <xf numFmtId="0" fontId="83" fillId="23" borderId="40" xfId="0" applyNumberFormat="1" applyFont="1" applyFill="1" applyBorder="1"/>
    <xf numFmtId="0" fontId="83" fillId="23" borderId="40" xfId="0" applyNumberFormat="1" applyFont="1" applyFill="1" applyBorder="1" applyAlignment="1">
      <alignment horizontal="left"/>
    </xf>
    <xf numFmtId="188" fontId="149" fillId="8" borderId="40" xfId="56" applyNumberFormat="1" applyFont="1" applyFill="1" applyBorder="1" applyProtection="1">
      <protection locked="0"/>
    </xf>
    <xf numFmtId="185" fontId="149" fillId="8" borderId="40" xfId="56" applyNumberFormat="1" applyFont="1" applyFill="1" applyBorder="1"/>
    <xf numFmtId="0" fontId="83" fillId="8" borderId="40" xfId="55" applyFont="1" applyBorder="1"/>
    <xf numFmtId="188" fontId="83" fillId="8" borderId="40" xfId="55" applyNumberFormat="1" applyFont="1" applyBorder="1" applyProtection="1">
      <protection locked="0"/>
    </xf>
    <xf numFmtId="0" fontId="106" fillId="57" borderId="40" xfId="52" applyNumberFormat="1" applyFont="1" applyBorder="1" applyAlignment="1">
      <alignment horizontal="left"/>
    </xf>
    <xf numFmtId="9" fontId="100" fillId="56" borderId="0" xfId="54" applyNumberFormat="1" applyFont="1" applyBorder="1"/>
    <xf numFmtId="185" fontId="103" fillId="17" borderId="40" xfId="0" applyFont="1" applyFill="1" applyBorder="1" applyAlignment="1">
      <alignment horizontal="left"/>
    </xf>
    <xf numFmtId="185" fontId="149" fillId="8" borderId="0" xfId="56" applyNumberFormat="1" applyFont="1" applyFill="1" applyBorder="1"/>
    <xf numFmtId="186" fontId="83" fillId="8" borderId="40" xfId="55" applyNumberFormat="1" applyFont="1" applyBorder="1" applyProtection="1">
      <protection locked="0"/>
    </xf>
    <xf numFmtId="186" fontId="106" fillId="57" borderId="40" xfId="52" applyNumberFormat="1" applyFont="1" applyBorder="1" applyAlignment="1"/>
    <xf numFmtId="188" fontId="106" fillId="57" borderId="40" xfId="52" applyNumberFormat="1" applyFont="1" applyBorder="1" applyAlignment="1"/>
    <xf numFmtId="186" fontId="106" fillId="57" borderId="40" xfId="52" applyNumberFormat="1" applyFont="1" applyBorder="1" applyAlignment="1" applyProtection="1">
      <protection locked="0"/>
    </xf>
    <xf numFmtId="185" fontId="106" fillId="57" borderId="40" xfId="52" applyNumberFormat="1" applyFont="1" applyBorder="1" applyAlignment="1"/>
    <xf numFmtId="185" fontId="149" fillId="56" borderId="40" xfId="56" applyNumberFormat="1" applyFont="1" applyFill="1" applyBorder="1"/>
    <xf numFmtId="3" fontId="106" fillId="57" borderId="40" xfId="52" applyNumberFormat="1" applyFont="1" applyBorder="1" applyAlignment="1" applyProtection="1">
      <protection locked="0"/>
    </xf>
    <xf numFmtId="185" fontId="94" fillId="2" borderId="40" xfId="0" applyFont="1" applyFill="1" applyBorder="1" applyAlignment="1">
      <alignment horizontal="center"/>
    </xf>
    <xf numFmtId="9" fontId="106" fillId="57" borderId="40" xfId="52" applyNumberFormat="1" applyFont="1" applyBorder="1" applyAlignment="1"/>
    <xf numFmtId="185" fontId="94" fillId="17" borderId="40" xfId="0" applyFont="1" applyFill="1" applyBorder="1"/>
    <xf numFmtId="185" fontId="100" fillId="56" borderId="0" xfId="54" applyNumberFormat="1" applyFont="1" applyBorder="1"/>
    <xf numFmtId="185" fontId="83" fillId="8" borderId="40" xfId="55" applyNumberFormat="1" applyFont="1" applyBorder="1" applyAlignment="1">
      <alignment horizontal="center"/>
    </xf>
    <xf numFmtId="185" fontId="83" fillId="8" borderId="40" xfId="55" applyNumberFormat="1" applyFont="1" applyBorder="1"/>
    <xf numFmtId="10" fontId="83" fillId="8" borderId="0" xfId="2" applyNumberFormat="1" applyFont="1" applyFill="1" applyBorder="1"/>
    <xf numFmtId="185" fontId="108" fillId="2" borderId="0" xfId="0" applyFont="1" applyFill="1" applyAlignment="1">
      <alignment horizontal="center"/>
    </xf>
    <xf numFmtId="9" fontId="100" fillId="56" borderId="8" xfId="54" applyNumberFormat="1" applyFont="1" applyBorder="1"/>
    <xf numFmtId="9" fontId="83" fillId="8" borderId="10" xfId="2" applyFont="1" applyFill="1" applyBorder="1"/>
    <xf numFmtId="185" fontId="83" fillId="2" borderId="40" xfId="0" applyFont="1" applyFill="1" applyBorder="1"/>
    <xf numFmtId="186" fontId="83" fillId="2" borderId="40" xfId="0" applyNumberFormat="1" applyFont="1" applyFill="1" applyBorder="1"/>
    <xf numFmtId="9" fontId="100" fillId="56" borderId="5" xfId="54" applyNumberFormat="1" applyFont="1" applyBorder="1"/>
    <xf numFmtId="9" fontId="100" fillId="56" borderId="6" xfId="54" applyNumberFormat="1" applyFont="1" applyBorder="1"/>
    <xf numFmtId="186" fontId="83" fillId="7" borderId="40" xfId="0" applyNumberFormat="1" applyFont="1" applyFill="1" applyBorder="1"/>
    <xf numFmtId="9" fontId="100" fillId="56" borderId="10" xfId="54" applyNumberFormat="1" applyFont="1" applyBorder="1"/>
    <xf numFmtId="9" fontId="100" fillId="56" borderId="11" xfId="54" applyNumberFormat="1" applyFont="1" applyBorder="1"/>
    <xf numFmtId="188" fontId="83" fillId="54" borderId="40" xfId="0" applyNumberFormat="1" applyFont="1" applyFill="1" applyBorder="1"/>
    <xf numFmtId="185" fontId="83" fillId="2" borderId="40" xfId="0" applyFont="1" applyFill="1" applyBorder="1" applyAlignment="1">
      <alignment horizontal="centerContinuous"/>
    </xf>
    <xf numFmtId="187" fontId="100" fillId="56" borderId="40" xfId="54" applyNumberFormat="1" applyFont="1" applyBorder="1"/>
    <xf numFmtId="185" fontId="83" fillId="7" borderId="40" xfId="0" applyNumberFormat="1" applyFont="1" applyFill="1" applyBorder="1"/>
    <xf numFmtId="187" fontId="83" fillId="7" borderId="40" xfId="0" applyNumberFormat="1" applyFont="1" applyFill="1" applyBorder="1"/>
    <xf numFmtId="185" fontId="94" fillId="2" borderId="41" xfId="0" applyFont="1" applyFill="1" applyBorder="1"/>
    <xf numFmtId="9" fontId="100" fillId="56" borderId="42" xfId="54" applyNumberFormat="1" applyFont="1" applyBorder="1"/>
    <xf numFmtId="188" fontId="54" fillId="8" borderId="0" xfId="0" applyNumberFormat="1" applyFont="1" applyFill="1" applyBorder="1" applyProtection="1">
      <protection locked="0"/>
    </xf>
    <xf numFmtId="171" fontId="113" fillId="8" borderId="2" xfId="0" applyNumberFormat="1" applyFont="1" applyFill="1" applyBorder="1"/>
    <xf numFmtId="171" fontId="113" fillId="8" borderId="0" xfId="0" applyNumberFormat="1" applyFont="1" applyFill="1" applyBorder="1"/>
    <xf numFmtId="176" fontId="111" fillId="8" borderId="1" xfId="1" applyNumberFormat="1" applyFont="1" applyFill="1" applyBorder="1"/>
    <xf numFmtId="166" fontId="0" fillId="8" borderId="3" xfId="2" applyNumberFormat="1" applyFont="1" applyFill="1" applyBorder="1"/>
    <xf numFmtId="9" fontId="164" fillId="8" borderId="0" xfId="2" applyFont="1" applyFill="1"/>
    <xf numFmtId="188" fontId="164" fillId="8" borderId="3" xfId="0" applyNumberFormat="1" applyFont="1" applyFill="1" applyBorder="1"/>
    <xf numFmtId="186" fontId="164" fillId="8" borderId="0" xfId="0" applyNumberFormat="1" applyFont="1" applyFill="1"/>
    <xf numFmtId="186" fontId="164" fillId="8" borderId="3" xfId="0" applyNumberFormat="1" applyFont="1" applyFill="1" applyBorder="1"/>
    <xf numFmtId="185" fontId="164" fillId="8" borderId="3" xfId="0" applyFont="1" applyFill="1" applyBorder="1"/>
    <xf numFmtId="186" fontId="164" fillId="8" borderId="0" xfId="0" applyNumberFormat="1" applyFont="1" applyFill="1" applyBorder="1"/>
    <xf numFmtId="9" fontId="164" fillId="8" borderId="1" xfId="0" applyNumberFormat="1" applyFont="1" applyFill="1" applyBorder="1"/>
    <xf numFmtId="188" fontId="164" fillId="8" borderId="3" xfId="0" applyNumberFormat="1" applyFont="1" applyFill="1" applyBorder="1" applyAlignment="1">
      <alignment vertical="center"/>
    </xf>
    <xf numFmtId="188" fontId="164" fillId="8" borderId="0" xfId="0" applyNumberFormat="1" applyFont="1" applyFill="1" applyBorder="1" applyAlignment="1">
      <alignment vertical="center"/>
    </xf>
    <xf numFmtId="166" fontId="0" fillId="8" borderId="0" xfId="2" applyNumberFormat="1" applyFont="1" applyFill="1"/>
    <xf numFmtId="3" fontId="87" fillId="57" borderId="17" xfId="52" applyNumberFormat="1" applyBorder="1" applyAlignment="1" applyProtection="1">
      <protection locked="0"/>
    </xf>
    <xf numFmtId="3" fontId="87" fillId="57" borderId="0" xfId="52" applyNumberFormat="1" applyBorder="1" applyAlignment="1" applyProtection="1">
      <protection locked="0"/>
    </xf>
    <xf numFmtId="185" fontId="0" fillId="8" borderId="0" xfId="0" applyFill="1" applyAlignment="1">
      <alignment horizontal="center"/>
    </xf>
    <xf numFmtId="166" fontId="83" fillId="8" borderId="40" xfId="2" applyNumberFormat="1" applyFont="1" applyFill="1" applyBorder="1"/>
    <xf numFmtId="190" fontId="87" fillId="8" borderId="2" xfId="52" applyNumberFormat="1" applyFill="1" applyBorder="1" applyAlignment="1"/>
    <xf numFmtId="190" fontId="87" fillId="8" borderId="0" xfId="52" applyNumberFormat="1" applyFill="1" applyBorder="1" applyAlignment="1"/>
    <xf numFmtId="9" fontId="106" fillId="57" borderId="38" xfId="2" applyFont="1" applyFill="1" applyBorder="1" applyAlignment="1"/>
    <xf numFmtId="9" fontId="106" fillId="57" borderId="18" xfId="2" applyFont="1" applyFill="1" applyBorder="1" applyAlignment="1"/>
    <xf numFmtId="9" fontId="106" fillId="57" borderId="21" xfId="2" applyFont="1" applyFill="1" applyBorder="1" applyAlignment="1"/>
    <xf numFmtId="185" fontId="0" fillId="8" borderId="7" xfId="0" applyFill="1" applyBorder="1" applyAlignment="1">
      <alignment horizontal="left"/>
    </xf>
    <xf numFmtId="185" fontId="112" fillId="8" borderId="0" xfId="0" applyFont="1" applyFill="1" applyAlignment="1">
      <alignment horizontal="center"/>
    </xf>
    <xf numFmtId="166" fontId="112" fillId="8" borderId="0" xfId="2" applyNumberFormat="1" applyFont="1" applyFill="1"/>
    <xf numFmtId="185" fontId="26" fillId="58" borderId="43" xfId="0" applyFont="1" applyFill="1" applyBorder="1"/>
    <xf numFmtId="185" fontId="57" fillId="8" borderId="43" xfId="0" applyFont="1" applyFill="1" applyBorder="1"/>
    <xf numFmtId="185" fontId="18" fillId="59" borderId="43" xfId="0" applyFont="1" applyFill="1" applyBorder="1"/>
    <xf numFmtId="190" fontId="88" fillId="56" borderId="0" xfId="54" applyNumberFormat="1" applyBorder="1"/>
    <xf numFmtId="185" fontId="0" fillId="2" borderId="2" xfId="0" applyFill="1" applyBorder="1"/>
    <xf numFmtId="190" fontId="88" fillId="56" borderId="2" xfId="54" applyNumberFormat="1" applyBorder="1"/>
    <xf numFmtId="185" fontId="116" fillId="2" borderId="0" xfId="46" applyFill="1" applyAlignment="1"/>
    <xf numFmtId="167" fontId="87" fillId="57" borderId="0" xfId="52" applyNumberFormat="1" applyBorder="1" applyAlignment="1" applyProtection="1">
      <protection locked="0"/>
    </xf>
    <xf numFmtId="186" fontId="0" fillId="2" borderId="1" xfId="0" applyNumberFormat="1" applyFill="1" applyBorder="1"/>
    <xf numFmtId="185" fontId="83" fillId="8" borderId="33" xfId="0" applyFont="1" applyFill="1" applyBorder="1"/>
    <xf numFmtId="185" fontId="83" fillId="8" borderId="31" xfId="0" applyFont="1" applyFill="1" applyBorder="1"/>
    <xf numFmtId="185" fontId="83" fillId="8" borderId="32" xfId="0" applyFont="1" applyFill="1" applyBorder="1"/>
    <xf numFmtId="190" fontId="87" fillId="57" borderId="1" xfId="52" applyNumberFormat="1" applyBorder="1" applyAlignment="1"/>
    <xf numFmtId="185" fontId="143" fillId="8" borderId="40" xfId="56" applyNumberFormat="1" applyFill="1" applyBorder="1"/>
    <xf numFmtId="185" fontId="0" fillId="8" borderId="5" xfId="0" applyFill="1" applyBorder="1" applyAlignment="1">
      <alignment horizontal="right"/>
    </xf>
    <xf numFmtId="185" fontId="0" fillId="8" borderId="6" xfId="0" applyFill="1" applyBorder="1" applyAlignment="1">
      <alignment horizontal="right"/>
    </xf>
    <xf numFmtId="185" fontId="0" fillId="8" borderId="26" xfId="0" applyFill="1" applyBorder="1" applyAlignment="1">
      <alignment horizontal="right"/>
    </xf>
    <xf numFmtId="185" fontId="87" fillId="57" borderId="0" xfId="52" applyBorder="1" applyAlignment="1"/>
    <xf numFmtId="185" fontId="87" fillId="57" borderId="10" xfId="52" applyBorder="1" applyAlignment="1"/>
    <xf numFmtId="185" fontId="83" fillId="2" borderId="4" xfId="0" applyFont="1" applyFill="1" applyBorder="1"/>
    <xf numFmtId="185" fontId="83" fillId="2" borderId="9" xfId="0" applyFont="1" applyFill="1" applyBorder="1"/>
    <xf numFmtId="185" fontId="83" fillId="2" borderId="35" xfId="0" applyFont="1" applyFill="1" applyBorder="1"/>
    <xf numFmtId="185" fontId="0" fillId="8" borderId="9" xfId="0" applyFill="1" applyBorder="1" applyAlignment="1">
      <alignment horizontal="left"/>
    </xf>
    <xf numFmtId="185" fontId="0" fillId="8" borderId="12" xfId="0" applyFill="1" applyBorder="1" applyAlignment="1">
      <alignment horizontal="left"/>
    </xf>
    <xf numFmtId="185" fontId="143" fillId="8" borderId="3" xfId="56" applyNumberFormat="1" applyFill="1" applyBorder="1"/>
    <xf numFmtId="185" fontId="143" fillId="8" borderId="26" xfId="56" applyNumberFormat="1" applyFill="1" applyBorder="1"/>
    <xf numFmtId="185" fontId="0" fillId="8" borderId="8" xfId="0" applyNumberFormat="1" applyFill="1" applyBorder="1"/>
    <xf numFmtId="185" fontId="0" fillId="8" borderId="11" xfId="0" applyNumberFormat="1" applyFill="1" applyBorder="1"/>
    <xf numFmtId="186" fontId="0" fillId="8" borderId="8" xfId="0" applyNumberFormat="1" applyFill="1" applyBorder="1"/>
    <xf numFmtId="186" fontId="0" fillId="8" borderId="11" xfId="0" applyNumberFormat="1" applyFill="1" applyBorder="1"/>
    <xf numFmtId="9" fontId="88" fillId="56" borderId="7" xfId="2" applyFont="1" applyFill="1" applyBorder="1"/>
    <xf numFmtId="166" fontId="88" fillId="56" borderId="8" xfId="2" applyNumberFormat="1" applyFont="1" applyFill="1" applyBorder="1"/>
    <xf numFmtId="9" fontId="88" fillId="56" borderId="8" xfId="2" applyFont="1" applyFill="1" applyBorder="1"/>
    <xf numFmtId="9" fontId="88" fillId="56" borderId="9" xfId="2" applyFont="1" applyFill="1" applyBorder="1"/>
    <xf numFmtId="9" fontId="88" fillId="56" borderId="11" xfId="2" applyFont="1" applyFill="1" applyBorder="1"/>
    <xf numFmtId="185" fontId="83" fillId="2" borderId="13" xfId="0" applyFont="1" applyFill="1" applyBorder="1"/>
    <xf numFmtId="185" fontId="0" fillId="8" borderId="85" xfId="0" applyFill="1" applyBorder="1"/>
    <xf numFmtId="185" fontId="0" fillId="8" borderId="86" xfId="0" applyFill="1" applyBorder="1" applyAlignment="1">
      <alignment horizontal="right"/>
    </xf>
    <xf numFmtId="185" fontId="165" fillId="8" borderId="70" xfId="0" applyFont="1" applyBorder="1" applyAlignment="1">
      <alignment horizontal="center" vertical="top" wrapText="1"/>
    </xf>
    <xf numFmtId="185" fontId="166" fillId="8" borderId="70" xfId="0" applyFont="1" applyBorder="1" applyAlignment="1">
      <alignment horizontal="center"/>
    </xf>
    <xf numFmtId="185" fontId="166" fillId="8" borderId="41" xfId="0" applyFont="1" applyBorder="1" applyAlignment="1">
      <alignment horizontal="center"/>
    </xf>
    <xf numFmtId="185" fontId="166" fillId="8" borderId="63" xfId="0" applyFont="1" applyBorder="1" applyAlignment="1">
      <alignment horizontal="center"/>
    </xf>
    <xf numFmtId="185" fontId="166" fillId="8" borderId="74" xfId="0" applyFont="1" applyBorder="1" applyAlignment="1">
      <alignment horizontal="center"/>
    </xf>
    <xf numFmtId="185" fontId="166" fillId="8" borderId="64" xfId="0" applyFont="1" applyBorder="1" applyAlignment="1">
      <alignment horizontal="center"/>
    </xf>
    <xf numFmtId="185" fontId="166" fillId="8" borderId="72" xfId="0" applyFont="1" applyBorder="1" applyAlignment="1">
      <alignment horizontal="center"/>
    </xf>
    <xf numFmtId="185" fontId="166" fillId="8" borderId="78" xfId="0" applyFont="1" applyBorder="1" applyAlignment="1">
      <alignment horizontal="center"/>
    </xf>
    <xf numFmtId="185" fontId="166" fillId="8" borderId="69" xfId="0" applyFont="1" applyBorder="1" applyAlignment="1">
      <alignment horizontal="left"/>
    </xf>
    <xf numFmtId="1" fontId="88" fillId="56" borderId="73" xfId="54" applyNumberFormat="1" applyFont="1" applyBorder="1" applyAlignment="1">
      <alignment horizontal="center"/>
    </xf>
    <xf numFmtId="1" fontId="88" fillId="56" borderId="40" xfId="54" applyNumberFormat="1" applyFont="1" applyBorder="1" applyAlignment="1">
      <alignment horizontal="center"/>
    </xf>
    <xf numFmtId="165" fontId="88" fillId="56" borderId="70" xfId="54" applyNumberFormat="1" applyFont="1" applyBorder="1" applyAlignment="1">
      <alignment horizontal="center"/>
    </xf>
    <xf numFmtId="1" fontId="88" fillId="56" borderId="42" xfId="54" applyNumberFormat="1" applyFont="1" applyBorder="1" applyAlignment="1">
      <alignment horizontal="center"/>
    </xf>
    <xf numFmtId="165" fontId="88" fillId="56" borderId="41" xfId="54" applyNumberFormat="1" applyFont="1" applyBorder="1" applyAlignment="1">
      <alignment horizontal="center"/>
    </xf>
    <xf numFmtId="165" fontId="88" fillId="56" borderId="73" xfId="54" applyNumberFormat="1" applyFont="1" applyBorder="1" applyAlignment="1">
      <alignment horizontal="center"/>
    </xf>
    <xf numFmtId="165" fontId="88" fillId="56" borderId="40" xfId="54" applyNumberFormat="1" applyFont="1" applyBorder="1" applyAlignment="1">
      <alignment horizontal="center"/>
    </xf>
    <xf numFmtId="185" fontId="166" fillId="8" borderId="71" xfId="0" applyFont="1" applyBorder="1" applyAlignment="1">
      <alignment horizontal="left"/>
    </xf>
    <xf numFmtId="1" fontId="88" fillId="56" borderId="63" xfId="54" applyNumberFormat="1" applyFont="1" applyBorder="1" applyAlignment="1">
      <alignment horizontal="center"/>
    </xf>
    <xf numFmtId="1" fontId="88" fillId="56" borderId="74" xfId="54" applyNumberFormat="1" applyFont="1" applyBorder="1" applyAlignment="1">
      <alignment horizontal="center"/>
    </xf>
    <xf numFmtId="165" fontId="88" fillId="56" borderId="64" xfId="54" applyNumberFormat="1" applyFont="1" applyBorder="1" applyAlignment="1">
      <alignment horizontal="center"/>
    </xf>
    <xf numFmtId="1" fontId="88" fillId="56" borderId="72" xfId="54" applyNumberFormat="1" applyFont="1" applyBorder="1" applyAlignment="1">
      <alignment horizontal="center"/>
    </xf>
    <xf numFmtId="165" fontId="88" fillId="56" borderId="78" xfId="54" applyNumberFormat="1" applyFont="1" applyBorder="1" applyAlignment="1">
      <alignment horizontal="center"/>
    </xf>
    <xf numFmtId="165" fontId="88" fillId="56" borderId="63" xfId="54" applyNumberFormat="1" applyFont="1" applyBorder="1" applyAlignment="1">
      <alignment horizontal="center"/>
    </xf>
    <xf numFmtId="165" fontId="88" fillId="56" borderId="74" xfId="54" applyNumberFormat="1" applyFont="1" applyBorder="1" applyAlignment="1">
      <alignment horizontal="center"/>
    </xf>
    <xf numFmtId="185" fontId="83" fillId="2" borderId="5" xfId="0" quotePrefix="1" applyFont="1" applyFill="1" applyBorder="1"/>
    <xf numFmtId="185" fontId="83" fillId="2" borderId="10" xfId="0" quotePrefix="1" applyFont="1" applyFill="1" applyBorder="1"/>
    <xf numFmtId="185" fontId="94" fillId="2" borderId="11" xfId="0" applyFont="1" applyFill="1" applyBorder="1"/>
    <xf numFmtId="185" fontId="83" fillId="2" borderId="28" xfId="0" applyFont="1" applyFill="1" applyBorder="1"/>
    <xf numFmtId="167" fontId="88" fillId="56" borderId="29" xfId="54" applyNumberFormat="1" applyBorder="1"/>
    <xf numFmtId="167" fontId="88" fillId="56" borderId="30" xfId="54" applyNumberFormat="1" applyBorder="1"/>
    <xf numFmtId="167" fontId="87" fillId="57" borderId="29" xfId="52" applyNumberFormat="1" applyBorder="1" applyAlignment="1"/>
    <xf numFmtId="185" fontId="87" fillId="57" borderId="5" xfId="52" applyBorder="1" applyAlignment="1"/>
    <xf numFmtId="185" fontId="143" fillId="8" borderId="8" xfId="56" applyNumberFormat="1" applyFill="1" applyBorder="1" applyAlignment="1"/>
    <xf numFmtId="186" fontId="149" fillId="8" borderId="40" xfId="56" applyNumberFormat="1" applyFont="1" applyFill="1" applyBorder="1"/>
    <xf numFmtId="177" fontId="167" fillId="7" borderId="4" xfId="52" applyNumberFormat="1" applyFont="1" applyFill="1" applyBorder="1" applyAlignment="1" applyProtection="1"/>
    <xf numFmtId="185" fontId="7" fillId="7" borderId="5" xfId="0" applyFont="1" applyFill="1" applyBorder="1"/>
    <xf numFmtId="185" fontId="91" fillId="7" borderId="6" xfId="0" applyFont="1" applyFill="1" applyBorder="1"/>
    <xf numFmtId="177" fontId="167" fillId="7" borderId="7" xfId="52" applyNumberFormat="1" applyFont="1" applyFill="1" applyBorder="1" applyAlignment="1" applyProtection="1"/>
    <xf numFmtId="185" fontId="7" fillId="7" borderId="0" xfId="0" applyFont="1" applyFill="1" applyBorder="1"/>
    <xf numFmtId="185" fontId="91" fillId="7" borderId="8" xfId="0" applyFont="1" applyFill="1" applyBorder="1"/>
    <xf numFmtId="185" fontId="91" fillId="7" borderId="0" xfId="0" applyFont="1" applyFill="1" applyBorder="1"/>
    <xf numFmtId="185" fontId="17" fillId="7" borderId="0" xfId="0" applyFont="1" applyFill="1" applyBorder="1"/>
    <xf numFmtId="185" fontId="167" fillId="7" borderId="7" xfId="52" applyNumberFormat="1" applyFont="1" applyFill="1" applyBorder="1" applyAlignment="1" applyProtection="1"/>
    <xf numFmtId="177" fontId="155" fillId="12" borderId="4" xfId="52" applyNumberFormat="1" applyFont="1" applyFill="1" applyBorder="1" applyAlignment="1" applyProtection="1"/>
    <xf numFmtId="177" fontId="155" fillId="12" borderId="5" xfId="52" applyNumberFormat="1" applyFont="1" applyFill="1" applyBorder="1" applyAlignment="1" applyProtection="1"/>
    <xf numFmtId="185" fontId="0" fillId="12" borderId="6" xfId="0" applyFill="1" applyBorder="1"/>
    <xf numFmtId="177" fontId="155" fillId="12" borderId="7" xfId="52" applyNumberFormat="1" applyFont="1" applyFill="1" applyBorder="1" applyAlignment="1" applyProtection="1"/>
    <xf numFmtId="185" fontId="7" fillId="12" borderId="0" xfId="0" applyFont="1" applyFill="1" applyBorder="1"/>
    <xf numFmtId="185" fontId="0" fillId="12" borderId="8" xfId="0" applyFill="1" applyBorder="1"/>
    <xf numFmtId="185" fontId="17" fillId="12" borderId="0" xfId="0" applyFont="1" applyFill="1" applyBorder="1"/>
    <xf numFmtId="185" fontId="155" fillId="12" borderId="7" xfId="52" applyNumberFormat="1" applyFont="1" applyFill="1" applyBorder="1" applyAlignment="1" applyProtection="1"/>
    <xf numFmtId="185" fontId="0" fillId="12" borderId="7" xfId="0" applyFill="1" applyBorder="1"/>
    <xf numFmtId="185" fontId="0" fillId="12" borderId="9" xfId="0" applyFill="1" applyBorder="1"/>
    <xf numFmtId="185" fontId="0" fillId="12" borderId="10" xfId="0" applyFill="1" applyBorder="1"/>
    <xf numFmtId="185" fontId="0" fillId="12" borderId="11" xfId="0" applyFill="1" applyBorder="1"/>
    <xf numFmtId="185" fontId="7" fillId="13" borderId="5" xfId="0" applyFont="1" applyFill="1" applyBorder="1"/>
    <xf numFmtId="185" fontId="0" fillId="13" borderId="6" xfId="0" applyFill="1" applyBorder="1"/>
    <xf numFmtId="185" fontId="7" fillId="13" borderId="0" xfId="0" applyFont="1" applyFill="1" applyBorder="1"/>
    <xf numFmtId="185" fontId="0" fillId="13" borderId="8" xfId="0" applyFill="1" applyBorder="1"/>
    <xf numFmtId="185" fontId="0" fillId="13" borderId="0" xfId="0" applyFill="1" applyBorder="1"/>
    <xf numFmtId="185" fontId="17" fillId="13" borderId="0" xfId="0" applyFont="1" applyFill="1" applyBorder="1"/>
    <xf numFmtId="177" fontId="168" fillId="13" borderId="4" xfId="52" applyNumberFormat="1" applyFont="1" applyFill="1" applyBorder="1" applyAlignment="1" applyProtection="1"/>
    <xf numFmtId="177" fontId="168" fillId="13" borderId="7" xfId="52" applyNumberFormat="1" applyFont="1" applyFill="1" applyBorder="1" applyAlignment="1" applyProtection="1"/>
    <xf numFmtId="185" fontId="168" fillId="13" borderId="7" xfId="52" applyNumberFormat="1" applyFont="1" applyFill="1" applyBorder="1" applyAlignment="1" applyProtection="1"/>
    <xf numFmtId="174" fontId="88" fillId="8" borderId="0" xfId="0" applyNumberFormat="1" applyFont="1" applyFill="1" applyBorder="1"/>
    <xf numFmtId="185" fontId="106" fillId="2" borderId="2" xfId="0" applyNumberFormat="1" applyFont="1" applyFill="1" applyBorder="1"/>
    <xf numFmtId="185" fontId="87" fillId="57" borderId="18" xfId="52" applyBorder="1" applyAlignment="1"/>
    <xf numFmtId="185" fontId="87" fillId="57" borderId="17" xfId="52" applyBorder="1" applyAlignment="1"/>
    <xf numFmtId="185" fontId="87" fillId="57" borderId="18" xfId="52" applyNumberFormat="1" applyBorder="1" applyAlignment="1"/>
    <xf numFmtId="185" fontId="87" fillId="57" borderId="21" xfId="52" applyNumberFormat="1" applyBorder="1" applyAlignment="1"/>
    <xf numFmtId="187" fontId="88" fillId="56" borderId="8" xfId="54" applyNumberFormat="1" applyBorder="1"/>
    <xf numFmtId="188" fontId="87" fillId="57" borderId="8" xfId="52" applyNumberFormat="1" applyBorder="1" applyAlignment="1"/>
    <xf numFmtId="2" fontId="87" fillId="57" borderId="8" xfId="52" applyNumberFormat="1" applyBorder="1" applyAlignment="1"/>
    <xf numFmtId="2" fontId="0" fillId="8" borderId="8" xfId="0" applyNumberFormat="1" applyFont="1" applyFill="1" applyBorder="1"/>
    <xf numFmtId="185" fontId="93" fillId="8" borderId="5" xfId="0" applyFont="1" applyFill="1" applyBorder="1"/>
    <xf numFmtId="187" fontId="88" fillId="56" borderId="6" xfId="54" applyNumberFormat="1" applyBorder="1" applyAlignment="1"/>
    <xf numFmtId="188" fontId="0" fillId="8" borderId="8" xfId="0" applyNumberFormat="1" applyFont="1" applyFill="1" applyBorder="1"/>
    <xf numFmtId="9" fontId="0" fillId="8" borderId="8" xfId="2" applyFont="1" applyFill="1" applyBorder="1"/>
    <xf numFmtId="166" fontId="0" fillId="8" borderId="8" xfId="2" applyNumberFormat="1" applyFont="1" applyFill="1" applyBorder="1"/>
    <xf numFmtId="166" fontId="0" fillId="8" borderId="11" xfId="0" applyNumberFormat="1" applyFill="1" applyBorder="1"/>
    <xf numFmtId="0" fontId="0" fillId="8" borderId="0" xfId="0" applyNumberFormat="1" applyFill="1"/>
    <xf numFmtId="9" fontId="88" fillId="56" borderId="6" xfId="54" applyNumberFormat="1" applyBorder="1"/>
    <xf numFmtId="0" fontId="0" fillId="8" borderId="7" xfId="0" applyNumberFormat="1" applyFill="1" applyBorder="1"/>
    <xf numFmtId="9" fontId="88" fillId="56" borderId="8" xfId="54" applyNumberFormat="1" applyBorder="1"/>
    <xf numFmtId="0" fontId="0" fillId="8" borderId="9" xfId="0" applyNumberFormat="1" applyFill="1" applyBorder="1"/>
    <xf numFmtId="9" fontId="0" fillId="8" borderId="11" xfId="2" applyFont="1" applyFill="1" applyBorder="1"/>
    <xf numFmtId="170" fontId="53" fillId="8" borderId="0" xfId="0" applyNumberFormat="1" applyFont="1" applyFill="1" applyBorder="1" applyProtection="1">
      <protection locked="0"/>
    </xf>
    <xf numFmtId="170" fontId="123" fillId="8" borderId="0" xfId="0" applyNumberFormat="1" applyFont="1" applyFill="1" applyBorder="1"/>
    <xf numFmtId="169" fontId="123" fillId="8" borderId="0" xfId="0" applyNumberFormat="1" applyFont="1" applyFill="1" applyBorder="1"/>
    <xf numFmtId="166" fontId="100" fillId="56" borderId="0" xfId="54" applyNumberFormat="1" applyFont="1" applyBorder="1"/>
    <xf numFmtId="166" fontId="83" fillId="8" borderId="0" xfId="0" applyNumberFormat="1" applyFont="1" applyFill="1"/>
    <xf numFmtId="9" fontId="0" fillId="8" borderId="0" xfId="0" applyNumberFormat="1" applyBorder="1"/>
    <xf numFmtId="170" fontId="147" fillId="8" borderId="0" xfId="0" applyNumberFormat="1" applyFont="1" applyFill="1" applyBorder="1"/>
    <xf numFmtId="2" fontId="91" fillId="8" borderId="0" xfId="55" applyNumberFormat="1" applyBorder="1" applyProtection="1">
      <protection locked="0"/>
    </xf>
    <xf numFmtId="187" fontId="87" fillId="57" borderId="8" xfId="52" applyNumberFormat="1" applyBorder="1" applyAlignment="1">
      <alignment horizontal="center"/>
    </xf>
    <xf numFmtId="187" fontId="87" fillId="57" borderId="11" xfId="52" applyNumberFormat="1" applyBorder="1" applyAlignment="1">
      <alignment horizontal="center"/>
    </xf>
    <xf numFmtId="185" fontId="0" fillId="8" borderId="7" xfId="0" applyBorder="1"/>
    <xf numFmtId="185" fontId="0" fillId="8" borderId="0" xfId="0" applyBorder="1" applyAlignment="1"/>
    <xf numFmtId="185" fontId="0" fillId="8" borderId="9" xfId="0" applyBorder="1"/>
    <xf numFmtId="185" fontId="0" fillId="8" borderId="10" xfId="0" applyBorder="1" applyAlignment="1"/>
    <xf numFmtId="187" fontId="88" fillId="56" borderId="52" xfId="54" applyNumberFormat="1" applyBorder="1" applyAlignment="1">
      <alignment horizontal="center"/>
    </xf>
    <xf numFmtId="187" fontId="88" fillId="56" borderId="8" xfId="54" applyNumberFormat="1" applyBorder="1" applyAlignment="1">
      <alignment horizontal="center"/>
    </xf>
    <xf numFmtId="187" fontId="88" fillId="56" borderId="11" xfId="54" applyNumberFormat="1" applyBorder="1" applyAlignment="1">
      <alignment horizontal="center"/>
    </xf>
    <xf numFmtId="187" fontId="143" fillId="7" borderId="8" xfId="56" applyNumberFormat="1" applyFill="1" applyBorder="1" applyAlignment="1">
      <alignment horizontal="center"/>
    </xf>
    <xf numFmtId="185" fontId="0" fillId="8" borderId="4" xfId="0" applyBorder="1"/>
    <xf numFmtId="185" fontId="0" fillId="8" borderId="51" xfId="0" applyBorder="1"/>
    <xf numFmtId="185" fontId="0" fillId="8" borderId="6" xfId="0" applyBorder="1" applyAlignment="1">
      <alignment horizontal="center"/>
    </xf>
    <xf numFmtId="185" fontId="89" fillId="8" borderId="13" xfId="0" applyFont="1" applyBorder="1"/>
    <xf numFmtId="185" fontId="89" fillId="8" borderId="14" xfId="0" applyFont="1" applyBorder="1" applyAlignment="1"/>
    <xf numFmtId="185" fontId="89" fillId="8" borderId="35" xfId="0" applyFont="1" applyBorder="1" applyAlignment="1">
      <alignment horizontal="center"/>
    </xf>
    <xf numFmtId="10" fontId="123" fillId="8" borderId="0" xfId="2" applyNumberFormat="1" applyFont="1" applyFill="1" applyBorder="1"/>
    <xf numFmtId="10" fontId="0" fillId="8" borderId="0" xfId="0" applyNumberFormat="1" applyFont="1" applyFill="1" applyBorder="1" applyProtection="1">
      <protection locked="0"/>
    </xf>
    <xf numFmtId="10" fontId="0" fillId="8" borderId="0" xfId="2" applyNumberFormat="1" applyFont="1" applyFill="1" applyBorder="1" applyProtection="1">
      <protection locked="0"/>
    </xf>
    <xf numFmtId="185" fontId="1" fillId="8" borderId="7" xfId="0" applyFont="1" applyFill="1" applyBorder="1"/>
    <xf numFmtId="185" fontId="83" fillId="15" borderId="0" xfId="0" applyFont="1" applyFill="1" applyBorder="1"/>
    <xf numFmtId="2" fontId="143" fillId="8" borderId="40" xfId="56" applyNumberFormat="1" applyFill="1" applyBorder="1"/>
    <xf numFmtId="2" fontId="87" fillId="57" borderId="40" xfId="52" applyNumberFormat="1" applyBorder="1" applyAlignment="1"/>
    <xf numFmtId="2" fontId="88" fillId="56" borderId="40" xfId="54" applyNumberFormat="1" applyBorder="1"/>
    <xf numFmtId="2" fontId="88" fillId="56" borderId="40" xfId="54" applyNumberFormat="1" applyBorder="1" applyProtection="1">
      <protection locked="0"/>
    </xf>
    <xf numFmtId="2" fontId="87" fillId="57" borderId="40" xfId="52" applyNumberFormat="1" applyBorder="1" applyAlignment="1" applyProtection="1">
      <protection locked="0"/>
    </xf>
    <xf numFmtId="2" fontId="87" fillId="57" borderId="0" xfId="52" applyNumberFormat="1" applyAlignment="1"/>
    <xf numFmtId="185" fontId="88" fillId="56" borderId="40" xfId="54" applyNumberFormat="1" applyBorder="1" applyAlignment="1"/>
    <xf numFmtId="187" fontId="106" fillId="8" borderId="2" xfId="0" applyNumberFormat="1" applyFont="1" applyFill="1" applyBorder="1"/>
    <xf numFmtId="185" fontId="106" fillId="8" borderId="2" xfId="0" applyNumberFormat="1" applyFont="1" applyFill="1" applyBorder="1"/>
    <xf numFmtId="9" fontId="88" fillId="56" borderId="3" xfId="54" applyNumberFormat="1" applyBorder="1"/>
    <xf numFmtId="166" fontId="94" fillId="2" borderId="0" xfId="2" applyNumberFormat="1" applyFont="1" applyFill="1"/>
    <xf numFmtId="2" fontId="87" fillId="57" borderId="0" xfId="52" applyNumberFormat="1" applyBorder="1" applyAlignment="1" applyProtection="1">
      <protection locked="0"/>
    </xf>
    <xf numFmtId="185" fontId="116" fillId="8" borderId="0" xfId="46" applyFill="1" applyBorder="1" applyAlignment="1"/>
    <xf numFmtId="188" fontId="91" fillId="8" borderId="0" xfId="55" applyNumberFormat="1" applyBorder="1"/>
    <xf numFmtId="187" fontId="0" fillId="8" borderId="8" xfId="0" applyNumberFormat="1" applyBorder="1"/>
    <xf numFmtId="185" fontId="7" fillId="8" borderId="37" xfId="0" applyFont="1" applyFill="1" applyBorder="1" applyAlignment="1">
      <alignment horizontal="center" vertical="center"/>
    </xf>
    <xf numFmtId="185" fontId="7" fillId="8" borderId="20" xfId="0" applyFont="1" applyFill="1" applyBorder="1" applyAlignment="1">
      <alignment horizontal="center" vertical="center"/>
    </xf>
    <xf numFmtId="185" fontId="93" fillId="8" borderId="37" xfId="0" applyFont="1" applyFill="1" applyBorder="1"/>
    <xf numFmtId="185" fontId="93" fillId="8" borderId="17" xfId="0" applyFont="1" applyFill="1" applyBorder="1"/>
    <xf numFmtId="185" fontId="91" fillId="8" borderId="37" xfId="55" applyNumberFormat="1" applyBorder="1"/>
    <xf numFmtId="185" fontId="91" fillId="8" borderId="2" xfId="55" applyNumberFormat="1" applyBorder="1" applyAlignment="1">
      <alignment horizontal="center" vertical="center"/>
    </xf>
    <xf numFmtId="185" fontId="91" fillId="8" borderId="38" xfId="55" applyNumberFormat="1" applyBorder="1" applyAlignment="1">
      <alignment horizontal="center" vertical="center"/>
    </xf>
    <xf numFmtId="185" fontId="91" fillId="8" borderId="44" xfId="55" applyNumberFormat="1" applyBorder="1"/>
    <xf numFmtId="185" fontId="91" fillId="8" borderId="3" xfId="55" applyNumberFormat="1" applyBorder="1" applyAlignment="1">
      <alignment horizontal="center" vertical="center"/>
    </xf>
    <xf numFmtId="185" fontId="91" fillId="8" borderId="21" xfId="55" applyNumberFormat="1" applyBorder="1" applyAlignment="1">
      <alignment horizontal="center" vertical="center"/>
    </xf>
    <xf numFmtId="185" fontId="91" fillId="8" borderId="43" xfId="55" applyNumberFormat="1" applyBorder="1"/>
    <xf numFmtId="185" fontId="91" fillId="8" borderId="0" xfId="55" applyNumberFormat="1" applyBorder="1"/>
    <xf numFmtId="185" fontId="91" fillId="8" borderId="18" xfId="55" applyNumberFormat="1" applyBorder="1"/>
    <xf numFmtId="185" fontId="91" fillId="8" borderId="3" xfId="55" applyNumberFormat="1" applyBorder="1"/>
    <xf numFmtId="185" fontId="91" fillId="8" borderId="21" xfId="55" applyNumberFormat="1" applyBorder="1"/>
    <xf numFmtId="174" fontId="87" fillId="57" borderId="0" xfId="52" applyNumberFormat="1" applyBorder="1" applyAlignment="1"/>
    <xf numFmtId="185" fontId="87" fillId="57" borderId="0" xfId="52" applyNumberFormat="1" applyBorder="1" applyAlignment="1"/>
    <xf numFmtId="185" fontId="87" fillId="57" borderId="3" xfId="52" applyNumberFormat="1" applyBorder="1" applyAlignment="1"/>
    <xf numFmtId="185" fontId="87" fillId="57" borderId="17" xfId="52" applyNumberFormat="1" applyBorder="1" applyAlignment="1"/>
    <xf numFmtId="185" fontId="87" fillId="57" borderId="20" xfId="52" applyNumberFormat="1" applyBorder="1" applyAlignment="1"/>
    <xf numFmtId="185" fontId="93" fillId="8" borderId="53" xfId="0" applyFont="1" applyFill="1" applyBorder="1"/>
    <xf numFmtId="186" fontId="0" fillId="8" borderId="3" xfId="0" applyNumberFormat="1" applyBorder="1"/>
    <xf numFmtId="185" fontId="88" fillId="56" borderId="0" xfId="54" applyNumberFormat="1" applyBorder="1"/>
    <xf numFmtId="185" fontId="0" fillId="8" borderId="43" xfId="55" applyNumberFormat="1" applyFont="1" applyBorder="1"/>
    <xf numFmtId="190" fontId="83" fillId="7" borderId="2" xfId="0" applyNumberFormat="1" applyFont="1" applyFill="1" applyBorder="1"/>
    <xf numFmtId="185" fontId="83" fillId="2" borderId="0" xfId="0" quotePrefix="1" applyFont="1" applyFill="1" applyBorder="1" applyAlignment="1">
      <alignment horizontal="left"/>
    </xf>
    <xf numFmtId="185" fontId="83" fillId="2" borderId="0" xfId="46" applyFont="1" applyFill="1" applyBorder="1" applyAlignment="1">
      <alignment horizontal="left"/>
    </xf>
    <xf numFmtId="190" fontId="0" fillId="8" borderId="2" xfId="0" applyNumberFormat="1" applyBorder="1"/>
    <xf numFmtId="185" fontId="0" fillId="8" borderId="2" xfId="0" applyFont="1" applyFill="1" applyBorder="1"/>
    <xf numFmtId="185" fontId="0" fillId="8" borderId="38" xfId="0" applyFont="1" applyFill="1" applyBorder="1"/>
    <xf numFmtId="185" fontId="0" fillId="8" borderId="17" xfId="0" applyFill="1" applyBorder="1" applyAlignment="1">
      <alignment horizontal="left"/>
    </xf>
    <xf numFmtId="185" fontId="88" fillId="56" borderId="18" xfId="54" applyNumberFormat="1" applyBorder="1"/>
    <xf numFmtId="185" fontId="0" fillId="8" borderId="20" xfId="0" applyFill="1" applyBorder="1" applyAlignment="1">
      <alignment horizontal="left"/>
    </xf>
    <xf numFmtId="185" fontId="88" fillId="56" borderId="3" xfId="54" applyNumberFormat="1" applyBorder="1"/>
    <xf numFmtId="185" fontId="88" fillId="56" borderId="21" xfId="54" applyNumberFormat="1" applyBorder="1"/>
    <xf numFmtId="185" fontId="0" fillId="8" borderId="0" xfId="0" applyNumberFormat="1" applyFill="1"/>
    <xf numFmtId="185" fontId="17" fillId="8" borderId="1" xfId="0" applyNumberFormat="1" applyFont="1" applyFill="1" applyBorder="1" applyAlignment="1">
      <alignment horizontal="center" vertical="center" wrapText="1"/>
    </xf>
    <xf numFmtId="185" fontId="0" fillId="8" borderId="3" xfId="0" applyNumberFormat="1" applyFill="1" applyBorder="1" applyAlignment="1">
      <alignment horizontal="center"/>
    </xf>
    <xf numFmtId="185" fontId="9" fillId="8" borderId="0" xfId="2" applyNumberFormat="1" applyFont="1" applyFill="1"/>
    <xf numFmtId="185" fontId="0" fillId="8" borderId="1" xfId="2" applyNumberFormat="1" applyFont="1" applyFill="1" applyBorder="1"/>
    <xf numFmtId="185" fontId="0" fillId="8" borderId="0" xfId="2" applyNumberFormat="1" applyFont="1" applyFill="1"/>
    <xf numFmtId="185" fontId="17" fillId="8" borderId="2" xfId="0" applyNumberFormat="1" applyFont="1" applyFill="1" applyBorder="1" applyAlignment="1">
      <alignment horizontal="center" vertical="center" wrapText="1"/>
    </xf>
    <xf numFmtId="185" fontId="53" fillId="21" borderId="0" xfId="0" applyNumberFormat="1" applyFont="1" applyFill="1" applyBorder="1" applyAlignment="1">
      <alignment horizontal="center"/>
    </xf>
    <xf numFmtId="185" fontId="0" fillId="8" borderId="5" xfId="0" applyFill="1" applyBorder="1" applyAlignment="1">
      <alignment horizontal="left"/>
    </xf>
    <xf numFmtId="185" fontId="0" fillId="8" borderId="0" xfId="0" applyFill="1" applyBorder="1" applyAlignment="1">
      <alignment horizontal="left"/>
    </xf>
    <xf numFmtId="4" fontId="53" fillId="8" borderId="0" xfId="0" applyNumberFormat="1" applyFont="1" applyFill="1" applyBorder="1" applyAlignment="1" applyProtection="1">
      <alignment vertical="center"/>
      <protection locked="0"/>
    </xf>
    <xf numFmtId="185" fontId="35" fillId="2" borderId="0" xfId="0" applyFont="1" applyFill="1" applyBorder="1" applyAlignment="1">
      <alignment horizontal="left" vertical="top"/>
    </xf>
    <xf numFmtId="185" fontId="0" fillId="5" borderId="0" xfId="0" applyFill="1" applyAlignment="1">
      <alignment horizontal="left"/>
    </xf>
    <xf numFmtId="185" fontId="0" fillId="8" borderId="10" xfId="0" applyFill="1" applyBorder="1" applyAlignment="1">
      <alignment horizontal="left"/>
    </xf>
    <xf numFmtId="185" fontId="0" fillId="8" borderId="3" xfId="0" applyFill="1" applyBorder="1" applyAlignment="1">
      <alignment horizontal="left"/>
    </xf>
    <xf numFmtId="185" fontId="0" fillId="8" borderId="0" xfId="0" applyFill="1" applyBorder="1" applyAlignment="1">
      <alignment horizontal="left" vertical="top"/>
    </xf>
    <xf numFmtId="185" fontId="0" fillId="8" borderId="0" xfId="0" applyFont="1" applyFill="1" applyBorder="1" applyAlignment="1">
      <alignment horizontal="left"/>
    </xf>
    <xf numFmtId="49" fontId="0" fillId="8" borderId="4" xfId="0" applyNumberFormat="1" applyFill="1" applyBorder="1" applyAlignment="1">
      <alignment vertical="top" wrapText="1"/>
    </xf>
    <xf numFmtId="49" fontId="0" fillId="8" borderId="5" xfId="0" applyNumberFormat="1" applyFill="1" applyBorder="1" applyAlignment="1">
      <alignment vertical="top" wrapText="1"/>
    </xf>
    <xf numFmtId="49" fontId="0" fillId="8" borderId="6" xfId="0" applyNumberFormat="1" applyFill="1" applyBorder="1" applyAlignment="1">
      <alignment vertical="top" wrapText="1"/>
    </xf>
    <xf numFmtId="185" fontId="35" fillId="8" borderId="0" xfId="0" applyFont="1" applyFill="1" applyBorder="1" applyAlignment="1">
      <alignment horizontal="left"/>
    </xf>
    <xf numFmtId="189" fontId="30" fillId="8" borderId="0" xfId="0" applyNumberFormat="1" applyFont="1" applyFill="1" applyBorder="1" applyAlignment="1">
      <alignment horizontal="left"/>
    </xf>
    <xf numFmtId="185" fontId="0" fillId="2" borderId="0" xfId="0" applyFill="1" applyBorder="1" applyAlignment="1">
      <alignment horizontal="left"/>
    </xf>
    <xf numFmtId="185" fontId="94" fillId="2" borderId="33" xfId="0" applyFont="1" applyFill="1" applyBorder="1"/>
    <xf numFmtId="185" fontId="94" fillId="2" borderId="32" xfId="0" applyFont="1" applyFill="1" applyBorder="1"/>
    <xf numFmtId="185" fontId="94" fillId="2" borderId="31" xfId="0" applyFont="1" applyFill="1" applyBorder="1"/>
    <xf numFmtId="188" fontId="88" fillId="56" borderId="40" xfId="54" applyNumberFormat="1" applyBorder="1"/>
    <xf numFmtId="187" fontId="88" fillId="56" borderId="40" xfId="54" applyNumberFormat="1" applyBorder="1"/>
    <xf numFmtId="186" fontId="87" fillId="57" borderId="40" xfId="52" applyNumberFormat="1" applyBorder="1" applyAlignment="1"/>
    <xf numFmtId="186" fontId="87" fillId="57" borderId="40" xfId="52" applyNumberFormat="1" applyBorder="1" applyAlignment="1" applyProtection="1">
      <protection locked="0"/>
    </xf>
    <xf numFmtId="185" fontId="8" fillId="55" borderId="0" xfId="0" applyFont="1" applyFill="1"/>
    <xf numFmtId="185" fontId="52" fillId="55" borderId="3" xfId="0" applyFont="1" applyFill="1" applyBorder="1"/>
    <xf numFmtId="185" fontId="8" fillId="55" borderId="3" xfId="0" applyFont="1" applyFill="1" applyBorder="1"/>
    <xf numFmtId="173" fontId="8" fillId="55" borderId="3" xfId="0" applyNumberFormat="1" applyFont="1" applyFill="1" applyBorder="1"/>
    <xf numFmtId="171" fontId="8" fillId="55" borderId="3" xfId="0" applyNumberFormat="1" applyFont="1" applyFill="1" applyBorder="1"/>
    <xf numFmtId="185" fontId="17" fillId="55" borderId="0" xfId="0" applyFont="1" applyFill="1"/>
    <xf numFmtId="185" fontId="116" fillId="55" borderId="0" xfId="46" applyFill="1" applyAlignment="1"/>
    <xf numFmtId="185" fontId="0" fillId="55" borderId="3" xfId="0" applyFill="1" applyBorder="1"/>
    <xf numFmtId="185" fontId="7" fillId="55" borderId="0" xfId="0" applyFont="1" applyFill="1"/>
    <xf numFmtId="186" fontId="78" fillId="12" borderId="0" xfId="8" applyNumberFormat="1"/>
    <xf numFmtId="173" fontId="78" fillId="12" borderId="0" xfId="8" applyNumberFormat="1"/>
    <xf numFmtId="171" fontId="78" fillId="12" borderId="0" xfId="8" applyNumberFormat="1"/>
    <xf numFmtId="185" fontId="0" fillId="8" borderId="31" xfId="0" quotePrefix="1" applyBorder="1"/>
    <xf numFmtId="185" fontId="0" fillId="8" borderId="32" xfId="0" quotePrefix="1" applyBorder="1"/>
    <xf numFmtId="185" fontId="169" fillId="8" borderId="33" xfId="0" applyFont="1" applyBorder="1"/>
    <xf numFmtId="185" fontId="0" fillId="55" borderId="0" xfId="0" applyFill="1" applyBorder="1" applyAlignment="1">
      <alignment horizontal="left"/>
    </xf>
    <xf numFmtId="185" fontId="116" fillId="55" borderId="0" xfId="46" applyFill="1" applyBorder="1" applyAlignment="1">
      <alignment horizontal="left"/>
    </xf>
    <xf numFmtId="185" fontId="83" fillId="55" borderId="0" xfId="0" applyFont="1" applyFill="1" applyBorder="1" applyAlignment="1">
      <alignment horizontal="left"/>
    </xf>
    <xf numFmtId="185" fontId="94" fillId="55" borderId="0" xfId="0" applyFont="1" applyFill="1" applyBorder="1" applyAlignment="1">
      <alignment horizontal="left"/>
    </xf>
    <xf numFmtId="170" fontId="78" fillId="12" borderId="0" xfId="8" applyNumberFormat="1"/>
    <xf numFmtId="185" fontId="79" fillId="15" borderId="0" xfId="9" applyNumberFormat="1"/>
    <xf numFmtId="188" fontId="78" fillId="12" borderId="0" xfId="8" applyNumberFormat="1"/>
    <xf numFmtId="168" fontId="78" fillId="12" borderId="0" xfId="8" applyNumberFormat="1"/>
    <xf numFmtId="185" fontId="78" fillId="12" borderId="0" xfId="8" applyNumberFormat="1" applyAlignment="1">
      <alignment horizontal="left"/>
    </xf>
    <xf numFmtId="178" fontId="78" fillId="12" borderId="0" xfId="8" applyNumberFormat="1" applyAlignment="1">
      <alignment horizontal="center"/>
    </xf>
    <xf numFmtId="185" fontId="78" fillId="13" borderId="0" xfId="8" applyNumberFormat="1" applyFill="1"/>
    <xf numFmtId="185" fontId="78" fillId="13" borderId="0" xfId="8" applyNumberFormat="1" applyFill="1" applyAlignment="1">
      <alignment horizontal="left"/>
    </xf>
    <xf numFmtId="2" fontId="78" fillId="13" borderId="0" xfId="8" applyNumberFormat="1" applyFill="1"/>
    <xf numFmtId="1" fontId="78" fillId="13" borderId="0" xfId="8" applyNumberFormat="1" applyFill="1"/>
    <xf numFmtId="186" fontId="83" fillId="7" borderId="0" xfId="0" applyNumberFormat="1" applyFont="1" applyFill="1" applyBorder="1"/>
    <xf numFmtId="185" fontId="0" fillId="8" borderId="20" xfId="0" applyFill="1" applyBorder="1" applyAlignment="1">
      <alignment horizontal="center"/>
    </xf>
    <xf numFmtId="185" fontId="0" fillId="8" borderId="3" xfId="0" applyFill="1" applyBorder="1" applyAlignment="1">
      <alignment horizontal="center"/>
    </xf>
    <xf numFmtId="188" fontId="91" fillId="8" borderId="3" xfId="55" applyNumberFormat="1" applyBorder="1"/>
    <xf numFmtId="185" fontId="143" fillId="8" borderId="3" xfId="56" quotePrefix="1" applyNumberFormat="1" applyFill="1" applyBorder="1"/>
    <xf numFmtId="185" fontId="143" fillId="8" borderId="21" xfId="56" applyNumberFormat="1" applyFill="1" applyBorder="1"/>
    <xf numFmtId="185" fontId="0" fillId="8" borderId="53" xfId="55" applyNumberFormat="1" applyFont="1" applyBorder="1"/>
    <xf numFmtId="185" fontId="0" fillId="8" borderId="44" xfId="55" applyNumberFormat="1" applyFont="1" applyBorder="1"/>
    <xf numFmtId="186" fontId="87" fillId="57" borderId="18" xfId="52" applyNumberFormat="1" applyBorder="1" applyAlignment="1"/>
    <xf numFmtId="188" fontId="88" fillId="56" borderId="0" xfId="54" applyNumberFormat="1" applyBorder="1"/>
    <xf numFmtId="185" fontId="88" fillId="56" borderId="2" xfId="54" applyNumberFormat="1" applyBorder="1"/>
    <xf numFmtId="186" fontId="88" fillId="56" borderId="0" xfId="54" applyNumberFormat="1" applyBorder="1"/>
    <xf numFmtId="9" fontId="88" fillId="56" borderId="0" xfId="2" applyFont="1" applyFill="1" applyBorder="1"/>
    <xf numFmtId="185" fontId="143" fillId="8" borderId="0" xfId="56" applyNumberFormat="1" applyFill="1" applyBorder="1"/>
    <xf numFmtId="173" fontId="7" fillId="8" borderId="43" xfId="0" applyNumberFormat="1" applyFont="1" applyFill="1" applyBorder="1" applyAlignment="1" applyProtection="1">
      <alignment horizontal="center" vertical="center"/>
      <protection locked="0"/>
    </xf>
    <xf numFmtId="10" fontId="83" fillId="8" borderId="8" xfId="2" applyNumberFormat="1" applyFont="1" applyFill="1" applyBorder="1"/>
    <xf numFmtId="187" fontId="30" fillId="8" borderId="0" xfId="0" applyNumberFormat="1" applyFont="1" applyFill="1" applyBorder="1" applyProtection="1">
      <protection locked="0"/>
    </xf>
    <xf numFmtId="182" fontId="53" fillId="2" borderId="17" xfId="0" applyNumberFormat="1" applyFont="1" applyFill="1" applyBorder="1" applyProtection="1">
      <protection locked="0"/>
    </xf>
    <xf numFmtId="182" fontId="54" fillId="2" borderId="17" xfId="0" applyNumberFormat="1" applyFont="1" applyFill="1" applyBorder="1" applyProtection="1">
      <protection locked="0"/>
    </xf>
    <xf numFmtId="185" fontId="0" fillId="8" borderId="0" xfId="0" applyFill="1" applyBorder="1" applyAlignment="1">
      <alignment horizontal="left"/>
    </xf>
    <xf numFmtId="1" fontId="88" fillId="8" borderId="0" xfId="0" applyNumberFormat="1" applyFont="1" applyFill="1" applyBorder="1"/>
    <xf numFmtId="185" fontId="88" fillId="2" borderId="0" xfId="0" applyFont="1" applyFill="1" applyBorder="1"/>
    <xf numFmtId="185" fontId="0" fillId="2" borderId="0" xfId="0" applyNumberFormat="1" applyFont="1" applyFill="1" applyBorder="1"/>
    <xf numFmtId="188" fontId="54" fillId="8" borderId="17" xfId="0" applyNumberFormat="1" applyFont="1" applyFill="1" applyBorder="1" applyProtection="1">
      <protection locked="0"/>
    </xf>
    <xf numFmtId="49" fontId="0" fillId="16" borderId="0" xfId="0" applyNumberFormat="1" applyFill="1" applyBorder="1" applyAlignment="1">
      <alignment vertical="top" wrapText="1"/>
    </xf>
    <xf numFmtId="49" fontId="0" fillId="16" borderId="0" xfId="0" applyNumberFormat="1" applyFill="1" applyBorder="1" applyAlignment="1">
      <alignment horizontal="left" vertical="top" wrapText="1"/>
    </xf>
    <xf numFmtId="185" fontId="0" fillId="16" borderId="0" xfId="0" applyFill="1" applyBorder="1" applyAlignment="1">
      <alignment horizontal="left"/>
    </xf>
    <xf numFmtId="169" fontId="0" fillId="16" borderId="0" xfId="0" applyNumberFormat="1" applyFill="1" applyBorder="1"/>
    <xf numFmtId="188" fontId="0" fillId="16" borderId="0" xfId="0" applyNumberFormat="1" applyFill="1" applyBorder="1"/>
    <xf numFmtId="185" fontId="27" fillId="16" borderId="0" xfId="0" applyFont="1" applyFill="1" applyBorder="1"/>
    <xf numFmtId="170" fontId="0" fillId="16" borderId="0" xfId="0" applyNumberFormat="1" applyFill="1" applyBorder="1"/>
    <xf numFmtId="185" fontId="0" fillId="5" borderId="0" xfId="0" applyNumberFormat="1" applyFill="1"/>
    <xf numFmtId="185" fontId="143" fillId="8" borderId="31" xfId="0" applyFont="1" applyFill="1" applyBorder="1"/>
    <xf numFmtId="185" fontId="57" fillId="61" borderId="43" xfId="0" applyFont="1" applyFill="1" applyBorder="1"/>
    <xf numFmtId="185" fontId="57" fillId="60" borderId="43" xfId="0" applyFont="1" applyFill="1" applyBorder="1"/>
    <xf numFmtId="185" fontId="11" fillId="8" borderId="37" xfId="0" applyFont="1" applyFill="1" applyBorder="1"/>
    <xf numFmtId="185" fontId="11" fillId="8" borderId="2" xfId="0" applyFont="1" applyFill="1" applyBorder="1"/>
    <xf numFmtId="185" fontId="11" fillId="8" borderId="38" xfId="0" applyFont="1" applyFill="1" applyBorder="1"/>
    <xf numFmtId="185" fontId="11" fillId="8" borderId="17" xfId="0" applyFont="1" applyFill="1" applyBorder="1"/>
    <xf numFmtId="185" fontId="11" fillId="8" borderId="18" xfId="0" applyFont="1" applyFill="1" applyBorder="1"/>
    <xf numFmtId="185" fontId="11" fillId="8" borderId="20" xfId="0" applyFont="1" applyFill="1" applyBorder="1"/>
    <xf numFmtId="185" fontId="11" fillId="8" borderId="3" xfId="0" applyFont="1" applyFill="1" applyBorder="1"/>
    <xf numFmtId="185" fontId="11" fillId="8" borderId="21" xfId="0" applyFont="1" applyFill="1" applyBorder="1"/>
    <xf numFmtId="185" fontId="7" fillId="8" borderId="17" xfId="0" applyFont="1" applyFill="1" applyBorder="1"/>
    <xf numFmtId="185" fontId="11" fillId="7" borderId="0" xfId="0" applyFont="1" applyFill="1" applyBorder="1"/>
    <xf numFmtId="9" fontId="0" fillId="8" borderId="53" xfId="0" applyNumberFormat="1" applyBorder="1" applyAlignment="1">
      <alignment horizontal="center" vertical="center"/>
    </xf>
    <xf numFmtId="9" fontId="0" fillId="8" borderId="43" xfId="0" applyNumberFormat="1" applyBorder="1" applyAlignment="1">
      <alignment horizontal="center" vertical="center"/>
    </xf>
    <xf numFmtId="9" fontId="0" fillId="8" borderId="44" xfId="0" applyNumberFormat="1" applyBorder="1" applyAlignment="1">
      <alignment horizontal="center" vertical="center"/>
    </xf>
    <xf numFmtId="183" fontId="94" fillId="2" borderId="1" xfId="0" applyNumberFormat="1" applyFont="1" applyFill="1" applyBorder="1"/>
    <xf numFmtId="200" fontId="94" fillId="2" borderId="2" xfId="0" applyNumberFormat="1" applyFont="1" applyFill="1" applyBorder="1"/>
    <xf numFmtId="200" fontId="94" fillId="2" borderId="0" xfId="0" applyNumberFormat="1" applyFont="1" applyFill="1" applyBorder="1"/>
    <xf numFmtId="200" fontId="94" fillId="2" borderId="3" xfId="0" applyNumberFormat="1" applyFont="1" applyFill="1" applyBorder="1"/>
    <xf numFmtId="185" fontId="83" fillId="7" borderId="0" xfId="0" applyFont="1" applyFill="1" applyBorder="1"/>
    <xf numFmtId="190" fontId="87" fillId="57" borderId="43" xfId="52" applyNumberFormat="1" applyBorder="1" applyAlignment="1"/>
    <xf numFmtId="185" fontId="87" fillId="57" borderId="43" xfId="52" applyBorder="1" applyAlignment="1" applyProtection="1">
      <protection locked="0"/>
    </xf>
    <xf numFmtId="187" fontId="83" fillId="7" borderId="0" xfId="0" applyNumberFormat="1" applyFont="1" applyFill="1" applyBorder="1"/>
    <xf numFmtId="185" fontId="12" fillId="2" borderId="0" xfId="0" applyFont="1" applyFill="1" applyBorder="1" applyAlignment="1">
      <alignment horizontal="center"/>
    </xf>
    <xf numFmtId="185" fontId="9" fillId="2" borderId="87" xfId="0" applyFont="1" applyFill="1" applyBorder="1"/>
    <xf numFmtId="185" fontId="9" fillId="2" borderId="88" xfId="0" applyFont="1" applyFill="1" applyBorder="1"/>
    <xf numFmtId="185" fontId="48" fillId="2" borderId="88" xfId="0" applyFont="1" applyFill="1" applyBorder="1"/>
    <xf numFmtId="185" fontId="47" fillId="2" borderId="88" xfId="0" applyFont="1" applyFill="1" applyBorder="1"/>
    <xf numFmtId="185" fontId="47" fillId="2" borderId="89" xfId="0" applyFont="1" applyFill="1" applyBorder="1"/>
    <xf numFmtId="185" fontId="9" fillId="2" borderId="3" xfId="0" applyFont="1" applyFill="1" applyBorder="1" applyAlignment="1">
      <alignment horizontal="centerContinuous"/>
    </xf>
    <xf numFmtId="185" fontId="9" fillId="2" borderId="26" xfId="0" applyFont="1" applyFill="1" applyBorder="1" applyAlignment="1">
      <alignment horizontal="centerContinuous"/>
    </xf>
    <xf numFmtId="185" fontId="12" fillId="2" borderId="27" xfId="0" applyFont="1" applyFill="1" applyBorder="1" applyAlignment="1">
      <alignment horizontal="centerContinuous"/>
    </xf>
    <xf numFmtId="185" fontId="12" fillId="2" borderId="5" xfId="0" applyFont="1" applyFill="1" applyBorder="1" applyAlignment="1">
      <alignment horizontal="centerContinuous"/>
    </xf>
    <xf numFmtId="185" fontId="12" fillId="2" borderId="39" xfId="0" applyFont="1" applyFill="1" applyBorder="1" applyAlignment="1">
      <alignment horizontal="centerContinuous"/>
    </xf>
    <xf numFmtId="185" fontId="12" fillId="2" borderId="6" xfId="0" applyFont="1" applyFill="1" applyBorder="1" applyAlignment="1">
      <alignment horizontal="centerContinuous"/>
    </xf>
    <xf numFmtId="185" fontId="9" fillId="2" borderId="20" xfId="0" applyFont="1" applyFill="1" applyBorder="1" applyAlignment="1">
      <alignment horizontal="centerContinuous"/>
    </xf>
    <xf numFmtId="185" fontId="9" fillId="2" borderId="21" xfId="0" applyFont="1" applyFill="1" applyBorder="1" applyAlignment="1">
      <alignment horizontal="centerContinuous"/>
    </xf>
    <xf numFmtId="185" fontId="87" fillId="57" borderId="37" xfId="52" applyBorder="1" applyAlignment="1"/>
    <xf numFmtId="185" fontId="87" fillId="57" borderId="2" xfId="52" applyBorder="1" applyAlignment="1"/>
    <xf numFmtId="185" fontId="87" fillId="57" borderId="38" xfId="52" applyBorder="1" applyAlignment="1"/>
    <xf numFmtId="9" fontId="87" fillId="57" borderId="0" xfId="52" applyNumberFormat="1" applyBorder="1" applyAlignment="1"/>
    <xf numFmtId="185" fontId="87" fillId="57" borderId="20" xfId="52" applyBorder="1" applyAlignment="1"/>
    <xf numFmtId="9" fontId="87" fillId="57" borderId="3" xfId="52" applyNumberFormat="1" applyBorder="1" applyAlignment="1"/>
    <xf numFmtId="188" fontId="87" fillId="57" borderId="18" xfId="52" applyNumberFormat="1" applyBorder="1" applyAlignment="1"/>
    <xf numFmtId="188" fontId="87" fillId="57" borderId="3" xfId="52" applyNumberFormat="1" applyBorder="1" applyAlignment="1"/>
    <xf numFmtId="188" fontId="87" fillId="57" borderId="21" xfId="52" applyNumberFormat="1" applyBorder="1" applyAlignment="1"/>
    <xf numFmtId="185" fontId="87" fillId="57" borderId="3" xfId="52" applyBorder="1" applyAlignment="1"/>
    <xf numFmtId="185" fontId="87" fillId="57" borderId="21" xfId="52" applyBorder="1" applyAlignment="1"/>
    <xf numFmtId="185" fontId="94" fillId="2" borderId="2" xfId="0" applyFont="1" applyFill="1" applyBorder="1" applyAlignment="1">
      <alignment horizontal="right"/>
    </xf>
    <xf numFmtId="185" fontId="94" fillId="2" borderId="38" xfId="0" applyFont="1" applyFill="1" applyBorder="1" applyAlignment="1">
      <alignment horizontal="right"/>
    </xf>
    <xf numFmtId="9" fontId="94" fillId="2" borderId="0" xfId="2" applyNumberFormat="1" applyFont="1" applyFill="1" applyBorder="1"/>
    <xf numFmtId="9" fontId="94" fillId="2" borderId="3" xfId="2" applyNumberFormat="1" applyFont="1" applyFill="1" applyBorder="1"/>
    <xf numFmtId="201" fontId="94" fillId="2" borderId="1" xfId="0" applyNumberFormat="1" applyFont="1" applyFill="1" applyBorder="1"/>
    <xf numFmtId="2" fontId="154" fillId="8" borderId="53" xfId="0" applyNumberFormat="1" applyFont="1" applyFill="1" applyBorder="1" applyProtection="1">
      <protection locked="0"/>
    </xf>
    <xf numFmtId="185" fontId="160" fillId="8" borderId="75" xfId="0" applyFont="1" applyFill="1" applyBorder="1" applyProtection="1">
      <protection locked="0"/>
    </xf>
    <xf numFmtId="2" fontId="154" fillId="8" borderId="75" xfId="0" applyNumberFormat="1" applyFont="1" applyFill="1" applyBorder="1" applyProtection="1">
      <protection locked="0"/>
    </xf>
    <xf numFmtId="2" fontId="154" fillId="8" borderId="82" xfId="0" applyNumberFormat="1" applyFont="1" applyFill="1" applyBorder="1" applyProtection="1">
      <protection locked="0"/>
    </xf>
    <xf numFmtId="2" fontId="154" fillId="8" borderId="80" xfId="0" applyNumberFormat="1" applyFont="1" applyFill="1" applyBorder="1" applyProtection="1">
      <protection locked="0"/>
    </xf>
    <xf numFmtId="2" fontId="154" fillId="8" borderId="74" xfId="0" applyNumberFormat="1" applyFont="1" applyFill="1" applyBorder="1" applyProtection="1">
      <protection locked="0"/>
    </xf>
    <xf numFmtId="2" fontId="154" fillId="8" borderId="64" xfId="0" applyNumberFormat="1" applyFont="1" applyFill="1" applyBorder="1" applyProtection="1">
      <protection locked="0"/>
    </xf>
    <xf numFmtId="2" fontId="154" fillId="8" borderId="90" xfId="0" applyNumberFormat="1" applyFont="1" applyFill="1" applyBorder="1" applyProtection="1">
      <protection locked="0"/>
    </xf>
    <xf numFmtId="2" fontId="154" fillId="8" borderId="67" xfId="0" applyNumberFormat="1" applyFont="1" applyFill="1" applyBorder="1" applyProtection="1">
      <protection locked="0"/>
    </xf>
    <xf numFmtId="188" fontId="7" fillId="2" borderId="0" xfId="0" applyNumberFormat="1" applyFont="1" applyFill="1" applyBorder="1" applyProtection="1">
      <protection locked="0"/>
    </xf>
    <xf numFmtId="192" fontId="7" fillId="2" borderId="0" xfId="0" applyNumberFormat="1" applyFont="1" applyFill="1" applyBorder="1" applyProtection="1">
      <protection locked="0"/>
    </xf>
    <xf numFmtId="4" fontId="30" fillId="2" borderId="0" xfId="0" applyNumberFormat="1" applyFont="1" applyFill="1" applyBorder="1"/>
    <xf numFmtId="49" fontId="7" fillId="8" borderId="7" xfId="0" applyNumberFormat="1" applyFont="1" applyFill="1" applyBorder="1" applyAlignment="1">
      <alignment vertical="top" wrapText="1"/>
    </xf>
    <xf numFmtId="49" fontId="7" fillId="8" borderId="0" xfId="0" applyNumberFormat="1" applyFont="1" applyFill="1" applyBorder="1" applyAlignment="1">
      <alignment vertical="top" wrapText="1"/>
    </xf>
    <xf numFmtId="49" fontId="7" fillId="8" borderId="8" xfId="0" applyNumberFormat="1" applyFont="1" applyFill="1" applyBorder="1" applyAlignment="1">
      <alignment vertical="top" wrapText="1"/>
    </xf>
    <xf numFmtId="49" fontId="7" fillId="8" borderId="7" xfId="0" applyNumberFormat="1" applyFont="1" applyFill="1" applyBorder="1" applyAlignment="1">
      <alignment vertical="top"/>
    </xf>
    <xf numFmtId="49" fontId="7" fillId="8" borderId="0" xfId="0" applyNumberFormat="1" applyFont="1" applyFill="1" applyBorder="1" applyAlignment="1">
      <alignment vertical="top"/>
    </xf>
    <xf numFmtId="49" fontId="7" fillId="8" borderId="8" xfId="0" applyNumberFormat="1" applyFont="1" applyFill="1" applyBorder="1" applyAlignment="1">
      <alignment vertical="top"/>
    </xf>
    <xf numFmtId="49" fontId="7" fillId="8" borderId="9" xfId="0" applyNumberFormat="1" applyFont="1" applyFill="1" applyBorder="1" applyAlignment="1">
      <alignment vertical="top"/>
    </xf>
    <xf numFmtId="49" fontId="7" fillId="8" borderId="10" xfId="0" applyNumberFormat="1" applyFont="1" applyFill="1" applyBorder="1" applyAlignment="1">
      <alignment vertical="top"/>
    </xf>
    <xf numFmtId="49" fontId="7" fillId="8" borderId="11" xfId="0" applyNumberFormat="1" applyFont="1" applyFill="1" applyBorder="1" applyAlignment="1">
      <alignment vertical="top"/>
    </xf>
    <xf numFmtId="187" fontId="49" fillId="2" borderId="0" xfId="0" applyNumberFormat="1" applyFont="1" applyFill="1"/>
    <xf numFmtId="4" fontId="9" fillId="8" borderId="17" xfId="1" applyNumberFormat="1" applyFont="1" applyFill="1" applyBorder="1" applyAlignment="1">
      <alignment horizontal="right"/>
    </xf>
    <xf numFmtId="185" fontId="0" fillId="7" borderId="7" xfId="0" applyFill="1" applyBorder="1"/>
    <xf numFmtId="185" fontId="7" fillId="2" borderId="7" xfId="60" applyFont="1" applyFill="1" applyBorder="1"/>
    <xf numFmtId="9" fontId="109" fillId="4" borderId="2" xfId="0" applyNumberFormat="1" applyFont="1" applyFill="1" applyBorder="1" applyAlignment="1">
      <alignment horizontal="center" vertical="center" wrapText="1"/>
    </xf>
    <xf numFmtId="185" fontId="10" fillId="8" borderId="0" xfId="0" applyFont="1" applyFill="1" applyBorder="1" applyAlignment="1">
      <alignment horizontal="center" vertical="center" textRotation="90"/>
    </xf>
    <xf numFmtId="185" fontId="9" fillId="8" borderId="0" xfId="0" applyFont="1" applyFill="1" applyBorder="1" applyAlignment="1">
      <alignment horizontal="center"/>
    </xf>
    <xf numFmtId="185" fontId="12" fillId="8" borderId="0" xfId="0" applyFont="1" applyFill="1" applyBorder="1" applyAlignment="1">
      <alignment horizontal="center"/>
    </xf>
    <xf numFmtId="185" fontId="10" fillId="2" borderId="8" xfId="0" applyFont="1" applyFill="1" applyBorder="1" applyAlignment="1">
      <alignment horizontal="center" vertical="center" textRotation="90"/>
    </xf>
    <xf numFmtId="185" fontId="10" fillId="8" borderId="0" xfId="0" applyFont="1" applyFill="1" applyBorder="1" applyAlignment="1">
      <alignment vertical="center" textRotation="90"/>
    </xf>
    <xf numFmtId="185" fontId="166" fillId="8" borderId="85" xfId="0" applyFont="1" applyBorder="1" applyAlignment="1">
      <alignment horizontal="center"/>
    </xf>
    <xf numFmtId="185" fontId="166" fillId="8" borderId="42" xfId="0" applyFont="1" applyBorder="1" applyAlignment="1">
      <alignment horizontal="center"/>
    </xf>
    <xf numFmtId="185" fontId="165" fillId="8" borderId="33" xfId="0" applyFont="1" applyBorder="1" applyAlignment="1">
      <alignment horizontal="left" vertical="top" wrapText="1"/>
    </xf>
    <xf numFmtId="185" fontId="165" fillId="8" borderId="31" xfId="0" applyFont="1" applyBorder="1" applyAlignment="1">
      <alignment horizontal="left" vertical="top" wrapText="1"/>
    </xf>
    <xf numFmtId="185" fontId="165" fillId="8" borderId="32" xfId="0" applyFont="1" applyBorder="1" applyAlignment="1">
      <alignment horizontal="left" vertical="top" wrapText="1"/>
    </xf>
    <xf numFmtId="185" fontId="165" fillId="8" borderId="13" xfId="0" applyFont="1" applyBorder="1" applyAlignment="1">
      <alignment horizontal="center"/>
    </xf>
    <xf numFmtId="185" fontId="165" fillId="8" borderId="14" xfId="0" applyFont="1" applyBorder="1" applyAlignment="1">
      <alignment horizontal="center"/>
    </xf>
    <xf numFmtId="185" fontId="165" fillId="8" borderId="35" xfId="0" applyFont="1" applyBorder="1" applyAlignment="1">
      <alignment horizontal="center"/>
    </xf>
    <xf numFmtId="185" fontId="166" fillId="8" borderId="1" xfId="0" applyFont="1" applyBorder="1" applyAlignment="1">
      <alignment horizontal="center"/>
    </xf>
    <xf numFmtId="185" fontId="165" fillId="8" borderId="85" xfId="0" applyFont="1" applyBorder="1" applyAlignment="1">
      <alignment horizontal="center" vertical="top"/>
    </xf>
    <xf numFmtId="185" fontId="165" fillId="8" borderId="42" xfId="0" applyFont="1" applyBorder="1" applyAlignment="1">
      <alignment horizontal="center" vertical="top"/>
    </xf>
    <xf numFmtId="185" fontId="165" fillId="8" borderId="1" xfId="0" applyFont="1" applyBorder="1" applyAlignment="1">
      <alignment horizontal="center" vertical="top"/>
    </xf>
    <xf numFmtId="173" fontId="7" fillId="8" borderId="5" xfId="0" applyNumberFormat="1" applyFont="1" applyFill="1" applyBorder="1" applyAlignment="1" applyProtection="1">
      <alignment horizontal="center" vertical="center"/>
      <protection locked="0"/>
    </xf>
    <xf numFmtId="185" fontId="0" fillId="8" borderId="7" xfId="0" applyFill="1" applyBorder="1" applyAlignment="1">
      <alignment horizontal="left" vertical="top" wrapText="1" indent="1"/>
    </xf>
    <xf numFmtId="185" fontId="0" fillId="8" borderId="0" xfId="0" applyFill="1" applyBorder="1" applyAlignment="1">
      <alignment horizontal="left" vertical="top" wrapText="1" indent="1"/>
    </xf>
    <xf numFmtId="185" fontId="0" fillId="8" borderId="8" xfId="0" applyFill="1" applyBorder="1" applyAlignment="1">
      <alignment horizontal="left" vertical="top" wrapText="1" indent="1"/>
    </xf>
    <xf numFmtId="185" fontId="28" fillId="8" borderId="7" xfId="0" applyFont="1" applyFill="1" applyBorder="1" applyAlignment="1">
      <alignment horizontal="left" vertical="center" wrapText="1"/>
    </xf>
    <xf numFmtId="185" fontId="28" fillId="8" borderId="0" xfId="0" applyFont="1" applyFill="1" applyBorder="1" applyAlignment="1">
      <alignment horizontal="left" vertical="center" wrapText="1"/>
    </xf>
    <xf numFmtId="185" fontId="7" fillId="8" borderId="7" xfId="0" applyFont="1" applyFill="1" applyBorder="1" applyAlignment="1">
      <alignment horizontal="left" vertical="top" wrapText="1"/>
    </xf>
    <xf numFmtId="185" fontId="7" fillId="8" borderId="0" xfId="0" applyFont="1" applyFill="1" applyBorder="1" applyAlignment="1">
      <alignment horizontal="left" vertical="top" wrapText="1"/>
    </xf>
    <xf numFmtId="185" fontId="7" fillId="8" borderId="8" xfId="0" applyFont="1" applyFill="1" applyBorder="1" applyAlignment="1">
      <alignment horizontal="left" vertical="top" wrapText="1"/>
    </xf>
    <xf numFmtId="185" fontId="17" fillId="8" borderId="4" xfId="0" applyFont="1" applyFill="1" applyBorder="1" applyAlignment="1">
      <alignment horizontal="left" vertical="top" wrapText="1"/>
    </xf>
    <xf numFmtId="185" fontId="17" fillId="8" borderId="5" xfId="0" applyFont="1" applyFill="1" applyBorder="1" applyAlignment="1">
      <alignment horizontal="left" vertical="top" wrapText="1"/>
    </xf>
    <xf numFmtId="185" fontId="17" fillId="8" borderId="7" xfId="0" applyFont="1" applyFill="1" applyBorder="1" applyAlignment="1">
      <alignment horizontal="left" vertical="top" wrapText="1"/>
    </xf>
    <xf numFmtId="185" fontId="17" fillId="8" borderId="0" xfId="0" applyFont="1" applyFill="1" applyBorder="1" applyAlignment="1">
      <alignment horizontal="left" vertical="top" wrapText="1"/>
    </xf>
    <xf numFmtId="185" fontId="0" fillId="8" borderId="4" xfId="0" applyFill="1" applyBorder="1" applyAlignment="1">
      <alignment horizontal="left" vertical="center" wrapText="1"/>
    </xf>
    <xf numFmtId="185" fontId="0" fillId="8" borderId="5" xfId="0" applyFill="1" applyBorder="1" applyAlignment="1">
      <alignment horizontal="left" vertical="center" wrapText="1"/>
    </xf>
    <xf numFmtId="185" fontId="7" fillId="8" borderId="7" xfId="0" applyFont="1" applyFill="1" applyBorder="1" applyAlignment="1">
      <alignment horizontal="left" vertical="center" wrapText="1" indent="1"/>
    </xf>
    <xf numFmtId="185" fontId="7" fillId="8" borderId="0" xfId="0" applyFont="1" applyFill="1" applyBorder="1" applyAlignment="1">
      <alignment horizontal="left" vertical="center" wrapText="1" indent="1"/>
    </xf>
    <xf numFmtId="185" fontId="7" fillId="8" borderId="8" xfId="0" applyFont="1" applyFill="1" applyBorder="1" applyAlignment="1">
      <alignment horizontal="left" vertical="center" wrapText="1" indent="1"/>
    </xf>
    <xf numFmtId="185" fontId="7" fillId="8" borderId="7" xfId="0" applyFont="1" applyFill="1" applyBorder="1" applyAlignment="1">
      <alignment horizontal="left" vertical="top" wrapText="1" indent="1"/>
    </xf>
    <xf numFmtId="185" fontId="7" fillId="8" borderId="0" xfId="0" applyFont="1" applyFill="1" applyBorder="1" applyAlignment="1">
      <alignment horizontal="left" vertical="top" wrapText="1" indent="1"/>
    </xf>
    <xf numFmtId="185" fontId="7" fillId="8" borderId="8" xfId="0" applyFont="1" applyFill="1" applyBorder="1" applyAlignment="1">
      <alignment horizontal="left" vertical="top" wrapText="1" indent="1"/>
    </xf>
    <xf numFmtId="49" fontId="0" fillId="8" borderId="7" xfId="0" applyNumberFormat="1" applyFill="1" applyBorder="1" applyAlignment="1">
      <alignment horizontal="left" vertical="top" wrapText="1"/>
    </xf>
    <xf numFmtId="49" fontId="0" fillId="8" borderId="0" xfId="0" applyNumberFormat="1" applyFill="1" applyBorder="1" applyAlignment="1">
      <alignment horizontal="left" vertical="top" wrapText="1"/>
    </xf>
    <xf numFmtId="49" fontId="0" fillId="8" borderId="8" xfId="0" applyNumberFormat="1" applyFill="1" applyBorder="1" applyAlignment="1">
      <alignment horizontal="left" vertical="top" wrapText="1"/>
    </xf>
    <xf numFmtId="49" fontId="7" fillId="8" borderId="7" xfId="0" applyNumberFormat="1" applyFont="1" applyFill="1" applyBorder="1" applyAlignment="1">
      <alignment horizontal="left" vertical="top" wrapText="1"/>
    </xf>
    <xf numFmtId="49" fontId="7" fillId="8" borderId="0" xfId="0" applyNumberFormat="1" applyFont="1" applyFill="1" applyBorder="1" applyAlignment="1">
      <alignment horizontal="left" vertical="top" wrapText="1"/>
    </xf>
    <xf numFmtId="49" fontId="7" fillId="8" borderId="8" xfId="0" applyNumberFormat="1" applyFont="1" applyFill="1" applyBorder="1" applyAlignment="1">
      <alignment horizontal="left" vertical="top" wrapText="1"/>
    </xf>
    <xf numFmtId="49" fontId="7" fillId="8" borderId="9" xfId="0" applyNumberFormat="1" applyFont="1" applyFill="1" applyBorder="1" applyAlignment="1">
      <alignment horizontal="left" vertical="top" wrapText="1"/>
    </xf>
    <xf numFmtId="49" fontId="7" fillId="8" borderId="10" xfId="0" applyNumberFormat="1" applyFont="1" applyFill="1" applyBorder="1" applyAlignment="1">
      <alignment horizontal="left" vertical="top" wrapText="1"/>
    </xf>
    <xf numFmtId="49" fontId="7" fillId="8" borderId="11" xfId="0" applyNumberFormat="1" applyFont="1" applyFill="1" applyBorder="1" applyAlignment="1">
      <alignment horizontal="left" vertical="top" wrapText="1"/>
    </xf>
    <xf numFmtId="185" fontId="0" fillId="8" borderId="9" xfId="0" applyFill="1" applyBorder="1" applyAlignment="1">
      <alignment horizontal="left" vertical="top" wrapText="1" indent="1"/>
    </xf>
    <xf numFmtId="185" fontId="0" fillId="8" borderId="10" xfId="0" applyFill="1" applyBorder="1" applyAlignment="1">
      <alignment horizontal="left" vertical="top" wrapText="1" indent="1"/>
    </xf>
    <xf numFmtId="185" fontId="0" fillId="8" borderId="11" xfId="0" applyFill="1" applyBorder="1" applyAlignment="1">
      <alignment horizontal="left" vertical="top" wrapText="1" indent="1"/>
    </xf>
    <xf numFmtId="185" fontId="17" fillId="8" borderId="7" xfId="0" applyFont="1" applyFill="1" applyBorder="1" applyAlignment="1">
      <alignment horizontal="left" vertical="center" wrapText="1"/>
    </xf>
    <xf numFmtId="185" fontId="17" fillId="8" borderId="0" xfId="0" applyFont="1" applyFill="1" applyBorder="1" applyAlignment="1">
      <alignment horizontal="left" vertical="center" wrapText="1"/>
    </xf>
    <xf numFmtId="185" fontId="0" fillId="8" borderId="7" xfId="0" applyFill="1" applyBorder="1" applyAlignment="1">
      <alignment horizontal="left" vertical="top" wrapText="1"/>
    </xf>
    <xf numFmtId="185" fontId="0" fillId="8" borderId="0" xfId="0" applyFill="1" applyBorder="1" applyAlignment="1">
      <alignment horizontal="left" vertical="top" wrapText="1"/>
    </xf>
    <xf numFmtId="185" fontId="0" fillId="8" borderId="8" xfId="0" applyFill="1" applyBorder="1" applyAlignment="1">
      <alignment horizontal="left" vertical="top" wrapText="1"/>
    </xf>
    <xf numFmtId="49" fontId="0" fillId="16" borderId="0" xfId="0" applyNumberFormat="1" applyFill="1" applyBorder="1" applyAlignment="1">
      <alignment horizontal="left" vertical="top" wrapText="1"/>
    </xf>
    <xf numFmtId="185" fontId="7" fillId="8" borderId="7" xfId="0" applyFont="1" applyFill="1" applyBorder="1" applyAlignment="1">
      <alignment horizontal="left" wrapText="1"/>
    </xf>
    <xf numFmtId="185" fontId="7" fillId="8" borderId="0" xfId="0" applyFont="1" applyFill="1" applyBorder="1" applyAlignment="1">
      <alignment horizontal="left" wrapText="1"/>
    </xf>
    <xf numFmtId="185" fontId="7" fillId="8" borderId="8" xfId="0" applyFont="1" applyFill="1" applyBorder="1" applyAlignment="1">
      <alignment horizontal="left" wrapText="1"/>
    </xf>
    <xf numFmtId="185" fontId="0" fillId="8" borderId="4" xfId="0" applyFill="1" applyBorder="1" applyAlignment="1">
      <alignment horizontal="left" wrapText="1"/>
    </xf>
    <xf numFmtId="185" fontId="0" fillId="8" borderId="5" xfId="0" applyFill="1" applyBorder="1" applyAlignment="1">
      <alignment horizontal="left"/>
    </xf>
    <xf numFmtId="185" fontId="0" fillId="8" borderId="6" xfId="0" applyFill="1" applyBorder="1" applyAlignment="1">
      <alignment horizontal="left"/>
    </xf>
    <xf numFmtId="185" fontId="0" fillId="8" borderId="7" xfId="0" applyFill="1" applyBorder="1" applyAlignment="1">
      <alignment horizontal="left"/>
    </xf>
    <xf numFmtId="185" fontId="0" fillId="8" borderId="0" xfId="0" applyFill="1" applyBorder="1" applyAlignment="1">
      <alignment horizontal="left"/>
    </xf>
    <xf numFmtId="185" fontId="0" fillId="8" borderId="8" xfId="0" applyFill="1" applyBorder="1" applyAlignment="1">
      <alignment horizontal="left"/>
    </xf>
    <xf numFmtId="185" fontId="0" fillId="2" borderId="8" xfId="0" applyFill="1" applyBorder="1" applyAlignment="1">
      <alignment horizontal="left" wrapText="1"/>
    </xf>
  </cellXfs>
  <cellStyles count="78">
    <cellStyle name="_x000a_shell=progma 2" xfId="63"/>
    <cellStyle name="1.000" xfId="53"/>
    <cellStyle name="20 % - Markeringsfarve1" xfId="23" builtinId="30" hidden="1"/>
    <cellStyle name="20 % - Markeringsfarve2" xfId="27" builtinId="34" hidden="1"/>
    <cellStyle name="20 % - Markeringsfarve3" xfId="31" builtinId="38" hidden="1"/>
    <cellStyle name="20 % - Markeringsfarve4" xfId="35" builtinId="42" hidden="1"/>
    <cellStyle name="20 % - Markeringsfarve5" xfId="39" builtinId="46" hidden="1"/>
    <cellStyle name="20 % - Markeringsfarve6" xfId="43" builtinId="50" hidden="1"/>
    <cellStyle name="40 % - Markeringsfarve1" xfId="24" builtinId="31" hidden="1"/>
    <cellStyle name="40 % - Markeringsfarve2" xfId="28" builtinId="35" hidden="1"/>
    <cellStyle name="40 % - Markeringsfarve3" xfId="32" builtinId="39" hidden="1"/>
    <cellStyle name="40 % - Markeringsfarve4" xfId="36" builtinId="43" hidden="1"/>
    <cellStyle name="40 % - Markeringsfarve5" xfId="40" builtinId="47" hidden="1"/>
    <cellStyle name="40 % - Markeringsfarve6" xfId="44" builtinId="51" hidden="1"/>
    <cellStyle name="60 % - Markeringsfarve1" xfId="25" builtinId="32" hidden="1"/>
    <cellStyle name="60 % - Markeringsfarve2" xfId="29" builtinId="36" hidden="1"/>
    <cellStyle name="60 % - Markeringsfarve3" xfId="33" builtinId="40" hidden="1"/>
    <cellStyle name="60 % - Markeringsfarve4" xfId="37" builtinId="44" hidden="1"/>
    <cellStyle name="60 % - Markeringsfarve5" xfId="41" builtinId="48" hidden="1"/>
    <cellStyle name="60 % - Markeringsfarve6" xfId="45" builtinId="52" hidden="1"/>
    <cellStyle name="Advarselstekst" xfId="18" builtinId="11" hidden="1"/>
    <cellStyle name="Bemærk!" xfId="19" builtinId="10" hidden="1"/>
    <cellStyle name="Bemærk!" xfId="49" builtinId="10" hidden="1"/>
    <cellStyle name="Beregning" xfId="16" builtinId="22" hidden="1"/>
    <cellStyle name="Beregning" xfId="48" builtinId="22" hidden="1"/>
    <cellStyle name="Besøgt link" xfId="58" builtinId="9" hidden="1"/>
    <cellStyle name="Bruger data" xfId="54"/>
    <cellStyle name="Calculations" xfId="55"/>
    <cellStyle name="Comma 2" xfId="64"/>
    <cellStyle name="Comma 3" xfId="62"/>
    <cellStyle name="Comma 4" xfId="65"/>
    <cellStyle name="Comma 5" xfId="66"/>
    <cellStyle name="Comma 6" xfId="61"/>
    <cellStyle name="Euro" xfId="67"/>
    <cellStyle name="Forklarende tekst" xfId="20" builtinId="53" hidden="1"/>
    <cellStyle name="God" xfId="11" builtinId="26" hidden="1"/>
    <cellStyle name="Hyperlink 2" xfId="68"/>
    <cellStyle name="Input" xfId="14" builtinId="20" hidden="1"/>
    <cellStyle name="Input" xfId="47" builtinId="20" hidden="1"/>
    <cellStyle name="Komma" xfId="1" builtinId="3"/>
    <cellStyle name="Komma [0]" xfId="5" builtinId="6" hidden="1"/>
    <cellStyle name="Kontroller celle" xfId="17" builtinId="23" hidden="1"/>
    <cellStyle name="Link" xfId="52" builtinId="8" customBuiltin="1"/>
    <cellStyle name="Markeringsfarve1" xfId="22" builtinId="29" hidden="1"/>
    <cellStyle name="Markeringsfarve2" xfId="26" builtinId="33" hidden="1"/>
    <cellStyle name="Markeringsfarve3" xfId="30" builtinId="37" hidden="1"/>
    <cellStyle name="Markeringsfarve4" xfId="34" builtinId="41" hidden="1"/>
    <cellStyle name="Markeringsfarve5" xfId="38" builtinId="45" hidden="1"/>
    <cellStyle name="Markeringsfarve6" xfId="42" builtinId="49" hidden="1"/>
    <cellStyle name="Neutral" xfId="13" builtinId="28" hidden="1"/>
    <cellStyle name="Normal" xfId="0" builtinId="0" customBuiltin="1"/>
    <cellStyle name="Normal 2" xfId="60"/>
    <cellStyle name="Normal 2 3" xfId="69"/>
    <cellStyle name="Normal 2 4" xfId="70"/>
    <cellStyle name="Normal 2 5" xfId="71"/>
    <cellStyle name="Normal 3" xfId="72"/>
    <cellStyle name="Output" xfId="15" builtinId="21" hidden="1"/>
    <cellStyle name="Output" xfId="50" builtinId="21" hidden="1"/>
    <cellStyle name="Overskrift 1" xfId="8" builtinId="16" customBuiltin="1"/>
    <cellStyle name="Overskrift 2" xfId="9" builtinId="17" customBuiltin="1"/>
    <cellStyle name="Overskrift 3" xfId="4" builtinId="18" customBuiltin="1"/>
    <cellStyle name="Overskrift 4" xfId="10" builtinId="19" hidden="1"/>
    <cellStyle name="Overskrift 4" xfId="46" builtinId="19" customBuiltin="1"/>
    <cellStyle name="Percent 2" xfId="73"/>
    <cellStyle name="Percent 3" xfId="74"/>
    <cellStyle name="Percent 4" xfId="75"/>
    <cellStyle name="Percent 5" xfId="76"/>
    <cellStyle name="Procent" xfId="2" builtinId="5"/>
    <cellStyle name="Procent 2 5" xfId="77"/>
    <cellStyle name="Sammenkædet celle" xfId="3" builtinId="24" hidden="1" customBuiltin="1"/>
    <cellStyle name="Titel" xfId="7" builtinId="15" hidden="1"/>
    <cellStyle name="Total" xfId="21" builtinId="25" hidden="1"/>
    <cellStyle name="Ugyldig" xfId="12" builtinId="27" hidden="1"/>
    <cellStyle name="Ugyldig" xfId="59" builtinId="27" hidden="1"/>
    <cellStyle name="Uncertain" xfId="56"/>
    <cellStyle name="Valuta" xfId="51" builtinId="4" hidden="1"/>
    <cellStyle name="Valuta [0]" xfId="6" builtinId="7" hidden="1"/>
    <cellStyle name="Years" xfId="57"/>
  </cellStyles>
  <dxfs count="94">
    <dxf>
      <border>
        <bottom style="thin">
          <color auto="1"/>
        </bottom>
        <vertical/>
        <horizontal/>
      </border>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ill>
        <patternFill>
          <bgColor rgb="FFFFC000"/>
        </patternFill>
      </fill>
    </dxf>
    <dxf>
      <border>
        <bottom style="thin">
          <color auto="1"/>
        </bottom>
        <vertical/>
        <horizontal/>
      </border>
    </dxf>
    <dxf>
      <fill>
        <patternFill>
          <bgColor rgb="FFFFC000"/>
        </patternFill>
      </fill>
    </dxf>
    <dxf>
      <border>
        <bottom style="thin">
          <color auto="1"/>
        </bottom>
        <vertical/>
        <horizontal/>
      </border>
    </dxf>
    <dxf>
      <border>
        <bottom style="thin">
          <color auto="1"/>
        </bottom>
        <vertical/>
        <horizontal/>
      </border>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ill>
        <patternFill>
          <bgColor rgb="FFFFC000"/>
        </patternFill>
      </fill>
    </dxf>
    <dxf>
      <border>
        <bottom style="thin">
          <color auto="1"/>
        </bottom>
        <vertical/>
        <horizontal/>
      </border>
    </dxf>
    <dxf>
      <fill>
        <patternFill>
          <bgColor rgb="FFFFC000"/>
        </patternFill>
      </fill>
    </dxf>
    <dxf>
      <border>
        <bottom style="thin">
          <color auto="1"/>
        </bottom>
        <vertical/>
        <horizontal/>
      </border>
    </dxf>
    <dxf>
      <border>
        <bottom style="thin">
          <color auto="1"/>
        </bottom>
        <vertical/>
        <horizontal/>
      </border>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ill>
        <patternFill>
          <bgColor rgb="FFFFC000"/>
        </patternFill>
      </fill>
    </dxf>
    <dxf>
      <border>
        <bottom style="thin">
          <color auto="1"/>
        </bottom>
        <vertical/>
        <horizontal/>
      </border>
    </dxf>
    <dxf>
      <fill>
        <patternFill>
          <bgColor rgb="FFFFC000"/>
        </patternFill>
      </fill>
    </dxf>
    <dxf>
      <border>
        <bottom style="thin">
          <color auto="1"/>
        </bottom>
        <vertical/>
        <horizontal/>
      </border>
    </dxf>
    <dxf>
      <border>
        <bottom style="thin">
          <color auto="1"/>
        </bottom>
        <vertical/>
        <horizontal/>
      </border>
    </dxf>
    <dxf>
      <border>
        <bottom style="thin">
          <color auto="1"/>
        </bottom>
        <vertical/>
        <horizontal/>
      </border>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s>
  <tableStyles count="0" defaultTableStyle="TableStyleMedium9" defaultPivotStyle="PivotStyleLight16"/>
  <colors>
    <mruColors>
      <color rgb="FF0000FF"/>
      <color rgb="FFFFA3A3"/>
      <color rgb="FFFFFFCC"/>
      <color rgb="FFFF9900"/>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84"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customXml" Target="../customXml/item3.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styles" Target="styles.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sharedStrings" Target="sharedStrings.xml"/><Relationship Id="rId88"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theme" Target="theme/theme1.xml"/><Relationship Id="rId86" Type="http://schemas.openxmlformats.org/officeDocument/2006/relationships/customXml" Target="../customXml/item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Cockpit!$AZ$5</c:f>
              <c:strCache>
                <c:ptCount val="1"/>
                <c:pt idx="0">
                  <c:v>Køretøj</c:v>
                </c:pt>
              </c:strCache>
            </c:strRef>
          </c:tx>
          <c:invertIfNegative val="0"/>
          <c:cat>
            <c:strRef>
              <c:f>Cockpit!$AY$6:$AY$19</c:f>
              <c:strCache>
                <c:ptCount val="14"/>
                <c:pt idx="0">
                  <c:v>Bil-konv. diesel</c:v>
                </c:pt>
                <c:pt idx="1">
                  <c:v>Bil-konv. Benzin</c:v>
                </c:pt>
                <c:pt idx="2">
                  <c:v>Bil-E85 hvede</c:v>
                </c:pt>
                <c:pt idx="3">
                  <c:v>Bil-E85 sukkerroer</c:v>
                </c:pt>
                <c:pt idx="4">
                  <c:v>Bil-E85 halm</c:v>
                </c:pt>
                <c:pt idx="5">
                  <c:v>Bil-Biodiesel RME</c:v>
                </c:pt>
                <c:pt idx="6">
                  <c:v>Bil-Biodiesel halm</c:v>
                </c:pt>
                <c:pt idx="7">
                  <c:v>Bil-DME</c:v>
                </c:pt>
                <c:pt idx="8">
                  <c:v>Bil-Naturgas</c:v>
                </c:pt>
                <c:pt idx="9">
                  <c:v>Bil-Biogas</c:v>
                </c:pt>
                <c:pt idx="10">
                  <c:v>Bil-MeOH-brændselscellehybrid</c:v>
                </c:pt>
                <c:pt idx="11">
                  <c:v>Bil-Brint-brændselscelle</c:v>
                </c:pt>
                <c:pt idx="12">
                  <c:v>Bil-El</c:v>
                </c:pt>
                <c:pt idx="13">
                  <c:v>Bil-Plugin Hybrid</c:v>
                </c:pt>
              </c:strCache>
            </c:strRef>
          </c:cat>
          <c:val>
            <c:numRef>
              <c:f>Cockpit!$AZ$6:$AZ$19</c:f>
              <c:numCache>
                <c:formatCode>0.00_ ;\-0.00\ </c:formatCode>
                <c:ptCount val="14"/>
                <c:pt idx="0">
                  <c:v>1.1633739010812751</c:v>
                </c:pt>
                <c:pt idx="1">
                  <c:v>1.087921776676704</c:v>
                </c:pt>
                <c:pt idx="2">
                  <c:v>1.087921776676704</c:v>
                </c:pt>
                <c:pt idx="3">
                  <c:v>1.0879217766767042</c:v>
                </c:pt>
                <c:pt idx="4">
                  <c:v>0</c:v>
                </c:pt>
                <c:pt idx="5">
                  <c:v>1.1633739010812749</c:v>
                </c:pt>
                <c:pt idx="6">
                  <c:v>0</c:v>
                </c:pt>
                <c:pt idx="7">
                  <c:v>0</c:v>
                </c:pt>
                <c:pt idx="8">
                  <c:v>1.1616015357429128</c:v>
                </c:pt>
                <c:pt idx="9">
                  <c:v>1.161601535742913</c:v>
                </c:pt>
                <c:pt idx="10">
                  <c:v>0</c:v>
                </c:pt>
                <c:pt idx="11">
                  <c:v>1.7074047938560752</c:v>
                </c:pt>
                <c:pt idx="12">
                  <c:v>1.3969083189338007</c:v>
                </c:pt>
                <c:pt idx="13">
                  <c:v>1.2770421607451312</c:v>
                </c:pt>
              </c:numCache>
            </c:numRef>
          </c:val>
        </c:ser>
        <c:ser>
          <c:idx val="1"/>
          <c:order val="1"/>
          <c:tx>
            <c:strRef>
              <c:f>Cockpit!$BA$5</c:f>
              <c:strCache>
                <c:ptCount val="1"/>
                <c:pt idx="0">
                  <c:v>Brændstof inkl. infrastruktur</c:v>
                </c:pt>
              </c:strCache>
            </c:strRef>
          </c:tx>
          <c:invertIfNegative val="0"/>
          <c:cat>
            <c:strRef>
              <c:f>Cockpit!$AY$6:$AY$19</c:f>
              <c:strCache>
                <c:ptCount val="14"/>
                <c:pt idx="0">
                  <c:v>Bil-konv. diesel</c:v>
                </c:pt>
                <c:pt idx="1">
                  <c:v>Bil-konv. Benzin</c:v>
                </c:pt>
                <c:pt idx="2">
                  <c:v>Bil-E85 hvede</c:v>
                </c:pt>
                <c:pt idx="3">
                  <c:v>Bil-E85 sukkerroer</c:v>
                </c:pt>
                <c:pt idx="4">
                  <c:v>Bil-E85 halm</c:v>
                </c:pt>
                <c:pt idx="5">
                  <c:v>Bil-Biodiesel RME</c:v>
                </c:pt>
                <c:pt idx="6">
                  <c:v>Bil-Biodiesel halm</c:v>
                </c:pt>
                <c:pt idx="7">
                  <c:v>Bil-DME</c:v>
                </c:pt>
                <c:pt idx="8">
                  <c:v>Bil-Naturgas</c:v>
                </c:pt>
                <c:pt idx="9">
                  <c:v>Bil-Biogas</c:v>
                </c:pt>
                <c:pt idx="10">
                  <c:v>Bil-MeOH-brændselscellehybrid</c:v>
                </c:pt>
                <c:pt idx="11">
                  <c:v>Bil-Brint-brændselscelle</c:v>
                </c:pt>
                <c:pt idx="12">
                  <c:v>Bil-El</c:v>
                </c:pt>
                <c:pt idx="13">
                  <c:v>Bil-Plugin Hybrid</c:v>
                </c:pt>
              </c:strCache>
            </c:strRef>
          </c:cat>
          <c:val>
            <c:numRef>
              <c:f>Cockpit!$BA$6:$BA$19</c:f>
              <c:numCache>
                <c:formatCode>0.00_ ;\-0.00\ </c:formatCode>
                <c:ptCount val="14"/>
                <c:pt idx="0">
                  <c:v>0.23628094002963623</c:v>
                </c:pt>
                <c:pt idx="1">
                  <c:v>0.3288289196461448</c:v>
                </c:pt>
                <c:pt idx="2">
                  <c:v>0.3951834906643838</c:v>
                </c:pt>
                <c:pt idx="3">
                  <c:v>0.26366706712438354</c:v>
                </c:pt>
                <c:pt idx="4">
                  <c:v>0</c:v>
                </c:pt>
                <c:pt idx="5">
                  <c:v>0.21145967651080436</c:v>
                </c:pt>
                <c:pt idx="6">
                  <c:v>0</c:v>
                </c:pt>
                <c:pt idx="7">
                  <c:v>0</c:v>
                </c:pt>
                <c:pt idx="8">
                  <c:v>0.1623758967786543</c:v>
                </c:pt>
                <c:pt idx="9">
                  <c:v>0.41427910551507502</c:v>
                </c:pt>
                <c:pt idx="10">
                  <c:v>0</c:v>
                </c:pt>
                <c:pt idx="11">
                  <c:v>0.34233440587495356</c:v>
                </c:pt>
                <c:pt idx="12">
                  <c:v>8.6061169239214891E-2</c:v>
                </c:pt>
                <c:pt idx="13">
                  <c:v>0.12113984995708156</c:v>
                </c:pt>
              </c:numCache>
            </c:numRef>
          </c:val>
        </c:ser>
        <c:ser>
          <c:idx val="2"/>
          <c:order val="2"/>
          <c:tx>
            <c:strRef>
              <c:f>Cockpit!$BB$5</c:f>
              <c:strCache>
                <c:ptCount val="1"/>
                <c:pt idx="0">
                  <c:v>Værdi emissioner + støj</c:v>
                </c:pt>
              </c:strCache>
            </c:strRef>
          </c:tx>
          <c:invertIfNegative val="0"/>
          <c:cat>
            <c:strRef>
              <c:f>Cockpit!$AY$6:$AY$19</c:f>
              <c:strCache>
                <c:ptCount val="14"/>
                <c:pt idx="0">
                  <c:v>Bil-konv. diesel</c:v>
                </c:pt>
                <c:pt idx="1">
                  <c:v>Bil-konv. Benzin</c:v>
                </c:pt>
                <c:pt idx="2">
                  <c:v>Bil-E85 hvede</c:v>
                </c:pt>
                <c:pt idx="3">
                  <c:v>Bil-E85 sukkerroer</c:v>
                </c:pt>
                <c:pt idx="4">
                  <c:v>Bil-E85 halm</c:v>
                </c:pt>
                <c:pt idx="5">
                  <c:v>Bil-Biodiesel RME</c:v>
                </c:pt>
                <c:pt idx="6">
                  <c:v>Bil-Biodiesel halm</c:v>
                </c:pt>
                <c:pt idx="7">
                  <c:v>Bil-DME</c:v>
                </c:pt>
                <c:pt idx="8">
                  <c:v>Bil-Naturgas</c:v>
                </c:pt>
                <c:pt idx="9">
                  <c:v>Bil-Biogas</c:v>
                </c:pt>
                <c:pt idx="10">
                  <c:v>Bil-MeOH-brændselscellehybrid</c:v>
                </c:pt>
                <c:pt idx="11">
                  <c:v>Bil-Brint-brændselscelle</c:v>
                </c:pt>
                <c:pt idx="12">
                  <c:v>Bil-El</c:v>
                </c:pt>
                <c:pt idx="13">
                  <c:v>Bil-Plugin Hybrid</c:v>
                </c:pt>
              </c:strCache>
            </c:strRef>
          </c:cat>
          <c:val>
            <c:numRef>
              <c:f>Cockpit!$BB$6:$BB$19</c:f>
              <c:numCache>
                <c:formatCode>0.00_ ;\-0.00\ </c:formatCode>
                <c:ptCount val="14"/>
                <c:pt idx="0">
                  <c:v>7.107049790144282E-2</c:v>
                </c:pt>
                <c:pt idx="1">
                  <c:v>6.8724123665360431E-2</c:v>
                </c:pt>
                <c:pt idx="2">
                  <c:v>0.10260043543487185</c:v>
                </c:pt>
                <c:pt idx="3">
                  <c:v>0.10553423675259793</c:v>
                </c:pt>
                <c:pt idx="4">
                  <c:v>0</c:v>
                </c:pt>
                <c:pt idx="5">
                  <c:v>0.10015306234283385</c:v>
                </c:pt>
                <c:pt idx="6">
                  <c:v>0</c:v>
                </c:pt>
                <c:pt idx="7">
                  <c:v>0</c:v>
                </c:pt>
                <c:pt idx="8">
                  <c:v>6.2477212039718941E-2</c:v>
                </c:pt>
                <c:pt idx="9">
                  <c:v>5.3773330731964525E-2</c:v>
                </c:pt>
                <c:pt idx="10">
                  <c:v>0</c:v>
                </c:pt>
                <c:pt idx="11">
                  <c:v>2.5254270495223559E-2</c:v>
                </c:pt>
                <c:pt idx="12">
                  <c:v>2.0192010884150697E-2</c:v>
                </c:pt>
                <c:pt idx="13">
                  <c:v>3.2945758485795597E-2</c:v>
                </c:pt>
              </c:numCache>
            </c:numRef>
          </c:val>
        </c:ser>
        <c:dLbls>
          <c:showLegendKey val="0"/>
          <c:showVal val="0"/>
          <c:showCatName val="0"/>
          <c:showSerName val="0"/>
          <c:showPercent val="0"/>
          <c:showBubbleSize val="0"/>
        </c:dLbls>
        <c:gapWidth val="75"/>
        <c:overlap val="100"/>
        <c:axId val="80555008"/>
        <c:axId val="80597760"/>
      </c:barChart>
      <c:catAx>
        <c:axId val="80555008"/>
        <c:scaling>
          <c:orientation val="minMax"/>
        </c:scaling>
        <c:delete val="0"/>
        <c:axPos val="b"/>
        <c:numFmt formatCode="General" sourceLinked="0"/>
        <c:majorTickMark val="none"/>
        <c:minorTickMark val="none"/>
        <c:tickLblPos val="nextTo"/>
        <c:txPr>
          <a:bodyPr/>
          <a:lstStyle/>
          <a:p>
            <a:pPr>
              <a:defRPr sz="1200"/>
            </a:pPr>
            <a:endParaRPr lang="da-DK"/>
          </a:p>
        </c:txPr>
        <c:crossAx val="80597760"/>
        <c:crosses val="autoZero"/>
        <c:auto val="1"/>
        <c:lblAlgn val="ctr"/>
        <c:lblOffset val="100"/>
        <c:noMultiLvlLbl val="0"/>
      </c:catAx>
      <c:valAx>
        <c:axId val="80597760"/>
        <c:scaling>
          <c:orientation val="minMax"/>
        </c:scaling>
        <c:delete val="0"/>
        <c:axPos val="l"/>
        <c:majorGridlines/>
        <c:title>
          <c:tx>
            <c:rich>
              <a:bodyPr rot="-5400000" vert="horz"/>
              <a:lstStyle/>
              <a:p>
                <a:pPr>
                  <a:defRPr sz="1200"/>
                </a:pPr>
                <a:r>
                  <a:rPr lang="da-DK" sz="1200"/>
                  <a:t>kr/km</a:t>
                </a:r>
              </a:p>
            </c:rich>
          </c:tx>
          <c:layout/>
          <c:overlay val="0"/>
        </c:title>
        <c:numFmt formatCode="#,##0.00" sourceLinked="0"/>
        <c:majorTickMark val="none"/>
        <c:minorTickMark val="none"/>
        <c:tickLblPos val="nextTo"/>
        <c:spPr>
          <a:ln w="9525">
            <a:noFill/>
          </a:ln>
        </c:spPr>
        <c:crossAx val="80555008"/>
        <c:crosses val="autoZero"/>
        <c:crossBetween val="between"/>
      </c:valAx>
    </c:plotArea>
    <c:legend>
      <c:legendPos val="t"/>
      <c:layout/>
      <c:overlay val="0"/>
      <c:txPr>
        <a:bodyPr/>
        <a:lstStyle/>
        <a:p>
          <a:pPr>
            <a:defRPr sz="1400"/>
          </a:pPr>
          <a:endParaRPr lang="da-DK"/>
        </a:p>
      </c:txPr>
    </c:legend>
    <c:plotVisOnly val="1"/>
    <c:dispBlanksAs val="gap"/>
    <c:showDLblsOverMax val="0"/>
  </c:chart>
  <c:printSettings>
    <c:headerFooter/>
    <c:pageMargins b="0.75000000000001121" l="0.70000000000000062" r="0.70000000000000062" t="0.75000000000001121" header="0.30000000000000032" footer="0.30000000000000032"/>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Cockpit!$AZ$21</c:f>
              <c:strCache>
                <c:ptCount val="1"/>
                <c:pt idx="0">
                  <c:v>Køretøj</c:v>
                </c:pt>
              </c:strCache>
            </c:strRef>
          </c:tx>
          <c:invertIfNegative val="0"/>
          <c:cat>
            <c:strRef>
              <c:f>Cockpit!$AY$22:$AY$26</c:f>
              <c:strCache>
                <c:ptCount val="5"/>
                <c:pt idx="0">
                  <c:v>Lastbil-Diesel</c:v>
                </c:pt>
                <c:pt idx="1">
                  <c:v>Lastbil-CNG</c:v>
                </c:pt>
                <c:pt idx="2">
                  <c:v>Bus-Diesel</c:v>
                </c:pt>
                <c:pt idx="3">
                  <c:v>Bus-CNG</c:v>
                </c:pt>
                <c:pt idx="4">
                  <c:v>Bus-Hybrid</c:v>
                </c:pt>
              </c:strCache>
            </c:strRef>
          </c:cat>
          <c:val>
            <c:numRef>
              <c:f>Cockpit!$AZ$22:$AZ$26</c:f>
              <c:numCache>
                <c:formatCode>0.00_ ;\-0.00\ </c:formatCode>
                <c:ptCount val="5"/>
                <c:pt idx="0">
                  <c:v>6.0792768951702509</c:v>
                </c:pt>
                <c:pt idx="1">
                  <c:v>6.5103939793764818</c:v>
                </c:pt>
                <c:pt idx="2">
                  <c:v>5.7195351938510033</c:v>
                </c:pt>
                <c:pt idx="3">
                  <c:v>6.2748959530251263</c:v>
                </c:pt>
                <c:pt idx="4">
                  <c:v>7.099814806613602</c:v>
                </c:pt>
              </c:numCache>
            </c:numRef>
          </c:val>
        </c:ser>
        <c:ser>
          <c:idx val="1"/>
          <c:order val="1"/>
          <c:tx>
            <c:strRef>
              <c:f>Cockpit!$BA$21</c:f>
              <c:strCache>
                <c:ptCount val="1"/>
                <c:pt idx="0">
                  <c:v>Brændstof inkl. infrastruktur</c:v>
                </c:pt>
              </c:strCache>
            </c:strRef>
          </c:tx>
          <c:invertIfNegative val="0"/>
          <c:cat>
            <c:strRef>
              <c:f>Cockpit!$AY$22:$AY$26</c:f>
              <c:strCache>
                <c:ptCount val="5"/>
                <c:pt idx="0">
                  <c:v>Lastbil-Diesel</c:v>
                </c:pt>
                <c:pt idx="1">
                  <c:v>Lastbil-CNG</c:v>
                </c:pt>
                <c:pt idx="2">
                  <c:v>Bus-Diesel</c:v>
                </c:pt>
                <c:pt idx="3">
                  <c:v>Bus-CNG</c:v>
                </c:pt>
                <c:pt idx="4">
                  <c:v>Bus-Hybrid</c:v>
                </c:pt>
              </c:strCache>
            </c:strRef>
          </c:cat>
          <c:val>
            <c:numRef>
              <c:f>Cockpit!$BA$22:$BA$26</c:f>
              <c:numCache>
                <c:formatCode>0.00_ ;\-0.00\ </c:formatCode>
                <c:ptCount val="5"/>
                <c:pt idx="0">
                  <c:v>2.0532786934302796</c:v>
                </c:pt>
                <c:pt idx="1">
                  <c:v>1.2693343945522162</c:v>
                </c:pt>
                <c:pt idx="2">
                  <c:v>2.1695807377876464</c:v>
                </c:pt>
                <c:pt idx="3">
                  <c:v>1.3826973750304781</c:v>
                </c:pt>
                <c:pt idx="4">
                  <c:v>1.6689082598366509</c:v>
                </c:pt>
              </c:numCache>
            </c:numRef>
          </c:val>
        </c:ser>
        <c:ser>
          <c:idx val="2"/>
          <c:order val="2"/>
          <c:tx>
            <c:strRef>
              <c:f>Cockpit!$BB$21</c:f>
              <c:strCache>
                <c:ptCount val="1"/>
                <c:pt idx="0">
                  <c:v>Værdi emissioner + støj</c:v>
                </c:pt>
              </c:strCache>
            </c:strRef>
          </c:tx>
          <c:invertIfNegative val="0"/>
          <c:cat>
            <c:strRef>
              <c:f>Cockpit!$AY$22:$AY$26</c:f>
              <c:strCache>
                <c:ptCount val="5"/>
                <c:pt idx="0">
                  <c:v>Lastbil-Diesel</c:v>
                </c:pt>
                <c:pt idx="1">
                  <c:v>Lastbil-CNG</c:v>
                </c:pt>
                <c:pt idx="2">
                  <c:v>Bus-Diesel</c:v>
                </c:pt>
                <c:pt idx="3">
                  <c:v>Bus-CNG</c:v>
                </c:pt>
                <c:pt idx="4">
                  <c:v>Bus-Hybrid</c:v>
                </c:pt>
              </c:strCache>
            </c:strRef>
          </c:cat>
          <c:val>
            <c:numRef>
              <c:f>Cockpit!$BB$22:$BB$26</c:f>
              <c:numCache>
                <c:formatCode>0.00_ ;\-0.00\ </c:formatCode>
                <c:ptCount val="5"/>
                <c:pt idx="0">
                  <c:v>0.47301182165945482</c:v>
                </c:pt>
                <c:pt idx="1">
                  <c:v>0.51336786005941382</c:v>
                </c:pt>
                <c:pt idx="2">
                  <c:v>0.54583713523050403</c:v>
                </c:pt>
                <c:pt idx="3">
                  <c:v>0.61835779437468885</c:v>
                </c:pt>
                <c:pt idx="4">
                  <c:v>0.44233298418497802</c:v>
                </c:pt>
              </c:numCache>
            </c:numRef>
          </c:val>
        </c:ser>
        <c:dLbls>
          <c:showLegendKey val="0"/>
          <c:showVal val="0"/>
          <c:showCatName val="0"/>
          <c:showSerName val="0"/>
          <c:showPercent val="0"/>
          <c:showBubbleSize val="0"/>
        </c:dLbls>
        <c:gapWidth val="75"/>
        <c:overlap val="100"/>
        <c:axId val="50604288"/>
        <c:axId val="50606080"/>
      </c:barChart>
      <c:catAx>
        <c:axId val="50604288"/>
        <c:scaling>
          <c:orientation val="minMax"/>
        </c:scaling>
        <c:delete val="0"/>
        <c:axPos val="b"/>
        <c:numFmt formatCode="General" sourceLinked="0"/>
        <c:majorTickMark val="none"/>
        <c:minorTickMark val="none"/>
        <c:tickLblPos val="nextTo"/>
        <c:txPr>
          <a:bodyPr/>
          <a:lstStyle/>
          <a:p>
            <a:pPr>
              <a:defRPr sz="1200"/>
            </a:pPr>
            <a:endParaRPr lang="da-DK"/>
          </a:p>
        </c:txPr>
        <c:crossAx val="50606080"/>
        <c:crosses val="autoZero"/>
        <c:auto val="1"/>
        <c:lblAlgn val="ctr"/>
        <c:lblOffset val="100"/>
        <c:noMultiLvlLbl val="0"/>
      </c:catAx>
      <c:valAx>
        <c:axId val="50606080"/>
        <c:scaling>
          <c:orientation val="minMax"/>
        </c:scaling>
        <c:delete val="0"/>
        <c:axPos val="l"/>
        <c:majorGridlines/>
        <c:title>
          <c:tx>
            <c:rich>
              <a:bodyPr rot="-5400000" vert="horz"/>
              <a:lstStyle/>
              <a:p>
                <a:pPr>
                  <a:defRPr sz="1200"/>
                </a:pPr>
                <a:r>
                  <a:rPr lang="da-DK" sz="1200"/>
                  <a:t>kr/km</a:t>
                </a:r>
              </a:p>
            </c:rich>
          </c:tx>
          <c:layout/>
          <c:overlay val="0"/>
        </c:title>
        <c:numFmt formatCode="#,##0.00" sourceLinked="0"/>
        <c:majorTickMark val="none"/>
        <c:minorTickMark val="none"/>
        <c:tickLblPos val="nextTo"/>
        <c:spPr>
          <a:ln w="9525">
            <a:noFill/>
          </a:ln>
        </c:spPr>
        <c:crossAx val="50604288"/>
        <c:crosses val="autoZero"/>
        <c:crossBetween val="between"/>
      </c:valAx>
    </c:plotArea>
    <c:legend>
      <c:legendPos val="t"/>
      <c:layout>
        <c:manualLayout>
          <c:xMode val="edge"/>
          <c:yMode val="edge"/>
          <c:x val="8.3398313074943727E-3"/>
          <c:y val="1.4705882352941176E-2"/>
          <c:w val="0.88014136472511351"/>
          <c:h val="5.3145452470615057E-2"/>
        </c:manualLayout>
      </c:layout>
      <c:overlay val="0"/>
      <c:txPr>
        <a:bodyPr/>
        <a:lstStyle/>
        <a:p>
          <a:pPr>
            <a:defRPr sz="1400"/>
          </a:pPr>
          <a:endParaRPr lang="da-DK"/>
        </a:p>
      </c:txPr>
    </c:legend>
    <c:plotVisOnly val="1"/>
    <c:dispBlanksAs val="gap"/>
    <c:showDLblsOverMax val="0"/>
  </c:chart>
  <c:printSettings>
    <c:headerFooter/>
    <c:pageMargins b="0.75000000000001144" l="0.70000000000000062" r="0.70000000000000062" t="0.75000000000001144" header="0.30000000000000032" footer="0.30000000000000032"/>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0094217956449438E-2"/>
          <c:y val="1.5523100982877364E-2"/>
          <c:w val="0.83493284677366619"/>
          <c:h val="0.78775621468836043"/>
        </c:manualLayout>
      </c:layout>
      <c:barChart>
        <c:barDir val="col"/>
        <c:grouping val="stacked"/>
        <c:varyColors val="0"/>
        <c:ser>
          <c:idx val="0"/>
          <c:order val="0"/>
          <c:tx>
            <c:strRef>
              <c:f>Cockpit!$AZ$28</c:f>
              <c:strCache>
                <c:ptCount val="1"/>
                <c:pt idx="0">
                  <c:v>Køretøj</c:v>
                </c:pt>
              </c:strCache>
            </c:strRef>
          </c:tx>
          <c:invertIfNegative val="0"/>
          <c:cat>
            <c:strRef>
              <c:f>Cockpit!$AY$29:$AY$33</c:f>
              <c:strCache>
                <c:ptCount val="5"/>
                <c:pt idx="0">
                  <c:v>Hurtigfærge</c:v>
                </c:pt>
                <c:pt idx="1">
                  <c:v>9000TEU HFO</c:v>
                </c:pt>
                <c:pt idx="2">
                  <c:v>9000TEU Diesel</c:v>
                </c:pt>
                <c:pt idx="3">
                  <c:v>9000TEU BioDiesel</c:v>
                </c:pt>
                <c:pt idx="4">
                  <c:v>9000TEU LNG</c:v>
                </c:pt>
              </c:strCache>
            </c:strRef>
          </c:cat>
          <c:val>
            <c:numRef>
              <c:f>Cockpit!$AZ$29:$AZ$33</c:f>
              <c:numCache>
                <c:formatCode>0_ ;\-0\ </c:formatCode>
                <c:ptCount val="5"/>
                <c:pt idx="0">
                  <c:v>0</c:v>
                </c:pt>
                <c:pt idx="1">
                  <c:v>304.66215341115674</c:v>
                </c:pt>
                <c:pt idx="2">
                  <c:v>304.66215341115674</c:v>
                </c:pt>
                <c:pt idx="3">
                  <c:v>0</c:v>
                </c:pt>
                <c:pt idx="4">
                  <c:v>335.43935761739453</c:v>
                </c:pt>
              </c:numCache>
            </c:numRef>
          </c:val>
        </c:ser>
        <c:ser>
          <c:idx val="1"/>
          <c:order val="1"/>
          <c:tx>
            <c:strRef>
              <c:f>Cockpit!$BA$28</c:f>
              <c:strCache>
                <c:ptCount val="1"/>
                <c:pt idx="0">
                  <c:v>Brændstof inkl. infrastruktur</c:v>
                </c:pt>
              </c:strCache>
            </c:strRef>
          </c:tx>
          <c:invertIfNegative val="0"/>
          <c:cat>
            <c:strRef>
              <c:f>Cockpit!$AY$29:$AY$33</c:f>
              <c:strCache>
                <c:ptCount val="5"/>
                <c:pt idx="0">
                  <c:v>Hurtigfærge</c:v>
                </c:pt>
                <c:pt idx="1">
                  <c:v>9000TEU HFO</c:v>
                </c:pt>
                <c:pt idx="2">
                  <c:v>9000TEU Diesel</c:v>
                </c:pt>
                <c:pt idx="3">
                  <c:v>9000TEU BioDiesel</c:v>
                </c:pt>
                <c:pt idx="4">
                  <c:v>9000TEU LNG</c:v>
                </c:pt>
              </c:strCache>
            </c:strRef>
          </c:cat>
          <c:val>
            <c:numRef>
              <c:f>Cockpit!$BA$29:$BA$33</c:f>
              <c:numCache>
                <c:formatCode>0_ ;\-0\ </c:formatCode>
                <c:ptCount val="5"/>
                <c:pt idx="0">
                  <c:v>615.37464959371619</c:v>
                </c:pt>
                <c:pt idx="1">
                  <c:v>662.99059732121952</c:v>
                </c:pt>
                <c:pt idx="2">
                  <c:v>952.3468358728984</c:v>
                </c:pt>
                <c:pt idx="3">
                  <c:v>0</c:v>
                </c:pt>
                <c:pt idx="4">
                  <c:v>522.6753169515506</c:v>
                </c:pt>
              </c:numCache>
            </c:numRef>
          </c:val>
        </c:ser>
        <c:ser>
          <c:idx val="2"/>
          <c:order val="2"/>
          <c:tx>
            <c:strRef>
              <c:f>Cockpit!$BB$28</c:f>
              <c:strCache>
                <c:ptCount val="1"/>
                <c:pt idx="0">
                  <c:v>Værdi emissioner + støj</c:v>
                </c:pt>
              </c:strCache>
            </c:strRef>
          </c:tx>
          <c:invertIfNegative val="0"/>
          <c:cat>
            <c:strRef>
              <c:f>Cockpit!$AY$29:$AY$33</c:f>
              <c:strCache>
                <c:ptCount val="5"/>
                <c:pt idx="0">
                  <c:v>Hurtigfærge</c:v>
                </c:pt>
                <c:pt idx="1">
                  <c:v>9000TEU HFO</c:v>
                </c:pt>
                <c:pt idx="2">
                  <c:v>9000TEU Diesel</c:v>
                </c:pt>
                <c:pt idx="3">
                  <c:v>9000TEU BioDiesel</c:v>
                </c:pt>
                <c:pt idx="4">
                  <c:v>9000TEU LNG</c:v>
                </c:pt>
              </c:strCache>
            </c:strRef>
          </c:cat>
          <c:val>
            <c:numRef>
              <c:f>Cockpit!$BB$29:$BB$33</c:f>
              <c:numCache>
                <c:formatCode>0_ ;\-0\ </c:formatCode>
                <c:ptCount val="5"/>
                <c:pt idx="0">
                  <c:v>353.70232470206804</c:v>
                </c:pt>
                <c:pt idx="1">
                  <c:v>2761.9193654785481</c:v>
                </c:pt>
                <c:pt idx="2">
                  <c:v>547.38571046645643</c:v>
                </c:pt>
                <c:pt idx="3">
                  <c:v>0</c:v>
                </c:pt>
                <c:pt idx="4">
                  <c:v>217.13076133948235</c:v>
                </c:pt>
              </c:numCache>
            </c:numRef>
          </c:val>
        </c:ser>
        <c:dLbls>
          <c:showLegendKey val="0"/>
          <c:showVal val="0"/>
          <c:showCatName val="0"/>
          <c:showSerName val="0"/>
          <c:showPercent val="0"/>
          <c:showBubbleSize val="0"/>
        </c:dLbls>
        <c:gapWidth val="75"/>
        <c:overlap val="100"/>
        <c:axId val="80414208"/>
        <c:axId val="80415744"/>
      </c:barChart>
      <c:catAx>
        <c:axId val="80414208"/>
        <c:scaling>
          <c:orientation val="minMax"/>
        </c:scaling>
        <c:delete val="0"/>
        <c:axPos val="b"/>
        <c:numFmt formatCode="General" sourceLinked="0"/>
        <c:majorTickMark val="none"/>
        <c:minorTickMark val="none"/>
        <c:tickLblPos val="nextTo"/>
        <c:txPr>
          <a:bodyPr/>
          <a:lstStyle/>
          <a:p>
            <a:pPr>
              <a:defRPr sz="1200"/>
            </a:pPr>
            <a:endParaRPr lang="da-DK"/>
          </a:p>
        </c:txPr>
        <c:crossAx val="80415744"/>
        <c:crosses val="autoZero"/>
        <c:auto val="1"/>
        <c:lblAlgn val="ctr"/>
        <c:lblOffset val="100"/>
        <c:noMultiLvlLbl val="0"/>
      </c:catAx>
      <c:valAx>
        <c:axId val="80415744"/>
        <c:scaling>
          <c:orientation val="minMax"/>
        </c:scaling>
        <c:delete val="0"/>
        <c:axPos val="l"/>
        <c:majorGridlines/>
        <c:title>
          <c:tx>
            <c:rich>
              <a:bodyPr rot="-5400000" vert="horz"/>
              <a:lstStyle/>
              <a:p>
                <a:pPr>
                  <a:defRPr sz="1200"/>
                </a:pPr>
                <a:r>
                  <a:rPr lang="da-DK" sz="1200"/>
                  <a:t>kr/km</a:t>
                </a:r>
              </a:p>
            </c:rich>
          </c:tx>
          <c:layout/>
          <c:overlay val="0"/>
        </c:title>
        <c:numFmt formatCode="#,##0.00" sourceLinked="0"/>
        <c:majorTickMark val="none"/>
        <c:minorTickMark val="none"/>
        <c:tickLblPos val="nextTo"/>
        <c:spPr>
          <a:ln w="9525">
            <a:noFill/>
          </a:ln>
        </c:spPr>
        <c:crossAx val="80414208"/>
        <c:crosses val="autoZero"/>
        <c:crossBetween val="between"/>
      </c:valAx>
    </c:plotArea>
    <c:legend>
      <c:legendPos val="t"/>
      <c:layout>
        <c:manualLayout>
          <c:xMode val="edge"/>
          <c:yMode val="edge"/>
          <c:x val="8.3398313074943727E-3"/>
          <c:y val="1.4705882352941176E-2"/>
          <c:w val="0.88014136472511351"/>
          <c:h val="5.3145452470615057E-2"/>
        </c:manualLayout>
      </c:layout>
      <c:overlay val="0"/>
      <c:txPr>
        <a:bodyPr/>
        <a:lstStyle/>
        <a:p>
          <a:pPr>
            <a:defRPr sz="1400"/>
          </a:pPr>
          <a:endParaRPr lang="da-DK"/>
        </a:p>
      </c:txPr>
    </c:legend>
    <c:plotVisOnly val="1"/>
    <c:dispBlanksAs val="gap"/>
    <c:showDLblsOverMax val="0"/>
  </c:chart>
  <c:printSettings>
    <c:headerFooter/>
    <c:pageMargins b="0.75000000000001144" l="0.70000000000000062" r="0.70000000000000062" t="0.75000000000001144" header="0.30000000000000032" footer="0.30000000000000032"/>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Cockpit!$AZ$35</c:f>
              <c:strCache>
                <c:ptCount val="1"/>
                <c:pt idx="0">
                  <c:v>Køretøj</c:v>
                </c:pt>
              </c:strCache>
            </c:strRef>
          </c:tx>
          <c:invertIfNegative val="0"/>
          <c:cat>
            <c:strRef>
              <c:f>Cockpit!$AY$36:$AY$43</c:f>
              <c:strCache>
                <c:ptCount val="8"/>
                <c:pt idx="0">
                  <c:v>Fly-fossil</c:v>
                </c:pt>
                <c:pt idx="1">
                  <c:v>Fly-biofuel</c:v>
                </c:pt>
                <c:pt idx="2">
                  <c:v>IC Tog-diesel</c:v>
                </c:pt>
                <c:pt idx="3">
                  <c:v>IC Tog-biodiesel halm</c:v>
                </c:pt>
                <c:pt idx="4">
                  <c:v>IC Tog-el</c:v>
                </c:pt>
                <c:pt idx="5">
                  <c:v>Lokaltog-diesel</c:v>
                </c:pt>
                <c:pt idx="6">
                  <c:v>Lokaltog-biodiesel halm</c:v>
                </c:pt>
                <c:pt idx="7">
                  <c:v>Lokaltog-LNG</c:v>
                </c:pt>
              </c:strCache>
            </c:strRef>
          </c:cat>
          <c:val>
            <c:numRef>
              <c:f>Cockpit!$AZ$36:$AZ$43</c:f>
              <c:numCache>
                <c:formatCode>0.00_ ;\-0.00\ </c:formatCode>
                <c:ptCount val="8"/>
                <c:pt idx="0">
                  <c:v>40.971295478940782</c:v>
                </c:pt>
                <c:pt idx="1">
                  <c:v>0</c:v>
                </c:pt>
                <c:pt idx="2">
                  <c:v>42.743963249923823</c:v>
                </c:pt>
                <c:pt idx="3">
                  <c:v>0</c:v>
                </c:pt>
                <c:pt idx="4">
                  <c:v>43.090904237018634</c:v>
                </c:pt>
                <c:pt idx="5">
                  <c:v>38.760327639897277</c:v>
                </c:pt>
                <c:pt idx="6">
                  <c:v>0</c:v>
                </c:pt>
                <c:pt idx="7">
                  <c:v>43.49049145984592</c:v>
                </c:pt>
              </c:numCache>
            </c:numRef>
          </c:val>
        </c:ser>
        <c:ser>
          <c:idx val="1"/>
          <c:order val="1"/>
          <c:tx>
            <c:strRef>
              <c:f>Cockpit!$BA$35</c:f>
              <c:strCache>
                <c:ptCount val="1"/>
                <c:pt idx="0">
                  <c:v>Brændstof inkl. infrastruktur</c:v>
                </c:pt>
              </c:strCache>
            </c:strRef>
          </c:tx>
          <c:invertIfNegative val="0"/>
          <c:cat>
            <c:strRef>
              <c:f>Cockpit!$AY$36:$AY$43</c:f>
              <c:strCache>
                <c:ptCount val="8"/>
                <c:pt idx="0">
                  <c:v>Fly-fossil</c:v>
                </c:pt>
                <c:pt idx="1">
                  <c:v>Fly-biofuel</c:v>
                </c:pt>
                <c:pt idx="2">
                  <c:v>IC Tog-diesel</c:v>
                </c:pt>
                <c:pt idx="3">
                  <c:v>IC Tog-biodiesel halm</c:v>
                </c:pt>
                <c:pt idx="4">
                  <c:v>IC Tog-el</c:v>
                </c:pt>
                <c:pt idx="5">
                  <c:v>Lokaltog-diesel</c:v>
                </c:pt>
                <c:pt idx="6">
                  <c:v>Lokaltog-biodiesel halm</c:v>
                </c:pt>
                <c:pt idx="7">
                  <c:v>Lokaltog-LNG</c:v>
                </c:pt>
              </c:strCache>
            </c:strRef>
          </c:cat>
          <c:val>
            <c:numRef>
              <c:f>Cockpit!$BA$36:$BA$43</c:f>
              <c:numCache>
                <c:formatCode>0.00_ ;\-0.00\ </c:formatCode>
                <c:ptCount val="8"/>
                <c:pt idx="0">
                  <c:v>13.588820564803141</c:v>
                </c:pt>
                <c:pt idx="1">
                  <c:v>0</c:v>
                </c:pt>
                <c:pt idx="2">
                  <c:v>5.7354646358041883</c:v>
                </c:pt>
                <c:pt idx="3">
                  <c:v>0</c:v>
                </c:pt>
                <c:pt idx="4">
                  <c:v>9.5941748047471123</c:v>
                </c:pt>
                <c:pt idx="5">
                  <c:v>4.6926528838397896</c:v>
                </c:pt>
                <c:pt idx="6">
                  <c:v>0</c:v>
                </c:pt>
                <c:pt idx="7">
                  <c:v>2.5548831361770192</c:v>
                </c:pt>
              </c:numCache>
            </c:numRef>
          </c:val>
        </c:ser>
        <c:ser>
          <c:idx val="2"/>
          <c:order val="2"/>
          <c:tx>
            <c:strRef>
              <c:f>Cockpit!$BB$35</c:f>
              <c:strCache>
                <c:ptCount val="1"/>
                <c:pt idx="0">
                  <c:v>Værdi emissioner + støj</c:v>
                </c:pt>
              </c:strCache>
            </c:strRef>
          </c:tx>
          <c:invertIfNegative val="0"/>
          <c:cat>
            <c:strRef>
              <c:f>Cockpit!$AY$36:$AY$43</c:f>
              <c:strCache>
                <c:ptCount val="8"/>
                <c:pt idx="0">
                  <c:v>Fly-fossil</c:v>
                </c:pt>
                <c:pt idx="1">
                  <c:v>Fly-biofuel</c:v>
                </c:pt>
                <c:pt idx="2">
                  <c:v>IC Tog-diesel</c:v>
                </c:pt>
                <c:pt idx="3">
                  <c:v>IC Tog-biodiesel halm</c:v>
                </c:pt>
                <c:pt idx="4">
                  <c:v>IC Tog-el</c:v>
                </c:pt>
                <c:pt idx="5">
                  <c:v>Lokaltog-diesel</c:v>
                </c:pt>
                <c:pt idx="6">
                  <c:v>Lokaltog-biodiesel halm</c:v>
                </c:pt>
                <c:pt idx="7">
                  <c:v>Lokaltog-LNG</c:v>
                </c:pt>
              </c:strCache>
            </c:strRef>
          </c:cat>
          <c:val>
            <c:numRef>
              <c:f>Cockpit!$BB$36:$BB$43</c:f>
              <c:numCache>
                <c:formatCode>0.00_ ;\-0.00\ </c:formatCode>
                <c:ptCount val="8"/>
                <c:pt idx="0">
                  <c:v>2.148181198775843</c:v>
                </c:pt>
                <c:pt idx="1">
                  <c:v>0</c:v>
                </c:pt>
                <c:pt idx="2">
                  <c:v>3.7570037759796713</c:v>
                </c:pt>
                <c:pt idx="3">
                  <c:v>0</c:v>
                </c:pt>
                <c:pt idx="4">
                  <c:v>9.9115847380816038E-2</c:v>
                </c:pt>
                <c:pt idx="5">
                  <c:v>2.6199763050190037</c:v>
                </c:pt>
                <c:pt idx="6">
                  <c:v>0</c:v>
                </c:pt>
                <c:pt idx="7">
                  <c:v>2.5343337815707923</c:v>
                </c:pt>
              </c:numCache>
            </c:numRef>
          </c:val>
        </c:ser>
        <c:dLbls>
          <c:showLegendKey val="0"/>
          <c:showVal val="0"/>
          <c:showCatName val="0"/>
          <c:showSerName val="0"/>
          <c:showPercent val="0"/>
          <c:showBubbleSize val="0"/>
        </c:dLbls>
        <c:gapWidth val="75"/>
        <c:overlap val="100"/>
        <c:axId val="80442112"/>
        <c:axId val="80443648"/>
      </c:barChart>
      <c:catAx>
        <c:axId val="80442112"/>
        <c:scaling>
          <c:orientation val="minMax"/>
        </c:scaling>
        <c:delete val="0"/>
        <c:axPos val="b"/>
        <c:numFmt formatCode="General" sourceLinked="0"/>
        <c:majorTickMark val="none"/>
        <c:minorTickMark val="none"/>
        <c:tickLblPos val="nextTo"/>
        <c:txPr>
          <a:bodyPr/>
          <a:lstStyle/>
          <a:p>
            <a:pPr>
              <a:defRPr sz="1200"/>
            </a:pPr>
            <a:endParaRPr lang="da-DK"/>
          </a:p>
        </c:txPr>
        <c:crossAx val="80443648"/>
        <c:crosses val="autoZero"/>
        <c:auto val="1"/>
        <c:lblAlgn val="ctr"/>
        <c:lblOffset val="100"/>
        <c:noMultiLvlLbl val="0"/>
      </c:catAx>
      <c:valAx>
        <c:axId val="80443648"/>
        <c:scaling>
          <c:orientation val="minMax"/>
        </c:scaling>
        <c:delete val="0"/>
        <c:axPos val="l"/>
        <c:majorGridlines/>
        <c:title>
          <c:tx>
            <c:rich>
              <a:bodyPr rot="-5400000" vert="horz"/>
              <a:lstStyle/>
              <a:p>
                <a:pPr>
                  <a:defRPr sz="1200"/>
                </a:pPr>
                <a:r>
                  <a:rPr lang="da-DK" sz="1200"/>
                  <a:t>kr/km</a:t>
                </a:r>
              </a:p>
            </c:rich>
          </c:tx>
          <c:layout/>
          <c:overlay val="0"/>
        </c:title>
        <c:numFmt formatCode="#,##0.00" sourceLinked="0"/>
        <c:majorTickMark val="none"/>
        <c:minorTickMark val="none"/>
        <c:tickLblPos val="nextTo"/>
        <c:spPr>
          <a:ln w="9525">
            <a:noFill/>
          </a:ln>
        </c:spPr>
        <c:crossAx val="80442112"/>
        <c:crosses val="autoZero"/>
        <c:crossBetween val="between"/>
      </c:valAx>
    </c:plotArea>
    <c:legend>
      <c:legendPos val="t"/>
      <c:layout>
        <c:manualLayout>
          <c:xMode val="edge"/>
          <c:yMode val="edge"/>
          <c:x val="8.3398313074943727E-3"/>
          <c:y val="1.4705882352941176E-2"/>
          <c:w val="0.88014136472511351"/>
          <c:h val="5.3145452470615057E-2"/>
        </c:manualLayout>
      </c:layout>
      <c:overlay val="0"/>
      <c:txPr>
        <a:bodyPr/>
        <a:lstStyle/>
        <a:p>
          <a:pPr>
            <a:defRPr sz="1400"/>
          </a:pPr>
          <a:endParaRPr lang="da-DK"/>
        </a:p>
      </c:txPr>
    </c:legend>
    <c:plotVisOnly val="1"/>
    <c:dispBlanksAs val="gap"/>
    <c:showDLblsOverMax val="0"/>
  </c:chart>
  <c:printSettings>
    <c:headerFooter/>
    <c:pageMargins b="0.75000000000001144" l="0.70000000000000062" r="0.70000000000000062" t="0.75000000000001144" header="0.30000000000000032" footer="0.30000000000000032"/>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Cockpit!$BE$35</c:f>
              <c:strCache>
                <c:ptCount val="1"/>
                <c:pt idx="0">
                  <c:v>System efficiency (left axis)</c:v>
                </c:pt>
              </c:strCache>
            </c:strRef>
          </c:tx>
          <c:invertIfNegative val="0"/>
          <c:cat>
            <c:strRef>
              <c:f>Cockpit!$BD$36:$BD$43</c:f>
              <c:strCache>
                <c:ptCount val="8"/>
                <c:pt idx="0">
                  <c:v>Fly-fossil</c:v>
                </c:pt>
                <c:pt idx="1">
                  <c:v>Fly-biofuel</c:v>
                </c:pt>
                <c:pt idx="2">
                  <c:v>IC Tog-diesel</c:v>
                </c:pt>
                <c:pt idx="3">
                  <c:v>IC Tog-biodiesel halm</c:v>
                </c:pt>
                <c:pt idx="4">
                  <c:v>IC Tog-el</c:v>
                </c:pt>
                <c:pt idx="5">
                  <c:v>Lokaltog-diesel</c:v>
                </c:pt>
                <c:pt idx="6">
                  <c:v>Lokaltog-biodiesel halm</c:v>
                </c:pt>
                <c:pt idx="7">
                  <c:v>Lokaltog-LNG</c:v>
                </c:pt>
              </c:strCache>
            </c:strRef>
          </c:cat>
          <c:val>
            <c:numRef>
              <c:f>Cockpit!$BE$36:$BE$43</c:f>
              <c:numCache>
                <c:formatCode>0%</c:formatCode>
                <c:ptCount val="8"/>
                <c:pt idx="0">
                  <c:v>0.447221292916757</c:v>
                </c:pt>
                <c:pt idx="1">
                  <c:v>0</c:v>
                </c:pt>
                <c:pt idx="2">
                  <c:v>0.29816004259848461</c:v>
                </c:pt>
                <c:pt idx="3">
                  <c:v>0</c:v>
                </c:pt>
                <c:pt idx="4">
                  <c:v>0.69049021146920753</c:v>
                </c:pt>
                <c:pt idx="5">
                  <c:v>0.29816004259848461</c:v>
                </c:pt>
                <c:pt idx="6">
                  <c:v>0</c:v>
                </c:pt>
                <c:pt idx="7">
                  <c:v>0.28718003652181961</c:v>
                </c:pt>
              </c:numCache>
            </c:numRef>
          </c:val>
        </c:ser>
        <c:ser>
          <c:idx val="1"/>
          <c:order val="1"/>
          <c:tx>
            <c:strRef>
              <c:f>Cockpit!$BF$35</c:f>
              <c:strCache>
                <c:ptCount val="1"/>
              </c:strCache>
            </c:strRef>
          </c:tx>
          <c:spPr>
            <a:noFill/>
          </c:spPr>
          <c:invertIfNegative val="0"/>
          <c:cat>
            <c:strRef>
              <c:f>Cockpit!$BD$36:$BD$43</c:f>
              <c:strCache>
                <c:ptCount val="8"/>
                <c:pt idx="0">
                  <c:v>Fly-fossil</c:v>
                </c:pt>
                <c:pt idx="1">
                  <c:v>Fly-biofuel</c:v>
                </c:pt>
                <c:pt idx="2">
                  <c:v>IC Tog-diesel</c:v>
                </c:pt>
                <c:pt idx="3">
                  <c:v>IC Tog-biodiesel halm</c:v>
                </c:pt>
                <c:pt idx="4">
                  <c:v>IC Tog-el</c:v>
                </c:pt>
                <c:pt idx="5">
                  <c:v>Lokaltog-diesel</c:v>
                </c:pt>
                <c:pt idx="6">
                  <c:v>Lokaltog-biodiesel halm</c:v>
                </c:pt>
                <c:pt idx="7">
                  <c:v>Lokaltog-LNG</c:v>
                </c:pt>
              </c:strCache>
            </c:strRef>
          </c:cat>
          <c:val>
            <c:numRef>
              <c:f>Cockpit!$BF$36:$BF$43</c:f>
              <c:numCache>
                <c:formatCode>0%</c:formatCode>
                <c:ptCount val="8"/>
              </c:numCache>
            </c:numRef>
          </c:val>
        </c:ser>
        <c:dLbls>
          <c:showLegendKey val="0"/>
          <c:showVal val="0"/>
          <c:showCatName val="0"/>
          <c:showSerName val="0"/>
          <c:showPercent val="0"/>
          <c:showBubbleSize val="0"/>
        </c:dLbls>
        <c:gapWidth val="75"/>
        <c:axId val="80476032"/>
        <c:axId val="80477568"/>
      </c:barChart>
      <c:barChart>
        <c:barDir val="col"/>
        <c:grouping val="clustered"/>
        <c:varyColors val="0"/>
        <c:ser>
          <c:idx val="2"/>
          <c:order val="2"/>
          <c:tx>
            <c:strRef>
              <c:f>Cockpit!$BG$35</c:f>
              <c:strCache>
                <c:ptCount val="1"/>
              </c:strCache>
            </c:strRef>
          </c:tx>
          <c:spPr>
            <a:noFill/>
          </c:spPr>
          <c:invertIfNegative val="0"/>
          <c:cat>
            <c:strRef>
              <c:f>Cockpit!$BD$36:$BD$43</c:f>
              <c:strCache>
                <c:ptCount val="8"/>
                <c:pt idx="0">
                  <c:v>Fly-fossil</c:v>
                </c:pt>
                <c:pt idx="1">
                  <c:v>Fly-biofuel</c:v>
                </c:pt>
                <c:pt idx="2">
                  <c:v>IC Tog-diesel</c:v>
                </c:pt>
                <c:pt idx="3">
                  <c:v>IC Tog-biodiesel halm</c:v>
                </c:pt>
                <c:pt idx="4">
                  <c:v>IC Tog-el</c:v>
                </c:pt>
                <c:pt idx="5">
                  <c:v>Lokaltog-diesel</c:v>
                </c:pt>
                <c:pt idx="6">
                  <c:v>Lokaltog-biodiesel halm</c:v>
                </c:pt>
                <c:pt idx="7">
                  <c:v>Lokaltog-LNG</c:v>
                </c:pt>
              </c:strCache>
            </c:strRef>
          </c:cat>
          <c:val>
            <c:numRef>
              <c:f>Cockpit!$BG$36:$BG$43</c:f>
              <c:numCache>
                <c:formatCode>0%</c:formatCode>
                <c:ptCount val="8"/>
              </c:numCache>
            </c:numRef>
          </c:val>
        </c:ser>
        <c:ser>
          <c:idx val="3"/>
          <c:order val="3"/>
          <c:tx>
            <c:strRef>
              <c:f>Cockpit!$BH$35</c:f>
              <c:strCache>
                <c:ptCount val="1"/>
                <c:pt idx="0">
                  <c:v>CO2e emission (right axis)</c:v>
                </c:pt>
              </c:strCache>
            </c:strRef>
          </c:tx>
          <c:spPr>
            <a:solidFill>
              <a:schemeClr val="accent2"/>
            </a:solidFill>
          </c:spPr>
          <c:invertIfNegative val="0"/>
          <c:cat>
            <c:strRef>
              <c:f>Cockpit!$BD$36:$BD$43</c:f>
              <c:strCache>
                <c:ptCount val="8"/>
                <c:pt idx="0">
                  <c:v>Fly-fossil</c:v>
                </c:pt>
                <c:pt idx="1">
                  <c:v>Fly-biofuel</c:v>
                </c:pt>
                <c:pt idx="2">
                  <c:v>IC Tog-diesel</c:v>
                </c:pt>
                <c:pt idx="3">
                  <c:v>IC Tog-biodiesel halm</c:v>
                </c:pt>
                <c:pt idx="4">
                  <c:v>IC Tog-el</c:v>
                </c:pt>
                <c:pt idx="5">
                  <c:v>Lokaltog-diesel</c:v>
                </c:pt>
                <c:pt idx="6">
                  <c:v>Lokaltog-biodiesel halm</c:v>
                </c:pt>
                <c:pt idx="7">
                  <c:v>Lokaltog-LNG</c:v>
                </c:pt>
              </c:strCache>
            </c:strRef>
          </c:cat>
          <c:val>
            <c:numRef>
              <c:f>Cockpit!$BH$36:$BH$43</c:f>
              <c:numCache>
                <c:formatCode>0_ ;\-0\ </c:formatCode>
                <c:ptCount val="8"/>
                <c:pt idx="0">
                  <c:v>8160.5219186429176</c:v>
                </c:pt>
                <c:pt idx="1">
                  <c:v>0</c:v>
                </c:pt>
                <c:pt idx="2">
                  <c:v>3264.8815206779341</c:v>
                </c:pt>
                <c:pt idx="3">
                  <c:v>0</c:v>
                </c:pt>
                <c:pt idx="4">
                  <c:v>100.57603941182192</c:v>
                </c:pt>
                <c:pt idx="5">
                  <c:v>2671.266698736491</c:v>
                </c:pt>
                <c:pt idx="6">
                  <c:v>0</c:v>
                </c:pt>
                <c:pt idx="7">
                  <c:v>2385.0901574690902</c:v>
                </c:pt>
              </c:numCache>
            </c:numRef>
          </c:val>
        </c:ser>
        <c:dLbls>
          <c:showLegendKey val="0"/>
          <c:showVal val="0"/>
          <c:showCatName val="0"/>
          <c:showSerName val="0"/>
          <c:showPercent val="0"/>
          <c:showBubbleSize val="0"/>
        </c:dLbls>
        <c:gapWidth val="75"/>
        <c:axId val="80489472"/>
        <c:axId val="80487552"/>
      </c:barChart>
      <c:catAx>
        <c:axId val="80476032"/>
        <c:scaling>
          <c:orientation val="minMax"/>
        </c:scaling>
        <c:delete val="0"/>
        <c:axPos val="b"/>
        <c:numFmt formatCode="General" sourceLinked="0"/>
        <c:majorTickMark val="none"/>
        <c:minorTickMark val="none"/>
        <c:tickLblPos val="low"/>
        <c:crossAx val="80477568"/>
        <c:crosses val="autoZero"/>
        <c:auto val="1"/>
        <c:lblAlgn val="ctr"/>
        <c:lblOffset val="100"/>
        <c:noMultiLvlLbl val="0"/>
      </c:catAx>
      <c:valAx>
        <c:axId val="80477568"/>
        <c:scaling>
          <c:orientation val="minMax"/>
          <c:max val="0.60000000000000031"/>
          <c:min val="-0.2"/>
        </c:scaling>
        <c:delete val="0"/>
        <c:axPos val="l"/>
        <c:majorGridlines/>
        <c:numFmt formatCode="0%" sourceLinked="0"/>
        <c:majorTickMark val="none"/>
        <c:minorTickMark val="none"/>
        <c:tickLblPos val="nextTo"/>
        <c:spPr>
          <a:ln w="9525">
            <a:noFill/>
          </a:ln>
        </c:spPr>
        <c:crossAx val="80476032"/>
        <c:crosses val="autoZero"/>
        <c:crossBetween val="between"/>
      </c:valAx>
      <c:valAx>
        <c:axId val="80487552"/>
        <c:scaling>
          <c:orientation val="minMax"/>
          <c:max val="12000"/>
          <c:min val="-4000"/>
        </c:scaling>
        <c:delete val="0"/>
        <c:axPos val="r"/>
        <c:title>
          <c:tx>
            <c:rich>
              <a:bodyPr rot="-5400000" vert="horz"/>
              <a:lstStyle/>
              <a:p>
                <a:pPr>
                  <a:defRPr/>
                </a:pPr>
                <a:r>
                  <a:rPr lang="da-DK"/>
                  <a:t>g</a:t>
                </a:r>
                <a:r>
                  <a:rPr lang="da-DK" baseline="0"/>
                  <a:t> CO2e / vehicle km</a:t>
                </a:r>
                <a:endParaRPr lang="da-DK"/>
              </a:p>
            </c:rich>
          </c:tx>
          <c:layout/>
          <c:overlay val="0"/>
        </c:title>
        <c:numFmt formatCode="#,##0" sourceLinked="0"/>
        <c:majorTickMark val="out"/>
        <c:minorTickMark val="none"/>
        <c:tickLblPos val="nextTo"/>
        <c:crossAx val="80489472"/>
        <c:crosses val="max"/>
        <c:crossBetween val="between"/>
      </c:valAx>
      <c:catAx>
        <c:axId val="80489472"/>
        <c:scaling>
          <c:orientation val="minMax"/>
        </c:scaling>
        <c:delete val="1"/>
        <c:axPos val="b"/>
        <c:numFmt formatCode="General" sourceLinked="1"/>
        <c:majorTickMark val="out"/>
        <c:minorTickMark val="none"/>
        <c:tickLblPos val="none"/>
        <c:crossAx val="80487552"/>
        <c:crossesAt val="0"/>
        <c:auto val="1"/>
        <c:lblAlgn val="ctr"/>
        <c:lblOffset val="100"/>
        <c:noMultiLvlLbl val="0"/>
      </c:catAx>
    </c:plotArea>
    <c:legend>
      <c:legendPos val="t"/>
      <c:layout>
        <c:manualLayout>
          <c:xMode val="edge"/>
          <c:yMode val="edge"/>
          <c:x val="0.2404741418117198"/>
          <c:y val="1.4705959468155323E-2"/>
          <c:w val="0.75952580436412476"/>
          <c:h val="5.4511720344804594E-2"/>
        </c:manualLayout>
      </c:layout>
      <c:overlay val="0"/>
      <c:txPr>
        <a:bodyPr/>
        <a:lstStyle/>
        <a:p>
          <a:pPr>
            <a:defRPr sz="1400"/>
          </a:pPr>
          <a:endParaRPr lang="da-DK"/>
        </a:p>
      </c:txPr>
    </c:legend>
    <c:plotVisOnly val="1"/>
    <c:dispBlanksAs val="gap"/>
    <c:showDLblsOverMax val="0"/>
  </c:chart>
  <c:printSettings>
    <c:headerFooter/>
    <c:pageMargins b="0.75000000000001166" l="0.70000000000000062" r="0.70000000000000062" t="0.75000000000001166" header="0.30000000000000032" footer="0.30000000000000032"/>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Cockpit!$BE$28</c:f>
              <c:strCache>
                <c:ptCount val="1"/>
                <c:pt idx="0">
                  <c:v>System efficiency (left axis)</c:v>
                </c:pt>
              </c:strCache>
            </c:strRef>
          </c:tx>
          <c:invertIfNegative val="0"/>
          <c:cat>
            <c:strRef>
              <c:f>Cockpit!$BD$29:$BD$33</c:f>
              <c:strCache>
                <c:ptCount val="5"/>
                <c:pt idx="0">
                  <c:v>Hurtigfærge</c:v>
                </c:pt>
                <c:pt idx="1">
                  <c:v>9000TEU HFO</c:v>
                </c:pt>
                <c:pt idx="2">
                  <c:v>9000TEU Diesel</c:v>
                </c:pt>
                <c:pt idx="3">
                  <c:v>9000TEU BioDiesel</c:v>
                </c:pt>
                <c:pt idx="4">
                  <c:v>9000TEU LNG</c:v>
                </c:pt>
              </c:strCache>
            </c:strRef>
          </c:cat>
          <c:val>
            <c:numRef>
              <c:f>Cockpit!$BE$29:$BE$33</c:f>
              <c:numCache>
                <c:formatCode>0%</c:formatCode>
                <c:ptCount val="5"/>
                <c:pt idx="0">
                  <c:v>0.37407164929552272</c:v>
                </c:pt>
                <c:pt idx="1">
                  <c:v>0.47428587647615433</c:v>
                </c:pt>
                <c:pt idx="2">
                  <c:v>0.45146578363252743</c:v>
                </c:pt>
                <c:pt idx="3">
                  <c:v>0</c:v>
                </c:pt>
                <c:pt idx="4">
                  <c:v>0.40611005021873081</c:v>
                </c:pt>
              </c:numCache>
            </c:numRef>
          </c:val>
        </c:ser>
        <c:ser>
          <c:idx val="1"/>
          <c:order val="1"/>
          <c:tx>
            <c:strRef>
              <c:f>Cockpit!$BF$28</c:f>
              <c:strCache>
                <c:ptCount val="1"/>
              </c:strCache>
            </c:strRef>
          </c:tx>
          <c:spPr>
            <a:noFill/>
          </c:spPr>
          <c:invertIfNegative val="0"/>
          <c:cat>
            <c:strRef>
              <c:f>Cockpit!$BD$29:$BD$33</c:f>
              <c:strCache>
                <c:ptCount val="5"/>
                <c:pt idx="0">
                  <c:v>Hurtigfærge</c:v>
                </c:pt>
                <c:pt idx="1">
                  <c:v>9000TEU HFO</c:v>
                </c:pt>
                <c:pt idx="2">
                  <c:v>9000TEU Diesel</c:v>
                </c:pt>
                <c:pt idx="3">
                  <c:v>9000TEU BioDiesel</c:v>
                </c:pt>
                <c:pt idx="4">
                  <c:v>9000TEU LNG</c:v>
                </c:pt>
              </c:strCache>
            </c:strRef>
          </c:cat>
          <c:val>
            <c:numRef>
              <c:f>Cockpit!$BF$29:$BF$33</c:f>
              <c:numCache>
                <c:formatCode>0%</c:formatCode>
                <c:ptCount val="5"/>
              </c:numCache>
            </c:numRef>
          </c:val>
        </c:ser>
        <c:dLbls>
          <c:showLegendKey val="0"/>
          <c:showVal val="0"/>
          <c:showCatName val="0"/>
          <c:showSerName val="0"/>
          <c:showPercent val="0"/>
          <c:showBubbleSize val="0"/>
        </c:dLbls>
        <c:gapWidth val="75"/>
        <c:axId val="80529664"/>
        <c:axId val="80539648"/>
      </c:barChart>
      <c:barChart>
        <c:barDir val="col"/>
        <c:grouping val="clustered"/>
        <c:varyColors val="0"/>
        <c:ser>
          <c:idx val="2"/>
          <c:order val="2"/>
          <c:tx>
            <c:strRef>
              <c:f>Cockpit!$BG$28</c:f>
              <c:strCache>
                <c:ptCount val="1"/>
              </c:strCache>
            </c:strRef>
          </c:tx>
          <c:spPr>
            <a:noFill/>
          </c:spPr>
          <c:invertIfNegative val="0"/>
          <c:cat>
            <c:strRef>
              <c:f>Cockpit!$BD$29:$BD$33</c:f>
              <c:strCache>
                <c:ptCount val="5"/>
                <c:pt idx="0">
                  <c:v>Hurtigfærge</c:v>
                </c:pt>
                <c:pt idx="1">
                  <c:v>9000TEU HFO</c:v>
                </c:pt>
                <c:pt idx="2">
                  <c:v>9000TEU Diesel</c:v>
                </c:pt>
                <c:pt idx="3">
                  <c:v>9000TEU BioDiesel</c:v>
                </c:pt>
                <c:pt idx="4">
                  <c:v>9000TEU LNG</c:v>
                </c:pt>
              </c:strCache>
            </c:strRef>
          </c:cat>
          <c:val>
            <c:numRef>
              <c:f>Cockpit!$BG$29:$BG$33</c:f>
              <c:numCache>
                <c:formatCode>0%</c:formatCode>
                <c:ptCount val="5"/>
              </c:numCache>
            </c:numRef>
          </c:val>
        </c:ser>
        <c:ser>
          <c:idx val="3"/>
          <c:order val="3"/>
          <c:tx>
            <c:strRef>
              <c:f>Cockpit!$BH$28</c:f>
              <c:strCache>
                <c:ptCount val="1"/>
                <c:pt idx="0">
                  <c:v>CO2e emission (right axis)</c:v>
                </c:pt>
              </c:strCache>
            </c:strRef>
          </c:tx>
          <c:spPr>
            <a:solidFill>
              <a:schemeClr val="accent2"/>
            </a:solidFill>
          </c:spPr>
          <c:invertIfNegative val="0"/>
          <c:cat>
            <c:strRef>
              <c:f>Cockpit!$BD$29:$BD$33</c:f>
              <c:strCache>
                <c:ptCount val="5"/>
                <c:pt idx="0">
                  <c:v>Hurtigfærge</c:v>
                </c:pt>
                <c:pt idx="1">
                  <c:v>9000TEU HFO</c:v>
                </c:pt>
                <c:pt idx="2">
                  <c:v>9000TEU Diesel</c:v>
                </c:pt>
                <c:pt idx="3">
                  <c:v>9000TEU BioDiesel</c:v>
                </c:pt>
                <c:pt idx="4">
                  <c:v>9000TEU LNG</c:v>
                </c:pt>
              </c:strCache>
            </c:strRef>
          </c:cat>
          <c:val>
            <c:numRef>
              <c:f>Cockpit!$BH$29:$BH$33</c:f>
              <c:numCache>
                <c:formatCode>0_ ;\-0\ </c:formatCode>
                <c:ptCount val="5"/>
                <c:pt idx="0">
                  <c:v>350298.61560125841</c:v>
                </c:pt>
                <c:pt idx="1">
                  <c:v>562273.26292468584</c:v>
                </c:pt>
                <c:pt idx="2">
                  <c:v>542118.16882409609</c:v>
                </c:pt>
                <c:pt idx="3">
                  <c:v>0</c:v>
                </c:pt>
                <c:pt idx="4">
                  <c:v>528613.83067174477</c:v>
                </c:pt>
              </c:numCache>
            </c:numRef>
          </c:val>
        </c:ser>
        <c:dLbls>
          <c:showLegendKey val="0"/>
          <c:showVal val="0"/>
          <c:showCatName val="0"/>
          <c:showSerName val="0"/>
          <c:showPercent val="0"/>
          <c:showBubbleSize val="0"/>
        </c:dLbls>
        <c:gapWidth val="75"/>
        <c:axId val="80543104"/>
        <c:axId val="80541184"/>
      </c:barChart>
      <c:catAx>
        <c:axId val="80529664"/>
        <c:scaling>
          <c:orientation val="minMax"/>
        </c:scaling>
        <c:delete val="0"/>
        <c:axPos val="b"/>
        <c:numFmt formatCode="General" sourceLinked="0"/>
        <c:majorTickMark val="none"/>
        <c:minorTickMark val="none"/>
        <c:tickLblPos val="low"/>
        <c:crossAx val="80539648"/>
        <c:crosses val="autoZero"/>
        <c:auto val="1"/>
        <c:lblAlgn val="ctr"/>
        <c:lblOffset val="100"/>
        <c:noMultiLvlLbl val="0"/>
      </c:catAx>
      <c:valAx>
        <c:axId val="80539648"/>
        <c:scaling>
          <c:orientation val="minMax"/>
          <c:max val="0.70000000000000029"/>
          <c:min val="-0.2"/>
        </c:scaling>
        <c:delete val="0"/>
        <c:axPos val="l"/>
        <c:majorGridlines/>
        <c:numFmt formatCode="0%" sourceLinked="0"/>
        <c:majorTickMark val="none"/>
        <c:minorTickMark val="none"/>
        <c:tickLblPos val="nextTo"/>
        <c:spPr>
          <a:ln w="9525">
            <a:noFill/>
          </a:ln>
        </c:spPr>
        <c:crossAx val="80529664"/>
        <c:crosses val="autoZero"/>
        <c:crossBetween val="between"/>
      </c:valAx>
      <c:valAx>
        <c:axId val="80541184"/>
        <c:scaling>
          <c:orientation val="minMax"/>
          <c:max val="700000"/>
          <c:min val="-200000"/>
        </c:scaling>
        <c:delete val="0"/>
        <c:axPos val="r"/>
        <c:title>
          <c:tx>
            <c:rich>
              <a:bodyPr rot="-5400000" vert="horz"/>
              <a:lstStyle/>
              <a:p>
                <a:pPr>
                  <a:defRPr/>
                </a:pPr>
                <a:r>
                  <a:rPr lang="da-DK"/>
                  <a:t>g</a:t>
                </a:r>
                <a:r>
                  <a:rPr lang="da-DK" baseline="0"/>
                  <a:t> CO2e / vehicle km</a:t>
                </a:r>
                <a:endParaRPr lang="da-DK"/>
              </a:p>
            </c:rich>
          </c:tx>
          <c:layout/>
          <c:overlay val="0"/>
        </c:title>
        <c:numFmt formatCode="#,##0" sourceLinked="0"/>
        <c:majorTickMark val="out"/>
        <c:minorTickMark val="none"/>
        <c:tickLblPos val="nextTo"/>
        <c:crossAx val="80543104"/>
        <c:crosses val="max"/>
        <c:crossBetween val="between"/>
      </c:valAx>
      <c:catAx>
        <c:axId val="80543104"/>
        <c:scaling>
          <c:orientation val="minMax"/>
        </c:scaling>
        <c:delete val="1"/>
        <c:axPos val="b"/>
        <c:numFmt formatCode="General" sourceLinked="1"/>
        <c:majorTickMark val="out"/>
        <c:minorTickMark val="none"/>
        <c:tickLblPos val="none"/>
        <c:crossAx val="80541184"/>
        <c:crossesAt val="0"/>
        <c:auto val="1"/>
        <c:lblAlgn val="ctr"/>
        <c:lblOffset val="100"/>
        <c:noMultiLvlLbl val="0"/>
      </c:catAx>
    </c:plotArea>
    <c:legend>
      <c:legendPos val="t"/>
      <c:layout>
        <c:manualLayout>
          <c:xMode val="edge"/>
          <c:yMode val="edge"/>
          <c:x val="0.2404741418117198"/>
          <c:y val="1.4705959468155323E-2"/>
          <c:w val="0.75952584999133288"/>
          <c:h val="5.7234302946120086E-2"/>
        </c:manualLayout>
      </c:layout>
      <c:overlay val="0"/>
      <c:txPr>
        <a:bodyPr/>
        <a:lstStyle/>
        <a:p>
          <a:pPr>
            <a:defRPr sz="1400"/>
          </a:pPr>
          <a:endParaRPr lang="da-DK"/>
        </a:p>
      </c:txPr>
    </c:legend>
    <c:plotVisOnly val="1"/>
    <c:dispBlanksAs val="gap"/>
    <c:showDLblsOverMax val="0"/>
  </c:chart>
  <c:printSettings>
    <c:headerFooter/>
    <c:pageMargins b="0.75000000000001166" l="0.70000000000000062" r="0.70000000000000062" t="0.75000000000001166" header="0.30000000000000032" footer="0.30000000000000032"/>
    <c:pageSetup paperSize="9"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Cockpit!$BE$21</c:f>
              <c:strCache>
                <c:ptCount val="1"/>
                <c:pt idx="0">
                  <c:v>System efficiency (left axis)</c:v>
                </c:pt>
              </c:strCache>
            </c:strRef>
          </c:tx>
          <c:invertIfNegative val="0"/>
          <c:cat>
            <c:strRef>
              <c:f>Cockpit!$BD$22:$BD$26</c:f>
              <c:strCache>
                <c:ptCount val="5"/>
                <c:pt idx="0">
                  <c:v>Lastbil-Diesel</c:v>
                </c:pt>
                <c:pt idx="1">
                  <c:v>Lastbil-CNG</c:v>
                </c:pt>
                <c:pt idx="2">
                  <c:v>Bus-Diesel</c:v>
                </c:pt>
                <c:pt idx="3">
                  <c:v>Bus-CNG</c:v>
                </c:pt>
                <c:pt idx="4">
                  <c:v>Bus-Hybrid</c:v>
                </c:pt>
              </c:strCache>
            </c:strRef>
          </c:cat>
          <c:val>
            <c:numRef>
              <c:f>Cockpit!$BE$22:$BE$26</c:f>
              <c:numCache>
                <c:formatCode>0%</c:formatCode>
                <c:ptCount val="5"/>
                <c:pt idx="0">
                  <c:v>0.37270005324810579</c:v>
                </c:pt>
                <c:pt idx="1">
                  <c:v>0.29089665540578735</c:v>
                </c:pt>
                <c:pt idx="2">
                  <c:v>0.30102696608500845</c:v>
                </c:pt>
                <c:pt idx="3">
                  <c:v>0.22790901296842467</c:v>
                </c:pt>
                <c:pt idx="4">
                  <c:v>0.39133505591051104</c:v>
                </c:pt>
              </c:numCache>
            </c:numRef>
          </c:val>
        </c:ser>
        <c:ser>
          <c:idx val="1"/>
          <c:order val="1"/>
          <c:tx>
            <c:strRef>
              <c:f>Cockpit!$BF$21</c:f>
              <c:strCache>
                <c:ptCount val="1"/>
              </c:strCache>
            </c:strRef>
          </c:tx>
          <c:spPr>
            <a:noFill/>
          </c:spPr>
          <c:invertIfNegative val="0"/>
          <c:cat>
            <c:strRef>
              <c:f>Cockpit!$BD$22:$BD$26</c:f>
              <c:strCache>
                <c:ptCount val="5"/>
                <c:pt idx="0">
                  <c:v>Lastbil-Diesel</c:v>
                </c:pt>
                <c:pt idx="1">
                  <c:v>Lastbil-CNG</c:v>
                </c:pt>
                <c:pt idx="2">
                  <c:v>Bus-Diesel</c:v>
                </c:pt>
                <c:pt idx="3">
                  <c:v>Bus-CNG</c:v>
                </c:pt>
                <c:pt idx="4">
                  <c:v>Bus-Hybrid</c:v>
                </c:pt>
              </c:strCache>
            </c:strRef>
          </c:cat>
          <c:val>
            <c:numRef>
              <c:f>Cockpit!$BF$22:$BF$26</c:f>
              <c:numCache>
                <c:formatCode>0%</c:formatCode>
                <c:ptCount val="5"/>
              </c:numCache>
            </c:numRef>
          </c:val>
        </c:ser>
        <c:dLbls>
          <c:showLegendKey val="0"/>
          <c:showVal val="0"/>
          <c:showCatName val="0"/>
          <c:showSerName val="0"/>
          <c:showPercent val="0"/>
          <c:showBubbleSize val="0"/>
        </c:dLbls>
        <c:gapWidth val="75"/>
        <c:axId val="91593344"/>
        <c:axId val="91607424"/>
      </c:barChart>
      <c:barChart>
        <c:barDir val="col"/>
        <c:grouping val="clustered"/>
        <c:varyColors val="0"/>
        <c:ser>
          <c:idx val="2"/>
          <c:order val="2"/>
          <c:tx>
            <c:strRef>
              <c:f>Cockpit!$BG$21</c:f>
              <c:strCache>
                <c:ptCount val="1"/>
              </c:strCache>
            </c:strRef>
          </c:tx>
          <c:spPr>
            <a:noFill/>
          </c:spPr>
          <c:invertIfNegative val="0"/>
          <c:cat>
            <c:strRef>
              <c:f>Cockpit!$BD$22:$BD$26</c:f>
              <c:strCache>
                <c:ptCount val="5"/>
                <c:pt idx="0">
                  <c:v>Lastbil-Diesel</c:v>
                </c:pt>
                <c:pt idx="1">
                  <c:v>Lastbil-CNG</c:v>
                </c:pt>
                <c:pt idx="2">
                  <c:v>Bus-Diesel</c:v>
                </c:pt>
                <c:pt idx="3">
                  <c:v>Bus-CNG</c:v>
                </c:pt>
                <c:pt idx="4">
                  <c:v>Bus-Hybrid</c:v>
                </c:pt>
              </c:strCache>
            </c:strRef>
          </c:cat>
          <c:val>
            <c:numRef>
              <c:f>Cockpit!$BG$22:$BG$26</c:f>
              <c:numCache>
                <c:formatCode>0%</c:formatCode>
                <c:ptCount val="5"/>
              </c:numCache>
            </c:numRef>
          </c:val>
        </c:ser>
        <c:ser>
          <c:idx val="3"/>
          <c:order val="3"/>
          <c:tx>
            <c:strRef>
              <c:f>Cockpit!$BH$21</c:f>
              <c:strCache>
                <c:ptCount val="1"/>
                <c:pt idx="0">
                  <c:v>CO2e emission (right axis)</c:v>
                </c:pt>
              </c:strCache>
            </c:strRef>
          </c:tx>
          <c:spPr>
            <a:solidFill>
              <a:schemeClr val="accent2"/>
            </a:solidFill>
          </c:spPr>
          <c:invertIfNegative val="0"/>
          <c:cat>
            <c:strRef>
              <c:f>Cockpit!$BD$22:$BD$26</c:f>
              <c:strCache>
                <c:ptCount val="5"/>
                <c:pt idx="0">
                  <c:v>Lastbil-Diesel</c:v>
                </c:pt>
                <c:pt idx="1">
                  <c:v>Lastbil-CNG</c:v>
                </c:pt>
                <c:pt idx="2">
                  <c:v>Bus-Diesel</c:v>
                </c:pt>
                <c:pt idx="3">
                  <c:v>Bus-CNG</c:v>
                </c:pt>
                <c:pt idx="4">
                  <c:v>Bus-Hybrid</c:v>
                </c:pt>
              </c:strCache>
            </c:strRef>
          </c:cat>
          <c:val>
            <c:numRef>
              <c:f>Cockpit!$BH$22:$BH$26</c:f>
              <c:numCache>
                <c:formatCode>0_ ;\-0\ </c:formatCode>
                <c:ptCount val="5"/>
                <c:pt idx="0">
                  <c:v>1183.2686415251512</c:v>
                </c:pt>
                <c:pt idx="1">
                  <c:v>1205.3277162569384</c:v>
                </c:pt>
                <c:pt idx="2">
                  <c:v>1247.9778083912533</c:v>
                </c:pt>
                <c:pt idx="3">
                  <c:v>1299.8312299017655</c:v>
                </c:pt>
                <c:pt idx="4">
                  <c:v>959.98292953173348</c:v>
                </c:pt>
              </c:numCache>
            </c:numRef>
          </c:val>
        </c:ser>
        <c:dLbls>
          <c:showLegendKey val="0"/>
          <c:showVal val="0"/>
          <c:showCatName val="0"/>
          <c:showSerName val="0"/>
          <c:showPercent val="0"/>
          <c:showBubbleSize val="0"/>
        </c:dLbls>
        <c:gapWidth val="75"/>
        <c:axId val="91615232"/>
        <c:axId val="91608960"/>
      </c:barChart>
      <c:catAx>
        <c:axId val="91593344"/>
        <c:scaling>
          <c:orientation val="minMax"/>
        </c:scaling>
        <c:delete val="0"/>
        <c:axPos val="b"/>
        <c:numFmt formatCode="General" sourceLinked="0"/>
        <c:majorTickMark val="none"/>
        <c:minorTickMark val="none"/>
        <c:tickLblPos val="low"/>
        <c:crossAx val="91607424"/>
        <c:crosses val="autoZero"/>
        <c:auto val="1"/>
        <c:lblAlgn val="ctr"/>
        <c:lblOffset val="100"/>
        <c:noMultiLvlLbl val="0"/>
      </c:catAx>
      <c:valAx>
        <c:axId val="91607424"/>
        <c:scaling>
          <c:orientation val="minMax"/>
          <c:max val="0.8"/>
          <c:min val="0"/>
        </c:scaling>
        <c:delete val="0"/>
        <c:axPos val="l"/>
        <c:majorGridlines/>
        <c:numFmt formatCode="0%" sourceLinked="0"/>
        <c:majorTickMark val="none"/>
        <c:minorTickMark val="none"/>
        <c:tickLblPos val="nextTo"/>
        <c:spPr>
          <a:ln w="9525">
            <a:noFill/>
          </a:ln>
        </c:spPr>
        <c:crossAx val="91593344"/>
        <c:crosses val="autoZero"/>
        <c:crossBetween val="between"/>
      </c:valAx>
      <c:valAx>
        <c:axId val="91608960"/>
        <c:scaling>
          <c:orientation val="minMax"/>
        </c:scaling>
        <c:delete val="0"/>
        <c:axPos val="r"/>
        <c:title>
          <c:tx>
            <c:rich>
              <a:bodyPr rot="-5400000" vert="horz"/>
              <a:lstStyle/>
              <a:p>
                <a:pPr>
                  <a:defRPr/>
                </a:pPr>
                <a:r>
                  <a:rPr lang="da-DK"/>
                  <a:t>g</a:t>
                </a:r>
                <a:r>
                  <a:rPr lang="da-DK" baseline="0"/>
                  <a:t> CO2e / vehicle km</a:t>
                </a:r>
                <a:endParaRPr lang="da-DK"/>
              </a:p>
            </c:rich>
          </c:tx>
          <c:layout/>
          <c:overlay val="0"/>
        </c:title>
        <c:numFmt formatCode="#,##0" sourceLinked="0"/>
        <c:majorTickMark val="out"/>
        <c:minorTickMark val="none"/>
        <c:tickLblPos val="nextTo"/>
        <c:crossAx val="91615232"/>
        <c:crosses val="max"/>
        <c:crossBetween val="between"/>
      </c:valAx>
      <c:catAx>
        <c:axId val="91615232"/>
        <c:scaling>
          <c:orientation val="minMax"/>
        </c:scaling>
        <c:delete val="1"/>
        <c:axPos val="b"/>
        <c:numFmt formatCode="General" sourceLinked="1"/>
        <c:majorTickMark val="out"/>
        <c:minorTickMark val="none"/>
        <c:tickLblPos val="none"/>
        <c:crossAx val="91608960"/>
        <c:crossesAt val="0"/>
        <c:auto val="1"/>
        <c:lblAlgn val="ctr"/>
        <c:lblOffset val="100"/>
        <c:noMultiLvlLbl val="0"/>
      </c:catAx>
    </c:plotArea>
    <c:legend>
      <c:legendPos val="t"/>
      <c:layout>
        <c:manualLayout>
          <c:xMode val="edge"/>
          <c:yMode val="edge"/>
          <c:x val="0.2404741418117198"/>
          <c:y val="1.4705959468155323E-2"/>
          <c:w val="0.75952584999133288"/>
          <c:h val="5.7234302946120086E-2"/>
        </c:manualLayout>
      </c:layout>
      <c:overlay val="0"/>
      <c:txPr>
        <a:bodyPr/>
        <a:lstStyle/>
        <a:p>
          <a:pPr>
            <a:defRPr sz="1400"/>
          </a:pPr>
          <a:endParaRPr lang="da-DK"/>
        </a:p>
      </c:txPr>
    </c:legend>
    <c:plotVisOnly val="1"/>
    <c:dispBlanksAs val="gap"/>
    <c:showDLblsOverMax val="0"/>
  </c:chart>
  <c:printSettings>
    <c:headerFooter/>
    <c:pageMargins b="0.75000000000001166" l="0.70000000000000062" r="0.70000000000000062" t="0.75000000000001166" header="0.30000000000000032" footer="0.30000000000000032"/>
    <c:pageSetup paperSize="9"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Cockpit!$BE$5</c:f>
              <c:strCache>
                <c:ptCount val="1"/>
                <c:pt idx="0">
                  <c:v>System efficiency (left axis)</c:v>
                </c:pt>
              </c:strCache>
            </c:strRef>
          </c:tx>
          <c:invertIfNegative val="0"/>
          <c:cat>
            <c:strRef>
              <c:f>Cockpit!$BD$6:$BD$19</c:f>
              <c:strCache>
                <c:ptCount val="14"/>
                <c:pt idx="0">
                  <c:v>Bil-konv. diesel</c:v>
                </c:pt>
                <c:pt idx="1">
                  <c:v>Bil-konv. Benzin</c:v>
                </c:pt>
                <c:pt idx="2">
                  <c:v>Bil-E85 hvede</c:v>
                </c:pt>
                <c:pt idx="3">
                  <c:v>Bil-E85 sukkerroer</c:v>
                </c:pt>
                <c:pt idx="4">
                  <c:v>Bil-E85 halm</c:v>
                </c:pt>
                <c:pt idx="5">
                  <c:v>Bil-Biodiesel RME</c:v>
                </c:pt>
                <c:pt idx="6">
                  <c:v>Bil-Biodiesel halm</c:v>
                </c:pt>
                <c:pt idx="7">
                  <c:v>Bil-DME</c:v>
                </c:pt>
                <c:pt idx="8">
                  <c:v>Bil-Naturgas</c:v>
                </c:pt>
                <c:pt idx="9">
                  <c:v>Bil-Biogas</c:v>
                </c:pt>
                <c:pt idx="10">
                  <c:v>Bil-MeOH-brændselscellehybrid</c:v>
                </c:pt>
                <c:pt idx="11">
                  <c:v>Bil-Brint-brændselscelle</c:v>
                </c:pt>
                <c:pt idx="12">
                  <c:v>Bil-El</c:v>
                </c:pt>
                <c:pt idx="13">
                  <c:v>Bil-Plugin Hybrid</c:v>
                </c:pt>
              </c:strCache>
            </c:strRef>
          </c:cat>
          <c:val>
            <c:numRef>
              <c:f>Cockpit!$BE$6:$BE$19</c:f>
              <c:numCache>
                <c:formatCode>0%</c:formatCode>
                <c:ptCount val="14"/>
                <c:pt idx="0">
                  <c:v>0.23759628394566742</c:v>
                </c:pt>
                <c:pt idx="1">
                  <c:v>0.16769792432989633</c:v>
                </c:pt>
                <c:pt idx="2">
                  <c:v>0.13923731496982597</c:v>
                </c:pt>
                <c:pt idx="3">
                  <c:v>0.14097114871113556</c:v>
                </c:pt>
                <c:pt idx="4">
                  <c:v>0</c:v>
                </c:pt>
                <c:pt idx="5">
                  <c:v>0.20776980245257207</c:v>
                </c:pt>
                <c:pt idx="6">
                  <c:v>0</c:v>
                </c:pt>
                <c:pt idx="7">
                  <c:v>0</c:v>
                </c:pt>
                <c:pt idx="8">
                  <c:v>0.16831539661914319</c:v>
                </c:pt>
                <c:pt idx="9">
                  <c:v>0.15819847757401839</c:v>
                </c:pt>
                <c:pt idx="10">
                  <c:v>0</c:v>
                </c:pt>
                <c:pt idx="11">
                  <c:v>0.3139907650936678</c:v>
                </c:pt>
                <c:pt idx="12">
                  <c:v>0.65414862139188079</c:v>
                </c:pt>
                <c:pt idx="13">
                  <c:v>0.37402054072693969</c:v>
                </c:pt>
              </c:numCache>
            </c:numRef>
          </c:val>
        </c:ser>
        <c:ser>
          <c:idx val="1"/>
          <c:order val="1"/>
          <c:tx>
            <c:strRef>
              <c:f>Cockpit!$BF$5</c:f>
              <c:strCache>
                <c:ptCount val="1"/>
              </c:strCache>
            </c:strRef>
          </c:tx>
          <c:spPr>
            <a:noFill/>
          </c:spPr>
          <c:invertIfNegative val="0"/>
          <c:cat>
            <c:strRef>
              <c:f>Cockpit!$BD$6:$BD$19</c:f>
              <c:strCache>
                <c:ptCount val="14"/>
                <c:pt idx="0">
                  <c:v>Bil-konv. diesel</c:v>
                </c:pt>
                <c:pt idx="1">
                  <c:v>Bil-konv. Benzin</c:v>
                </c:pt>
                <c:pt idx="2">
                  <c:v>Bil-E85 hvede</c:v>
                </c:pt>
                <c:pt idx="3">
                  <c:v>Bil-E85 sukkerroer</c:v>
                </c:pt>
                <c:pt idx="4">
                  <c:v>Bil-E85 halm</c:v>
                </c:pt>
                <c:pt idx="5">
                  <c:v>Bil-Biodiesel RME</c:v>
                </c:pt>
                <c:pt idx="6">
                  <c:v>Bil-Biodiesel halm</c:v>
                </c:pt>
                <c:pt idx="7">
                  <c:v>Bil-DME</c:v>
                </c:pt>
                <c:pt idx="8">
                  <c:v>Bil-Naturgas</c:v>
                </c:pt>
                <c:pt idx="9">
                  <c:v>Bil-Biogas</c:v>
                </c:pt>
                <c:pt idx="10">
                  <c:v>Bil-MeOH-brændselscellehybrid</c:v>
                </c:pt>
                <c:pt idx="11">
                  <c:v>Bil-Brint-brændselscelle</c:v>
                </c:pt>
                <c:pt idx="12">
                  <c:v>Bil-El</c:v>
                </c:pt>
                <c:pt idx="13">
                  <c:v>Bil-Plugin Hybrid</c:v>
                </c:pt>
              </c:strCache>
            </c:strRef>
          </c:cat>
          <c:val>
            <c:numRef>
              <c:f>Cockpit!$BF$6:$BF$19</c:f>
              <c:numCache>
                <c:formatCode>0%</c:formatCode>
                <c:ptCount val="14"/>
              </c:numCache>
            </c:numRef>
          </c:val>
        </c:ser>
        <c:dLbls>
          <c:showLegendKey val="0"/>
          <c:showVal val="0"/>
          <c:showCatName val="0"/>
          <c:showSerName val="0"/>
          <c:showPercent val="0"/>
          <c:showBubbleSize val="0"/>
        </c:dLbls>
        <c:gapWidth val="75"/>
        <c:axId val="94583808"/>
        <c:axId val="94593792"/>
      </c:barChart>
      <c:barChart>
        <c:barDir val="col"/>
        <c:grouping val="clustered"/>
        <c:varyColors val="0"/>
        <c:ser>
          <c:idx val="2"/>
          <c:order val="2"/>
          <c:tx>
            <c:strRef>
              <c:f>Cockpit!$BG$5</c:f>
              <c:strCache>
                <c:ptCount val="1"/>
              </c:strCache>
            </c:strRef>
          </c:tx>
          <c:spPr>
            <a:noFill/>
          </c:spPr>
          <c:invertIfNegative val="0"/>
          <c:cat>
            <c:strRef>
              <c:f>Cockpit!$BD$6:$BD$19</c:f>
              <c:strCache>
                <c:ptCount val="14"/>
                <c:pt idx="0">
                  <c:v>Bil-konv. diesel</c:v>
                </c:pt>
                <c:pt idx="1">
                  <c:v>Bil-konv. Benzin</c:v>
                </c:pt>
                <c:pt idx="2">
                  <c:v>Bil-E85 hvede</c:v>
                </c:pt>
                <c:pt idx="3">
                  <c:v>Bil-E85 sukkerroer</c:v>
                </c:pt>
                <c:pt idx="4">
                  <c:v>Bil-E85 halm</c:v>
                </c:pt>
                <c:pt idx="5">
                  <c:v>Bil-Biodiesel RME</c:v>
                </c:pt>
                <c:pt idx="6">
                  <c:v>Bil-Biodiesel halm</c:v>
                </c:pt>
                <c:pt idx="7">
                  <c:v>Bil-DME</c:v>
                </c:pt>
                <c:pt idx="8">
                  <c:v>Bil-Naturgas</c:v>
                </c:pt>
                <c:pt idx="9">
                  <c:v>Bil-Biogas</c:v>
                </c:pt>
                <c:pt idx="10">
                  <c:v>Bil-MeOH-brændselscellehybrid</c:v>
                </c:pt>
                <c:pt idx="11">
                  <c:v>Bil-Brint-brændselscelle</c:v>
                </c:pt>
                <c:pt idx="12">
                  <c:v>Bil-El</c:v>
                </c:pt>
                <c:pt idx="13">
                  <c:v>Bil-Plugin Hybrid</c:v>
                </c:pt>
              </c:strCache>
            </c:strRef>
          </c:cat>
          <c:val>
            <c:numRef>
              <c:f>Cockpit!$BG$6:$BG$19</c:f>
              <c:numCache>
                <c:formatCode>0%</c:formatCode>
                <c:ptCount val="14"/>
              </c:numCache>
            </c:numRef>
          </c:val>
        </c:ser>
        <c:ser>
          <c:idx val="3"/>
          <c:order val="3"/>
          <c:tx>
            <c:strRef>
              <c:f>Cockpit!$BH$5</c:f>
              <c:strCache>
                <c:ptCount val="1"/>
                <c:pt idx="0">
                  <c:v>CO2e emission (right axis)</c:v>
                </c:pt>
              </c:strCache>
            </c:strRef>
          </c:tx>
          <c:spPr>
            <a:solidFill>
              <a:schemeClr val="accent2"/>
            </a:solidFill>
          </c:spPr>
          <c:invertIfNegative val="0"/>
          <c:cat>
            <c:strRef>
              <c:f>Cockpit!$BD$6:$BD$19</c:f>
              <c:strCache>
                <c:ptCount val="14"/>
                <c:pt idx="0">
                  <c:v>Bil-konv. diesel</c:v>
                </c:pt>
                <c:pt idx="1">
                  <c:v>Bil-konv. Benzin</c:v>
                </c:pt>
                <c:pt idx="2">
                  <c:v>Bil-E85 hvede</c:v>
                </c:pt>
                <c:pt idx="3">
                  <c:v>Bil-E85 sukkerroer</c:v>
                </c:pt>
                <c:pt idx="4">
                  <c:v>Bil-E85 halm</c:v>
                </c:pt>
                <c:pt idx="5">
                  <c:v>Bil-Biodiesel RME</c:v>
                </c:pt>
                <c:pt idx="6">
                  <c:v>Bil-Biodiesel halm</c:v>
                </c:pt>
                <c:pt idx="7">
                  <c:v>Bil-DME</c:v>
                </c:pt>
                <c:pt idx="8">
                  <c:v>Bil-Naturgas</c:v>
                </c:pt>
                <c:pt idx="9">
                  <c:v>Bil-Biogas</c:v>
                </c:pt>
                <c:pt idx="10">
                  <c:v>Bil-MeOH-brændselscellehybrid</c:v>
                </c:pt>
                <c:pt idx="11">
                  <c:v>Bil-Brint-brændselscelle</c:v>
                </c:pt>
                <c:pt idx="12">
                  <c:v>Bil-El</c:v>
                </c:pt>
                <c:pt idx="13">
                  <c:v>Bil-Plugin Hybrid</c:v>
                </c:pt>
              </c:strCache>
            </c:strRef>
          </c:cat>
          <c:val>
            <c:numRef>
              <c:f>Cockpit!$BH$6:$BH$19</c:f>
              <c:numCache>
                <c:formatCode>0_ ;\-0\ </c:formatCode>
                <c:ptCount val="14"/>
                <c:pt idx="0">
                  <c:v>130.30849928407619</c:v>
                </c:pt>
                <c:pt idx="1">
                  <c:v>173.36485076842851</c:v>
                </c:pt>
                <c:pt idx="2">
                  <c:v>656.49203682319421</c:v>
                </c:pt>
                <c:pt idx="3">
                  <c:v>822.1090351161464</c:v>
                </c:pt>
                <c:pt idx="4">
                  <c:v>0</c:v>
                </c:pt>
                <c:pt idx="5">
                  <c:v>545.73459990388676</c:v>
                </c:pt>
                <c:pt idx="6">
                  <c:v>0</c:v>
                </c:pt>
                <c:pt idx="7">
                  <c:v>0</c:v>
                </c:pt>
                <c:pt idx="8">
                  <c:v>148.46711957195433</c:v>
                </c:pt>
                <c:pt idx="9">
                  <c:v>-118.74945696650954</c:v>
                </c:pt>
                <c:pt idx="10">
                  <c:v>0</c:v>
                </c:pt>
                <c:pt idx="11">
                  <c:v>7.4868508085085361</c:v>
                </c:pt>
                <c:pt idx="12">
                  <c:v>2.3500131018202395</c:v>
                </c:pt>
                <c:pt idx="13">
                  <c:v>99.25718830055304</c:v>
                </c:pt>
              </c:numCache>
            </c:numRef>
          </c:val>
        </c:ser>
        <c:dLbls>
          <c:showLegendKey val="0"/>
          <c:showVal val="0"/>
          <c:showCatName val="0"/>
          <c:showSerName val="0"/>
          <c:showPercent val="0"/>
          <c:showBubbleSize val="0"/>
        </c:dLbls>
        <c:gapWidth val="75"/>
        <c:axId val="94605696"/>
        <c:axId val="94595328"/>
      </c:barChart>
      <c:catAx>
        <c:axId val="94583808"/>
        <c:scaling>
          <c:orientation val="minMax"/>
        </c:scaling>
        <c:delete val="0"/>
        <c:axPos val="b"/>
        <c:numFmt formatCode="General" sourceLinked="0"/>
        <c:majorTickMark val="none"/>
        <c:minorTickMark val="none"/>
        <c:tickLblPos val="low"/>
        <c:crossAx val="94593792"/>
        <c:crosses val="autoZero"/>
        <c:auto val="1"/>
        <c:lblAlgn val="ctr"/>
        <c:lblOffset val="100"/>
        <c:noMultiLvlLbl val="0"/>
      </c:catAx>
      <c:valAx>
        <c:axId val="94593792"/>
        <c:scaling>
          <c:orientation val="minMax"/>
          <c:max val="0.8"/>
          <c:min val="-0.30000000000000016"/>
        </c:scaling>
        <c:delete val="0"/>
        <c:axPos val="l"/>
        <c:majorGridlines/>
        <c:numFmt formatCode="0%" sourceLinked="0"/>
        <c:majorTickMark val="none"/>
        <c:minorTickMark val="none"/>
        <c:tickLblPos val="nextTo"/>
        <c:spPr>
          <a:ln w="9525">
            <a:noFill/>
          </a:ln>
        </c:spPr>
        <c:crossAx val="94583808"/>
        <c:crosses val="autoZero"/>
        <c:crossBetween val="between"/>
        <c:majorUnit val="0.1"/>
      </c:valAx>
      <c:valAx>
        <c:axId val="94595328"/>
        <c:scaling>
          <c:orientation val="minMax"/>
          <c:max val="400"/>
          <c:min val="-150"/>
        </c:scaling>
        <c:delete val="0"/>
        <c:axPos val="r"/>
        <c:title>
          <c:tx>
            <c:rich>
              <a:bodyPr rot="-5400000" vert="horz"/>
              <a:lstStyle/>
              <a:p>
                <a:pPr>
                  <a:defRPr/>
                </a:pPr>
                <a:r>
                  <a:rPr lang="da-DK"/>
                  <a:t>g</a:t>
                </a:r>
                <a:r>
                  <a:rPr lang="da-DK" baseline="0"/>
                  <a:t> CO2e / vehicle km</a:t>
                </a:r>
                <a:endParaRPr lang="da-DK"/>
              </a:p>
            </c:rich>
          </c:tx>
          <c:layout/>
          <c:overlay val="0"/>
        </c:title>
        <c:numFmt formatCode="#,##0" sourceLinked="0"/>
        <c:majorTickMark val="out"/>
        <c:minorTickMark val="none"/>
        <c:tickLblPos val="nextTo"/>
        <c:crossAx val="94605696"/>
        <c:crosses val="max"/>
        <c:crossBetween val="between"/>
        <c:majorUnit val="50"/>
      </c:valAx>
      <c:catAx>
        <c:axId val="94605696"/>
        <c:scaling>
          <c:orientation val="minMax"/>
        </c:scaling>
        <c:delete val="1"/>
        <c:axPos val="b"/>
        <c:numFmt formatCode="General" sourceLinked="1"/>
        <c:majorTickMark val="out"/>
        <c:minorTickMark val="none"/>
        <c:tickLblPos val="none"/>
        <c:crossAx val="94595328"/>
        <c:crossesAt val="0"/>
        <c:auto val="1"/>
        <c:lblAlgn val="ctr"/>
        <c:lblOffset val="100"/>
        <c:noMultiLvlLbl val="0"/>
      </c:catAx>
    </c:plotArea>
    <c:legend>
      <c:legendPos val="t"/>
      <c:layout>
        <c:manualLayout>
          <c:xMode val="edge"/>
          <c:yMode val="edge"/>
          <c:x val="0.2404741418117198"/>
          <c:y val="1.4705959468155323E-2"/>
          <c:w val="0.75952584999133288"/>
          <c:h val="5.7234302946120086E-2"/>
        </c:manualLayout>
      </c:layout>
      <c:overlay val="0"/>
      <c:txPr>
        <a:bodyPr/>
        <a:lstStyle/>
        <a:p>
          <a:pPr>
            <a:defRPr sz="1400"/>
          </a:pPr>
          <a:endParaRPr lang="da-DK"/>
        </a:p>
      </c:txPr>
    </c:legend>
    <c:plotVisOnly val="1"/>
    <c:dispBlanksAs val="gap"/>
    <c:showDLblsOverMax val="0"/>
  </c:chart>
  <c:printSettings>
    <c:headerFooter/>
    <c:pageMargins b="0.75000000000001166" l="0.70000000000000062" r="0.70000000000000062" t="0.75000000000001166" header="0.30000000000000032" footer="0.30000000000000032"/>
    <c:pageSetup paperSize="9"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ResultsAllYears!$V$49</c:f>
          <c:strCache>
            <c:ptCount val="1"/>
            <c:pt idx="0">
              <c:v>Development in socio-economic cost by pathway, ships</c:v>
            </c:pt>
          </c:strCache>
        </c:strRef>
      </c:tx>
      <c:overlay val="0"/>
    </c:title>
    <c:autoTitleDeleted val="0"/>
    <c:plotArea>
      <c:layout/>
      <c:barChart>
        <c:barDir val="col"/>
        <c:grouping val="stacked"/>
        <c:varyColors val="0"/>
        <c:ser>
          <c:idx val="0"/>
          <c:order val="0"/>
          <c:tx>
            <c:strRef>
              <c:f>ResultsAllYears!$X$50</c:f>
              <c:strCache>
                <c:ptCount val="1"/>
                <c:pt idx="0">
                  <c:v>O&amp;M</c:v>
                </c:pt>
              </c:strCache>
            </c:strRef>
          </c:tx>
          <c:invertIfNegative val="0"/>
          <c:cat>
            <c:multiLvlStrRef>
              <c:f>ResultsAllYears!$V$51:$W$82</c:f>
              <c:multiLvlStrCache>
                <c:ptCount val="32"/>
                <c:lvl>
                  <c:pt idx="0">
                    <c:v>2015 </c:v>
                  </c:pt>
                  <c:pt idx="1">
                    <c:v>2020 </c:v>
                  </c:pt>
                  <c:pt idx="2">
                    <c:v>2035 </c:v>
                  </c:pt>
                  <c:pt idx="3">
                    <c:v>2050 </c:v>
                  </c:pt>
                  <c:pt idx="4">
                    <c:v>2015 </c:v>
                  </c:pt>
                  <c:pt idx="5">
                    <c:v>2020 </c:v>
                  </c:pt>
                  <c:pt idx="6">
                    <c:v>2035 </c:v>
                  </c:pt>
                  <c:pt idx="7">
                    <c:v>2050 </c:v>
                  </c:pt>
                  <c:pt idx="8">
                    <c:v>2015 </c:v>
                  </c:pt>
                  <c:pt idx="9">
                    <c:v>2020 </c:v>
                  </c:pt>
                  <c:pt idx="10">
                    <c:v>2035 </c:v>
                  </c:pt>
                  <c:pt idx="11">
                    <c:v>2050 </c:v>
                  </c:pt>
                  <c:pt idx="12">
                    <c:v>2015 </c:v>
                  </c:pt>
                  <c:pt idx="13">
                    <c:v>2020 </c:v>
                  </c:pt>
                  <c:pt idx="14">
                    <c:v>2035 </c:v>
                  </c:pt>
                  <c:pt idx="15">
                    <c:v>2050 </c:v>
                  </c:pt>
                  <c:pt idx="16">
                    <c:v>2015 </c:v>
                  </c:pt>
                  <c:pt idx="17">
                    <c:v>2020 </c:v>
                  </c:pt>
                  <c:pt idx="18">
                    <c:v>2035 </c:v>
                  </c:pt>
                  <c:pt idx="19">
                    <c:v>2050 </c:v>
                  </c:pt>
                  <c:pt idx="20">
                    <c:v>2015 </c:v>
                  </c:pt>
                  <c:pt idx="21">
                    <c:v>2020 </c:v>
                  </c:pt>
                  <c:pt idx="22">
                    <c:v>2035 </c:v>
                  </c:pt>
                  <c:pt idx="23">
                    <c:v>2050 </c:v>
                  </c:pt>
                  <c:pt idx="24">
                    <c:v>2015 </c:v>
                  </c:pt>
                  <c:pt idx="25">
                    <c:v>2020 </c:v>
                  </c:pt>
                  <c:pt idx="26">
                    <c:v>2035 </c:v>
                  </c:pt>
                  <c:pt idx="27">
                    <c:v>2050 </c:v>
                  </c:pt>
                  <c:pt idx="28">
                    <c:v> </c:v>
                  </c:pt>
                  <c:pt idx="29">
                    <c:v> </c:v>
                  </c:pt>
                  <c:pt idx="30">
                    <c:v> </c:v>
                  </c:pt>
                  <c:pt idx="31">
                    <c:v> </c:v>
                  </c:pt>
                </c:lvl>
                <c:lvl>
                  <c:pt idx="0">
                    <c:v>Fast Ferry</c:v>
                  </c:pt>
                  <c:pt idx="4">
                    <c:v>9000TEU HFO</c:v>
                  </c:pt>
                  <c:pt idx="8">
                    <c:v>9000TEU Diesel</c:v>
                  </c:pt>
                  <c:pt idx="12">
                    <c:v>9000TEU BioDiesel</c:v>
                  </c:pt>
                  <c:pt idx="16">
                    <c:v>9000TEU LNG</c:v>
                  </c:pt>
                  <c:pt idx="20">
                    <c:v>Fast Ferry - Biodiesel</c:v>
                  </c:pt>
                  <c:pt idx="24">
                    <c:v>Ren brint</c:v>
                  </c:pt>
                  <c:pt idx="28">
                    <c:v> </c:v>
                  </c:pt>
                </c:lvl>
              </c:multiLvlStrCache>
            </c:multiLvlStrRef>
          </c:cat>
          <c:val>
            <c:numRef>
              <c:f>ResultsAllYears!$X$51:$X$82</c:f>
              <c:numCache>
                <c:formatCode>0.00_ ;\-0.00\ </c:formatCode>
                <c:ptCount val="32"/>
                <c:pt idx="0">
                  <c:v>0</c:v>
                </c:pt>
                <c:pt idx="1">
                  <c:v>0</c:v>
                </c:pt>
                <c:pt idx="2">
                  <c:v>0</c:v>
                </c:pt>
                <c:pt idx="3">
                  <c:v>0</c:v>
                </c:pt>
                <c:pt idx="4">
                  <c:v>99.480792036237858</c:v>
                </c:pt>
                <c:pt idx="5">
                  <c:v>109.42887123986168</c:v>
                </c:pt>
                <c:pt idx="6">
                  <c:v>121.58763471095742</c:v>
                </c:pt>
                <c:pt idx="7">
                  <c:v>121.58763471095742</c:v>
                </c:pt>
                <c:pt idx="8">
                  <c:v>99.480792036237872</c:v>
                </c:pt>
                <c:pt idx="9">
                  <c:v>109.42887123986165</c:v>
                </c:pt>
                <c:pt idx="10">
                  <c:v>121.58763471095739</c:v>
                </c:pt>
                <c:pt idx="11">
                  <c:v>121.58763471095739</c:v>
                </c:pt>
                <c:pt idx="12">
                  <c:v>0</c:v>
                </c:pt>
                <c:pt idx="13">
                  <c:v>109.42887123986165</c:v>
                </c:pt>
                <c:pt idx="14">
                  <c:v>121.58763471095739</c:v>
                </c:pt>
                <c:pt idx="15">
                  <c:v>121.58763471095739</c:v>
                </c:pt>
                <c:pt idx="16">
                  <c:v>99.480792036237858</c:v>
                </c:pt>
                <c:pt idx="17">
                  <c:v>109.42887123986164</c:v>
                </c:pt>
                <c:pt idx="18">
                  <c:v>121.5876347109574</c:v>
                </c:pt>
                <c:pt idx="19">
                  <c:v>121.5876347109574</c:v>
                </c:pt>
                <c:pt idx="20">
                  <c:v>0</c:v>
                </c:pt>
                <c:pt idx="21">
                  <c:v>0</c:v>
                </c:pt>
                <c:pt idx="22">
                  <c:v>0</c:v>
                </c:pt>
                <c:pt idx="23">
                  <c:v>0</c:v>
                </c:pt>
                <c:pt idx="24">
                  <c:v>0.16449999999999998</c:v>
                </c:pt>
                <c:pt idx="25">
                  <c:v>0.16449999999999998</c:v>
                </c:pt>
                <c:pt idx="26">
                  <c:v>0.16449999999999998</c:v>
                </c:pt>
                <c:pt idx="27">
                  <c:v>0.16449999999999998</c:v>
                </c:pt>
                <c:pt idx="28">
                  <c:v>0</c:v>
                </c:pt>
                <c:pt idx="29">
                  <c:v>0</c:v>
                </c:pt>
                <c:pt idx="30">
                  <c:v>0</c:v>
                </c:pt>
                <c:pt idx="31">
                  <c:v>0</c:v>
                </c:pt>
              </c:numCache>
            </c:numRef>
          </c:val>
        </c:ser>
        <c:ser>
          <c:idx val="1"/>
          <c:order val="1"/>
          <c:tx>
            <c:strRef>
              <c:f>ResultsAllYears!$Y$50</c:f>
              <c:strCache>
                <c:ptCount val="1"/>
                <c:pt idx="0">
                  <c:v>Vehicle</c:v>
                </c:pt>
              </c:strCache>
            </c:strRef>
          </c:tx>
          <c:invertIfNegative val="0"/>
          <c:cat>
            <c:multiLvlStrRef>
              <c:f>ResultsAllYears!$V$51:$W$82</c:f>
              <c:multiLvlStrCache>
                <c:ptCount val="32"/>
                <c:lvl>
                  <c:pt idx="0">
                    <c:v>2015 </c:v>
                  </c:pt>
                  <c:pt idx="1">
                    <c:v>2020 </c:v>
                  </c:pt>
                  <c:pt idx="2">
                    <c:v>2035 </c:v>
                  </c:pt>
                  <c:pt idx="3">
                    <c:v>2050 </c:v>
                  </c:pt>
                  <c:pt idx="4">
                    <c:v>2015 </c:v>
                  </c:pt>
                  <c:pt idx="5">
                    <c:v>2020 </c:v>
                  </c:pt>
                  <c:pt idx="6">
                    <c:v>2035 </c:v>
                  </c:pt>
                  <c:pt idx="7">
                    <c:v>2050 </c:v>
                  </c:pt>
                  <c:pt idx="8">
                    <c:v>2015 </c:v>
                  </c:pt>
                  <c:pt idx="9">
                    <c:v>2020 </c:v>
                  </c:pt>
                  <c:pt idx="10">
                    <c:v>2035 </c:v>
                  </c:pt>
                  <c:pt idx="11">
                    <c:v>2050 </c:v>
                  </c:pt>
                  <c:pt idx="12">
                    <c:v>2015 </c:v>
                  </c:pt>
                  <c:pt idx="13">
                    <c:v>2020 </c:v>
                  </c:pt>
                  <c:pt idx="14">
                    <c:v>2035 </c:v>
                  </c:pt>
                  <c:pt idx="15">
                    <c:v>2050 </c:v>
                  </c:pt>
                  <c:pt idx="16">
                    <c:v>2015 </c:v>
                  </c:pt>
                  <c:pt idx="17">
                    <c:v>2020 </c:v>
                  </c:pt>
                  <c:pt idx="18">
                    <c:v>2035 </c:v>
                  </c:pt>
                  <c:pt idx="19">
                    <c:v>2050 </c:v>
                  </c:pt>
                  <c:pt idx="20">
                    <c:v>2015 </c:v>
                  </c:pt>
                  <c:pt idx="21">
                    <c:v>2020 </c:v>
                  </c:pt>
                  <c:pt idx="22">
                    <c:v>2035 </c:v>
                  </c:pt>
                  <c:pt idx="23">
                    <c:v>2050 </c:v>
                  </c:pt>
                  <c:pt idx="24">
                    <c:v>2015 </c:v>
                  </c:pt>
                  <c:pt idx="25">
                    <c:v>2020 </c:v>
                  </c:pt>
                  <c:pt idx="26">
                    <c:v>2035 </c:v>
                  </c:pt>
                  <c:pt idx="27">
                    <c:v>2050 </c:v>
                  </c:pt>
                  <c:pt idx="28">
                    <c:v> </c:v>
                  </c:pt>
                  <c:pt idx="29">
                    <c:v> </c:v>
                  </c:pt>
                  <c:pt idx="30">
                    <c:v> </c:v>
                  </c:pt>
                  <c:pt idx="31">
                    <c:v> </c:v>
                  </c:pt>
                </c:lvl>
                <c:lvl>
                  <c:pt idx="0">
                    <c:v>Fast Ferry</c:v>
                  </c:pt>
                  <c:pt idx="4">
                    <c:v>9000TEU HFO</c:v>
                  </c:pt>
                  <c:pt idx="8">
                    <c:v>9000TEU Diesel</c:v>
                  </c:pt>
                  <c:pt idx="12">
                    <c:v>9000TEU BioDiesel</c:v>
                  </c:pt>
                  <c:pt idx="16">
                    <c:v>9000TEU LNG</c:v>
                  </c:pt>
                  <c:pt idx="20">
                    <c:v>Fast Ferry - Biodiesel</c:v>
                  </c:pt>
                  <c:pt idx="24">
                    <c:v>Ren brint</c:v>
                  </c:pt>
                  <c:pt idx="28">
                    <c:v> </c:v>
                  </c:pt>
                </c:lvl>
              </c:multiLvlStrCache>
            </c:multiLvlStrRef>
          </c:cat>
          <c:val>
            <c:numRef>
              <c:f>ResultsAllYears!$Y$51:$Y$82</c:f>
              <c:numCache>
                <c:formatCode>0.00_ ;\-0.00\ </c:formatCode>
                <c:ptCount val="32"/>
                <c:pt idx="0">
                  <c:v>0</c:v>
                </c:pt>
                <c:pt idx="1">
                  <c:v>0</c:v>
                </c:pt>
                <c:pt idx="2">
                  <c:v>0</c:v>
                </c:pt>
                <c:pt idx="3">
                  <c:v>0</c:v>
                </c:pt>
                <c:pt idx="4">
                  <c:v>205.18136137491888</c:v>
                </c:pt>
                <c:pt idx="5">
                  <c:v>225.69949751241074</c:v>
                </c:pt>
                <c:pt idx="6">
                  <c:v>250.77721945823416</c:v>
                </c:pt>
                <c:pt idx="7">
                  <c:v>250.77721945823416</c:v>
                </c:pt>
                <c:pt idx="8">
                  <c:v>205.18136137491891</c:v>
                </c:pt>
                <c:pt idx="9">
                  <c:v>225.69949751241072</c:v>
                </c:pt>
                <c:pt idx="10">
                  <c:v>250.77721945823416</c:v>
                </c:pt>
                <c:pt idx="11">
                  <c:v>250.77721945823416</c:v>
                </c:pt>
                <c:pt idx="12">
                  <c:v>0</c:v>
                </c:pt>
                <c:pt idx="13">
                  <c:v>225.69949751241072</c:v>
                </c:pt>
                <c:pt idx="14">
                  <c:v>250.77721945823416</c:v>
                </c:pt>
                <c:pt idx="15">
                  <c:v>250.77721945823416</c:v>
                </c:pt>
                <c:pt idx="16">
                  <c:v>235.95856558115668</c:v>
                </c:pt>
                <c:pt idx="17">
                  <c:v>259.55442213927233</c:v>
                </c:pt>
                <c:pt idx="18">
                  <c:v>288.39380237696923</c:v>
                </c:pt>
                <c:pt idx="19">
                  <c:v>288.39380237696923</c:v>
                </c:pt>
                <c:pt idx="20">
                  <c:v>0</c:v>
                </c:pt>
                <c:pt idx="21">
                  <c:v>0</c:v>
                </c:pt>
                <c:pt idx="22">
                  <c:v>0</c:v>
                </c:pt>
                <c:pt idx="23">
                  <c:v>0</c:v>
                </c:pt>
                <c:pt idx="24">
                  <c:v>1.5429047938560752</c:v>
                </c:pt>
                <c:pt idx="25">
                  <c:v>1.0347372679417728</c:v>
                </c:pt>
                <c:pt idx="26">
                  <c:v>0.87979709006213147</c:v>
                </c:pt>
                <c:pt idx="27">
                  <c:v>0.87979709006213147</c:v>
                </c:pt>
                <c:pt idx="28">
                  <c:v>0</c:v>
                </c:pt>
                <c:pt idx="29">
                  <c:v>0</c:v>
                </c:pt>
                <c:pt idx="30">
                  <c:v>0</c:v>
                </c:pt>
                <c:pt idx="31">
                  <c:v>0</c:v>
                </c:pt>
              </c:numCache>
            </c:numRef>
          </c:val>
        </c:ser>
        <c:ser>
          <c:idx val="2"/>
          <c:order val="2"/>
          <c:tx>
            <c:strRef>
              <c:f>ResultsAllYears!$Z$50</c:f>
              <c:strCache>
                <c:ptCount val="1"/>
                <c:pt idx="0">
                  <c:v>Externalities</c:v>
                </c:pt>
              </c:strCache>
            </c:strRef>
          </c:tx>
          <c:invertIfNegative val="0"/>
          <c:cat>
            <c:multiLvlStrRef>
              <c:f>ResultsAllYears!$V$51:$W$82</c:f>
              <c:multiLvlStrCache>
                <c:ptCount val="32"/>
                <c:lvl>
                  <c:pt idx="0">
                    <c:v>2015 </c:v>
                  </c:pt>
                  <c:pt idx="1">
                    <c:v>2020 </c:v>
                  </c:pt>
                  <c:pt idx="2">
                    <c:v>2035 </c:v>
                  </c:pt>
                  <c:pt idx="3">
                    <c:v>2050 </c:v>
                  </c:pt>
                  <c:pt idx="4">
                    <c:v>2015 </c:v>
                  </c:pt>
                  <c:pt idx="5">
                    <c:v>2020 </c:v>
                  </c:pt>
                  <c:pt idx="6">
                    <c:v>2035 </c:v>
                  </c:pt>
                  <c:pt idx="7">
                    <c:v>2050 </c:v>
                  </c:pt>
                  <c:pt idx="8">
                    <c:v>2015 </c:v>
                  </c:pt>
                  <c:pt idx="9">
                    <c:v>2020 </c:v>
                  </c:pt>
                  <c:pt idx="10">
                    <c:v>2035 </c:v>
                  </c:pt>
                  <c:pt idx="11">
                    <c:v>2050 </c:v>
                  </c:pt>
                  <c:pt idx="12">
                    <c:v>2015 </c:v>
                  </c:pt>
                  <c:pt idx="13">
                    <c:v>2020 </c:v>
                  </c:pt>
                  <c:pt idx="14">
                    <c:v>2035 </c:v>
                  </c:pt>
                  <c:pt idx="15">
                    <c:v>2050 </c:v>
                  </c:pt>
                  <c:pt idx="16">
                    <c:v>2015 </c:v>
                  </c:pt>
                  <c:pt idx="17">
                    <c:v>2020 </c:v>
                  </c:pt>
                  <c:pt idx="18">
                    <c:v>2035 </c:v>
                  </c:pt>
                  <c:pt idx="19">
                    <c:v>2050 </c:v>
                  </c:pt>
                  <c:pt idx="20">
                    <c:v>2015 </c:v>
                  </c:pt>
                  <c:pt idx="21">
                    <c:v>2020 </c:v>
                  </c:pt>
                  <c:pt idx="22">
                    <c:v>2035 </c:v>
                  </c:pt>
                  <c:pt idx="23">
                    <c:v>2050 </c:v>
                  </c:pt>
                  <c:pt idx="24">
                    <c:v>2015 </c:v>
                  </c:pt>
                  <c:pt idx="25">
                    <c:v>2020 </c:v>
                  </c:pt>
                  <c:pt idx="26">
                    <c:v>2035 </c:v>
                  </c:pt>
                  <c:pt idx="27">
                    <c:v>2050 </c:v>
                  </c:pt>
                  <c:pt idx="28">
                    <c:v> </c:v>
                  </c:pt>
                  <c:pt idx="29">
                    <c:v> </c:v>
                  </c:pt>
                  <c:pt idx="30">
                    <c:v> </c:v>
                  </c:pt>
                  <c:pt idx="31">
                    <c:v> </c:v>
                  </c:pt>
                </c:lvl>
                <c:lvl>
                  <c:pt idx="0">
                    <c:v>Fast Ferry</c:v>
                  </c:pt>
                  <c:pt idx="4">
                    <c:v>9000TEU HFO</c:v>
                  </c:pt>
                  <c:pt idx="8">
                    <c:v>9000TEU Diesel</c:v>
                  </c:pt>
                  <c:pt idx="12">
                    <c:v>9000TEU BioDiesel</c:v>
                  </c:pt>
                  <c:pt idx="16">
                    <c:v>9000TEU LNG</c:v>
                  </c:pt>
                  <c:pt idx="20">
                    <c:v>Fast Ferry - Biodiesel</c:v>
                  </c:pt>
                  <c:pt idx="24">
                    <c:v>Ren brint</c:v>
                  </c:pt>
                  <c:pt idx="28">
                    <c:v> </c:v>
                  </c:pt>
                </c:lvl>
              </c:multiLvlStrCache>
            </c:multiLvlStrRef>
          </c:cat>
          <c:val>
            <c:numRef>
              <c:f>ResultsAllYears!$Z$51:$Z$82</c:f>
              <c:numCache>
                <c:formatCode>0.00_ ;\-0.00\ </c:formatCode>
                <c:ptCount val="32"/>
                <c:pt idx="0">
                  <c:v>353.70232470206804</c:v>
                </c:pt>
                <c:pt idx="1">
                  <c:v>395.58739853415977</c:v>
                </c:pt>
                <c:pt idx="2">
                  <c:v>424.10617131024247</c:v>
                </c:pt>
                <c:pt idx="3">
                  <c:v>424.04105545528768</c:v>
                </c:pt>
                <c:pt idx="4">
                  <c:v>2761.9193654785481</c:v>
                </c:pt>
                <c:pt idx="5">
                  <c:v>2336.1167835174729</c:v>
                </c:pt>
                <c:pt idx="6">
                  <c:v>1951.7496179513564</c:v>
                </c:pt>
                <c:pt idx="7">
                  <c:v>1951.6048772489753</c:v>
                </c:pt>
                <c:pt idx="8">
                  <c:v>547.38571046645643</c:v>
                </c:pt>
                <c:pt idx="9">
                  <c:v>505.85628106943761</c:v>
                </c:pt>
                <c:pt idx="10">
                  <c:v>446.43837134304027</c:v>
                </c:pt>
                <c:pt idx="11">
                  <c:v>446.36982667615928</c:v>
                </c:pt>
                <c:pt idx="12">
                  <c:v>0</c:v>
                </c:pt>
                <c:pt idx="13">
                  <c:v>400.13097217797036</c:v>
                </c:pt>
                <c:pt idx="14">
                  <c:v>340.39819855374799</c:v>
                </c:pt>
                <c:pt idx="15">
                  <c:v>349.35059377305481</c:v>
                </c:pt>
                <c:pt idx="16">
                  <c:v>217.13076133948235</c:v>
                </c:pt>
                <c:pt idx="17">
                  <c:v>234.56971246271371</c:v>
                </c:pt>
                <c:pt idx="18">
                  <c:v>230.06081785784934</c:v>
                </c:pt>
                <c:pt idx="19">
                  <c:v>230.05653021391859</c:v>
                </c:pt>
                <c:pt idx="20">
                  <c:v>0</c:v>
                </c:pt>
                <c:pt idx="21">
                  <c:v>312.9085795320982</c:v>
                </c:pt>
                <c:pt idx="22">
                  <c:v>323.37044926320795</c:v>
                </c:pt>
                <c:pt idx="23">
                  <c:v>331.87501854808886</c:v>
                </c:pt>
                <c:pt idx="24">
                  <c:v>2.5254270495223559E-2</c:v>
                </c:pt>
                <c:pt idx="25">
                  <c:v>2.0472489259561376E-2</c:v>
                </c:pt>
                <c:pt idx="26">
                  <c:v>2.0449822298244508E-2</c:v>
                </c:pt>
                <c:pt idx="27">
                  <c:v>1.9405174634230186E-2</c:v>
                </c:pt>
                <c:pt idx="28">
                  <c:v>0</c:v>
                </c:pt>
                <c:pt idx="29">
                  <c:v>0</c:v>
                </c:pt>
                <c:pt idx="30">
                  <c:v>0</c:v>
                </c:pt>
                <c:pt idx="31">
                  <c:v>0</c:v>
                </c:pt>
              </c:numCache>
            </c:numRef>
          </c:val>
        </c:ser>
        <c:ser>
          <c:idx val="3"/>
          <c:order val="3"/>
          <c:tx>
            <c:strRef>
              <c:f>ResultsAllYears!$AA$50</c:f>
              <c:strCache>
                <c:ptCount val="1"/>
                <c:pt idx="0">
                  <c:v>Fuel</c:v>
                </c:pt>
              </c:strCache>
            </c:strRef>
          </c:tx>
          <c:spPr>
            <a:solidFill>
              <a:schemeClr val="tx1">
                <a:lumMod val="65000"/>
                <a:lumOff val="35000"/>
              </a:schemeClr>
            </a:solidFill>
          </c:spPr>
          <c:invertIfNegative val="0"/>
          <c:cat>
            <c:multiLvlStrRef>
              <c:f>ResultsAllYears!$V$51:$W$82</c:f>
              <c:multiLvlStrCache>
                <c:ptCount val="32"/>
                <c:lvl>
                  <c:pt idx="0">
                    <c:v>2015 </c:v>
                  </c:pt>
                  <c:pt idx="1">
                    <c:v>2020 </c:v>
                  </c:pt>
                  <c:pt idx="2">
                    <c:v>2035 </c:v>
                  </c:pt>
                  <c:pt idx="3">
                    <c:v>2050 </c:v>
                  </c:pt>
                  <c:pt idx="4">
                    <c:v>2015 </c:v>
                  </c:pt>
                  <c:pt idx="5">
                    <c:v>2020 </c:v>
                  </c:pt>
                  <c:pt idx="6">
                    <c:v>2035 </c:v>
                  </c:pt>
                  <c:pt idx="7">
                    <c:v>2050 </c:v>
                  </c:pt>
                  <c:pt idx="8">
                    <c:v>2015 </c:v>
                  </c:pt>
                  <c:pt idx="9">
                    <c:v>2020 </c:v>
                  </c:pt>
                  <c:pt idx="10">
                    <c:v>2035 </c:v>
                  </c:pt>
                  <c:pt idx="11">
                    <c:v>2050 </c:v>
                  </c:pt>
                  <c:pt idx="12">
                    <c:v>2015 </c:v>
                  </c:pt>
                  <c:pt idx="13">
                    <c:v>2020 </c:v>
                  </c:pt>
                  <c:pt idx="14">
                    <c:v>2035 </c:v>
                  </c:pt>
                  <c:pt idx="15">
                    <c:v>2050 </c:v>
                  </c:pt>
                  <c:pt idx="16">
                    <c:v>2015 </c:v>
                  </c:pt>
                  <c:pt idx="17">
                    <c:v>2020 </c:v>
                  </c:pt>
                  <c:pt idx="18">
                    <c:v>2035 </c:v>
                  </c:pt>
                  <c:pt idx="19">
                    <c:v>2050 </c:v>
                  </c:pt>
                  <c:pt idx="20">
                    <c:v>2015 </c:v>
                  </c:pt>
                  <c:pt idx="21">
                    <c:v>2020 </c:v>
                  </c:pt>
                  <c:pt idx="22">
                    <c:v>2035 </c:v>
                  </c:pt>
                  <c:pt idx="23">
                    <c:v>2050 </c:v>
                  </c:pt>
                  <c:pt idx="24">
                    <c:v>2015 </c:v>
                  </c:pt>
                  <c:pt idx="25">
                    <c:v>2020 </c:v>
                  </c:pt>
                  <c:pt idx="26">
                    <c:v>2035 </c:v>
                  </c:pt>
                  <c:pt idx="27">
                    <c:v>2050 </c:v>
                  </c:pt>
                  <c:pt idx="28">
                    <c:v> </c:v>
                  </c:pt>
                  <c:pt idx="29">
                    <c:v> </c:v>
                  </c:pt>
                  <c:pt idx="30">
                    <c:v> </c:v>
                  </c:pt>
                  <c:pt idx="31">
                    <c:v> </c:v>
                  </c:pt>
                </c:lvl>
                <c:lvl>
                  <c:pt idx="0">
                    <c:v>Fast Ferry</c:v>
                  </c:pt>
                  <c:pt idx="4">
                    <c:v>9000TEU HFO</c:v>
                  </c:pt>
                  <c:pt idx="8">
                    <c:v>9000TEU Diesel</c:v>
                  </c:pt>
                  <c:pt idx="12">
                    <c:v>9000TEU BioDiesel</c:v>
                  </c:pt>
                  <c:pt idx="16">
                    <c:v>9000TEU LNG</c:v>
                  </c:pt>
                  <c:pt idx="20">
                    <c:v>Fast Ferry - Biodiesel</c:v>
                  </c:pt>
                  <c:pt idx="24">
                    <c:v>Ren brint</c:v>
                  </c:pt>
                  <c:pt idx="28">
                    <c:v> </c:v>
                  </c:pt>
                </c:lvl>
              </c:multiLvlStrCache>
            </c:multiLvlStrRef>
          </c:cat>
          <c:val>
            <c:numRef>
              <c:f>ResultsAllYears!$AA$51:$AA$82</c:f>
              <c:numCache>
                <c:formatCode>0.00_ ;\-0.00\ </c:formatCode>
                <c:ptCount val="32"/>
                <c:pt idx="0">
                  <c:v>615.37464959371619</c:v>
                </c:pt>
                <c:pt idx="1">
                  <c:v>630.20469493604458</c:v>
                </c:pt>
                <c:pt idx="2">
                  <c:v>669.37603717755076</c:v>
                </c:pt>
                <c:pt idx="3">
                  <c:v>669.44240614955595</c:v>
                </c:pt>
                <c:pt idx="4">
                  <c:v>662.99059732121952</c:v>
                </c:pt>
                <c:pt idx="5">
                  <c:v>562.91913750133494</c:v>
                </c:pt>
                <c:pt idx="6">
                  <c:v>500.65667360480688</c:v>
                </c:pt>
                <c:pt idx="7">
                  <c:v>501.25223307215731</c:v>
                </c:pt>
                <c:pt idx="8">
                  <c:v>952.3468358728984</c:v>
                </c:pt>
                <c:pt idx="9">
                  <c:v>805.8724935984493</c:v>
                </c:pt>
                <c:pt idx="10">
                  <c:v>704.62343646256454</c:v>
                </c:pt>
                <c:pt idx="11">
                  <c:v>704.69330023200268</c:v>
                </c:pt>
                <c:pt idx="12">
                  <c:v>0</c:v>
                </c:pt>
                <c:pt idx="13">
                  <c:v>1073.4402731525056</c:v>
                </c:pt>
                <c:pt idx="14">
                  <c:v>896.18399010180076</c:v>
                </c:pt>
                <c:pt idx="15">
                  <c:v>955.92929725021099</c:v>
                </c:pt>
                <c:pt idx="16">
                  <c:v>522.6753169515506</c:v>
                </c:pt>
                <c:pt idx="17">
                  <c:v>447.54633097519542</c:v>
                </c:pt>
                <c:pt idx="18">
                  <c:v>418.15367482020366</c:v>
                </c:pt>
                <c:pt idx="19">
                  <c:v>418.15804497736752</c:v>
                </c:pt>
                <c:pt idx="20">
                  <c:v>0</c:v>
                </c:pt>
                <c:pt idx="21">
                  <c:v>839.44681726687588</c:v>
                </c:pt>
                <c:pt idx="22">
                  <c:v>851.35415149958556</c:v>
                </c:pt>
                <c:pt idx="23">
                  <c:v>908.1108173574961</c:v>
                </c:pt>
                <c:pt idx="24">
                  <c:v>0.34233440587495356</c:v>
                </c:pt>
                <c:pt idx="25">
                  <c:v>0.18482779395377422</c:v>
                </c:pt>
                <c:pt idx="26">
                  <c:v>0.20926954875090861</c:v>
                </c:pt>
                <c:pt idx="27">
                  <c:v>0.21011990325520039</c:v>
                </c:pt>
                <c:pt idx="28">
                  <c:v>0</c:v>
                </c:pt>
                <c:pt idx="29">
                  <c:v>0</c:v>
                </c:pt>
                <c:pt idx="30">
                  <c:v>0</c:v>
                </c:pt>
                <c:pt idx="31">
                  <c:v>0</c:v>
                </c:pt>
              </c:numCache>
            </c:numRef>
          </c:val>
        </c:ser>
        <c:dLbls>
          <c:showLegendKey val="0"/>
          <c:showVal val="0"/>
          <c:showCatName val="0"/>
          <c:showSerName val="0"/>
          <c:showPercent val="0"/>
          <c:showBubbleSize val="0"/>
        </c:dLbls>
        <c:gapWidth val="30"/>
        <c:overlap val="100"/>
        <c:axId val="50098944"/>
        <c:axId val="50100480"/>
      </c:barChart>
      <c:barChart>
        <c:barDir val="col"/>
        <c:grouping val="stacked"/>
        <c:varyColors val="0"/>
        <c:ser>
          <c:idx val="4"/>
          <c:order val="4"/>
          <c:tx>
            <c:strRef>
              <c:f>ResultsAllYears!$AB$50</c:f>
              <c:strCache>
                <c:ptCount val="1"/>
              </c:strCache>
            </c:strRef>
          </c:tx>
          <c:spPr>
            <a:noFill/>
          </c:spPr>
          <c:invertIfNegative val="0"/>
          <c:dLbls>
            <c:numFmt formatCode="0.00" sourceLinked="0"/>
            <c:spPr>
              <a:noFill/>
              <a:ln>
                <a:noFill/>
              </a:ln>
              <a:effectLst/>
            </c:spPr>
            <c:txPr>
              <a:bodyPr rot="-5400000" vert="horz"/>
              <a:lstStyle/>
              <a:p>
                <a:pPr>
                  <a:defRPr sz="1050">
                    <a:solidFill>
                      <a:schemeClr val="bg1"/>
                    </a:solidFill>
                    <a:latin typeface="Verdana" panose="020B0604030504040204" pitchFamily="34" charset="0"/>
                    <a:ea typeface="Verdana" panose="020B0604030504040204" pitchFamily="34" charset="0"/>
                    <a:cs typeface="Verdana" panose="020B0604030504040204" pitchFamily="34" charset="0"/>
                  </a:defRPr>
                </a:pPr>
                <a:endParaRPr lang="da-DK"/>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ResultsAllYears!$V$51:$W$82</c:f>
              <c:multiLvlStrCache>
                <c:ptCount val="32"/>
                <c:lvl>
                  <c:pt idx="0">
                    <c:v>2015 </c:v>
                  </c:pt>
                  <c:pt idx="1">
                    <c:v>2020 </c:v>
                  </c:pt>
                  <c:pt idx="2">
                    <c:v>2035 </c:v>
                  </c:pt>
                  <c:pt idx="3">
                    <c:v>2050 </c:v>
                  </c:pt>
                  <c:pt idx="4">
                    <c:v>2015 </c:v>
                  </c:pt>
                  <c:pt idx="5">
                    <c:v>2020 </c:v>
                  </c:pt>
                  <c:pt idx="6">
                    <c:v>2035 </c:v>
                  </c:pt>
                  <c:pt idx="7">
                    <c:v>2050 </c:v>
                  </c:pt>
                  <c:pt idx="8">
                    <c:v>2015 </c:v>
                  </c:pt>
                  <c:pt idx="9">
                    <c:v>2020 </c:v>
                  </c:pt>
                  <c:pt idx="10">
                    <c:v>2035 </c:v>
                  </c:pt>
                  <c:pt idx="11">
                    <c:v>2050 </c:v>
                  </c:pt>
                  <c:pt idx="12">
                    <c:v>2015 </c:v>
                  </c:pt>
                  <c:pt idx="13">
                    <c:v>2020 </c:v>
                  </c:pt>
                  <c:pt idx="14">
                    <c:v>2035 </c:v>
                  </c:pt>
                  <c:pt idx="15">
                    <c:v>2050 </c:v>
                  </c:pt>
                  <c:pt idx="16">
                    <c:v>2015 </c:v>
                  </c:pt>
                  <c:pt idx="17">
                    <c:v>2020 </c:v>
                  </c:pt>
                  <c:pt idx="18">
                    <c:v>2035 </c:v>
                  </c:pt>
                  <c:pt idx="19">
                    <c:v>2050 </c:v>
                  </c:pt>
                  <c:pt idx="20">
                    <c:v>2015 </c:v>
                  </c:pt>
                  <c:pt idx="21">
                    <c:v>2020 </c:v>
                  </c:pt>
                  <c:pt idx="22">
                    <c:v>2035 </c:v>
                  </c:pt>
                  <c:pt idx="23">
                    <c:v>2050 </c:v>
                  </c:pt>
                  <c:pt idx="24">
                    <c:v>2015 </c:v>
                  </c:pt>
                  <c:pt idx="25">
                    <c:v>2020 </c:v>
                  </c:pt>
                  <c:pt idx="26">
                    <c:v>2035 </c:v>
                  </c:pt>
                  <c:pt idx="27">
                    <c:v>2050 </c:v>
                  </c:pt>
                  <c:pt idx="28">
                    <c:v> </c:v>
                  </c:pt>
                  <c:pt idx="29">
                    <c:v> </c:v>
                  </c:pt>
                  <c:pt idx="30">
                    <c:v> </c:v>
                  </c:pt>
                  <c:pt idx="31">
                    <c:v> </c:v>
                  </c:pt>
                </c:lvl>
                <c:lvl>
                  <c:pt idx="0">
                    <c:v>Fast Ferry</c:v>
                  </c:pt>
                  <c:pt idx="4">
                    <c:v>9000TEU HFO</c:v>
                  </c:pt>
                  <c:pt idx="8">
                    <c:v>9000TEU Diesel</c:v>
                  </c:pt>
                  <c:pt idx="12">
                    <c:v>9000TEU BioDiesel</c:v>
                  </c:pt>
                  <c:pt idx="16">
                    <c:v>9000TEU LNG</c:v>
                  </c:pt>
                  <c:pt idx="20">
                    <c:v>Fast Ferry - Biodiesel</c:v>
                  </c:pt>
                  <c:pt idx="24">
                    <c:v>Ren brint</c:v>
                  </c:pt>
                  <c:pt idx="28">
                    <c:v> </c:v>
                  </c:pt>
                </c:lvl>
              </c:multiLvlStrCache>
            </c:multiLvlStrRef>
          </c:cat>
          <c:val>
            <c:numRef>
              <c:f>ResultsAllYears!$AB$51:$AB$82</c:f>
              <c:numCache>
                <c:formatCode>0.00_ ;\-0.00\ </c:formatCode>
                <c:ptCount val="32"/>
                <c:pt idx="0">
                  <c:v>969.07697429578423</c:v>
                </c:pt>
                <c:pt idx="1">
                  <c:v>1025.7920934702042</c:v>
                </c:pt>
                <c:pt idx="2">
                  <c:v>1093.4822084877933</c:v>
                </c:pt>
                <c:pt idx="3">
                  <c:v>1093.4834616048436</c:v>
                </c:pt>
                <c:pt idx="4">
                  <c:v>3729.5721162109244</c:v>
                </c:pt>
                <c:pt idx="5">
                  <c:v>3234.1642897710799</c:v>
                </c:pt>
                <c:pt idx="6">
                  <c:v>2824.7711457253545</c:v>
                </c:pt>
                <c:pt idx="7">
                  <c:v>2825.2219644903239</c:v>
                </c:pt>
                <c:pt idx="8">
                  <c:v>1804.3946997505118</c:v>
                </c:pt>
                <c:pt idx="9">
                  <c:v>1646.8571434201594</c:v>
                </c:pt>
                <c:pt idx="10">
                  <c:v>1523.4266619747964</c:v>
                </c:pt>
                <c:pt idx="11">
                  <c:v>1523.4279810773535</c:v>
                </c:pt>
                <c:pt idx="12">
                  <c:v>0</c:v>
                </c:pt>
                <c:pt idx="13">
                  <c:v>1808.6996140827482</c:v>
                </c:pt>
                <c:pt idx="14">
                  <c:v>1608.9470428247403</c:v>
                </c:pt>
                <c:pt idx="15">
                  <c:v>1677.6447451924573</c:v>
                </c:pt>
                <c:pt idx="16">
                  <c:v>1075.2454359084275</c:v>
                </c:pt>
                <c:pt idx="17">
                  <c:v>1051.099336817043</c:v>
                </c:pt>
                <c:pt idx="18">
                  <c:v>1058.1959297659796</c:v>
                </c:pt>
                <c:pt idx="19">
                  <c:v>1058.1960122792127</c:v>
                </c:pt>
                <c:pt idx="20">
                  <c:v>0</c:v>
                </c:pt>
                <c:pt idx="21">
                  <c:v>1152.3553967989742</c:v>
                </c:pt>
                <c:pt idx="22">
                  <c:v>1174.7246007627934</c:v>
                </c:pt>
                <c:pt idx="23">
                  <c:v>1239.985835905585</c:v>
                </c:pt>
                <c:pt idx="24">
                  <c:v>2.0749934702262522</c:v>
                </c:pt>
                <c:pt idx="25">
                  <c:v>1.4045375511551084</c:v>
                </c:pt>
                <c:pt idx="26">
                  <c:v>1.2740164611112845</c:v>
                </c:pt>
                <c:pt idx="27">
                  <c:v>1.2738221679515618</c:v>
                </c:pt>
                <c:pt idx="28">
                  <c:v>0</c:v>
                </c:pt>
                <c:pt idx="29">
                  <c:v>0</c:v>
                </c:pt>
                <c:pt idx="30">
                  <c:v>0</c:v>
                </c:pt>
                <c:pt idx="31">
                  <c:v>0</c:v>
                </c:pt>
              </c:numCache>
            </c:numRef>
          </c:val>
        </c:ser>
        <c:dLbls>
          <c:showLegendKey val="0"/>
          <c:showVal val="0"/>
          <c:showCatName val="0"/>
          <c:showSerName val="0"/>
          <c:showPercent val="0"/>
          <c:showBubbleSize val="0"/>
        </c:dLbls>
        <c:gapWidth val="30"/>
        <c:overlap val="100"/>
        <c:axId val="50108288"/>
        <c:axId val="50106752"/>
      </c:barChart>
      <c:catAx>
        <c:axId val="50098944"/>
        <c:scaling>
          <c:orientation val="minMax"/>
        </c:scaling>
        <c:delete val="0"/>
        <c:axPos val="b"/>
        <c:numFmt formatCode="General" sourceLinked="0"/>
        <c:majorTickMark val="out"/>
        <c:minorTickMark val="none"/>
        <c:tickLblPos val="nextTo"/>
        <c:txPr>
          <a:bodyPr/>
          <a:lstStyle/>
          <a:p>
            <a:pPr>
              <a:defRPr sz="1050">
                <a:latin typeface="Verdana" panose="020B0604030504040204" pitchFamily="34" charset="0"/>
                <a:ea typeface="Verdana" panose="020B0604030504040204" pitchFamily="34" charset="0"/>
                <a:cs typeface="Verdana" panose="020B0604030504040204" pitchFamily="34" charset="0"/>
              </a:defRPr>
            </a:pPr>
            <a:endParaRPr lang="da-DK"/>
          </a:p>
        </c:txPr>
        <c:crossAx val="50100480"/>
        <c:crosses val="autoZero"/>
        <c:auto val="1"/>
        <c:lblAlgn val="ctr"/>
        <c:lblOffset val="100"/>
        <c:noMultiLvlLbl val="0"/>
      </c:catAx>
      <c:valAx>
        <c:axId val="50100480"/>
        <c:scaling>
          <c:orientation val="minMax"/>
        </c:scaling>
        <c:delete val="0"/>
        <c:axPos val="l"/>
        <c:majorGridlines/>
        <c:title>
          <c:tx>
            <c:rich>
              <a:bodyPr/>
              <a:lstStyle/>
              <a:p>
                <a:pPr>
                  <a:defRPr sz="1600">
                    <a:latin typeface="Verdana" panose="020B0604030504040204" pitchFamily="34" charset="0"/>
                    <a:ea typeface="Verdana" panose="020B0604030504040204" pitchFamily="34" charset="0"/>
                    <a:cs typeface="Verdana" panose="020B0604030504040204" pitchFamily="34" charset="0"/>
                  </a:defRPr>
                </a:pPr>
                <a:r>
                  <a:rPr lang="en-US" sz="1600">
                    <a:latin typeface="Verdana" panose="020B0604030504040204" pitchFamily="34" charset="0"/>
                    <a:ea typeface="Verdana" panose="020B0604030504040204" pitchFamily="34" charset="0"/>
                    <a:cs typeface="Verdana" panose="020B0604030504040204" pitchFamily="34" charset="0"/>
                  </a:rPr>
                  <a:t>kr/km</a:t>
                </a:r>
              </a:p>
            </c:rich>
          </c:tx>
          <c:overlay val="0"/>
        </c:title>
        <c:numFmt formatCode="#,##0.00" sourceLinked="0"/>
        <c:majorTickMark val="out"/>
        <c:minorTickMark val="none"/>
        <c:tickLblPos val="nextTo"/>
        <c:txPr>
          <a:bodyPr/>
          <a:lstStyle/>
          <a:p>
            <a:pPr>
              <a:defRPr sz="1200">
                <a:latin typeface="Verdana" panose="020B0604030504040204" pitchFamily="34" charset="0"/>
                <a:ea typeface="Verdana" panose="020B0604030504040204" pitchFamily="34" charset="0"/>
                <a:cs typeface="Verdana" panose="020B0604030504040204" pitchFamily="34" charset="0"/>
              </a:defRPr>
            </a:pPr>
            <a:endParaRPr lang="da-DK"/>
          </a:p>
        </c:txPr>
        <c:crossAx val="50098944"/>
        <c:crosses val="autoZero"/>
        <c:crossBetween val="between"/>
      </c:valAx>
      <c:valAx>
        <c:axId val="50106752"/>
        <c:scaling>
          <c:orientation val="minMax"/>
        </c:scaling>
        <c:delete val="0"/>
        <c:axPos val="r"/>
        <c:numFmt formatCode="0.00_ ;\-0.00\ " sourceLinked="1"/>
        <c:majorTickMark val="none"/>
        <c:minorTickMark val="none"/>
        <c:tickLblPos val="none"/>
        <c:crossAx val="50108288"/>
        <c:crosses val="max"/>
        <c:crossBetween val="between"/>
      </c:valAx>
      <c:catAx>
        <c:axId val="50108288"/>
        <c:scaling>
          <c:orientation val="minMax"/>
        </c:scaling>
        <c:delete val="1"/>
        <c:axPos val="b"/>
        <c:numFmt formatCode="General" sourceLinked="1"/>
        <c:majorTickMark val="out"/>
        <c:minorTickMark val="none"/>
        <c:tickLblPos val="none"/>
        <c:crossAx val="50106752"/>
        <c:crosses val="autoZero"/>
        <c:auto val="1"/>
        <c:lblAlgn val="ctr"/>
        <c:lblOffset val="100"/>
        <c:noMultiLvlLbl val="0"/>
      </c:catAx>
    </c:plotArea>
    <c:legend>
      <c:legendPos val="b"/>
      <c:overlay val="0"/>
      <c:txPr>
        <a:bodyPr/>
        <a:lstStyle/>
        <a:p>
          <a:pPr>
            <a:defRPr sz="1400" b="0">
              <a:latin typeface="Verdana" panose="020B0604030504040204" pitchFamily="34" charset="0"/>
              <a:ea typeface="Verdana" panose="020B0604030504040204" pitchFamily="34" charset="0"/>
              <a:cs typeface="Verdana" panose="020B0604030504040204" pitchFamily="34" charset="0"/>
            </a:defRPr>
          </a:pPr>
          <a:endParaRPr lang="da-DK"/>
        </a:p>
      </c:txPr>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ResultsAllYears!$AD$49</c:f>
          <c:strCache>
            <c:ptCount val="1"/>
            <c:pt idx="0">
              <c:v>Development in greenhouse gas emissions by pathway, ships</c:v>
            </c:pt>
          </c:strCache>
        </c:strRef>
      </c:tx>
      <c:overlay val="0"/>
    </c:title>
    <c:autoTitleDeleted val="0"/>
    <c:plotArea>
      <c:layout/>
      <c:barChart>
        <c:barDir val="col"/>
        <c:grouping val="stacked"/>
        <c:varyColors val="0"/>
        <c:ser>
          <c:idx val="0"/>
          <c:order val="0"/>
          <c:tx>
            <c:strRef>
              <c:f>ResultsAllYears!$AF$50</c:f>
              <c:strCache>
                <c:ptCount val="1"/>
                <c:pt idx="0">
                  <c:v>CO₂e</c:v>
                </c:pt>
              </c:strCache>
            </c:strRef>
          </c:tx>
          <c:spPr>
            <a:solidFill>
              <a:schemeClr val="tx1">
                <a:lumMod val="65000"/>
                <a:lumOff val="35000"/>
              </a:schemeClr>
            </a:solidFill>
          </c:spPr>
          <c:invertIfNegative val="0"/>
          <c:dLbls>
            <c:spPr>
              <a:noFill/>
              <a:ln>
                <a:noFill/>
              </a:ln>
              <a:effectLst/>
            </c:spPr>
            <c:txPr>
              <a:bodyPr rot="-5400000" vert="horz"/>
              <a:lstStyle/>
              <a:p>
                <a:pPr>
                  <a:defRPr sz="1100">
                    <a:solidFill>
                      <a:schemeClr val="bg1"/>
                    </a:solidFill>
                  </a:defRPr>
                </a:pPr>
                <a:endParaRPr lang="da-DK"/>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ResultsAllYears!$AD$51:$AE$82</c:f>
              <c:multiLvlStrCache>
                <c:ptCount val="32"/>
                <c:lvl>
                  <c:pt idx="0">
                    <c:v>2015 </c:v>
                  </c:pt>
                  <c:pt idx="1">
                    <c:v>2020 </c:v>
                  </c:pt>
                  <c:pt idx="2">
                    <c:v>2035 </c:v>
                  </c:pt>
                  <c:pt idx="3">
                    <c:v>2050 </c:v>
                  </c:pt>
                  <c:pt idx="4">
                    <c:v>2015 </c:v>
                  </c:pt>
                  <c:pt idx="5">
                    <c:v>2020 </c:v>
                  </c:pt>
                  <c:pt idx="6">
                    <c:v>2035 </c:v>
                  </c:pt>
                  <c:pt idx="7">
                    <c:v>2050 </c:v>
                  </c:pt>
                  <c:pt idx="8">
                    <c:v>2015 </c:v>
                  </c:pt>
                  <c:pt idx="9">
                    <c:v>2020 </c:v>
                  </c:pt>
                  <c:pt idx="10">
                    <c:v>2035 </c:v>
                  </c:pt>
                  <c:pt idx="11">
                    <c:v>2050 </c:v>
                  </c:pt>
                  <c:pt idx="12">
                    <c:v>2015 </c:v>
                  </c:pt>
                  <c:pt idx="13">
                    <c:v>2020 </c:v>
                  </c:pt>
                  <c:pt idx="14">
                    <c:v>2035 </c:v>
                  </c:pt>
                  <c:pt idx="15">
                    <c:v>2050 </c:v>
                  </c:pt>
                  <c:pt idx="16">
                    <c:v>2015 </c:v>
                  </c:pt>
                  <c:pt idx="17">
                    <c:v>2020 </c:v>
                  </c:pt>
                  <c:pt idx="18">
                    <c:v>2035 </c:v>
                  </c:pt>
                  <c:pt idx="19">
                    <c:v>2050 </c:v>
                  </c:pt>
                  <c:pt idx="20">
                    <c:v>2015 </c:v>
                  </c:pt>
                  <c:pt idx="21">
                    <c:v>2020 </c:v>
                  </c:pt>
                  <c:pt idx="22">
                    <c:v>2035 </c:v>
                  </c:pt>
                  <c:pt idx="23">
                    <c:v>2050 </c:v>
                  </c:pt>
                  <c:pt idx="24">
                    <c:v>2015 </c:v>
                  </c:pt>
                  <c:pt idx="25">
                    <c:v>2020 </c:v>
                  </c:pt>
                  <c:pt idx="26">
                    <c:v>2035 </c:v>
                  </c:pt>
                  <c:pt idx="27">
                    <c:v>2050 </c:v>
                  </c:pt>
                  <c:pt idx="28">
                    <c:v> </c:v>
                  </c:pt>
                  <c:pt idx="29">
                    <c:v> </c:v>
                  </c:pt>
                  <c:pt idx="30">
                    <c:v> </c:v>
                  </c:pt>
                  <c:pt idx="31">
                    <c:v> </c:v>
                  </c:pt>
                </c:lvl>
                <c:lvl>
                  <c:pt idx="0">
                    <c:v>Fast Ferry</c:v>
                  </c:pt>
                  <c:pt idx="4">
                    <c:v>9000TEU HFO</c:v>
                  </c:pt>
                  <c:pt idx="8">
                    <c:v>9000TEU Diesel</c:v>
                  </c:pt>
                  <c:pt idx="12">
                    <c:v>9000TEU BioDiesel</c:v>
                  </c:pt>
                  <c:pt idx="16">
                    <c:v>9000TEU LNG</c:v>
                  </c:pt>
                  <c:pt idx="20">
                    <c:v>Fast Ferry - Biodiesel</c:v>
                  </c:pt>
                  <c:pt idx="24">
                    <c:v>Ren brint</c:v>
                  </c:pt>
                  <c:pt idx="28">
                    <c:v> </c:v>
                  </c:pt>
                </c:lvl>
              </c:multiLvlStrCache>
            </c:multiLvlStrRef>
          </c:cat>
          <c:val>
            <c:numRef>
              <c:f>ResultsAllYears!$AF$51:$AF$82</c:f>
              <c:numCache>
                <c:formatCode>0_ ;\-0\ </c:formatCode>
                <c:ptCount val="32"/>
                <c:pt idx="0">
                  <c:v>350298.61560125841</c:v>
                </c:pt>
                <c:pt idx="1">
                  <c:v>350382.78401405021</c:v>
                </c:pt>
                <c:pt idx="2">
                  <c:v>350344.2173708409</c:v>
                </c:pt>
                <c:pt idx="3">
                  <c:v>350126.22064869007</c:v>
                </c:pt>
                <c:pt idx="4">
                  <c:v>562273.26292468584</c:v>
                </c:pt>
                <c:pt idx="5">
                  <c:v>465120.11859830568</c:v>
                </c:pt>
                <c:pt idx="6">
                  <c:v>383153.50256660447</c:v>
                </c:pt>
                <c:pt idx="7">
                  <c:v>382645.72866345476</c:v>
                </c:pt>
                <c:pt idx="8">
                  <c:v>542118.16882409609</c:v>
                </c:pt>
                <c:pt idx="9">
                  <c:v>448051.00650039566</c:v>
                </c:pt>
                <c:pt idx="10">
                  <c:v>368792.32699982385</c:v>
                </c:pt>
                <c:pt idx="11">
                  <c:v>368562.85120300995</c:v>
                </c:pt>
                <c:pt idx="12">
                  <c:v>0</c:v>
                </c:pt>
                <c:pt idx="13">
                  <c:v>-57066.649569985879</c:v>
                </c:pt>
                <c:pt idx="14">
                  <c:v>-25240.852417206785</c:v>
                </c:pt>
                <c:pt idx="15">
                  <c:v>-12666.722540876313</c:v>
                </c:pt>
                <c:pt idx="16">
                  <c:v>528613.83067174477</c:v>
                </c:pt>
                <c:pt idx="17">
                  <c:v>436019.78009934188</c:v>
                </c:pt>
                <c:pt idx="18">
                  <c:v>384509.62807252159</c:v>
                </c:pt>
                <c:pt idx="19">
                  <c:v>384495.27377550275</c:v>
                </c:pt>
                <c:pt idx="20">
                  <c:v>0</c:v>
                </c:pt>
                <c:pt idx="21">
                  <c:v>-44626.998401058612</c:v>
                </c:pt>
                <c:pt idx="22">
                  <c:v>-23978.228500083274</c:v>
                </c:pt>
                <c:pt idx="23">
                  <c:v>-12033.09469949742</c:v>
                </c:pt>
                <c:pt idx="24">
                  <c:v>7.4868508085085361</c:v>
                </c:pt>
                <c:pt idx="25">
                  <c:v>3.9952086258341941</c:v>
                </c:pt>
                <c:pt idx="26">
                  <c:v>3.4958075476049197</c:v>
                </c:pt>
                <c:pt idx="27">
                  <c:v>0</c:v>
                </c:pt>
                <c:pt idx="28">
                  <c:v>0</c:v>
                </c:pt>
                <c:pt idx="29">
                  <c:v>0</c:v>
                </c:pt>
                <c:pt idx="30">
                  <c:v>0</c:v>
                </c:pt>
                <c:pt idx="31">
                  <c:v>0</c:v>
                </c:pt>
              </c:numCache>
            </c:numRef>
          </c:val>
        </c:ser>
        <c:dLbls>
          <c:showLegendKey val="0"/>
          <c:showVal val="0"/>
          <c:showCatName val="0"/>
          <c:showSerName val="0"/>
          <c:showPercent val="0"/>
          <c:showBubbleSize val="0"/>
        </c:dLbls>
        <c:gapWidth val="30"/>
        <c:overlap val="100"/>
        <c:axId val="96250496"/>
        <c:axId val="96260480"/>
      </c:barChart>
      <c:catAx>
        <c:axId val="96250496"/>
        <c:scaling>
          <c:orientation val="minMax"/>
        </c:scaling>
        <c:delete val="0"/>
        <c:axPos val="b"/>
        <c:numFmt formatCode="General" sourceLinked="0"/>
        <c:majorTickMark val="out"/>
        <c:minorTickMark val="none"/>
        <c:tickLblPos val="low"/>
        <c:txPr>
          <a:bodyPr/>
          <a:lstStyle/>
          <a:p>
            <a:pPr>
              <a:defRPr sz="1050">
                <a:latin typeface="Verdana" panose="020B0604030504040204" pitchFamily="34" charset="0"/>
                <a:ea typeface="Verdana" panose="020B0604030504040204" pitchFamily="34" charset="0"/>
                <a:cs typeface="Verdana" panose="020B0604030504040204" pitchFamily="34" charset="0"/>
              </a:defRPr>
            </a:pPr>
            <a:endParaRPr lang="da-DK"/>
          </a:p>
        </c:txPr>
        <c:crossAx val="96260480"/>
        <c:crosses val="autoZero"/>
        <c:auto val="1"/>
        <c:lblAlgn val="ctr"/>
        <c:lblOffset val="100"/>
        <c:noMultiLvlLbl val="0"/>
      </c:catAx>
      <c:valAx>
        <c:axId val="96260480"/>
        <c:scaling>
          <c:orientation val="minMax"/>
        </c:scaling>
        <c:delete val="0"/>
        <c:axPos val="l"/>
        <c:majorGridlines/>
        <c:title>
          <c:tx>
            <c:rich>
              <a:bodyPr/>
              <a:lstStyle/>
              <a:p>
                <a:pPr>
                  <a:defRPr sz="1200">
                    <a:latin typeface="Verdana" panose="020B0604030504040204" pitchFamily="34" charset="0"/>
                    <a:ea typeface="Verdana" panose="020B0604030504040204" pitchFamily="34" charset="0"/>
                    <a:cs typeface="Verdana" panose="020B0604030504040204" pitchFamily="34" charset="0"/>
                  </a:defRPr>
                </a:pPr>
                <a:r>
                  <a:rPr lang="en-US" sz="1200">
                    <a:latin typeface="Verdana" panose="020B0604030504040204" pitchFamily="34" charset="0"/>
                    <a:ea typeface="Verdana" panose="020B0604030504040204" pitchFamily="34" charset="0"/>
                    <a:cs typeface="Verdana" panose="020B0604030504040204" pitchFamily="34" charset="0"/>
                  </a:rPr>
                  <a:t>g</a:t>
                </a:r>
                <a:r>
                  <a:rPr lang="en-US" sz="1200" baseline="0">
                    <a:latin typeface="Verdana" panose="020B0604030504040204" pitchFamily="34" charset="0"/>
                    <a:ea typeface="Verdana" panose="020B0604030504040204" pitchFamily="34" charset="0"/>
                    <a:cs typeface="Verdana" panose="020B0604030504040204" pitchFamily="34" charset="0"/>
                  </a:rPr>
                  <a:t> CO2e/</a:t>
                </a:r>
                <a:r>
                  <a:rPr lang="en-US" sz="1200">
                    <a:latin typeface="Verdana" panose="020B0604030504040204" pitchFamily="34" charset="0"/>
                    <a:ea typeface="Verdana" panose="020B0604030504040204" pitchFamily="34" charset="0"/>
                    <a:cs typeface="Verdana" panose="020B0604030504040204" pitchFamily="34" charset="0"/>
                  </a:rPr>
                  <a:t>km</a:t>
                </a:r>
              </a:p>
            </c:rich>
          </c:tx>
          <c:overlay val="0"/>
        </c:title>
        <c:numFmt formatCode="#,##0" sourceLinked="0"/>
        <c:majorTickMark val="out"/>
        <c:minorTickMark val="none"/>
        <c:tickLblPos val="nextTo"/>
        <c:txPr>
          <a:bodyPr/>
          <a:lstStyle/>
          <a:p>
            <a:pPr>
              <a:defRPr sz="1200">
                <a:latin typeface="Verdana" panose="020B0604030504040204" pitchFamily="34" charset="0"/>
                <a:ea typeface="Verdana" panose="020B0604030504040204" pitchFamily="34" charset="0"/>
                <a:cs typeface="Verdana" panose="020B0604030504040204" pitchFamily="34" charset="0"/>
              </a:defRPr>
            </a:pPr>
            <a:endParaRPr lang="da-DK"/>
          </a:p>
        </c:txPr>
        <c:crossAx val="96250496"/>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Sensitivity!$U$65</c:f>
              <c:strCache>
                <c:ptCount val="1"/>
                <c:pt idx="0">
                  <c:v>Baseline</c:v>
                </c:pt>
              </c:strCache>
            </c:strRef>
          </c:tx>
          <c:invertIfNegative val="0"/>
          <c:cat>
            <c:strRef>
              <c:f>Sensitivity!$V$64:$AC$64</c:f>
              <c:strCache>
                <c:ptCount val="8"/>
                <c:pt idx="0">
                  <c:v>Conv. diesel</c:v>
                </c:pt>
                <c:pt idx="1">
                  <c:v>Biodiesel-2g</c:v>
                </c:pt>
                <c:pt idx="2">
                  <c:v>DME</c:v>
                </c:pt>
                <c:pt idx="3">
                  <c:v>B-Naturgas</c:v>
                </c:pt>
                <c:pt idx="4">
                  <c:v>Biogas</c:v>
                </c:pt>
                <c:pt idx="5">
                  <c:v>0 </c:v>
                </c:pt>
                <c:pt idx="6">
                  <c:v>0 </c:v>
                </c:pt>
                <c:pt idx="7">
                  <c:v>0 </c:v>
                </c:pt>
              </c:strCache>
            </c:strRef>
          </c:cat>
          <c:val>
            <c:numRef>
              <c:f>Sensitivity!$V$65:$AC$65</c:f>
              <c:numCache>
                <c:formatCode>0_ ;\-0\ </c:formatCode>
                <c:ptCount val="8"/>
                <c:pt idx="0">
                  <c:v>1.461037935176611</c:v>
                </c:pt>
                <c:pt idx="1">
                  <c:v>1.4998933428132517</c:v>
                </c:pt>
                <c:pt idx="2">
                  <c:v>1.5145160968587721</c:v>
                </c:pt>
                <c:pt idx="3">
                  <c:v>1.3803814888063681</c:v>
                </c:pt>
                <c:pt idx="4">
                  <c:v>1.57707284334984</c:v>
                </c:pt>
                <c:pt idx="5">
                  <c:v>0</c:v>
                </c:pt>
                <c:pt idx="6">
                  <c:v>0</c:v>
                </c:pt>
                <c:pt idx="7">
                  <c:v>0</c:v>
                </c:pt>
              </c:numCache>
            </c:numRef>
          </c:val>
        </c:ser>
        <c:ser>
          <c:idx val="1"/>
          <c:order val="1"/>
          <c:tx>
            <c:strRef>
              <c:f>Sensitivity!$U$66</c:f>
              <c:strCache>
                <c:ptCount val="1"/>
                <c:pt idx="0">
                  <c:v>Baseline</c:v>
                </c:pt>
              </c:strCache>
            </c:strRef>
          </c:tx>
          <c:invertIfNegative val="0"/>
          <c:cat>
            <c:strRef>
              <c:f>Sensitivity!$V$64:$AC$64</c:f>
              <c:strCache>
                <c:ptCount val="8"/>
                <c:pt idx="0">
                  <c:v>Conv. diesel</c:v>
                </c:pt>
                <c:pt idx="1">
                  <c:v>Biodiesel-2g</c:v>
                </c:pt>
                <c:pt idx="2">
                  <c:v>DME</c:v>
                </c:pt>
                <c:pt idx="3">
                  <c:v>B-Naturgas</c:v>
                </c:pt>
                <c:pt idx="4">
                  <c:v>Biogas</c:v>
                </c:pt>
                <c:pt idx="5">
                  <c:v>0 </c:v>
                </c:pt>
                <c:pt idx="6">
                  <c:v>0 </c:v>
                </c:pt>
                <c:pt idx="7">
                  <c:v>0 </c:v>
                </c:pt>
              </c:strCache>
            </c:strRef>
          </c:cat>
          <c:val>
            <c:numRef>
              <c:f>Sensitivity!$V$66:$AC$66</c:f>
              <c:numCache>
                <c:formatCode>0_ ;\-0\ </c:formatCode>
                <c:ptCount val="8"/>
                <c:pt idx="0">
                  <c:v>1.51900201540816</c:v>
                </c:pt>
                <c:pt idx="1">
                  <c:v>1.4608579680587832</c:v>
                </c:pt>
                <c:pt idx="2">
                  <c:v>1.4991700320183732</c:v>
                </c:pt>
                <c:pt idx="3">
                  <c:v>1.3803814888063681</c:v>
                </c:pt>
                <c:pt idx="4">
                  <c:v>1.57707284334984</c:v>
                </c:pt>
                <c:pt idx="5">
                  <c:v>0</c:v>
                </c:pt>
                <c:pt idx="6">
                  <c:v>0</c:v>
                </c:pt>
                <c:pt idx="7">
                  <c:v>0</c:v>
                </c:pt>
              </c:numCache>
            </c:numRef>
          </c:val>
        </c:ser>
        <c:ser>
          <c:idx val="2"/>
          <c:order val="2"/>
          <c:tx>
            <c:strRef>
              <c:f>Sensitivity!$U$67</c:f>
              <c:strCache>
                <c:ptCount val="1"/>
                <c:pt idx="0">
                  <c:v>All ressources</c:v>
                </c:pt>
              </c:strCache>
            </c:strRef>
          </c:tx>
          <c:invertIfNegative val="0"/>
          <c:cat>
            <c:strRef>
              <c:f>Sensitivity!$V$64:$AC$64</c:f>
              <c:strCache>
                <c:ptCount val="8"/>
                <c:pt idx="0">
                  <c:v>Conv. diesel</c:v>
                </c:pt>
                <c:pt idx="1">
                  <c:v>Biodiesel-2g</c:v>
                </c:pt>
                <c:pt idx="2">
                  <c:v>DME</c:v>
                </c:pt>
                <c:pt idx="3">
                  <c:v>B-Naturgas</c:v>
                </c:pt>
                <c:pt idx="4">
                  <c:v>Biogas</c:v>
                </c:pt>
                <c:pt idx="5">
                  <c:v>0 </c:v>
                </c:pt>
                <c:pt idx="6">
                  <c:v>0 </c:v>
                </c:pt>
                <c:pt idx="7">
                  <c:v>0 </c:v>
                </c:pt>
              </c:strCache>
            </c:strRef>
          </c:cat>
          <c:val>
            <c:numRef>
              <c:f>Sensitivity!$V$67:$AC$67</c:f>
              <c:numCache>
                <c:formatCode>0_ ;\-0\ </c:formatCode>
                <c:ptCount val="8"/>
                <c:pt idx="0">
                  <c:v>1.51900201540816</c:v>
                </c:pt>
                <c:pt idx="1">
                  <c:v>1.4608579680587832</c:v>
                </c:pt>
                <c:pt idx="2">
                  <c:v>1.4991700320183732</c:v>
                </c:pt>
                <c:pt idx="3">
                  <c:v>1.3803814888063681</c:v>
                </c:pt>
                <c:pt idx="4">
                  <c:v>1.57707284334984</c:v>
                </c:pt>
                <c:pt idx="5">
                  <c:v>0</c:v>
                </c:pt>
                <c:pt idx="6">
                  <c:v>0</c:v>
                </c:pt>
                <c:pt idx="7">
                  <c:v>0</c:v>
                </c:pt>
              </c:numCache>
            </c:numRef>
          </c:val>
        </c:ser>
        <c:ser>
          <c:idx val="3"/>
          <c:order val="3"/>
          <c:tx>
            <c:strRef>
              <c:f>Sensitivity!$U$68</c:f>
              <c:strCache>
                <c:ptCount val="1"/>
                <c:pt idx="0">
                  <c:v>Fosill ressources</c:v>
                </c:pt>
              </c:strCache>
            </c:strRef>
          </c:tx>
          <c:invertIfNegative val="0"/>
          <c:cat>
            <c:strRef>
              <c:f>Sensitivity!$V$64:$AC$64</c:f>
              <c:strCache>
                <c:ptCount val="8"/>
                <c:pt idx="0">
                  <c:v>Conv. diesel</c:v>
                </c:pt>
                <c:pt idx="1">
                  <c:v>Biodiesel-2g</c:v>
                </c:pt>
                <c:pt idx="2">
                  <c:v>DME</c:v>
                </c:pt>
                <c:pt idx="3">
                  <c:v>B-Naturgas</c:v>
                </c:pt>
                <c:pt idx="4">
                  <c:v>Biogas</c:v>
                </c:pt>
                <c:pt idx="5">
                  <c:v>0 </c:v>
                </c:pt>
                <c:pt idx="6">
                  <c:v>0 </c:v>
                </c:pt>
                <c:pt idx="7">
                  <c:v>0 </c:v>
                </c:pt>
              </c:strCache>
            </c:strRef>
          </c:cat>
          <c:val>
            <c:numRef>
              <c:f>Sensitivity!$V$68:$AC$68</c:f>
              <c:numCache>
                <c:formatCode>0_ ;\-0\ </c:formatCode>
                <c:ptCount val="8"/>
                <c:pt idx="0">
                  <c:v>1.4674562995487679</c:v>
                </c:pt>
                <c:pt idx="1">
                  <c:v>1.5491642987354353</c:v>
                </c:pt>
                <c:pt idx="2">
                  <c:v>1.5346787777847781</c:v>
                </c:pt>
                <c:pt idx="3">
                  <c:v>1.3854419532575326</c:v>
                </c:pt>
                <c:pt idx="4">
                  <c:v>1.6304220422598039</c:v>
                </c:pt>
                <c:pt idx="5">
                  <c:v>0</c:v>
                </c:pt>
                <c:pt idx="6">
                  <c:v>0</c:v>
                </c:pt>
                <c:pt idx="7">
                  <c:v>0</c:v>
                </c:pt>
              </c:numCache>
            </c:numRef>
          </c:val>
        </c:ser>
        <c:ser>
          <c:idx val="4"/>
          <c:order val="4"/>
          <c:tx>
            <c:strRef>
              <c:f>Sensitivity!$U$69</c:f>
              <c:strCache>
                <c:ptCount val="1"/>
                <c:pt idx="0">
                  <c:v>Fosill ressources</c:v>
                </c:pt>
              </c:strCache>
            </c:strRef>
          </c:tx>
          <c:invertIfNegative val="0"/>
          <c:cat>
            <c:strRef>
              <c:f>Sensitivity!$V$64:$AC$64</c:f>
              <c:strCache>
                <c:ptCount val="8"/>
                <c:pt idx="0">
                  <c:v>Conv. diesel</c:v>
                </c:pt>
                <c:pt idx="1">
                  <c:v>Biodiesel-2g</c:v>
                </c:pt>
                <c:pt idx="2">
                  <c:v>DME</c:v>
                </c:pt>
                <c:pt idx="3">
                  <c:v>B-Naturgas</c:v>
                </c:pt>
                <c:pt idx="4">
                  <c:v>Biogas</c:v>
                </c:pt>
                <c:pt idx="5">
                  <c:v>0 </c:v>
                </c:pt>
                <c:pt idx="6">
                  <c:v>0 </c:v>
                </c:pt>
                <c:pt idx="7">
                  <c:v>0 </c:v>
                </c:pt>
              </c:strCache>
            </c:strRef>
          </c:cat>
          <c:val>
            <c:numRef>
              <c:f>Sensitivity!$V$69:$AC$69</c:f>
              <c:numCache>
                <c:formatCode>0_ ;\-0\ </c:formatCode>
                <c:ptCount val="8"/>
                <c:pt idx="0">
                  <c:v>1.3478447051992275</c:v>
                </c:pt>
                <c:pt idx="1">
                  <c:v>1.3688950307996166</c:v>
                </c:pt>
                <c:pt idx="2">
                  <c:v>1.3889175916113461</c:v>
                </c:pt>
                <c:pt idx="3">
                  <c:v>1.2654785646320104</c:v>
                </c:pt>
                <c:pt idx="4">
                  <c:v>1.4424188916778919</c:v>
                </c:pt>
                <c:pt idx="5">
                  <c:v>0</c:v>
                </c:pt>
                <c:pt idx="6">
                  <c:v>0</c:v>
                </c:pt>
                <c:pt idx="7">
                  <c:v>0</c:v>
                </c:pt>
              </c:numCache>
            </c:numRef>
          </c:val>
        </c:ser>
        <c:dLbls>
          <c:showLegendKey val="0"/>
          <c:showVal val="0"/>
          <c:showCatName val="0"/>
          <c:showSerName val="0"/>
          <c:showPercent val="0"/>
          <c:showBubbleSize val="0"/>
        </c:dLbls>
        <c:gapWidth val="150"/>
        <c:axId val="220875776"/>
        <c:axId val="220877568"/>
      </c:barChart>
      <c:catAx>
        <c:axId val="220875776"/>
        <c:scaling>
          <c:orientation val="minMax"/>
        </c:scaling>
        <c:delete val="0"/>
        <c:axPos val="b"/>
        <c:numFmt formatCode="General" sourceLinked="1"/>
        <c:majorTickMark val="out"/>
        <c:minorTickMark val="none"/>
        <c:tickLblPos val="nextTo"/>
        <c:crossAx val="220877568"/>
        <c:crosses val="autoZero"/>
        <c:auto val="1"/>
        <c:lblAlgn val="ctr"/>
        <c:lblOffset val="100"/>
        <c:noMultiLvlLbl val="0"/>
      </c:catAx>
      <c:valAx>
        <c:axId val="220877568"/>
        <c:scaling>
          <c:orientation val="minMax"/>
        </c:scaling>
        <c:delete val="0"/>
        <c:axPos val="l"/>
        <c:majorGridlines/>
        <c:title>
          <c:tx>
            <c:rich>
              <a:bodyPr rot="-5400000" vert="horz"/>
              <a:lstStyle/>
              <a:p>
                <a:pPr>
                  <a:defRPr sz="1000"/>
                </a:pPr>
                <a:r>
                  <a:rPr lang="da-DK" sz="1000"/>
                  <a:t>kr/km</a:t>
                </a:r>
              </a:p>
            </c:rich>
          </c:tx>
          <c:overlay val="0"/>
        </c:title>
        <c:numFmt formatCode="0_ ;\-0\ " sourceLinked="1"/>
        <c:majorTickMark val="out"/>
        <c:minorTickMark val="none"/>
        <c:tickLblPos val="nextTo"/>
        <c:crossAx val="220875776"/>
        <c:crosses val="autoZero"/>
        <c:crossBetween val="between"/>
      </c:valAx>
    </c:plotArea>
    <c:legend>
      <c:legendPos val="b"/>
      <c:overlay val="0"/>
    </c:legend>
    <c:plotVisOnly val="1"/>
    <c:dispBlanksAs val="gap"/>
    <c:showDLblsOverMax val="0"/>
  </c:chart>
  <c:txPr>
    <a:bodyPr/>
    <a:lstStyle/>
    <a:p>
      <a:pPr>
        <a:defRPr sz="1000"/>
      </a:pPr>
      <a:endParaRPr lang="da-DK"/>
    </a:p>
  </c:txPr>
  <c:printSettings>
    <c:headerFooter/>
    <c:pageMargins b="0.7500000000000091" l="0.70000000000000062" r="0.70000000000000062" t="0.750000000000009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Sensitivity!$U$82</c:f>
              <c:strCache>
                <c:ptCount val="1"/>
                <c:pt idx="0">
                  <c:v>Baseline</c:v>
                </c:pt>
              </c:strCache>
            </c:strRef>
          </c:tx>
          <c:invertIfNegative val="0"/>
          <c:cat>
            <c:strRef>
              <c:f>Sensitivity!$V$81:$AC$81</c:f>
              <c:strCache>
                <c:ptCount val="8"/>
                <c:pt idx="0">
                  <c:v>L-Diesel</c:v>
                </c:pt>
                <c:pt idx="1">
                  <c:v>L-CNG</c:v>
                </c:pt>
                <c:pt idx="2">
                  <c:v>B-Diesel</c:v>
                </c:pt>
                <c:pt idx="3">
                  <c:v>B-CNG</c:v>
                </c:pt>
                <c:pt idx="4">
                  <c:v>B-Hybrid</c:v>
                </c:pt>
                <c:pt idx="5">
                  <c:v>0 </c:v>
                </c:pt>
                <c:pt idx="6">
                  <c:v>0 </c:v>
                </c:pt>
                <c:pt idx="7">
                  <c:v>0 </c:v>
                </c:pt>
              </c:strCache>
            </c:strRef>
          </c:cat>
          <c:val>
            <c:numRef>
              <c:f>Sensitivity!$V$82:$AC$82</c:f>
              <c:numCache>
                <c:formatCode>0_ ;\-0\ </c:formatCode>
                <c:ptCount val="8"/>
                <c:pt idx="0">
                  <c:v>3.3801542242445661</c:v>
                </c:pt>
                <c:pt idx="1">
                  <c:v>3.2977026030420116</c:v>
                </c:pt>
                <c:pt idx="2">
                  <c:v>6.5976169276117087</c:v>
                </c:pt>
                <c:pt idx="3">
                  <c:v>6.5413061227168496</c:v>
                </c:pt>
                <c:pt idx="4">
                  <c:v>7.1701507235412869</c:v>
                </c:pt>
                <c:pt idx="5">
                  <c:v>0</c:v>
                </c:pt>
                <c:pt idx="6">
                  <c:v>0</c:v>
                </c:pt>
                <c:pt idx="7">
                  <c:v>0</c:v>
                </c:pt>
              </c:numCache>
            </c:numRef>
          </c:val>
        </c:ser>
        <c:ser>
          <c:idx val="1"/>
          <c:order val="1"/>
          <c:tx>
            <c:strRef>
              <c:f>Sensitivity!$U$83</c:f>
              <c:strCache>
                <c:ptCount val="1"/>
                <c:pt idx="0">
                  <c:v>Costs</c:v>
                </c:pt>
              </c:strCache>
            </c:strRef>
          </c:tx>
          <c:invertIfNegative val="0"/>
          <c:cat>
            <c:strRef>
              <c:f>Sensitivity!$V$81:$AC$81</c:f>
              <c:strCache>
                <c:ptCount val="8"/>
                <c:pt idx="0">
                  <c:v>L-Diesel</c:v>
                </c:pt>
                <c:pt idx="1">
                  <c:v>L-CNG</c:v>
                </c:pt>
                <c:pt idx="2">
                  <c:v>B-Diesel</c:v>
                </c:pt>
                <c:pt idx="3">
                  <c:v>B-CNG</c:v>
                </c:pt>
                <c:pt idx="4">
                  <c:v>B-Hybrid</c:v>
                </c:pt>
                <c:pt idx="5">
                  <c:v>0 </c:v>
                </c:pt>
                <c:pt idx="6">
                  <c:v>0 </c:v>
                </c:pt>
                <c:pt idx="7">
                  <c:v>0 </c:v>
                </c:pt>
              </c:strCache>
            </c:strRef>
          </c:cat>
          <c:val>
            <c:numRef>
              <c:f>Sensitivity!$V$83:$AC$83</c:f>
              <c:numCache>
                <c:formatCode>0_ ;\-0\ </c:formatCode>
                <c:ptCount val="8"/>
                <c:pt idx="0">
                  <c:v>3.767856963206055</c:v>
                </c:pt>
                <c:pt idx="1">
                  <c:v>3.2977026030420116</c:v>
                </c:pt>
                <c:pt idx="2">
                  <c:v>7.1989438757409783</c:v>
                </c:pt>
                <c:pt idx="3">
                  <c:v>6.5413061227168496</c:v>
                </c:pt>
                <c:pt idx="4">
                  <c:v>7.6327099144099559</c:v>
                </c:pt>
                <c:pt idx="5">
                  <c:v>0</c:v>
                </c:pt>
                <c:pt idx="6">
                  <c:v>0</c:v>
                </c:pt>
                <c:pt idx="7">
                  <c:v>0</c:v>
                </c:pt>
              </c:numCache>
            </c:numRef>
          </c:val>
        </c:ser>
        <c:ser>
          <c:idx val="2"/>
          <c:order val="2"/>
          <c:tx>
            <c:strRef>
              <c:f>Sensitivity!$U$84</c:f>
              <c:strCache>
                <c:ptCount val="1"/>
                <c:pt idx="0">
                  <c:v>IRR</c:v>
                </c:pt>
              </c:strCache>
            </c:strRef>
          </c:tx>
          <c:invertIfNegative val="0"/>
          <c:cat>
            <c:strRef>
              <c:f>Sensitivity!$V$81:$AC$81</c:f>
              <c:strCache>
                <c:ptCount val="8"/>
                <c:pt idx="0">
                  <c:v>L-Diesel</c:v>
                </c:pt>
                <c:pt idx="1">
                  <c:v>L-CNG</c:v>
                </c:pt>
                <c:pt idx="2">
                  <c:v>B-Diesel</c:v>
                </c:pt>
                <c:pt idx="3">
                  <c:v>B-CNG</c:v>
                </c:pt>
                <c:pt idx="4">
                  <c:v>B-Hybrid</c:v>
                </c:pt>
                <c:pt idx="5">
                  <c:v>0 </c:v>
                </c:pt>
                <c:pt idx="6">
                  <c:v>0 </c:v>
                </c:pt>
                <c:pt idx="7">
                  <c:v>0 </c:v>
                </c:pt>
              </c:strCache>
            </c:strRef>
          </c:cat>
          <c:val>
            <c:numRef>
              <c:f>Sensitivity!$V$84:$AC$84</c:f>
              <c:numCache>
                <c:formatCode>0_ ;\-0\ </c:formatCode>
                <c:ptCount val="8"/>
                <c:pt idx="0">
                  <c:v>3.767856963206055</c:v>
                </c:pt>
                <c:pt idx="1">
                  <c:v>3.2977026030420116</c:v>
                </c:pt>
                <c:pt idx="2">
                  <c:v>7.1989438757409783</c:v>
                </c:pt>
                <c:pt idx="3">
                  <c:v>6.5413061227168496</c:v>
                </c:pt>
                <c:pt idx="4">
                  <c:v>7.6327099144099559</c:v>
                </c:pt>
                <c:pt idx="5">
                  <c:v>0</c:v>
                </c:pt>
                <c:pt idx="6">
                  <c:v>0</c:v>
                </c:pt>
                <c:pt idx="7">
                  <c:v>0</c:v>
                </c:pt>
              </c:numCache>
            </c:numRef>
          </c:val>
        </c:ser>
        <c:ser>
          <c:idx val="3"/>
          <c:order val="3"/>
          <c:tx>
            <c:strRef>
              <c:f>Sensitivity!$U$85</c:f>
              <c:strCache>
                <c:ptCount val="1"/>
                <c:pt idx="0">
                  <c:v>Baseline</c:v>
                </c:pt>
              </c:strCache>
            </c:strRef>
          </c:tx>
          <c:invertIfNegative val="0"/>
          <c:cat>
            <c:strRef>
              <c:f>Sensitivity!$V$81:$AC$81</c:f>
              <c:strCache>
                <c:ptCount val="8"/>
                <c:pt idx="0">
                  <c:v>L-Diesel</c:v>
                </c:pt>
                <c:pt idx="1">
                  <c:v>L-CNG</c:v>
                </c:pt>
                <c:pt idx="2">
                  <c:v>B-Diesel</c:v>
                </c:pt>
                <c:pt idx="3">
                  <c:v>B-CNG</c:v>
                </c:pt>
                <c:pt idx="4">
                  <c:v>B-Hybrid</c:v>
                </c:pt>
                <c:pt idx="5">
                  <c:v>0 </c:v>
                </c:pt>
                <c:pt idx="6">
                  <c:v>0 </c:v>
                </c:pt>
                <c:pt idx="7">
                  <c:v>0 </c:v>
                </c:pt>
              </c:strCache>
            </c:strRef>
          </c:cat>
          <c:val>
            <c:numRef>
              <c:f>Sensitivity!$V$85:$AC$85</c:f>
              <c:numCache>
                <c:formatCode>0_ ;\-0\ </c:formatCode>
                <c:ptCount val="8"/>
                <c:pt idx="0">
                  <c:v>3.4231064103505844</c:v>
                </c:pt>
                <c:pt idx="1">
                  <c:v>3.3244580883726105</c:v>
                </c:pt>
                <c:pt idx="2">
                  <c:v>6.6642357682621434</c:v>
                </c:pt>
                <c:pt idx="3">
                  <c:v>6.5828038804646081</c:v>
                </c:pt>
                <c:pt idx="4">
                  <c:v>7.2213959855800836</c:v>
                </c:pt>
                <c:pt idx="5">
                  <c:v>0</c:v>
                </c:pt>
                <c:pt idx="6">
                  <c:v>0</c:v>
                </c:pt>
                <c:pt idx="7">
                  <c:v>0</c:v>
                </c:pt>
              </c:numCache>
            </c:numRef>
          </c:val>
        </c:ser>
        <c:ser>
          <c:idx val="4"/>
          <c:order val="4"/>
          <c:tx>
            <c:strRef>
              <c:f>Sensitivity!$U$86</c:f>
              <c:strCache>
                <c:ptCount val="1"/>
                <c:pt idx="0">
                  <c:v>Costs</c:v>
                </c:pt>
              </c:strCache>
            </c:strRef>
          </c:tx>
          <c:invertIfNegative val="0"/>
          <c:cat>
            <c:strRef>
              <c:f>Sensitivity!$V$81:$AC$81</c:f>
              <c:strCache>
                <c:ptCount val="8"/>
                <c:pt idx="0">
                  <c:v>L-Diesel</c:v>
                </c:pt>
                <c:pt idx="1">
                  <c:v>L-CNG</c:v>
                </c:pt>
                <c:pt idx="2">
                  <c:v>B-Diesel</c:v>
                </c:pt>
                <c:pt idx="3">
                  <c:v>B-CNG</c:v>
                </c:pt>
                <c:pt idx="4">
                  <c:v>B-Hybrid</c:v>
                </c:pt>
                <c:pt idx="5">
                  <c:v>0 </c:v>
                </c:pt>
                <c:pt idx="6">
                  <c:v>0 </c:v>
                </c:pt>
                <c:pt idx="7">
                  <c:v>0 </c:v>
                </c:pt>
              </c:strCache>
            </c:strRef>
          </c:cat>
          <c:val>
            <c:numRef>
              <c:f>Sensitivity!$V$86:$AC$86</c:f>
              <c:numCache>
                <c:formatCode>0_ ;\-0\ </c:formatCode>
                <c:ptCount val="8"/>
                <c:pt idx="0">
                  <c:v>3.3065616754419147</c:v>
                </c:pt>
                <c:pt idx="1">
                  <c:v>3.1769702679632328</c:v>
                </c:pt>
                <c:pt idx="2">
                  <c:v>6.3999655049861932</c:v>
                </c:pt>
                <c:pt idx="3">
                  <c:v>6.2779047403141144</c:v>
                </c:pt>
                <c:pt idx="4">
                  <c:v>6.870287427578754</c:v>
                </c:pt>
                <c:pt idx="5">
                  <c:v>0</c:v>
                </c:pt>
                <c:pt idx="6">
                  <c:v>0</c:v>
                </c:pt>
                <c:pt idx="7">
                  <c:v>0</c:v>
                </c:pt>
              </c:numCache>
            </c:numRef>
          </c:val>
        </c:ser>
        <c:ser>
          <c:idx val="5"/>
          <c:order val="5"/>
          <c:tx>
            <c:strRef>
              <c:f>Sensitivity!$U$87</c:f>
              <c:strCache>
                <c:ptCount val="1"/>
              </c:strCache>
            </c:strRef>
          </c:tx>
          <c:invertIfNegative val="0"/>
          <c:cat>
            <c:strRef>
              <c:f>Sensitivity!$V$81:$AC$81</c:f>
              <c:strCache>
                <c:ptCount val="8"/>
                <c:pt idx="0">
                  <c:v>L-Diesel</c:v>
                </c:pt>
                <c:pt idx="1">
                  <c:v>L-CNG</c:v>
                </c:pt>
                <c:pt idx="2">
                  <c:v>B-Diesel</c:v>
                </c:pt>
                <c:pt idx="3">
                  <c:v>B-CNG</c:v>
                </c:pt>
                <c:pt idx="4">
                  <c:v>B-Hybrid</c:v>
                </c:pt>
                <c:pt idx="5">
                  <c:v>0 </c:v>
                </c:pt>
                <c:pt idx="6">
                  <c:v>0 </c:v>
                </c:pt>
                <c:pt idx="7">
                  <c:v>0 </c:v>
                </c:pt>
              </c:strCache>
            </c:strRef>
          </c:cat>
          <c:val>
            <c:numRef>
              <c:f>Sensitivity!$V$87:$AC$87</c:f>
              <c:numCache>
                <c:formatCode>0_ ;\-0\ </c:formatCode>
                <c:ptCount val="8"/>
              </c:numCache>
            </c:numRef>
          </c:val>
        </c:ser>
        <c:dLbls>
          <c:showLegendKey val="0"/>
          <c:showVal val="0"/>
          <c:showCatName val="0"/>
          <c:showSerName val="0"/>
          <c:showPercent val="0"/>
          <c:showBubbleSize val="0"/>
        </c:dLbls>
        <c:gapWidth val="150"/>
        <c:axId val="222246016"/>
        <c:axId val="222247552"/>
      </c:barChart>
      <c:catAx>
        <c:axId val="222246016"/>
        <c:scaling>
          <c:orientation val="minMax"/>
        </c:scaling>
        <c:delete val="0"/>
        <c:axPos val="b"/>
        <c:numFmt formatCode="General" sourceLinked="1"/>
        <c:majorTickMark val="out"/>
        <c:minorTickMark val="none"/>
        <c:tickLblPos val="nextTo"/>
        <c:crossAx val="222247552"/>
        <c:crosses val="autoZero"/>
        <c:auto val="1"/>
        <c:lblAlgn val="ctr"/>
        <c:lblOffset val="100"/>
        <c:noMultiLvlLbl val="0"/>
      </c:catAx>
      <c:valAx>
        <c:axId val="222247552"/>
        <c:scaling>
          <c:orientation val="minMax"/>
        </c:scaling>
        <c:delete val="0"/>
        <c:axPos val="l"/>
        <c:majorGridlines/>
        <c:title>
          <c:tx>
            <c:rich>
              <a:bodyPr rot="-5400000" vert="horz"/>
              <a:lstStyle/>
              <a:p>
                <a:pPr>
                  <a:defRPr sz="1000"/>
                </a:pPr>
                <a:r>
                  <a:rPr lang="da-DK" sz="1000"/>
                  <a:t>kr/km</a:t>
                </a:r>
              </a:p>
            </c:rich>
          </c:tx>
          <c:overlay val="0"/>
        </c:title>
        <c:numFmt formatCode="0_ ;\-0\ " sourceLinked="1"/>
        <c:majorTickMark val="out"/>
        <c:minorTickMark val="none"/>
        <c:tickLblPos val="nextTo"/>
        <c:crossAx val="222246016"/>
        <c:crosses val="autoZero"/>
        <c:crossBetween val="between"/>
      </c:valAx>
    </c:plotArea>
    <c:legend>
      <c:legendPos val="b"/>
      <c:overlay val="0"/>
    </c:legend>
    <c:plotVisOnly val="1"/>
    <c:dispBlanksAs val="gap"/>
    <c:showDLblsOverMax val="0"/>
  </c:chart>
  <c:txPr>
    <a:bodyPr/>
    <a:lstStyle/>
    <a:p>
      <a:pPr>
        <a:defRPr sz="1000"/>
      </a:pPr>
      <a:endParaRPr lang="da-DK"/>
    </a:p>
  </c:txPr>
  <c:printSettings>
    <c:headerFooter/>
    <c:pageMargins b="0.7500000000000091" l="0.70000000000000062" r="0.70000000000000062" t="0.750000000000009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Sensitivity!$U$100</c:f>
              <c:strCache>
                <c:ptCount val="1"/>
                <c:pt idx="0">
                  <c:v>Baseline</c:v>
                </c:pt>
              </c:strCache>
            </c:strRef>
          </c:tx>
          <c:invertIfNegative val="0"/>
          <c:cat>
            <c:strRef>
              <c:f>Sensitivity!$V$99:$AC$99</c:f>
              <c:strCache>
                <c:ptCount val="8"/>
                <c:pt idx="0">
                  <c:v>Aircraft Fossil</c:v>
                </c:pt>
                <c:pt idx="1">
                  <c:v>9000TEU HFO</c:v>
                </c:pt>
                <c:pt idx="2">
                  <c:v>9000TEU Diesel</c:v>
                </c:pt>
                <c:pt idx="3">
                  <c:v>9000TEU Diesel</c:v>
                </c:pt>
                <c:pt idx="4">
                  <c:v>0 </c:v>
                </c:pt>
                <c:pt idx="5">
                  <c:v>0 </c:v>
                </c:pt>
                <c:pt idx="6">
                  <c:v>0 </c:v>
                </c:pt>
                <c:pt idx="7">
                  <c:v>0 </c:v>
                </c:pt>
              </c:strCache>
            </c:strRef>
          </c:cat>
          <c:val>
            <c:numRef>
              <c:f>Sensitivity!$V$100:$AC$100</c:f>
              <c:numCache>
                <c:formatCode>0_ ;\-0\ </c:formatCode>
                <c:ptCount val="8"/>
                <c:pt idx="0">
                  <c:v>13.513008208535584</c:v>
                </c:pt>
                <c:pt idx="1">
                  <c:v>4526.1631985456925</c:v>
                </c:pt>
                <c:pt idx="2">
                  <c:v>4687.5424465616752</c:v>
                </c:pt>
                <c:pt idx="3">
                  <c:v>4687.5424465616752</c:v>
                </c:pt>
                <c:pt idx="4">
                  <c:v>0</c:v>
                </c:pt>
                <c:pt idx="5">
                  <c:v>0</c:v>
                </c:pt>
                <c:pt idx="6">
                  <c:v>0</c:v>
                </c:pt>
                <c:pt idx="7">
                  <c:v>0</c:v>
                </c:pt>
              </c:numCache>
            </c:numRef>
          </c:val>
        </c:ser>
        <c:ser>
          <c:idx val="1"/>
          <c:order val="1"/>
          <c:tx>
            <c:strRef>
              <c:f>Sensitivity!$U$101</c:f>
              <c:strCache>
                <c:ptCount val="1"/>
                <c:pt idx="0">
                  <c:v>Fosill ressources</c:v>
                </c:pt>
              </c:strCache>
            </c:strRef>
          </c:tx>
          <c:invertIfNegative val="0"/>
          <c:cat>
            <c:strRef>
              <c:f>Sensitivity!$V$99:$AC$99</c:f>
              <c:strCache>
                <c:ptCount val="8"/>
                <c:pt idx="0">
                  <c:v>Aircraft Fossil</c:v>
                </c:pt>
                <c:pt idx="1">
                  <c:v>9000TEU HFO</c:v>
                </c:pt>
                <c:pt idx="2">
                  <c:v>9000TEU Diesel</c:v>
                </c:pt>
                <c:pt idx="3">
                  <c:v>9000TEU Diesel</c:v>
                </c:pt>
                <c:pt idx="4">
                  <c:v>0 </c:v>
                </c:pt>
                <c:pt idx="5">
                  <c:v>0 </c:v>
                </c:pt>
                <c:pt idx="6">
                  <c:v>0 </c:v>
                </c:pt>
                <c:pt idx="7">
                  <c:v>0 </c:v>
                </c:pt>
              </c:strCache>
            </c:strRef>
          </c:cat>
          <c:val>
            <c:numRef>
              <c:f>Sensitivity!$V$101:$AC$101</c:f>
              <c:numCache>
                <c:formatCode>0_ ;\-0\ </c:formatCode>
                <c:ptCount val="8"/>
                <c:pt idx="0">
                  <c:v>17.338391301249438</c:v>
                </c:pt>
                <c:pt idx="1">
                  <c:v>4712.4427659418834</c:v>
                </c:pt>
                <c:pt idx="2">
                  <c:v>4921.1707560309496</c:v>
                </c:pt>
                <c:pt idx="3">
                  <c:v>4921.1707560309496</c:v>
                </c:pt>
                <c:pt idx="4">
                  <c:v>0</c:v>
                </c:pt>
                <c:pt idx="5">
                  <c:v>0</c:v>
                </c:pt>
                <c:pt idx="6">
                  <c:v>0</c:v>
                </c:pt>
                <c:pt idx="7">
                  <c:v>0</c:v>
                </c:pt>
              </c:numCache>
            </c:numRef>
          </c:val>
        </c:ser>
        <c:ser>
          <c:idx val="2"/>
          <c:order val="2"/>
          <c:tx>
            <c:strRef>
              <c:f>Sensitivity!$U$102</c:f>
              <c:strCache>
                <c:ptCount val="1"/>
                <c:pt idx="0">
                  <c:v>All ressources</c:v>
                </c:pt>
              </c:strCache>
            </c:strRef>
          </c:tx>
          <c:invertIfNegative val="0"/>
          <c:cat>
            <c:strRef>
              <c:f>Sensitivity!$V$99:$AC$99</c:f>
              <c:strCache>
                <c:ptCount val="8"/>
                <c:pt idx="0">
                  <c:v>Aircraft Fossil</c:v>
                </c:pt>
                <c:pt idx="1">
                  <c:v>9000TEU HFO</c:v>
                </c:pt>
                <c:pt idx="2">
                  <c:v>9000TEU Diesel</c:v>
                </c:pt>
                <c:pt idx="3">
                  <c:v>9000TEU Diesel</c:v>
                </c:pt>
                <c:pt idx="4">
                  <c:v>0 </c:v>
                </c:pt>
                <c:pt idx="5">
                  <c:v>0 </c:v>
                </c:pt>
                <c:pt idx="6">
                  <c:v>0 </c:v>
                </c:pt>
                <c:pt idx="7">
                  <c:v>0 </c:v>
                </c:pt>
              </c:strCache>
            </c:strRef>
          </c:cat>
          <c:val>
            <c:numRef>
              <c:f>Sensitivity!$V$102:$AC$102</c:f>
              <c:numCache>
                <c:formatCode>0_ ;\-0\ </c:formatCode>
                <c:ptCount val="8"/>
                <c:pt idx="0">
                  <c:v>17.338391301249438</c:v>
                </c:pt>
                <c:pt idx="1">
                  <c:v>4712.4427659418834</c:v>
                </c:pt>
                <c:pt idx="2">
                  <c:v>4921.1707560309496</c:v>
                </c:pt>
                <c:pt idx="3">
                  <c:v>4921.1707560309496</c:v>
                </c:pt>
                <c:pt idx="4">
                  <c:v>0</c:v>
                </c:pt>
                <c:pt idx="5">
                  <c:v>0</c:v>
                </c:pt>
                <c:pt idx="6">
                  <c:v>0</c:v>
                </c:pt>
                <c:pt idx="7">
                  <c:v>0</c:v>
                </c:pt>
              </c:numCache>
            </c:numRef>
          </c:val>
        </c:ser>
        <c:ser>
          <c:idx val="3"/>
          <c:order val="3"/>
          <c:tx>
            <c:strRef>
              <c:f>Sensitivity!$U$103</c:f>
              <c:strCache>
                <c:ptCount val="1"/>
                <c:pt idx="0">
                  <c:v>Costs</c:v>
                </c:pt>
              </c:strCache>
            </c:strRef>
          </c:tx>
          <c:invertIfNegative val="0"/>
          <c:cat>
            <c:strRef>
              <c:f>Sensitivity!$V$99:$AC$99</c:f>
              <c:strCache>
                <c:ptCount val="8"/>
                <c:pt idx="0">
                  <c:v>Aircraft Fossil</c:v>
                </c:pt>
                <c:pt idx="1">
                  <c:v>9000TEU HFO</c:v>
                </c:pt>
                <c:pt idx="2">
                  <c:v>9000TEU Diesel</c:v>
                </c:pt>
                <c:pt idx="3">
                  <c:v>9000TEU Diesel</c:v>
                </c:pt>
                <c:pt idx="4">
                  <c:v>0 </c:v>
                </c:pt>
                <c:pt idx="5">
                  <c:v>0 </c:v>
                </c:pt>
                <c:pt idx="6">
                  <c:v>0 </c:v>
                </c:pt>
                <c:pt idx="7">
                  <c:v>0 </c:v>
                </c:pt>
              </c:strCache>
            </c:strRef>
          </c:cat>
          <c:val>
            <c:numRef>
              <c:f>Sensitivity!$V$103:$AC$103</c:f>
              <c:numCache>
                <c:formatCode>0_ ;\-0\ </c:formatCode>
                <c:ptCount val="8"/>
                <c:pt idx="0">
                  <c:v>33.556907732010998</c:v>
                </c:pt>
                <c:pt idx="1">
                  <c:v>4602.4050726757305</c:v>
                </c:pt>
                <c:pt idx="2">
                  <c:v>4713.4252831256845</c:v>
                </c:pt>
                <c:pt idx="3">
                  <c:v>4713.4252831256845</c:v>
                </c:pt>
                <c:pt idx="4">
                  <c:v>0</c:v>
                </c:pt>
                <c:pt idx="5">
                  <c:v>0</c:v>
                </c:pt>
                <c:pt idx="6">
                  <c:v>0</c:v>
                </c:pt>
                <c:pt idx="7">
                  <c:v>0</c:v>
                </c:pt>
              </c:numCache>
            </c:numRef>
          </c:val>
        </c:ser>
        <c:dLbls>
          <c:showLegendKey val="0"/>
          <c:showVal val="0"/>
          <c:showCatName val="0"/>
          <c:showSerName val="0"/>
          <c:showPercent val="0"/>
          <c:showBubbleSize val="0"/>
        </c:dLbls>
        <c:gapWidth val="150"/>
        <c:axId val="222282880"/>
        <c:axId val="222284416"/>
      </c:barChart>
      <c:catAx>
        <c:axId val="222282880"/>
        <c:scaling>
          <c:orientation val="minMax"/>
        </c:scaling>
        <c:delete val="0"/>
        <c:axPos val="b"/>
        <c:numFmt formatCode="General" sourceLinked="1"/>
        <c:majorTickMark val="out"/>
        <c:minorTickMark val="none"/>
        <c:tickLblPos val="nextTo"/>
        <c:crossAx val="222284416"/>
        <c:crosses val="autoZero"/>
        <c:auto val="1"/>
        <c:lblAlgn val="ctr"/>
        <c:lblOffset val="100"/>
        <c:noMultiLvlLbl val="0"/>
      </c:catAx>
      <c:valAx>
        <c:axId val="222284416"/>
        <c:scaling>
          <c:orientation val="minMax"/>
        </c:scaling>
        <c:delete val="0"/>
        <c:axPos val="l"/>
        <c:majorGridlines/>
        <c:title>
          <c:tx>
            <c:rich>
              <a:bodyPr rot="-5400000" vert="horz"/>
              <a:lstStyle/>
              <a:p>
                <a:pPr>
                  <a:defRPr sz="1000"/>
                </a:pPr>
                <a:r>
                  <a:rPr lang="da-DK" sz="1000"/>
                  <a:t>kr/km</a:t>
                </a:r>
              </a:p>
            </c:rich>
          </c:tx>
          <c:overlay val="0"/>
        </c:title>
        <c:numFmt formatCode="0_ ;\-0\ " sourceLinked="1"/>
        <c:majorTickMark val="out"/>
        <c:minorTickMark val="none"/>
        <c:tickLblPos val="nextTo"/>
        <c:crossAx val="222282880"/>
        <c:crosses val="autoZero"/>
        <c:crossBetween val="between"/>
      </c:valAx>
    </c:plotArea>
    <c:legend>
      <c:legendPos val="b"/>
      <c:overlay val="0"/>
    </c:legend>
    <c:plotVisOnly val="1"/>
    <c:dispBlanksAs val="gap"/>
    <c:showDLblsOverMax val="0"/>
  </c:chart>
  <c:txPr>
    <a:bodyPr/>
    <a:lstStyle/>
    <a:p>
      <a:pPr>
        <a:defRPr sz="1000"/>
      </a:pPr>
      <a:endParaRPr lang="da-DK"/>
    </a:p>
  </c:txPr>
  <c:printSettings>
    <c:headerFooter/>
    <c:pageMargins b="0.75000000000000933" l="0.70000000000000062" r="0.70000000000000062" t="0.75000000000000933"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Sensitivity!$U$47</c:f>
              <c:strCache>
                <c:ptCount val="1"/>
                <c:pt idx="0">
                  <c:v>Baseline</c:v>
                </c:pt>
              </c:strCache>
            </c:strRef>
          </c:tx>
          <c:invertIfNegative val="0"/>
          <c:cat>
            <c:strRef>
              <c:f>Sensitivity!$V$46:$AC$46</c:f>
              <c:strCache>
                <c:ptCount val="8"/>
                <c:pt idx="0">
                  <c:v>Conv. gasoline</c:v>
                </c:pt>
                <c:pt idx="1">
                  <c:v>E85-1g</c:v>
                </c:pt>
                <c:pt idx="2">
                  <c:v>E85-2g</c:v>
                </c:pt>
                <c:pt idx="3">
                  <c:v>B-Naturgas</c:v>
                </c:pt>
                <c:pt idx="4">
                  <c:v>MeOH</c:v>
                </c:pt>
                <c:pt idx="5">
                  <c:v>B-Brint</c:v>
                </c:pt>
                <c:pt idx="6">
                  <c:v>Elbil</c:v>
                </c:pt>
                <c:pt idx="7">
                  <c:v>Plugin Hybrid</c:v>
                </c:pt>
              </c:strCache>
            </c:strRef>
          </c:cat>
          <c:val>
            <c:numRef>
              <c:f>Sensitivity!$V$47:$AC$47</c:f>
              <c:numCache>
                <c:formatCode>#,##0.00</c:formatCode>
                <c:ptCount val="8"/>
                <c:pt idx="0">
                  <c:v>1.4724593159667367</c:v>
                </c:pt>
                <c:pt idx="1">
                  <c:v>1.4745527520751238</c:v>
                </c:pt>
                <c:pt idx="2">
                  <c:v>1.4267708077393384</c:v>
                </c:pt>
                <c:pt idx="3">
                  <c:v>1.3803814888063681</c:v>
                </c:pt>
                <c:pt idx="4">
                  <c:v>1.8103902617223755</c:v>
                </c:pt>
                <c:pt idx="5">
                  <c:v>1.7708909112978517</c:v>
                </c:pt>
                <c:pt idx="6" formatCode="#,##0.0000">
                  <c:v>1.3614819970754357</c:v>
                </c:pt>
                <c:pt idx="7">
                  <c:v>1.4265706494839208</c:v>
                </c:pt>
              </c:numCache>
            </c:numRef>
          </c:val>
        </c:ser>
        <c:ser>
          <c:idx val="1"/>
          <c:order val="1"/>
          <c:tx>
            <c:strRef>
              <c:f>Sensitivity!$U$48</c:f>
              <c:strCache>
                <c:ptCount val="1"/>
                <c:pt idx="0">
                  <c:v>Fossil prices</c:v>
                </c:pt>
              </c:strCache>
            </c:strRef>
          </c:tx>
          <c:invertIfNegative val="0"/>
          <c:cat>
            <c:strRef>
              <c:f>Sensitivity!$V$46:$AC$46</c:f>
              <c:strCache>
                <c:ptCount val="8"/>
                <c:pt idx="0">
                  <c:v>Conv. gasoline</c:v>
                </c:pt>
                <c:pt idx="1">
                  <c:v>E85-1g</c:v>
                </c:pt>
                <c:pt idx="2">
                  <c:v>E85-2g</c:v>
                </c:pt>
                <c:pt idx="3">
                  <c:v>B-Naturgas</c:v>
                </c:pt>
                <c:pt idx="4">
                  <c:v>MeOH</c:v>
                </c:pt>
                <c:pt idx="5">
                  <c:v>B-Brint</c:v>
                </c:pt>
                <c:pt idx="6">
                  <c:v>Elbil</c:v>
                </c:pt>
                <c:pt idx="7">
                  <c:v>Plugin Hybrid</c:v>
                </c:pt>
              </c:strCache>
            </c:strRef>
          </c:cat>
          <c:val>
            <c:numRef>
              <c:f>Sensitivity!$V$48:$AC$48</c:f>
              <c:numCache>
                <c:formatCode>#,##0.00</c:formatCode>
                <c:ptCount val="8"/>
                <c:pt idx="0">
                  <c:v>1.5485914534761422</c:v>
                </c:pt>
                <c:pt idx="1">
                  <c:v>1.4882275967733198</c:v>
                </c:pt>
                <c:pt idx="2">
                  <c:v>1.4123727461406463</c:v>
                </c:pt>
                <c:pt idx="3">
                  <c:v>1.3803814888063681</c:v>
                </c:pt>
                <c:pt idx="4">
                  <c:v>1.8178983774976805</c:v>
                </c:pt>
                <c:pt idx="5">
                  <c:v>1.7848120749958716</c:v>
                </c:pt>
                <c:pt idx="6">
                  <c:v>1.3704217832943029</c:v>
                </c:pt>
                <c:pt idx="7">
                  <c:v>1.4504658202775609</c:v>
                </c:pt>
              </c:numCache>
            </c:numRef>
          </c:val>
        </c:ser>
        <c:ser>
          <c:idx val="2"/>
          <c:order val="2"/>
          <c:tx>
            <c:strRef>
              <c:f>Sensitivity!$U$49</c:f>
              <c:strCache>
                <c:ptCount val="1"/>
                <c:pt idx="0">
                  <c:v>All prices</c:v>
                </c:pt>
              </c:strCache>
            </c:strRef>
          </c:tx>
          <c:invertIfNegative val="0"/>
          <c:cat>
            <c:strRef>
              <c:f>Sensitivity!$V$46:$AC$46</c:f>
              <c:strCache>
                <c:ptCount val="8"/>
                <c:pt idx="0">
                  <c:v>Conv. gasoline</c:v>
                </c:pt>
                <c:pt idx="1">
                  <c:v>E85-1g</c:v>
                </c:pt>
                <c:pt idx="2">
                  <c:v>E85-2g</c:v>
                </c:pt>
                <c:pt idx="3">
                  <c:v>B-Naturgas</c:v>
                </c:pt>
                <c:pt idx="4">
                  <c:v>MeOH</c:v>
                </c:pt>
                <c:pt idx="5">
                  <c:v>B-Brint</c:v>
                </c:pt>
                <c:pt idx="6">
                  <c:v>Elbil</c:v>
                </c:pt>
                <c:pt idx="7">
                  <c:v>Plugin Hybrid</c:v>
                </c:pt>
              </c:strCache>
            </c:strRef>
          </c:cat>
          <c:val>
            <c:numRef>
              <c:f>Sensitivity!$V$49:$AC$49</c:f>
              <c:numCache>
                <c:formatCode>#,##0.00</c:formatCode>
                <c:ptCount val="8"/>
                <c:pt idx="0">
                  <c:v>1.5485914534761422</c:v>
                </c:pt>
                <c:pt idx="1">
                  <c:v>1.5591129084488549</c:v>
                </c:pt>
                <c:pt idx="2">
                  <c:v>1.4123727461406463</c:v>
                </c:pt>
                <c:pt idx="3">
                  <c:v>1.3803814888063681</c:v>
                </c:pt>
                <c:pt idx="4">
                  <c:v>1.8178983774976805</c:v>
                </c:pt>
                <c:pt idx="5">
                  <c:v>1.7848120749958716</c:v>
                </c:pt>
                <c:pt idx="6">
                  <c:v>1.3704217832943029</c:v>
                </c:pt>
                <c:pt idx="7">
                  <c:v>1.4504658202775609</c:v>
                </c:pt>
              </c:numCache>
            </c:numRef>
          </c:val>
        </c:ser>
        <c:ser>
          <c:idx val="3"/>
          <c:order val="3"/>
          <c:tx>
            <c:strRef>
              <c:f>Sensitivity!$U$50</c:f>
              <c:strCache>
                <c:ptCount val="1"/>
                <c:pt idx="0">
                  <c:v>Costs</c:v>
                </c:pt>
              </c:strCache>
            </c:strRef>
          </c:tx>
          <c:invertIfNegative val="0"/>
          <c:cat>
            <c:strRef>
              <c:f>Sensitivity!$V$46:$AC$46</c:f>
              <c:strCache>
                <c:ptCount val="8"/>
                <c:pt idx="0">
                  <c:v>Conv. gasoline</c:v>
                </c:pt>
                <c:pt idx="1">
                  <c:v>E85-1g</c:v>
                </c:pt>
                <c:pt idx="2">
                  <c:v>E85-2g</c:v>
                </c:pt>
                <c:pt idx="3">
                  <c:v>B-Naturgas</c:v>
                </c:pt>
                <c:pt idx="4">
                  <c:v>MeOH</c:v>
                </c:pt>
                <c:pt idx="5">
                  <c:v>B-Brint</c:v>
                </c:pt>
                <c:pt idx="6">
                  <c:v>Elbil</c:v>
                </c:pt>
                <c:pt idx="7">
                  <c:v>Plugin Hybrid</c:v>
                </c:pt>
              </c:strCache>
            </c:strRef>
          </c:cat>
          <c:val>
            <c:numRef>
              <c:f>Sensitivity!$V$50:$AC$50</c:f>
              <c:numCache>
                <c:formatCode>#,##0.00</c:formatCode>
                <c:ptCount val="8"/>
                <c:pt idx="0">
                  <c:v>1.4838485804726758</c:v>
                </c:pt>
                <c:pt idx="1">
                  <c:v>1.4857554773434789</c:v>
                </c:pt>
                <c:pt idx="2">
                  <c:v>1.4537240770686095</c:v>
                </c:pt>
                <c:pt idx="3">
                  <c:v>1.3854419532575326</c:v>
                </c:pt>
                <c:pt idx="4">
                  <c:v>1.8159264415145273</c:v>
                </c:pt>
                <c:pt idx="5">
                  <c:v>1.7842155461407845</c:v>
                </c:pt>
                <c:pt idx="6">
                  <c:v>1.3687326943065776</c:v>
                </c:pt>
                <c:pt idx="7">
                  <c:v>1.4316661588546082</c:v>
                </c:pt>
              </c:numCache>
            </c:numRef>
          </c:val>
        </c:ser>
        <c:ser>
          <c:idx val="4"/>
          <c:order val="4"/>
          <c:tx>
            <c:strRef>
              <c:f>Sensitivity!$U$51</c:f>
              <c:strCache>
                <c:ptCount val="1"/>
                <c:pt idx="0">
                  <c:v>IRR</c:v>
                </c:pt>
              </c:strCache>
            </c:strRef>
          </c:tx>
          <c:invertIfNegative val="0"/>
          <c:cat>
            <c:strRef>
              <c:f>Sensitivity!$V$46:$AC$46</c:f>
              <c:strCache>
                <c:ptCount val="8"/>
                <c:pt idx="0">
                  <c:v>Conv. gasoline</c:v>
                </c:pt>
                <c:pt idx="1">
                  <c:v>E85-1g</c:v>
                </c:pt>
                <c:pt idx="2">
                  <c:v>E85-2g</c:v>
                </c:pt>
                <c:pt idx="3">
                  <c:v>B-Naturgas</c:v>
                </c:pt>
                <c:pt idx="4">
                  <c:v>MeOH</c:v>
                </c:pt>
                <c:pt idx="5">
                  <c:v>B-Brint</c:v>
                </c:pt>
                <c:pt idx="6">
                  <c:v>Elbil</c:v>
                </c:pt>
                <c:pt idx="7">
                  <c:v>Plugin Hybrid</c:v>
                </c:pt>
              </c:strCache>
            </c:strRef>
          </c:cat>
          <c:val>
            <c:numRef>
              <c:f>Sensitivity!$V$51:$AC$51</c:f>
              <c:numCache>
                <c:formatCode>#,##0.00</c:formatCode>
                <c:ptCount val="8"/>
                <c:pt idx="0">
                  <c:v>1.3697663856161979</c:v>
                </c:pt>
                <c:pt idx="1">
                  <c:v>1.3688465645150398</c:v>
                </c:pt>
                <c:pt idx="2">
                  <c:v>1.3128996651598421</c:v>
                </c:pt>
                <c:pt idx="3">
                  <c:v>1.2654785646320104</c:v>
                </c:pt>
                <c:pt idx="4">
                  <c:v>1.5927266110693397</c:v>
                </c:pt>
                <c:pt idx="5">
                  <c:v>1.5588200557577878</c:v>
                </c:pt>
                <c:pt idx="6">
                  <c:v>1.1896628547279142</c:v>
                </c:pt>
                <c:pt idx="7">
                  <c:v>1.2692661285743818</c:v>
                </c:pt>
              </c:numCache>
            </c:numRef>
          </c:val>
        </c:ser>
        <c:dLbls>
          <c:showLegendKey val="0"/>
          <c:showVal val="0"/>
          <c:showCatName val="0"/>
          <c:showSerName val="0"/>
          <c:showPercent val="0"/>
          <c:showBubbleSize val="0"/>
        </c:dLbls>
        <c:gapWidth val="150"/>
        <c:axId val="222336896"/>
        <c:axId val="222338432"/>
      </c:barChart>
      <c:catAx>
        <c:axId val="222336896"/>
        <c:scaling>
          <c:orientation val="minMax"/>
        </c:scaling>
        <c:delete val="0"/>
        <c:axPos val="b"/>
        <c:numFmt formatCode="General" sourceLinked="1"/>
        <c:majorTickMark val="out"/>
        <c:minorTickMark val="none"/>
        <c:tickLblPos val="nextTo"/>
        <c:crossAx val="222338432"/>
        <c:crosses val="autoZero"/>
        <c:auto val="1"/>
        <c:lblAlgn val="ctr"/>
        <c:lblOffset val="100"/>
        <c:noMultiLvlLbl val="0"/>
      </c:catAx>
      <c:valAx>
        <c:axId val="222338432"/>
        <c:scaling>
          <c:orientation val="minMax"/>
          <c:max val="2.25"/>
          <c:min val="1.25"/>
        </c:scaling>
        <c:delete val="0"/>
        <c:axPos val="l"/>
        <c:majorGridlines/>
        <c:title>
          <c:tx>
            <c:rich>
              <a:bodyPr rot="-5400000" vert="horz"/>
              <a:lstStyle/>
              <a:p>
                <a:pPr>
                  <a:defRPr sz="1000"/>
                </a:pPr>
                <a:r>
                  <a:rPr lang="da-DK" sz="1000"/>
                  <a:t>kr/m</a:t>
                </a:r>
              </a:p>
            </c:rich>
          </c:tx>
          <c:overlay val="0"/>
        </c:title>
        <c:numFmt formatCode="#,##0.00" sourceLinked="0"/>
        <c:majorTickMark val="out"/>
        <c:minorTickMark val="none"/>
        <c:tickLblPos val="nextTo"/>
        <c:txPr>
          <a:bodyPr/>
          <a:lstStyle/>
          <a:p>
            <a:pPr>
              <a:defRPr sz="1000"/>
            </a:pPr>
            <a:endParaRPr lang="da-DK"/>
          </a:p>
        </c:txPr>
        <c:crossAx val="222336896"/>
        <c:crosses val="autoZero"/>
        <c:crossBetween val="between"/>
      </c:valAx>
    </c:plotArea>
    <c:legend>
      <c:legendPos val="b"/>
      <c:overlay val="0"/>
    </c:legend>
    <c:plotVisOnly val="1"/>
    <c:dispBlanksAs val="gap"/>
    <c:showDLblsOverMax val="0"/>
  </c:chart>
  <c:txPr>
    <a:bodyPr/>
    <a:lstStyle/>
    <a:p>
      <a:pPr>
        <a:defRPr sz="1000"/>
      </a:pPr>
      <a:endParaRPr lang="da-DK"/>
    </a:p>
  </c:txPr>
  <c:printSettings>
    <c:headerFooter/>
    <c:pageMargins b="0.7500000000000091" l="0.70000000000000062" r="0.70000000000000062" t="0.7500000000000091"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Style="combo" dx="15" fmlaLink="Cockpit!$B$5" fmlaRange="Supplementary!$L$7:$L$8" noThreeD="1" val="0"/>
</file>

<file path=xl/ctrlProps/ctrlProp7.xml><?xml version="1.0" encoding="utf-8"?>
<formControlPr xmlns="http://schemas.microsoft.com/office/spreadsheetml/2009/9/main" objectType="Drop" dropStyle="combo" dx="15" fmlaLink="Cockpit!$B$11" fmlaRange="Supplementary!$I$8:$I$9" noThreeD="1" sel="2" val="0"/>
</file>

<file path=xl/ctrlProps/ctrlProp8.xml><?xml version="1.0" encoding="utf-8"?>
<formControlPr xmlns="http://schemas.microsoft.com/office/spreadsheetml/2009/9/main" objectType="Drop" dropStyle="combo" dx="15" fmlaLink="Cockpit!$B$11" fmlaRange="Supplementary!$I$8:$I$9" noThreeD="1" sel="2" val="0"/>
</file>

<file path=xl/ctrlProps/ctrlProp9.xml><?xml version="1.0" encoding="utf-8"?>
<formControlPr xmlns="http://schemas.microsoft.com/office/spreadsheetml/2009/9/main" objectType="Drop" dropLines="7" dropStyle="combo" dx="15" fmlaLink="Cockpit!$B$8" fmlaRange="Supplementary!$I$14:$I$20" noThreeD="1" sel="5"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Lines="2" dropStyle="combo" dx="15" fmlaLink="$B$14" fmlaRange="Supplementary!$I$23:$I$24" noThreeD="1" val="0"/>
</file>

<file path=xl/ctrlProps/ctrlProp12.xml><?xml version="1.0" encoding="utf-8"?>
<formControlPr xmlns="http://schemas.microsoft.com/office/spreadsheetml/2009/9/main" objectType="Drop" dropLines="4" dropStyle="combo" dx="15" fmlaLink="$B$17" fmlaRange="Supplementary!$I$27:$I$29" noThreeD="1" sel="2" val="0"/>
</file>

<file path=xl/ctrlProps/ctrlProp13.xml><?xml version="1.0" encoding="utf-8"?>
<formControlPr xmlns="http://schemas.microsoft.com/office/spreadsheetml/2009/9/main" objectType="Drop" dropLines="4" dropStyle="combo" dx="15" fmlaLink="Cockpit!$B$5" fmlaRange="Supplementary!$L$7:$L$10" noThreeD="1" val="0"/>
</file>

<file path=xl/ctrlProps/ctrlProp14.xml><?xml version="1.0" encoding="utf-8"?>
<formControlPr xmlns="http://schemas.microsoft.com/office/spreadsheetml/2009/9/main" objectType="Drop" dropLines="20" dropStyle="combo" dx="16" fmlaLink="$B$20" fmlaRange="Sensitivity!$B$12:$B$31" noThreeD="1" val="0"/>
</file>

<file path=xl/ctrlProps/ctrlProp15.xml><?xml version="1.0" encoding="utf-8"?>
<formControlPr xmlns="http://schemas.microsoft.com/office/spreadsheetml/2009/9/main" objectType="Drop" dropStyle="combo" dx="15" fmlaLink="Cockpit!$B$5" fmlaRange="Supplementary!$L$7:$L$10" noThreeD="1"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Drop" dropStyle="combo" dx="15" fmlaLink="Cockpit!$B$11" fmlaRange="Supplementary!$I$8:$I$9" noThreeD="1" sel="2" val="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Drop" dropLines="6" dropStyle="combo" dx="15" fmlaLink="$B$9" fmlaRange="$B$13:$B$18" noThreeD="1" sel="4" val="0"/>
</file>

<file path=xl/ctrlProps/ctrlProp21.xml><?xml version="1.0" encoding="utf-8"?>
<formControlPr xmlns="http://schemas.microsoft.com/office/spreadsheetml/2009/9/main" objectType="Drop" dropStyle="combo" dx="15" fmlaLink="$X$7" fmlaRange="$V$15:$V$46" noThreeD="1" val="0"/>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Drop" dropLines="3" dropStyle="combo" dx="16" fmlaLink="$T$201" fmlaRange="$T$202:$T$204" noThreeD="1" val="0"/>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Drop" dropLines="4" dropStyle="combo" dx="15" fmlaLink="Cockpit!$B$5" fmlaRange="Supplementary!$L$7:$L$10" noThreeD="1" val="0"/>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Drop" dropStyle="combo" dx="15" fmlaLink="Cockpit!$B$5" fmlaRange="Supplementary!$L$7:$L$10" noThreeD="1" val="0"/>
</file>

<file path=xl/ctrlProps/ctrlProp119.xml><?xml version="1.0" encoding="utf-8"?>
<formControlPr xmlns="http://schemas.microsoft.com/office/spreadsheetml/2009/9/main" objectType="Drop" dropStyle="combo" dx="15" fmlaLink="Cockpit!$B$5" fmlaRange="Supplementary!$L$7:$L$10" noThreeD="1" val="0"/>
</file>

<file path=xl/ctrlProps/ctrlProp120.xml><?xml version="1.0" encoding="utf-8"?>
<formControlPr xmlns="http://schemas.microsoft.com/office/spreadsheetml/2009/9/main" objectType="Drop" dropStyle="combo" dx="15" fmlaLink="Cockpit!$B$5" fmlaRange="Supplementary!$L$7:$L$10" noThreeD="1" val="0"/>
</file>

<file path=xl/drawings/_rels/drawing2.xml.rels><?xml version="1.0" encoding="UTF-8" standalone="yes"?>
<Relationships xmlns="http://schemas.openxmlformats.org/package/2006/relationships"><Relationship Id="rId8" Type="http://schemas.openxmlformats.org/officeDocument/2006/relationships/hyperlink" Target="#Oversigt!L54"/><Relationship Id="rId13" Type="http://schemas.openxmlformats.org/officeDocument/2006/relationships/hyperlink" Target="#'Log2020'!A1"/><Relationship Id="rId18" Type="http://schemas.openxmlformats.org/officeDocument/2006/relationships/hyperlink" Target="#ResultsAllYears!A1"/><Relationship Id="rId3" Type="http://schemas.openxmlformats.org/officeDocument/2006/relationships/hyperlink" Target="#Distribution!A1"/><Relationship Id="rId7" Type="http://schemas.openxmlformats.org/officeDocument/2006/relationships/hyperlink" Target="#Oversigt!G54"/><Relationship Id="rId12" Type="http://schemas.openxmlformats.org/officeDocument/2006/relationships/hyperlink" Target="#'Log2010'!A1"/><Relationship Id="rId17" Type="http://schemas.openxmlformats.org/officeDocument/2006/relationships/hyperlink" Target="#ResultsOneYear!A1"/><Relationship Id="rId2" Type="http://schemas.openxmlformats.org/officeDocument/2006/relationships/hyperlink" Target="#'Centrale data'!A1"/><Relationship Id="rId16" Type="http://schemas.openxmlformats.org/officeDocument/2006/relationships/hyperlink" Target="#Cockpit!A1"/><Relationship Id="rId1" Type="http://schemas.openxmlformats.org/officeDocument/2006/relationships/hyperlink" Target="#Feedstocks!A1"/><Relationship Id="rId6" Type="http://schemas.openxmlformats.org/officeDocument/2006/relationships/hyperlink" Target="#Oversigt!B54"/><Relationship Id="rId11" Type="http://schemas.openxmlformats.org/officeDocument/2006/relationships/hyperlink" Target="#Sensitivity!A1"/><Relationship Id="rId5" Type="http://schemas.openxmlformats.org/officeDocument/2006/relationships/hyperlink" Target="#Prices!A1"/><Relationship Id="rId15" Type="http://schemas.openxmlformats.org/officeDocument/2006/relationships/hyperlink" Target="#'Log2050'!A1"/><Relationship Id="rId10" Type="http://schemas.openxmlformats.org/officeDocument/2006/relationships/hyperlink" Target="#Vehicles!A1"/><Relationship Id="rId19" Type="http://schemas.openxmlformats.org/officeDocument/2006/relationships/hyperlink" Target="#A4results!A1"/><Relationship Id="rId4" Type="http://schemas.openxmlformats.org/officeDocument/2006/relationships/hyperlink" Target="#ProcessEnergy!A1"/><Relationship Id="rId9" Type="http://schemas.openxmlformats.org/officeDocument/2006/relationships/hyperlink" Target="#Fuels!A1"/><Relationship Id="rId14" Type="http://schemas.openxmlformats.org/officeDocument/2006/relationships/hyperlink" Target="#'Log2035'!A1"/></Relationships>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49.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_rels/drawing50.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jpeg"/><Relationship Id="rId1" Type="http://schemas.openxmlformats.org/officeDocument/2006/relationships/image" Target="../media/image4.jpeg"/></Relationships>
</file>

<file path=xl/drawings/_rels/drawing51.xml.rels><?xml version="1.0" encoding="UTF-8" standalone="yes"?>
<Relationships xmlns="http://schemas.openxmlformats.org/package/2006/relationships"><Relationship Id="rId2" Type="http://schemas.openxmlformats.org/officeDocument/2006/relationships/image" Target="../media/image8.gif"/><Relationship Id="rId1" Type="http://schemas.openxmlformats.org/officeDocument/2006/relationships/image" Target="../media/image7.jpeg"/></Relationships>
</file>

<file path=xl/drawings/_rels/drawing52.xml.rels><?xml version="1.0" encoding="UTF-8" standalone="yes"?>
<Relationships xmlns="http://schemas.openxmlformats.org/package/2006/relationships"><Relationship Id="rId1" Type="http://schemas.openxmlformats.org/officeDocument/2006/relationships/image" Target="../media/image9.jpeg"/></Relationships>
</file>

<file path=xl/drawings/_rels/drawing53.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1</xdr:col>
      <xdr:colOff>485775</xdr:colOff>
      <xdr:row>1</xdr:row>
      <xdr:rowOff>142875</xdr:rowOff>
    </xdr:from>
    <xdr:to>
      <xdr:col>12</xdr:col>
      <xdr:colOff>200025</xdr:colOff>
      <xdr:row>12</xdr:row>
      <xdr:rowOff>19050</xdr:rowOff>
    </xdr:to>
    <xdr:sp macro="" textlink="">
      <xdr:nvSpPr>
        <xdr:cNvPr id="19458" name="Text Box 2"/>
        <xdr:cNvSpPr txBox="1">
          <a:spLocks noChangeArrowheads="1"/>
        </xdr:cNvSpPr>
      </xdr:nvSpPr>
      <xdr:spPr bwMode="auto">
        <a:xfrm>
          <a:off x="695325" y="400050"/>
          <a:ext cx="7543800" cy="1657350"/>
        </a:xfrm>
        <a:prstGeom prst="rect">
          <a:avLst/>
        </a:prstGeom>
        <a:noFill/>
        <a:ln w="9525">
          <a:noFill/>
          <a:miter lim="800000"/>
          <a:headEnd/>
          <a:tailEnd/>
        </a:ln>
      </xdr:spPr>
      <xdr:txBody>
        <a:bodyPr vertOverflow="clip" wrap="square" lIns="64008" tIns="50292" rIns="64008" bIns="0" anchor="t" upright="1"/>
        <a:lstStyle/>
        <a:p>
          <a:pPr algn="ctr" rtl="0">
            <a:defRPr sz="1000"/>
          </a:pPr>
          <a:r>
            <a:rPr lang="da-DK" sz="2800" b="1" i="0" u="none" strike="noStrike" baseline="0">
              <a:solidFill>
                <a:srgbClr val="000000"/>
              </a:solidFill>
              <a:latin typeface="DaneHelveticaNeue"/>
            </a:rPr>
            <a:t>Teknologivurdering af alternative drivmidler til transportsektoren</a:t>
          </a:r>
        </a:p>
        <a:p>
          <a:pPr algn="ctr" rtl="0">
            <a:defRPr sz="1000"/>
          </a:pPr>
          <a:r>
            <a:rPr lang="da-DK" sz="2000" b="1" i="0" u="none" strike="noStrike" baseline="0">
              <a:solidFill>
                <a:srgbClr val="000000"/>
              </a:solidFill>
              <a:latin typeface="DaneHelveticaNeue"/>
            </a:rPr>
            <a:t>Fakta-ark for teknologi-elementer og systemberegninger for teknologi-spor</a:t>
          </a:r>
        </a:p>
      </xdr:txBody>
    </xdr:sp>
    <xdr:clientData/>
  </xdr:twoCellAnchor>
  <mc:AlternateContent xmlns:mc="http://schemas.openxmlformats.org/markup-compatibility/2006">
    <mc:Choice xmlns:a14="http://schemas.microsoft.com/office/drawing/2010/main" Requires="a14">
      <xdr:twoCellAnchor>
        <xdr:from>
          <xdr:col>4</xdr:col>
          <xdr:colOff>390525</xdr:colOff>
          <xdr:row>0</xdr:row>
          <xdr:rowOff>38100</xdr:rowOff>
        </xdr:from>
        <xdr:to>
          <xdr:col>6</xdr:col>
          <xdr:colOff>333375</xdr:colOff>
          <xdr:row>0</xdr:row>
          <xdr:rowOff>238125</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71447</xdr:colOff>
      <xdr:row>11</xdr:row>
      <xdr:rowOff>83341</xdr:rowOff>
    </xdr:from>
    <xdr:to>
      <xdr:col>5</xdr:col>
      <xdr:colOff>571502</xdr:colOff>
      <xdr:row>13</xdr:row>
      <xdr:rowOff>107154</xdr:rowOff>
    </xdr:to>
    <xdr:sp macro="" textlink="">
      <xdr:nvSpPr>
        <xdr:cNvPr id="2" name="Rectangle 1">
          <a:hlinkClick xmlns:r="http://schemas.openxmlformats.org/officeDocument/2006/relationships" r:id="rId1"/>
        </xdr:cNvPr>
        <xdr:cNvSpPr/>
      </xdr:nvSpPr>
      <xdr:spPr>
        <a:xfrm>
          <a:off x="2428885" y="2071685"/>
          <a:ext cx="1214430" cy="35718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Feedstocks</a:t>
          </a:r>
        </a:p>
      </xdr:txBody>
    </xdr:sp>
    <xdr:clientData/>
  </xdr:twoCellAnchor>
  <xdr:twoCellAnchor>
    <xdr:from>
      <xdr:col>8</xdr:col>
      <xdr:colOff>59538</xdr:colOff>
      <xdr:row>11</xdr:row>
      <xdr:rowOff>59520</xdr:rowOff>
    </xdr:from>
    <xdr:to>
      <xdr:col>9</xdr:col>
      <xdr:colOff>535788</xdr:colOff>
      <xdr:row>13</xdr:row>
      <xdr:rowOff>83333</xdr:rowOff>
    </xdr:to>
    <xdr:sp macro="" textlink="">
      <xdr:nvSpPr>
        <xdr:cNvPr id="29" name="Rectangle 28">
          <a:hlinkClick xmlns:r="http://schemas.openxmlformats.org/officeDocument/2006/relationships" r:id="rId2"/>
        </xdr:cNvPr>
        <xdr:cNvSpPr/>
      </xdr:nvSpPr>
      <xdr:spPr>
        <a:xfrm>
          <a:off x="6703226" y="2047864"/>
          <a:ext cx="1190625" cy="35718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Supplementary</a:t>
          </a:r>
        </a:p>
      </xdr:txBody>
    </xdr:sp>
    <xdr:clientData/>
  </xdr:twoCellAnchor>
  <xdr:twoCellAnchor>
    <xdr:from>
      <xdr:col>4</xdr:col>
      <xdr:colOff>71447</xdr:colOff>
      <xdr:row>16</xdr:row>
      <xdr:rowOff>119060</xdr:rowOff>
    </xdr:from>
    <xdr:to>
      <xdr:col>5</xdr:col>
      <xdr:colOff>571502</xdr:colOff>
      <xdr:row>18</xdr:row>
      <xdr:rowOff>142873</xdr:rowOff>
    </xdr:to>
    <xdr:sp macro="" textlink="">
      <xdr:nvSpPr>
        <xdr:cNvPr id="30" name="Rectangle 29">
          <a:hlinkClick xmlns:r="http://schemas.openxmlformats.org/officeDocument/2006/relationships" r:id="rId3"/>
        </xdr:cNvPr>
        <xdr:cNvSpPr/>
      </xdr:nvSpPr>
      <xdr:spPr>
        <a:xfrm>
          <a:off x="2428885" y="2940841"/>
          <a:ext cx="1214430" cy="35718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Distribution</a:t>
          </a:r>
        </a:p>
      </xdr:txBody>
    </xdr:sp>
    <xdr:clientData/>
  </xdr:twoCellAnchor>
  <xdr:twoCellAnchor>
    <xdr:from>
      <xdr:col>8</xdr:col>
      <xdr:colOff>47633</xdr:colOff>
      <xdr:row>16</xdr:row>
      <xdr:rowOff>83333</xdr:rowOff>
    </xdr:from>
    <xdr:to>
      <xdr:col>9</xdr:col>
      <xdr:colOff>523883</xdr:colOff>
      <xdr:row>18</xdr:row>
      <xdr:rowOff>107146</xdr:rowOff>
    </xdr:to>
    <xdr:sp macro="" textlink="">
      <xdr:nvSpPr>
        <xdr:cNvPr id="31" name="Rectangle 30">
          <a:hlinkClick xmlns:r="http://schemas.openxmlformats.org/officeDocument/2006/relationships" r:id="rId4"/>
        </xdr:cNvPr>
        <xdr:cNvSpPr/>
      </xdr:nvSpPr>
      <xdr:spPr>
        <a:xfrm>
          <a:off x="6691321" y="2905114"/>
          <a:ext cx="1190625" cy="35718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Process</a:t>
          </a:r>
          <a:r>
            <a:rPr lang="da-DK" sz="1100" baseline="0"/>
            <a:t> energy</a:t>
          </a:r>
          <a:endParaRPr lang="da-DK" sz="1100"/>
        </a:p>
      </xdr:txBody>
    </xdr:sp>
    <xdr:clientData/>
  </xdr:twoCellAnchor>
  <xdr:twoCellAnchor>
    <xdr:from>
      <xdr:col>8</xdr:col>
      <xdr:colOff>59539</xdr:colOff>
      <xdr:row>13</xdr:row>
      <xdr:rowOff>142864</xdr:rowOff>
    </xdr:from>
    <xdr:to>
      <xdr:col>9</xdr:col>
      <xdr:colOff>535789</xdr:colOff>
      <xdr:row>15</xdr:row>
      <xdr:rowOff>166677</xdr:rowOff>
    </xdr:to>
    <xdr:sp macro="" textlink="">
      <xdr:nvSpPr>
        <xdr:cNvPr id="32" name="Rectangle 31">
          <a:hlinkClick xmlns:r="http://schemas.openxmlformats.org/officeDocument/2006/relationships" r:id="rId5"/>
        </xdr:cNvPr>
        <xdr:cNvSpPr/>
      </xdr:nvSpPr>
      <xdr:spPr>
        <a:xfrm>
          <a:off x="6703227" y="2464583"/>
          <a:ext cx="1190625" cy="35718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Prices</a:t>
          </a:r>
        </a:p>
      </xdr:txBody>
    </xdr:sp>
    <xdr:clientData/>
  </xdr:twoCellAnchor>
  <xdr:twoCellAnchor>
    <xdr:from>
      <xdr:col>4</xdr:col>
      <xdr:colOff>71447</xdr:colOff>
      <xdr:row>14</xdr:row>
      <xdr:rowOff>23811</xdr:rowOff>
    </xdr:from>
    <xdr:to>
      <xdr:col>6</xdr:col>
      <xdr:colOff>391476</xdr:colOff>
      <xdr:row>16</xdr:row>
      <xdr:rowOff>47624</xdr:rowOff>
    </xdr:to>
    <xdr:sp macro="" textlink="">
      <xdr:nvSpPr>
        <xdr:cNvPr id="35" name="Rectangle 34">
          <a:hlinkClick xmlns:r="http://schemas.openxmlformats.org/officeDocument/2006/relationships" r:id="rId6"/>
        </xdr:cNvPr>
        <xdr:cNvSpPr/>
      </xdr:nvSpPr>
      <xdr:spPr>
        <a:xfrm>
          <a:off x="2428885" y="2512217"/>
          <a:ext cx="1748779" cy="357188"/>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solidFill>
                <a:schemeClr val="tx1"/>
              </a:solidFill>
            </a:rPr>
            <a:t>Conversion</a:t>
          </a:r>
          <a:r>
            <a:rPr lang="da-DK" sz="1100" baseline="0">
              <a:solidFill>
                <a:schemeClr val="tx1"/>
              </a:solidFill>
            </a:rPr>
            <a:t> of feedstock</a:t>
          </a:r>
          <a:endParaRPr lang="da-DK" sz="1100">
            <a:solidFill>
              <a:schemeClr val="tx1"/>
            </a:solidFill>
          </a:endParaRPr>
        </a:p>
      </xdr:txBody>
    </xdr:sp>
    <xdr:clientData/>
  </xdr:twoCellAnchor>
  <xdr:twoCellAnchor>
    <xdr:from>
      <xdr:col>4</xdr:col>
      <xdr:colOff>71447</xdr:colOff>
      <xdr:row>19</xdr:row>
      <xdr:rowOff>35715</xdr:rowOff>
    </xdr:from>
    <xdr:to>
      <xdr:col>6</xdr:col>
      <xdr:colOff>391476</xdr:colOff>
      <xdr:row>21</xdr:row>
      <xdr:rowOff>59528</xdr:rowOff>
    </xdr:to>
    <xdr:sp macro="" textlink="">
      <xdr:nvSpPr>
        <xdr:cNvPr id="37" name="Rectangle 36">
          <a:hlinkClick xmlns:r="http://schemas.openxmlformats.org/officeDocument/2006/relationships" r:id="rId7"/>
        </xdr:cNvPr>
        <xdr:cNvSpPr/>
      </xdr:nvSpPr>
      <xdr:spPr>
        <a:xfrm>
          <a:off x="2428885" y="3357559"/>
          <a:ext cx="1748779" cy="357188"/>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solidFill>
                <a:schemeClr val="tx1"/>
              </a:solidFill>
            </a:rPr>
            <a:t>Intermediate</a:t>
          </a:r>
          <a:r>
            <a:rPr lang="da-DK" sz="1100" baseline="0">
              <a:solidFill>
                <a:schemeClr val="tx1"/>
              </a:solidFill>
            </a:rPr>
            <a:t> conversion</a:t>
          </a:r>
          <a:endParaRPr lang="da-DK" sz="1100">
            <a:solidFill>
              <a:schemeClr val="tx1"/>
            </a:solidFill>
          </a:endParaRPr>
        </a:p>
      </xdr:txBody>
    </xdr:sp>
    <xdr:clientData/>
  </xdr:twoCellAnchor>
  <xdr:twoCellAnchor>
    <xdr:from>
      <xdr:col>4</xdr:col>
      <xdr:colOff>71447</xdr:colOff>
      <xdr:row>21</xdr:row>
      <xdr:rowOff>119059</xdr:rowOff>
    </xdr:from>
    <xdr:to>
      <xdr:col>5</xdr:col>
      <xdr:colOff>571502</xdr:colOff>
      <xdr:row>23</xdr:row>
      <xdr:rowOff>142872</xdr:rowOff>
    </xdr:to>
    <xdr:sp macro="" textlink="">
      <xdr:nvSpPr>
        <xdr:cNvPr id="38" name="Rectangle 37">
          <a:hlinkClick xmlns:r="http://schemas.openxmlformats.org/officeDocument/2006/relationships" r:id="rId3"/>
        </xdr:cNvPr>
        <xdr:cNvSpPr/>
      </xdr:nvSpPr>
      <xdr:spPr>
        <a:xfrm>
          <a:off x="2428885" y="3774278"/>
          <a:ext cx="1214430" cy="35718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Distribution</a:t>
          </a:r>
        </a:p>
      </xdr:txBody>
    </xdr:sp>
    <xdr:clientData/>
  </xdr:twoCellAnchor>
  <xdr:twoCellAnchor>
    <xdr:from>
      <xdr:col>4</xdr:col>
      <xdr:colOff>71447</xdr:colOff>
      <xdr:row>24</xdr:row>
      <xdr:rowOff>47622</xdr:rowOff>
    </xdr:from>
    <xdr:to>
      <xdr:col>6</xdr:col>
      <xdr:colOff>391476</xdr:colOff>
      <xdr:row>26</xdr:row>
      <xdr:rowOff>71435</xdr:rowOff>
    </xdr:to>
    <xdr:sp macro="" textlink="">
      <xdr:nvSpPr>
        <xdr:cNvPr id="39" name="Rectangle 38">
          <a:hlinkClick xmlns:r="http://schemas.openxmlformats.org/officeDocument/2006/relationships" r:id="rId8"/>
        </xdr:cNvPr>
        <xdr:cNvSpPr/>
      </xdr:nvSpPr>
      <xdr:spPr>
        <a:xfrm>
          <a:off x="2428885" y="4202903"/>
          <a:ext cx="1748779" cy="357188"/>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solidFill>
                <a:schemeClr val="bg1"/>
              </a:solidFill>
            </a:rPr>
            <a:t>Vehicles</a:t>
          </a:r>
        </a:p>
      </xdr:txBody>
    </xdr:sp>
    <xdr:clientData/>
  </xdr:twoCellAnchor>
  <xdr:twoCellAnchor>
    <xdr:from>
      <xdr:col>4</xdr:col>
      <xdr:colOff>71447</xdr:colOff>
      <xdr:row>26</xdr:row>
      <xdr:rowOff>142862</xdr:rowOff>
    </xdr:from>
    <xdr:to>
      <xdr:col>5</xdr:col>
      <xdr:colOff>571502</xdr:colOff>
      <xdr:row>28</xdr:row>
      <xdr:rowOff>166675</xdr:rowOff>
    </xdr:to>
    <xdr:sp macro="" textlink="">
      <xdr:nvSpPr>
        <xdr:cNvPr id="40" name="Rectangle 39">
          <a:hlinkClick xmlns:r="http://schemas.openxmlformats.org/officeDocument/2006/relationships" r:id="rId9"/>
        </xdr:cNvPr>
        <xdr:cNvSpPr/>
      </xdr:nvSpPr>
      <xdr:spPr>
        <a:xfrm>
          <a:off x="2428885" y="4631518"/>
          <a:ext cx="1214430" cy="357188"/>
        </a:xfrm>
        <a:prstGeom prst="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Fuels</a:t>
          </a:r>
        </a:p>
      </xdr:txBody>
    </xdr:sp>
    <xdr:clientData/>
  </xdr:twoCellAnchor>
  <xdr:twoCellAnchor>
    <xdr:from>
      <xdr:col>4</xdr:col>
      <xdr:colOff>71447</xdr:colOff>
      <xdr:row>29</xdr:row>
      <xdr:rowOff>59517</xdr:rowOff>
    </xdr:from>
    <xdr:to>
      <xdr:col>5</xdr:col>
      <xdr:colOff>571502</xdr:colOff>
      <xdr:row>31</xdr:row>
      <xdr:rowOff>83330</xdr:rowOff>
    </xdr:to>
    <xdr:sp macro="" textlink="">
      <xdr:nvSpPr>
        <xdr:cNvPr id="41" name="Rectangle 40">
          <a:hlinkClick xmlns:r="http://schemas.openxmlformats.org/officeDocument/2006/relationships" r:id="rId10"/>
        </xdr:cNvPr>
        <xdr:cNvSpPr/>
      </xdr:nvSpPr>
      <xdr:spPr>
        <a:xfrm>
          <a:off x="2428885" y="5048236"/>
          <a:ext cx="1214430" cy="357188"/>
        </a:xfrm>
        <a:prstGeom prst="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Vehicles</a:t>
          </a:r>
        </a:p>
      </xdr:txBody>
    </xdr:sp>
    <xdr:clientData/>
  </xdr:twoCellAnchor>
  <xdr:twoCellAnchor>
    <xdr:from>
      <xdr:col>8</xdr:col>
      <xdr:colOff>83352</xdr:colOff>
      <xdr:row>22</xdr:row>
      <xdr:rowOff>47614</xdr:rowOff>
    </xdr:from>
    <xdr:to>
      <xdr:col>9</xdr:col>
      <xdr:colOff>559602</xdr:colOff>
      <xdr:row>24</xdr:row>
      <xdr:rowOff>71427</xdr:rowOff>
    </xdr:to>
    <xdr:sp macro="" textlink="">
      <xdr:nvSpPr>
        <xdr:cNvPr id="42" name="Rectangle 41">
          <a:hlinkClick xmlns:r="http://schemas.openxmlformats.org/officeDocument/2006/relationships" r:id="rId11"/>
        </xdr:cNvPr>
        <xdr:cNvSpPr/>
      </xdr:nvSpPr>
      <xdr:spPr>
        <a:xfrm>
          <a:off x="6727040" y="4202895"/>
          <a:ext cx="1190625" cy="357188"/>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solidFill>
                <a:sysClr val="windowText" lastClr="000000"/>
              </a:solidFill>
            </a:rPr>
            <a:t>Sensitivity</a:t>
          </a:r>
        </a:p>
      </xdr:txBody>
    </xdr:sp>
    <xdr:clientData/>
  </xdr:twoCellAnchor>
  <xdr:twoCellAnchor>
    <xdr:from>
      <xdr:col>8</xdr:col>
      <xdr:colOff>95258</xdr:colOff>
      <xdr:row>24</xdr:row>
      <xdr:rowOff>166677</xdr:rowOff>
    </xdr:from>
    <xdr:to>
      <xdr:col>9</xdr:col>
      <xdr:colOff>571508</xdr:colOff>
      <xdr:row>27</xdr:row>
      <xdr:rowOff>23802</xdr:rowOff>
    </xdr:to>
    <xdr:sp macro="" textlink="">
      <xdr:nvSpPr>
        <xdr:cNvPr id="43" name="Rectangle 42">
          <a:hlinkClick xmlns:r="http://schemas.openxmlformats.org/officeDocument/2006/relationships" r:id="rId12"/>
        </xdr:cNvPr>
        <xdr:cNvSpPr/>
      </xdr:nvSpPr>
      <xdr:spPr>
        <a:xfrm>
          <a:off x="6738946" y="4655333"/>
          <a:ext cx="1190625" cy="357188"/>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solidFill>
                <a:sysClr val="windowText" lastClr="000000"/>
              </a:solidFill>
            </a:rPr>
            <a:t>Log</a:t>
          </a:r>
          <a:r>
            <a:rPr lang="da-DK" sz="1100" baseline="0">
              <a:solidFill>
                <a:sysClr val="windowText" lastClr="000000"/>
              </a:solidFill>
            </a:rPr>
            <a:t> 2010</a:t>
          </a:r>
          <a:endParaRPr lang="da-DK" sz="1100">
            <a:solidFill>
              <a:sysClr val="windowText" lastClr="000000"/>
            </a:solidFill>
          </a:endParaRPr>
        </a:p>
      </xdr:txBody>
    </xdr:sp>
    <xdr:clientData/>
  </xdr:twoCellAnchor>
  <xdr:twoCellAnchor>
    <xdr:from>
      <xdr:col>8</xdr:col>
      <xdr:colOff>95257</xdr:colOff>
      <xdr:row>27</xdr:row>
      <xdr:rowOff>119050</xdr:rowOff>
    </xdr:from>
    <xdr:to>
      <xdr:col>9</xdr:col>
      <xdr:colOff>571507</xdr:colOff>
      <xdr:row>29</xdr:row>
      <xdr:rowOff>142863</xdr:rowOff>
    </xdr:to>
    <xdr:sp macro="" textlink="">
      <xdr:nvSpPr>
        <xdr:cNvPr id="44" name="Rectangle 43">
          <a:hlinkClick xmlns:r="http://schemas.openxmlformats.org/officeDocument/2006/relationships" r:id="rId13"/>
        </xdr:cNvPr>
        <xdr:cNvSpPr/>
      </xdr:nvSpPr>
      <xdr:spPr>
        <a:xfrm>
          <a:off x="6738945" y="5107769"/>
          <a:ext cx="1190625" cy="357188"/>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solidFill>
                <a:sysClr val="windowText" lastClr="000000"/>
              </a:solidFill>
            </a:rPr>
            <a:t>Log 2020</a:t>
          </a:r>
        </a:p>
      </xdr:txBody>
    </xdr:sp>
    <xdr:clientData/>
  </xdr:twoCellAnchor>
  <xdr:twoCellAnchor>
    <xdr:from>
      <xdr:col>8</xdr:col>
      <xdr:colOff>95257</xdr:colOff>
      <xdr:row>30</xdr:row>
      <xdr:rowOff>47614</xdr:rowOff>
    </xdr:from>
    <xdr:to>
      <xdr:col>9</xdr:col>
      <xdr:colOff>571507</xdr:colOff>
      <xdr:row>32</xdr:row>
      <xdr:rowOff>71427</xdr:rowOff>
    </xdr:to>
    <xdr:sp macro="" textlink="">
      <xdr:nvSpPr>
        <xdr:cNvPr id="45" name="Rectangle 44">
          <a:hlinkClick xmlns:r="http://schemas.openxmlformats.org/officeDocument/2006/relationships" r:id="rId14"/>
        </xdr:cNvPr>
        <xdr:cNvSpPr/>
      </xdr:nvSpPr>
      <xdr:spPr>
        <a:xfrm>
          <a:off x="6738945" y="5536395"/>
          <a:ext cx="1190625" cy="357188"/>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solidFill>
                <a:sysClr val="windowText" lastClr="000000"/>
              </a:solidFill>
            </a:rPr>
            <a:t>Log</a:t>
          </a:r>
          <a:r>
            <a:rPr lang="da-DK" sz="1100" baseline="0">
              <a:solidFill>
                <a:sysClr val="windowText" lastClr="000000"/>
              </a:solidFill>
            </a:rPr>
            <a:t> 2035</a:t>
          </a:r>
          <a:endParaRPr lang="da-DK" sz="1100">
            <a:solidFill>
              <a:sysClr val="windowText" lastClr="000000"/>
            </a:solidFill>
          </a:endParaRPr>
        </a:p>
      </xdr:txBody>
    </xdr:sp>
    <xdr:clientData/>
  </xdr:twoCellAnchor>
  <xdr:twoCellAnchor>
    <xdr:from>
      <xdr:col>8</xdr:col>
      <xdr:colOff>95258</xdr:colOff>
      <xdr:row>32</xdr:row>
      <xdr:rowOff>142865</xdr:rowOff>
    </xdr:from>
    <xdr:to>
      <xdr:col>9</xdr:col>
      <xdr:colOff>571508</xdr:colOff>
      <xdr:row>34</xdr:row>
      <xdr:rowOff>166678</xdr:rowOff>
    </xdr:to>
    <xdr:sp macro="" textlink="">
      <xdr:nvSpPr>
        <xdr:cNvPr id="46" name="Rectangle 45">
          <a:hlinkClick xmlns:r="http://schemas.openxmlformats.org/officeDocument/2006/relationships" r:id="rId15"/>
        </xdr:cNvPr>
        <xdr:cNvSpPr/>
      </xdr:nvSpPr>
      <xdr:spPr>
        <a:xfrm>
          <a:off x="6738946" y="5965021"/>
          <a:ext cx="1190625" cy="357188"/>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solidFill>
                <a:sysClr val="windowText" lastClr="000000"/>
              </a:solidFill>
            </a:rPr>
            <a:t>Log 2050</a:t>
          </a:r>
        </a:p>
      </xdr:txBody>
    </xdr:sp>
    <xdr:clientData/>
  </xdr:twoCellAnchor>
  <xdr:twoCellAnchor>
    <xdr:from>
      <xdr:col>11</xdr:col>
      <xdr:colOff>83350</xdr:colOff>
      <xdr:row>11</xdr:row>
      <xdr:rowOff>59520</xdr:rowOff>
    </xdr:from>
    <xdr:to>
      <xdr:col>12</xdr:col>
      <xdr:colOff>559600</xdr:colOff>
      <xdr:row>13</xdr:row>
      <xdr:rowOff>83333</xdr:rowOff>
    </xdr:to>
    <xdr:sp macro="" textlink="">
      <xdr:nvSpPr>
        <xdr:cNvPr id="47" name="Rectangle 46">
          <a:hlinkClick xmlns:r="http://schemas.openxmlformats.org/officeDocument/2006/relationships" r:id="rId16"/>
        </xdr:cNvPr>
        <xdr:cNvSpPr/>
      </xdr:nvSpPr>
      <xdr:spPr>
        <a:xfrm>
          <a:off x="7441413" y="2047864"/>
          <a:ext cx="1190625" cy="357188"/>
        </a:xfrm>
        <a:prstGeom prst="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Cockpit</a:t>
          </a:r>
        </a:p>
      </xdr:txBody>
    </xdr:sp>
    <xdr:clientData/>
  </xdr:twoCellAnchor>
  <xdr:twoCellAnchor>
    <xdr:from>
      <xdr:col>11</xdr:col>
      <xdr:colOff>95257</xdr:colOff>
      <xdr:row>13</xdr:row>
      <xdr:rowOff>154770</xdr:rowOff>
    </xdr:from>
    <xdr:to>
      <xdr:col>12</xdr:col>
      <xdr:colOff>571507</xdr:colOff>
      <xdr:row>16</xdr:row>
      <xdr:rowOff>11896</xdr:rowOff>
    </xdr:to>
    <xdr:sp macro="" textlink="">
      <xdr:nvSpPr>
        <xdr:cNvPr id="48" name="Rectangle 47">
          <a:hlinkClick xmlns:r="http://schemas.openxmlformats.org/officeDocument/2006/relationships" r:id="rId17"/>
        </xdr:cNvPr>
        <xdr:cNvSpPr/>
      </xdr:nvSpPr>
      <xdr:spPr>
        <a:xfrm>
          <a:off x="7453320" y="2476489"/>
          <a:ext cx="1190625" cy="357188"/>
        </a:xfrm>
        <a:prstGeom prst="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ResultsOneYear</a:t>
          </a:r>
        </a:p>
      </xdr:txBody>
    </xdr:sp>
    <xdr:clientData/>
  </xdr:twoCellAnchor>
  <xdr:twoCellAnchor>
    <xdr:from>
      <xdr:col>11</xdr:col>
      <xdr:colOff>83350</xdr:colOff>
      <xdr:row>16</xdr:row>
      <xdr:rowOff>83333</xdr:rowOff>
    </xdr:from>
    <xdr:to>
      <xdr:col>12</xdr:col>
      <xdr:colOff>559600</xdr:colOff>
      <xdr:row>18</xdr:row>
      <xdr:rowOff>107146</xdr:rowOff>
    </xdr:to>
    <xdr:sp macro="" textlink="">
      <xdr:nvSpPr>
        <xdr:cNvPr id="49" name="Rectangle 48">
          <a:hlinkClick xmlns:r="http://schemas.openxmlformats.org/officeDocument/2006/relationships" r:id="rId18"/>
        </xdr:cNvPr>
        <xdr:cNvSpPr/>
      </xdr:nvSpPr>
      <xdr:spPr>
        <a:xfrm>
          <a:off x="7441413" y="2905114"/>
          <a:ext cx="1190625" cy="357188"/>
        </a:xfrm>
        <a:prstGeom prst="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ResultsAllYears</a:t>
          </a:r>
        </a:p>
      </xdr:txBody>
    </xdr:sp>
    <xdr:clientData/>
  </xdr:twoCellAnchor>
  <xdr:twoCellAnchor>
    <xdr:from>
      <xdr:col>11</xdr:col>
      <xdr:colOff>83350</xdr:colOff>
      <xdr:row>19</xdr:row>
      <xdr:rowOff>11895</xdr:rowOff>
    </xdr:from>
    <xdr:to>
      <xdr:col>12</xdr:col>
      <xdr:colOff>559600</xdr:colOff>
      <xdr:row>21</xdr:row>
      <xdr:rowOff>35708</xdr:rowOff>
    </xdr:to>
    <xdr:sp macro="" textlink="">
      <xdr:nvSpPr>
        <xdr:cNvPr id="50" name="Rectangle 49">
          <a:hlinkClick xmlns:r="http://schemas.openxmlformats.org/officeDocument/2006/relationships" r:id="rId19"/>
        </xdr:cNvPr>
        <xdr:cNvSpPr/>
      </xdr:nvSpPr>
      <xdr:spPr>
        <a:xfrm>
          <a:off x="7441413" y="3333739"/>
          <a:ext cx="1190625" cy="357188"/>
        </a:xfrm>
        <a:prstGeom prst="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A4results</a:t>
          </a:r>
        </a:p>
      </xdr:txBody>
    </xdr:sp>
    <xdr:clientData/>
  </xdr:twoCellAnchor>
  <mc:AlternateContent xmlns:mc="http://schemas.openxmlformats.org/markup-compatibility/2006">
    <mc:Choice xmlns:a14="http://schemas.microsoft.com/office/drawing/2010/main" Requires="a14">
      <xdr:twoCellAnchor>
        <xdr:from>
          <xdr:col>3</xdr:col>
          <xdr:colOff>352425</xdr:colOff>
          <xdr:row>1</xdr:row>
          <xdr:rowOff>114300</xdr:rowOff>
        </xdr:from>
        <xdr:to>
          <xdr:col>5</xdr:col>
          <xdr:colOff>180975</xdr:colOff>
          <xdr:row>3</xdr:row>
          <xdr:rowOff>38100</xdr:rowOff>
        </xdr:to>
        <xdr:sp macro="" textlink="">
          <xdr:nvSpPr>
            <xdr:cNvPr id="18436" name="Button 4" hidden="1">
              <a:extLst>
                <a:ext uri="{63B3BB69-23CF-44E3-9099-C40C66FF867C}">
                  <a14:compatExt spid="_x0000_s184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Introduktion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361950</xdr:colOff>
          <xdr:row>1</xdr:row>
          <xdr:rowOff>104775</xdr:rowOff>
        </xdr:from>
        <xdr:to>
          <xdr:col>7</xdr:col>
          <xdr:colOff>190500</xdr:colOff>
          <xdr:row>3</xdr:row>
          <xdr:rowOff>28575</xdr:rowOff>
        </xdr:to>
        <xdr:sp macro="" textlink="">
          <xdr:nvSpPr>
            <xdr:cNvPr id="18455" name="Button 23" hidden="1">
              <a:extLst>
                <a:ext uri="{63B3BB69-23CF-44E3-9099-C40C66FF867C}">
                  <a14:compatExt spid="_x0000_s184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Referencer</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5124450</xdr:colOff>
          <xdr:row>0</xdr:row>
          <xdr:rowOff>38100</xdr:rowOff>
        </xdr:from>
        <xdr:to>
          <xdr:col>1</xdr:col>
          <xdr:colOff>6191250</xdr:colOff>
          <xdr:row>0</xdr:row>
          <xdr:rowOff>238125</xdr:rowOff>
        </xdr:to>
        <xdr:sp macro="" textlink="">
          <xdr:nvSpPr>
            <xdr:cNvPr id="263169" name="Button 1" hidden="1">
              <a:extLst>
                <a:ext uri="{63B3BB69-23CF-44E3-9099-C40C66FF867C}">
                  <a14:compatExt spid="_x0000_s2631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6362700</xdr:colOff>
          <xdr:row>0</xdr:row>
          <xdr:rowOff>38100</xdr:rowOff>
        </xdr:from>
        <xdr:to>
          <xdr:col>1</xdr:col>
          <xdr:colOff>7429500</xdr:colOff>
          <xdr:row>0</xdr:row>
          <xdr:rowOff>238125</xdr:rowOff>
        </xdr:to>
        <xdr:sp macro="" textlink="">
          <xdr:nvSpPr>
            <xdr:cNvPr id="263170" name="Button 2" hidden="1">
              <a:extLst>
                <a:ext uri="{63B3BB69-23CF-44E3-9099-C40C66FF867C}">
                  <a14:compatExt spid="_x0000_s2631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0</xdr:row>
          <xdr:rowOff>28575</xdr:rowOff>
        </xdr:from>
        <xdr:to>
          <xdr:col>5</xdr:col>
          <xdr:colOff>76200</xdr:colOff>
          <xdr:row>0</xdr:row>
          <xdr:rowOff>228600</xdr:rowOff>
        </xdr:to>
        <xdr:sp macro="" textlink="">
          <xdr:nvSpPr>
            <xdr:cNvPr id="263171" name="Drop Down 3" hidden="1">
              <a:extLst>
                <a:ext uri="{63B3BB69-23CF-44E3-9099-C40C66FF867C}">
                  <a14:compatExt spid="_x0000_s2631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3200400</xdr:colOff>
          <xdr:row>0</xdr:row>
          <xdr:rowOff>28575</xdr:rowOff>
        </xdr:from>
        <xdr:to>
          <xdr:col>1</xdr:col>
          <xdr:colOff>4876800</xdr:colOff>
          <xdr:row>0</xdr:row>
          <xdr:rowOff>228600</xdr:rowOff>
        </xdr:to>
        <xdr:sp macro="" textlink="">
          <xdr:nvSpPr>
            <xdr:cNvPr id="263172" name="Drop Down 4" hidden="1">
              <a:extLst>
                <a:ext uri="{63B3BB69-23CF-44E3-9099-C40C66FF867C}">
                  <a14:compatExt spid="_x0000_s263172"/>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xdr:col>
      <xdr:colOff>28575</xdr:colOff>
      <xdr:row>2</xdr:row>
      <xdr:rowOff>152400</xdr:rowOff>
    </xdr:from>
    <xdr:to>
      <xdr:col>12</xdr:col>
      <xdr:colOff>571501</xdr:colOff>
      <xdr:row>34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581023</xdr:colOff>
      <xdr:row>2</xdr:row>
      <xdr:rowOff>152400</xdr:rowOff>
    </xdr:from>
    <xdr:to>
      <xdr:col>24</xdr:col>
      <xdr:colOff>381000</xdr:colOff>
      <xdr:row>34</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26</xdr:col>
      <xdr:colOff>0</xdr:colOff>
      <xdr:row>3</xdr:row>
      <xdr:rowOff>0</xdr:rowOff>
    </xdr:from>
    <xdr:to>
      <xdr:col>36</xdr:col>
      <xdr:colOff>573884</xdr:colOff>
      <xdr:row>34</xdr:row>
      <xdr:rowOff>71438</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38</xdr:col>
      <xdr:colOff>0</xdr:colOff>
      <xdr:row>3</xdr:row>
      <xdr:rowOff>0</xdr:rowOff>
    </xdr:from>
    <xdr:to>
      <xdr:col>48</xdr:col>
      <xdr:colOff>573884</xdr:colOff>
      <xdr:row>34</xdr:row>
      <xdr:rowOff>71438</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38</xdr:col>
      <xdr:colOff>0</xdr:colOff>
      <xdr:row>37</xdr:row>
      <xdr:rowOff>0</xdr:rowOff>
    </xdr:from>
    <xdr:to>
      <xdr:col>48</xdr:col>
      <xdr:colOff>555626</xdr:colOff>
      <xdr:row>69</xdr:row>
      <xdr:rowOff>5604</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26</xdr:col>
      <xdr:colOff>0</xdr:colOff>
      <xdr:row>37</xdr:row>
      <xdr:rowOff>0</xdr:rowOff>
    </xdr:from>
    <xdr:to>
      <xdr:col>36</xdr:col>
      <xdr:colOff>555626</xdr:colOff>
      <xdr:row>69</xdr:row>
      <xdr:rowOff>5604</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0</xdr:colOff>
      <xdr:row>37</xdr:row>
      <xdr:rowOff>0</xdr:rowOff>
    </xdr:from>
    <xdr:to>
      <xdr:col>24</xdr:col>
      <xdr:colOff>381001</xdr:colOff>
      <xdr:row>69</xdr:row>
      <xdr:rowOff>5604</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0</xdr:colOff>
      <xdr:row>37</xdr:row>
      <xdr:rowOff>0</xdr:rowOff>
    </xdr:from>
    <xdr:to>
      <xdr:col>12</xdr:col>
      <xdr:colOff>333376</xdr:colOff>
      <xdr:row>69</xdr:row>
      <xdr:rowOff>5604</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9</xdr:row>
          <xdr:rowOff>152400</xdr:rowOff>
        </xdr:from>
        <xdr:to>
          <xdr:col>1</xdr:col>
          <xdr:colOff>1428750</xdr:colOff>
          <xdr:row>11</xdr:row>
          <xdr:rowOff>28575</xdr:rowOff>
        </xdr:to>
        <xdr:sp macro="" textlink="">
          <xdr:nvSpPr>
            <xdr:cNvPr id="329730" name="Drop Down 2" hidden="1">
              <a:extLst>
                <a:ext uri="{63B3BB69-23CF-44E3-9099-C40C66FF867C}">
                  <a14:compatExt spid="_x0000_s3297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142875</xdr:rowOff>
        </xdr:from>
        <xdr:to>
          <xdr:col>1</xdr:col>
          <xdr:colOff>981075</xdr:colOff>
          <xdr:row>8</xdr:row>
          <xdr:rowOff>28575</xdr:rowOff>
        </xdr:to>
        <xdr:sp macro="" textlink="">
          <xdr:nvSpPr>
            <xdr:cNvPr id="329732" name="Drop Down 4" hidden="1">
              <a:extLst>
                <a:ext uri="{63B3BB69-23CF-44E3-9099-C40C66FF867C}">
                  <a14:compatExt spid="_x0000_s3297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20</xdr:row>
          <xdr:rowOff>114300</xdr:rowOff>
        </xdr:from>
        <xdr:to>
          <xdr:col>1</xdr:col>
          <xdr:colOff>1800225</xdr:colOff>
          <xdr:row>22</xdr:row>
          <xdr:rowOff>66675</xdr:rowOff>
        </xdr:to>
        <xdr:sp macro="" textlink="">
          <xdr:nvSpPr>
            <xdr:cNvPr id="329735" name="Button 7" hidden="1">
              <a:extLst>
                <a:ext uri="{63B3BB69-23CF-44E3-9099-C40C66FF867C}">
                  <a14:compatExt spid="_x0000_s3297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Vælg basisforudsætninger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12</xdr:row>
          <xdr:rowOff>142875</xdr:rowOff>
        </xdr:from>
        <xdr:to>
          <xdr:col>1</xdr:col>
          <xdr:colOff>1743075</xdr:colOff>
          <xdr:row>14</xdr:row>
          <xdr:rowOff>28575</xdr:rowOff>
        </xdr:to>
        <xdr:sp macro="" textlink="">
          <xdr:nvSpPr>
            <xdr:cNvPr id="329736" name="Drop Down 8" hidden="1">
              <a:extLst>
                <a:ext uri="{63B3BB69-23CF-44E3-9099-C40C66FF867C}">
                  <a14:compatExt spid="_x0000_s3297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15</xdr:row>
          <xdr:rowOff>161925</xdr:rowOff>
        </xdr:from>
        <xdr:to>
          <xdr:col>1</xdr:col>
          <xdr:colOff>1743075</xdr:colOff>
          <xdr:row>17</xdr:row>
          <xdr:rowOff>38100</xdr:rowOff>
        </xdr:to>
        <xdr:sp macro="" textlink="">
          <xdr:nvSpPr>
            <xdr:cNvPr id="329738" name="Drop Down 10" hidden="1">
              <a:extLst>
                <a:ext uri="{63B3BB69-23CF-44E3-9099-C40C66FF867C}">
                  <a14:compatExt spid="_x0000_s3297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247650</xdr:colOff>
          <xdr:row>4</xdr:row>
          <xdr:rowOff>0</xdr:rowOff>
        </xdr:from>
        <xdr:to>
          <xdr:col>1</xdr:col>
          <xdr:colOff>981075</xdr:colOff>
          <xdr:row>5</xdr:row>
          <xdr:rowOff>38100</xdr:rowOff>
        </xdr:to>
        <xdr:sp macro="" textlink="">
          <xdr:nvSpPr>
            <xdr:cNvPr id="329740" name="Drop Down 12" hidden="1">
              <a:extLst>
                <a:ext uri="{63B3BB69-23CF-44E3-9099-C40C66FF867C}">
                  <a14:compatExt spid="_x0000_s3297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18</xdr:row>
          <xdr:rowOff>161925</xdr:rowOff>
        </xdr:from>
        <xdr:to>
          <xdr:col>1</xdr:col>
          <xdr:colOff>1562100</xdr:colOff>
          <xdr:row>20</xdr:row>
          <xdr:rowOff>0</xdr:rowOff>
        </xdr:to>
        <xdr:sp macro="" textlink="">
          <xdr:nvSpPr>
            <xdr:cNvPr id="329743" name="Drop Down 15" hidden="1">
              <a:extLst>
                <a:ext uri="{63B3BB69-23CF-44E3-9099-C40C66FF867C}">
                  <a14:compatExt spid="_x0000_s329743"/>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38100</xdr:rowOff>
        </xdr:from>
        <xdr:to>
          <xdr:col>4</xdr:col>
          <xdr:colOff>247650</xdr:colOff>
          <xdr:row>0</xdr:row>
          <xdr:rowOff>238125</xdr:rowOff>
        </xdr:to>
        <xdr:sp macro="" textlink="">
          <xdr:nvSpPr>
            <xdr:cNvPr id="20483" name="Drop Down 3" hidden="1">
              <a:extLst>
                <a:ext uri="{63B3BB69-23CF-44E3-9099-C40C66FF867C}">
                  <a14:compatExt spid="_x0000_s204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38100</xdr:rowOff>
        </xdr:from>
        <xdr:to>
          <xdr:col>11</xdr:col>
          <xdr:colOff>257175</xdr:colOff>
          <xdr:row>0</xdr:row>
          <xdr:rowOff>238125</xdr:rowOff>
        </xdr:to>
        <xdr:sp macro="" textlink="">
          <xdr:nvSpPr>
            <xdr:cNvPr id="20484" name="Button 4" hidden="1">
              <a:extLst>
                <a:ext uri="{63B3BB69-23CF-44E3-9099-C40C66FF867C}">
                  <a14:compatExt spid="_x0000_s204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409575</xdr:colOff>
          <xdr:row>0</xdr:row>
          <xdr:rowOff>38100</xdr:rowOff>
        </xdr:from>
        <xdr:to>
          <xdr:col>13</xdr:col>
          <xdr:colOff>323850</xdr:colOff>
          <xdr:row>0</xdr:row>
          <xdr:rowOff>238125</xdr:rowOff>
        </xdr:to>
        <xdr:sp macro="" textlink="">
          <xdr:nvSpPr>
            <xdr:cNvPr id="20485" name="Button 5" hidden="1">
              <a:extLst>
                <a:ext uri="{63B3BB69-23CF-44E3-9099-C40C66FF867C}">
                  <a14:compatExt spid="_x0000_s204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276225</xdr:colOff>
          <xdr:row>0</xdr:row>
          <xdr:rowOff>28575</xdr:rowOff>
        </xdr:from>
        <xdr:to>
          <xdr:col>8</xdr:col>
          <xdr:colOff>257175</xdr:colOff>
          <xdr:row>0</xdr:row>
          <xdr:rowOff>228600</xdr:rowOff>
        </xdr:to>
        <xdr:sp macro="" textlink="">
          <xdr:nvSpPr>
            <xdr:cNvPr id="20486" name="Drop Down 6" hidden="1">
              <a:extLst>
                <a:ext uri="{63B3BB69-23CF-44E3-9099-C40C66FF867C}">
                  <a14:compatExt spid="_x0000_s20486"/>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5</xdr:col>
      <xdr:colOff>23813</xdr:colOff>
      <xdr:row>2</xdr:row>
      <xdr:rowOff>87312</xdr:rowOff>
    </xdr:from>
    <xdr:to>
      <xdr:col>20</xdr:col>
      <xdr:colOff>35720</xdr:colOff>
      <xdr:row>43</xdr:row>
      <xdr:rowOff>119063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583407</xdr:colOff>
      <xdr:row>2</xdr:row>
      <xdr:rowOff>71435</xdr:rowOff>
    </xdr:from>
    <xdr:to>
      <xdr:col>33</xdr:col>
      <xdr:colOff>440532</xdr:colOff>
      <xdr:row>43</xdr:row>
      <xdr:rowOff>107155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xdr:col>
          <xdr:colOff>2019300</xdr:colOff>
          <xdr:row>7</xdr:row>
          <xdr:rowOff>47625</xdr:rowOff>
        </xdr:from>
        <xdr:to>
          <xdr:col>3</xdr:col>
          <xdr:colOff>57150</xdr:colOff>
          <xdr:row>9</xdr:row>
          <xdr:rowOff>95250</xdr:rowOff>
        </xdr:to>
        <xdr:sp macro="" textlink="">
          <xdr:nvSpPr>
            <xdr:cNvPr id="1434625" name="Button 1" hidden="1">
              <a:extLst>
                <a:ext uri="{63B3BB69-23CF-44E3-9099-C40C66FF867C}">
                  <a14:compatExt spid="_x0000_s14346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Calibri"/>
                </a:rPr>
                <a:t>Update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8</xdr:row>
          <xdr:rowOff>28575</xdr:rowOff>
        </xdr:from>
        <xdr:to>
          <xdr:col>1</xdr:col>
          <xdr:colOff>1609725</xdr:colOff>
          <xdr:row>9</xdr:row>
          <xdr:rowOff>76200</xdr:rowOff>
        </xdr:to>
        <xdr:sp macro="" textlink="">
          <xdr:nvSpPr>
            <xdr:cNvPr id="1434626" name="Drop Down 2" hidden="1">
              <a:extLst>
                <a:ext uri="{63B3BB69-23CF-44E3-9099-C40C66FF867C}">
                  <a14:compatExt spid="_x0000_s1434626"/>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581025</xdr:colOff>
          <xdr:row>0</xdr:row>
          <xdr:rowOff>57150</xdr:rowOff>
        </xdr:from>
        <xdr:to>
          <xdr:col>23</xdr:col>
          <xdr:colOff>38100</xdr:colOff>
          <xdr:row>0</xdr:row>
          <xdr:rowOff>238125</xdr:rowOff>
        </xdr:to>
        <xdr:sp macro="" textlink="">
          <xdr:nvSpPr>
            <xdr:cNvPr id="686082" name="Drop Down 2" hidden="1">
              <a:extLst>
                <a:ext uri="{63B3BB69-23CF-44E3-9099-C40C66FF867C}">
                  <a14:compatExt spid="_x0000_s6860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552450</xdr:colOff>
          <xdr:row>1</xdr:row>
          <xdr:rowOff>57150</xdr:rowOff>
        </xdr:from>
        <xdr:to>
          <xdr:col>23</xdr:col>
          <xdr:colOff>47625</xdr:colOff>
          <xdr:row>3</xdr:row>
          <xdr:rowOff>142875</xdr:rowOff>
        </xdr:to>
        <xdr:sp macro="" textlink="">
          <xdr:nvSpPr>
            <xdr:cNvPr id="686138" name="Button 58" hidden="1">
              <a:extLst>
                <a:ext uri="{63B3BB69-23CF-44E3-9099-C40C66FF867C}">
                  <a14:compatExt spid="_x0000_s6861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1" i="0" u="none" strike="noStrike" baseline="0">
                  <a:solidFill>
                    <a:srgbClr val="000000"/>
                  </a:solidFill>
                  <a:latin typeface="Calibri"/>
                </a:rPr>
                <a:t>Populate Result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552450</xdr:colOff>
          <xdr:row>1</xdr:row>
          <xdr:rowOff>57150</xdr:rowOff>
        </xdr:from>
        <xdr:to>
          <xdr:col>27</xdr:col>
          <xdr:colOff>114300</xdr:colOff>
          <xdr:row>3</xdr:row>
          <xdr:rowOff>142875</xdr:rowOff>
        </xdr:to>
        <xdr:sp macro="" textlink="">
          <xdr:nvSpPr>
            <xdr:cNvPr id="686139" name="Button 59" hidden="1">
              <a:extLst>
                <a:ext uri="{63B3BB69-23CF-44E3-9099-C40C66FF867C}">
                  <a14:compatExt spid="_x0000_s6861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1" i="0" u="none" strike="noStrike" baseline="0">
                  <a:solidFill>
                    <a:srgbClr val="000000"/>
                  </a:solidFill>
                  <a:latin typeface="Calibri"/>
                </a:rPr>
                <a:t>Export all pathways to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409575</xdr:colOff>
          <xdr:row>0</xdr:row>
          <xdr:rowOff>38100</xdr:rowOff>
        </xdr:from>
        <xdr:to>
          <xdr:col>11</xdr:col>
          <xdr:colOff>152400</xdr:colOff>
          <xdr:row>0</xdr:row>
          <xdr:rowOff>238125</xdr:rowOff>
        </xdr:to>
        <xdr:sp macro="" textlink="">
          <xdr:nvSpPr>
            <xdr:cNvPr id="107527" name="Button 2055" hidden="1">
              <a:extLst>
                <a:ext uri="{63B3BB69-23CF-44E3-9099-C40C66FF867C}">
                  <a14:compatExt spid="_x0000_s1075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323850</xdr:colOff>
          <xdr:row>0</xdr:row>
          <xdr:rowOff>38100</xdr:rowOff>
        </xdr:from>
        <xdr:to>
          <xdr:col>13</xdr:col>
          <xdr:colOff>76200</xdr:colOff>
          <xdr:row>0</xdr:row>
          <xdr:rowOff>238125</xdr:rowOff>
        </xdr:to>
        <xdr:sp macro="" textlink="">
          <xdr:nvSpPr>
            <xdr:cNvPr id="107528" name="Button 2056" hidden="1">
              <a:extLst>
                <a:ext uri="{63B3BB69-23CF-44E3-9099-C40C66FF867C}">
                  <a14:compatExt spid="_x0000_s1075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628650</xdr:colOff>
          <xdr:row>0</xdr:row>
          <xdr:rowOff>38100</xdr:rowOff>
        </xdr:from>
        <xdr:to>
          <xdr:col>9</xdr:col>
          <xdr:colOff>428625</xdr:colOff>
          <xdr:row>0</xdr:row>
          <xdr:rowOff>247650</xdr:rowOff>
        </xdr:to>
        <xdr:sp macro="" textlink="">
          <xdr:nvSpPr>
            <xdr:cNvPr id="472065" name="Button 1" hidden="1">
              <a:extLst>
                <a:ext uri="{63B3BB69-23CF-44E3-9099-C40C66FF867C}">
                  <a14:compatExt spid="_x0000_s4720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590550</xdr:colOff>
          <xdr:row>0</xdr:row>
          <xdr:rowOff>38100</xdr:rowOff>
        </xdr:from>
        <xdr:to>
          <xdr:col>11</xdr:col>
          <xdr:colOff>342900</xdr:colOff>
          <xdr:row>0</xdr:row>
          <xdr:rowOff>247650</xdr:rowOff>
        </xdr:to>
        <xdr:sp macro="" textlink="">
          <xdr:nvSpPr>
            <xdr:cNvPr id="472066" name="Button 2" hidden="1">
              <a:extLst>
                <a:ext uri="{63B3BB69-23CF-44E3-9099-C40C66FF867C}">
                  <a14:compatExt spid="_x0000_s47206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514350</xdr:colOff>
          <xdr:row>0</xdr:row>
          <xdr:rowOff>38100</xdr:rowOff>
        </xdr:from>
        <xdr:to>
          <xdr:col>9</xdr:col>
          <xdr:colOff>381000</xdr:colOff>
          <xdr:row>0</xdr:row>
          <xdr:rowOff>238125</xdr:rowOff>
        </xdr:to>
        <xdr:sp macro="" textlink="">
          <xdr:nvSpPr>
            <xdr:cNvPr id="21529" name="Button 25" hidden="1">
              <a:extLst>
                <a:ext uri="{63B3BB69-23CF-44E3-9099-C40C66FF867C}">
                  <a14:compatExt spid="_x0000_s215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552450</xdr:colOff>
          <xdr:row>0</xdr:row>
          <xdr:rowOff>38100</xdr:rowOff>
        </xdr:from>
        <xdr:to>
          <xdr:col>11</xdr:col>
          <xdr:colOff>66675</xdr:colOff>
          <xdr:row>0</xdr:row>
          <xdr:rowOff>238125</xdr:rowOff>
        </xdr:to>
        <xdr:sp macro="" textlink="">
          <xdr:nvSpPr>
            <xdr:cNvPr id="21530" name="Button 26" hidden="1">
              <a:extLst>
                <a:ext uri="{63B3BB69-23CF-44E3-9099-C40C66FF867C}">
                  <a14:compatExt spid="_x0000_s2153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200025</xdr:colOff>
          <xdr:row>0</xdr:row>
          <xdr:rowOff>38100</xdr:rowOff>
        </xdr:from>
        <xdr:to>
          <xdr:col>12</xdr:col>
          <xdr:colOff>1266825</xdr:colOff>
          <xdr:row>0</xdr:row>
          <xdr:rowOff>238125</xdr:rowOff>
        </xdr:to>
        <xdr:sp macro="" textlink="">
          <xdr:nvSpPr>
            <xdr:cNvPr id="515073" name="Button 1" hidden="1">
              <a:extLst>
                <a:ext uri="{63B3BB69-23CF-44E3-9099-C40C66FF867C}">
                  <a14:compatExt spid="_x0000_s5150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1438275</xdr:colOff>
          <xdr:row>0</xdr:row>
          <xdr:rowOff>38100</xdr:rowOff>
        </xdr:from>
        <xdr:to>
          <xdr:col>13</xdr:col>
          <xdr:colOff>781050</xdr:colOff>
          <xdr:row>0</xdr:row>
          <xdr:rowOff>238125</xdr:rowOff>
        </xdr:to>
        <xdr:sp macro="" textlink="">
          <xdr:nvSpPr>
            <xdr:cNvPr id="515074" name="Button 2" hidden="1">
              <a:extLst>
                <a:ext uri="{63B3BB69-23CF-44E3-9099-C40C66FF867C}">
                  <a14:compatExt spid="_x0000_s5150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66675</xdr:colOff>
          <xdr:row>0</xdr:row>
          <xdr:rowOff>38100</xdr:rowOff>
        </xdr:from>
        <xdr:to>
          <xdr:col>8</xdr:col>
          <xdr:colOff>590550</xdr:colOff>
          <xdr:row>0</xdr:row>
          <xdr:rowOff>238125</xdr:rowOff>
        </xdr:to>
        <xdr:sp macro="" textlink="">
          <xdr:nvSpPr>
            <xdr:cNvPr id="6214" name="Button 70" hidden="1">
              <a:extLst>
                <a:ext uri="{63B3BB69-23CF-44E3-9099-C40C66FF867C}">
                  <a14:compatExt spid="_x0000_s621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161925</xdr:colOff>
          <xdr:row>0</xdr:row>
          <xdr:rowOff>38100</xdr:rowOff>
        </xdr:from>
        <xdr:to>
          <xdr:col>10</xdr:col>
          <xdr:colOff>428625</xdr:colOff>
          <xdr:row>0</xdr:row>
          <xdr:rowOff>238125</xdr:rowOff>
        </xdr:to>
        <xdr:sp macro="" textlink="">
          <xdr:nvSpPr>
            <xdr:cNvPr id="6215" name="Button 71" hidden="1">
              <a:extLst>
                <a:ext uri="{63B3BB69-23CF-44E3-9099-C40C66FF867C}">
                  <a14:compatExt spid="_x0000_s621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676275</xdr:colOff>
          <xdr:row>0</xdr:row>
          <xdr:rowOff>38100</xdr:rowOff>
        </xdr:from>
        <xdr:to>
          <xdr:col>6</xdr:col>
          <xdr:colOff>695325</xdr:colOff>
          <xdr:row>0</xdr:row>
          <xdr:rowOff>238125</xdr:rowOff>
        </xdr:to>
        <xdr:sp macro="" textlink="">
          <xdr:nvSpPr>
            <xdr:cNvPr id="1127425" name="Button 1" hidden="1">
              <a:extLst>
                <a:ext uri="{63B3BB69-23CF-44E3-9099-C40C66FF867C}">
                  <a14:compatExt spid="_x0000_s11274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866775</xdr:colOff>
          <xdr:row>0</xdr:row>
          <xdr:rowOff>38100</xdr:rowOff>
        </xdr:from>
        <xdr:to>
          <xdr:col>7</xdr:col>
          <xdr:colOff>885825</xdr:colOff>
          <xdr:row>0</xdr:row>
          <xdr:rowOff>238125</xdr:rowOff>
        </xdr:to>
        <xdr:sp macro="" textlink="">
          <xdr:nvSpPr>
            <xdr:cNvPr id="1127426" name="Button 2" hidden="1">
              <a:extLst>
                <a:ext uri="{63B3BB69-23CF-44E3-9099-C40C66FF867C}">
                  <a14:compatExt spid="_x0000_s11274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9</xdr:row>
          <xdr:rowOff>161925</xdr:rowOff>
        </xdr:from>
        <xdr:to>
          <xdr:col>4</xdr:col>
          <xdr:colOff>304800</xdr:colOff>
          <xdr:row>11</xdr:row>
          <xdr:rowOff>38100</xdr:rowOff>
        </xdr:to>
        <xdr:sp macro="" textlink="">
          <xdr:nvSpPr>
            <xdr:cNvPr id="1127428" name="Drop Down 4" hidden="1">
              <a:extLst>
                <a:ext uri="{63B3BB69-23CF-44E3-9099-C40C66FF867C}">
                  <a14:compatExt spid="_x0000_s1127428"/>
                </a:ext>
              </a:extLst>
            </xdr:cNvPr>
            <xdr:cNvSpPr/>
          </xdr:nvSpPr>
          <xdr:spPr>
            <a:xfrm>
              <a:off x="0" y="0"/>
              <a:ext cx="0" cy="0"/>
            </a:xfrm>
            <a:prstGeom prst="rect">
              <a:avLst/>
            </a:prstGeom>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619125</xdr:colOff>
          <xdr:row>0</xdr:row>
          <xdr:rowOff>38100</xdr:rowOff>
        </xdr:from>
        <xdr:to>
          <xdr:col>9</xdr:col>
          <xdr:colOff>161925</xdr:colOff>
          <xdr:row>0</xdr:row>
          <xdr:rowOff>238125</xdr:rowOff>
        </xdr:to>
        <xdr:sp macro="" textlink="">
          <xdr:nvSpPr>
            <xdr:cNvPr id="37914" name="Button 26" hidden="1">
              <a:extLst>
                <a:ext uri="{63B3BB69-23CF-44E3-9099-C40C66FF867C}">
                  <a14:compatExt spid="_x0000_s3791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323850</xdr:colOff>
          <xdr:row>0</xdr:row>
          <xdr:rowOff>38100</xdr:rowOff>
        </xdr:from>
        <xdr:to>
          <xdr:col>10</xdr:col>
          <xdr:colOff>542925</xdr:colOff>
          <xdr:row>0</xdr:row>
          <xdr:rowOff>238125</xdr:rowOff>
        </xdr:to>
        <xdr:sp macro="" textlink="">
          <xdr:nvSpPr>
            <xdr:cNvPr id="37915" name="Button 27" hidden="1">
              <a:extLst>
                <a:ext uri="{63B3BB69-23CF-44E3-9099-C40C66FF867C}">
                  <a14:compatExt spid="_x0000_s3791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838200</xdr:colOff>
          <xdr:row>0</xdr:row>
          <xdr:rowOff>38100</xdr:rowOff>
        </xdr:from>
        <xdr:to>
          <xdr:col>9</xdr:col>
          <xdr:colOff>381000</xdr:colOff>
          <xdr:row>0</xdr:row>
          <xdr:rowOff>238125</xdr:rowOff>
        </xdr:to>
        <xdr:sp macro="" textlink="">
          <xdr:nvSpPr>
            <xdr:cNvPr id="41998" name="Button 14" hidden="1">
              <a:extLst>
                <a:ext uri="{63B3BB69-23CF-44E3-9099-C40C66FF867C}">
                  <a14:compatExt spid="_x0000_s419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542925</xdr:colOff>
          <xdr:row>0</xdr:row>
          <xdr:rowOff>38100</xdr:rowOff>
        </xdr:from>
        <xdr:to>
          <xdr:col>11</xdr:col>
          <xdr:colOff>38100</xdr:colOff>
          <xdr:row>0</xdr:row>
          <xdr:rowOff>238125</xdr:rowOff>
        </xdr:to>
        <xdr:sp macro="" textlink="">
          <xdr:nvSpPr>
            <xdr:cNvPr id="41999" name="Button 15" hidden="1">
              <a:extLst>
                <a:ext uri="{63B3BB69-23CF-44E3-9099-C40C66FF867C}">
                  <a14:compatExt spid="_x0000_s419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838200</xdr:colOff>
          <xdr:row>0</xdr:row>
          <xdr:rowOff>38100</xdr:rowOff>
        </xdr:from>
        <xdr:to>
          <xdr:col>9</xdr:col>
          <xdr:colOff>381000</xdr:colOff>
          <xdr:row>0</xdr:row>
          <xdr:rowOff>238125</xdr:rowOff>
        </xdr:to>
        <xdr:sp macro="" textlink="">
          <xdr:nvSpPr>
            <xdr:cNvPr id="1101825" name="Button 1" hidden="1">
              <a:extLst>
                <a:ext uri="{63B3BB69-23CF-44E3-9099-C40C66FF867C}">
                  <a14:compatExt spid="_x0000_s11018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542925</xdr:colOff>
          <xdr:row>0</xdr:row>
          <xdr:rowOff>38100</xdr:rowOff>
        </xdr:from>
        <xdr:to>
          <xdr:col>11</xdr:col>
          <xdr:colOff>38100</xdr:colOff>
          <xdr:row>0</xdr:row>
          <xdr:rowOff>238125</xdr:rowOff>
        </xdr:to>
        <xdr:sp macro="" textlink="">
          <xdr:nvSpPr>
            <xdr:cNvPr id="1101826" name="Button 2" hidden="1">
              <a:extLst>
                <a:ext uri="{63B3BB69-23CF-44E3-9099-C40C66FF867C}">
                  <a14:compatExt spid="_x0000_s11018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838200</xdr:colOff>
          <xdr:row>0</xdr:row>
          <xdr:rowOff>38100</xdr:rowOff>
        </xdr:from>
        <xdr:to>
          <xdr:col>9</xdr:col>
          <xdr:colOff>381000</xdr:colOff>
          <xdr:row>0</xdr:row>
          <xdr:rowOff>238125</xdr:rowOff>
        </xdr:to>
        <xdr:sp macro="" textlink="">
          <xdr:nvSpPr>
            <xdr:cNvPr id="1102849" name="Button 1" hidden="1">
              <a:extLst>
                <a:ext uri="{63B3BB69-23CF-44E3-9099-C40C66FF867C}">
                  <a14:compatExt spid="_x0000_s11028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542925</xdr:colOff>
          <xdr:row>0</xdr:row>
          <xdr:rowOff>38100</xdr:rowOff>
        </xdr:from>
        <xdr:to>
          <xdr:col>11</xdr:col>
          <xdr:colOff>38100</xdr:colOff>
          <xdr:row>0</xdr:row>
          <xdr:rowOff>238125</xdr:rowOff>
        </xdr:to>
        <xdr:sp macro="" textlink="">
          <xdr:nvSpPr>
            <xdr:cNvPr id="1102850" name="Button 2" hidden="1">
              <a:extLst>
                <a:ext uri="{63B3BB69-23CF-44E3-9099-C40C66FF867C}">
                  <a14:compatExt spid="_x0000_s11028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819150</xdr:colOff>
          <xdr:row>0</xdr:row>
          <xdr:rowOff>38100</xdr:rowOff>
        </xdr:from>
        <xdr:to>
          <xdr:col>9</xdr:col>
          <xdr:colOff>381000</xdr:colOff>
          <xdr:row>0</xdr:row>
          <xdr:rowOff>238125</xdr:rowOff>
        </xdr:to>
        <xdr:sp macro="" textlink="">
          <xdr:nvSpPr>
            <xdr:cNvPr id="45059" name="Button 3" hidden="1">
              <a:extLst>
                <a:ext uri="{63B3BB69-23CF-44E3-9099-C40C66FF867C}">
                  <a14:compatExt spid="_x0000_s450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542925</xdr:colOff>
          <xdr:row>0</xdr:row>
          <xdr:rowOff>38100</xdr:rowOff>
        </xdr:from>
        <xdr:to>
          <xdr:col>11</xdr:col>
          <xdr:colOff>161925</xdr:colOff>
          <xdr:row>0</xdr:row>
          <xdr:rowOff>238125</xdr:rowOff>
        </xdr:to>
        <xdr:sp macro="" textlink="">
          <xdr:nvSpPr>
            <xdr:cNvPr id="45060" name="Button 4" hidden="1">
              <a:extLst>
                <a:ext uri="{63B3BB69-23CF-44E3-9099-C40C66FF867C}">
                  <a14:compatExt spid="_x0000_s4506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904875</xdr:colOff>
          <xdr:row>0</xdr:row>
          <xdr:rowOff>38100</xdr:rowOff>
        </xdr:from>
        <xdr:to>
          <xdr:col>7</xdr:col>
          <xdr:colOff>923925</xdr:colOff>
          <xdr:row>0</xdr:row>
          <xdr:rowOff>238125</xdr:rowOff>
        </xdr:to>
        <xdr:sp macro="" textlink="">
          <xdr:nvSpPr>
            <xdr:cNvPr id="517121" name="Button 1" hidden="1">
              <a:extLst>
                <a:ext uri="{63B3BB69-23CF-44E3-9099-C40C66FF867C}">
                  <a14:compatExt spid="_x0000_s5171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47625</xdr:colOff>
          <xdr:row>0</xdr:row>
          <xdr:rowOff>38100</xdr:rowOff>
        </xdr:from>
        <xdr:to>
          <xdr:col>9</xdr:col>
          <xdr:colOff>638175</xdr:colOff>
          <xdr:row>0</xdr:row>
          <xdr:rowOff>238125</xdr:rowOff>
        </xdr:to>
        <xdr:sp macro="" textlink="">
          <xdr:nvSpPr>
            <xdr:cNvPr id="517122" name="Button 2" hidden="1">
              <a:extLst>
                <a:ext uri="{63B3BB69-23CF-44E3-9099-C40C66FF867C}">
                  <a14:compatExt spid="_x0000_s51712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923925</xdr:colOff>
          <xdr:row>0</xdr:row>
          <xdr:rowOff>28575</xdr:rowOff>
        </xdr:from>
        <xdr:to>
          <xdr:col>7</xdr:col>
          <xdr:colOff>952500</xdr:colOff>
          <xdr:row>0</xdr:row>
          <xdr:rowOff>238125</xdr:rowOff>
        </xdr:to>
        <xdr:sp macro="" textlink="">
          <xdr:nvSpPr>
            <xdr:cNvPr id="519169" name="Button 1" hidden="1">
              <a:extLst>
                <a:ext uri="{63B3BB69-23CF-44E3-9099-C40C66FF867C}">
                  <a14:compatExt spid="_x0000_s5191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57150</xdr:colOff>
          <xdr:row>0</xdr:row>
          <xdr:rowOff>28575</xdr:rowOff>
        </xdr:from>
        <xdr:to>
          <xdr:col>9</xdr:col>
          <xdr:colOff>657225</xdr:colOff>
          <xdr:row>0</xdr:row>
          <xdr:rowOff>238125</xdr:rowOff>
        </xdr:to>
        <xdr:sp macro="" textlink="">
          <xdr:nvSpPr>
            <xdr:cNvPr id="519170" name="Button 2" hidden="1">
              <a:extLst>
                <a:ext uri="{63B3BB69-23CF-44E3-9099-C40C66FF867C}">
                  <a14:compatExt spid="_x0000_s5191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962025</xdr:colOff>
          <xdr:row>0</xdr:row>
          <xdr:rowOff>38100</xdr:rowOff>
        </xdr:from>
        <xdr:to>
          <xdr:col>7</xdr:col>
          <xdr:colOff>971550</xdr:colOff>
          <xdr:row>0</xdr:row>
          <xdr:rowOff>238125</xdr:rowOff>
        </xdr:to>
        <xdr:sp macro="" textlink="">
          <xdr:nvSpPr>
            <xdr:cNvPr id="310273" name="Button 1" hidden="1">
              <a:extLst>
                <a:ext uri="{63B3BB69-23CF-44E3-9099-C40C66FF867C}">
                  <a14:compatExt spid="_x0000_s3102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95250</xdr:colOff>
          <xdr:row>0</xdr:row>
          <xdr:rowOff>38100</xdr:rowOff>
        </xdr:from>
        <xdr:to>
          <xdr:col>9</xdr:col>
          <xdr:colOff>676275</xdr:colOff>
          <xdr:row>0</xdr:row>
          <xdr:rowOff>238125</xdr:rowOff>
        </xdr:to>
        <xdr:sp macro="" textlink="">
          <xdr:nvSpPr>
            <xdr:cNvPr id="310274" name="Button 2" hidden="1">
              <a:extLst>
                <a:ext uri="{63B3BB69-23CF-44E3-9099-C40C66FF867C}">
                  <a14:compatExt spid="_x0000_s3102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133350</xdr:colOff>
          <xdr:row>0</xdr:row>
          <xdr:rowOff>38100</xdr:rowOff>
        </xdr:from>
        <xdr:to>
          <xdr:col>8</xdr:col>
          <xdr:colOff>152400</xdr:colOff>
          <xdr:row>0</xdr:row>
          <xdr:rowOff>238125</xdr:rowOff>
        </xdr:to>
        <xdr:sp macro="" textlink="">
          <xdr:nvSpPr>
            <xdr:cNvPr id="1320961" name="Button 1" hidden="1">
              <a:extLst>
                <a:ext uri="{63B3BB69-23CF-44E3-9099-C40C66FF867C}">
                  <a14:compatExt spid="_x0000_s13209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323850</xdr:colOff>
          <xdr:row>0</xdr:row>
          <xdr:rowOff>38100</xdr:rowOff>
        </xdr:from>
        <xdr:to>
          <xdr:col>10</xdr:col>
          <xdr:colOff>66675</xdr:colOff>
          <xdr:row>0</xdr:row>
          <xdr:rowOff>238125</xdr:rowOff>
        </xdr:to>
        <xdr:sp macro="" textlink="">
          <xdr:nvSpPr>
            <xdr:cNvPr id="1320962" name="Button 2" hidden="1">
              <a:extLst>
                <a:ext uri="{63B3BB69-23CF-44E3-9099-C40C66FF867C}">
                  <a14:compatExt spid="_x0000_s13209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904875</xdr:colOff>
          <xdr:row>0</xdr:row>
          <xdr:rowOff>38100</xdr:rowOff>
        </xdr:from>
        <xdr:to>
          <xdr:col>7</xdr:col>
          <xdr:colOff>923925</xdr:colOff>
          <xdr:row>0</xdr:row>
          <xdr:rowOff>238125</xdr:rowOff>
        </xdr:to>
        <xdr:sp macro="" textlink="">
          <xdr:nvSpPr>
            <xdr:cNvPr id="1271809" name="Button 1" hidden="1">
              <a:extLst>
                <a:ext uri="{63B3BB69-23CF-44E3-9099-C40C66FF867C}">
                  <a14:compatExt spid="_x0000_s127180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47625</xdr:colOff>
          <xdr:row>0</xdr:row>
          <xdr:rowOff>38100</xdr:rowOff>
        </xdr:from>
        <xdr:to>
          <xdr:col>9</xdr:col>
          <xdr:colOff>638175</xdr:colOff>
          <xdr:row>0</xdr:row>
          <xdr:rowOff>238125</xdr:rowOff>
        </xdr:to>
        <xdr:sp macro="" textlink="">
          <xdr:nvSpPr>
            <xdr:cNvPr id="1271810" name="Button 2" hidden="1">
              <a:extLst>
                <a:ext uri="{63B3BB69-23CF-44E3-9099-C40C66FF867C}">
                  <a14:compatExt spid="_x0000_s12718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847725</xdr:colOff>
          <xdr:row>0</xdr:row>
          <xdr:rowOff>38100</xdr:rowOff>
        </xdr:from>
        <xdr:to>
          <xdr:col>9</xdr:col>
          <xdr:colOff>219075</xdr:colOff>
          <xdr:row>0</xdr:row>
          <xdr:rowOff>238125</xdr:rowOff>
        </xdr:to>
        <xdr:sp macro="" textlink="">
          <xdr:nvSpPr>
            <xdr:cNvPr id="56323" name="Button 3" hidden="1">
              <a:extLst>
                <a:ext uri="{63B3BB69-23CF-44E3-9099-C40C66FF867C}">
                  <a14:compatExt spid="_x0000_s563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400050</xdr:colOff>
          <xdr:row>0</xdr:row>
          <xdr:rowOff>38100</xdr:rowOff>
        </xdr:from>
        <xdr:to>
          <xdr:col>10</xdr:col>
          <xdr:colOff>609600</xdr:colOff>
          <xdr:row>0</xdr:row>
          <xdr:rowOff>238125</xdr:rowOff>
        </xdr:to>
        <xdr:sp macro="" textlink="">
          <xdr:nvSpPr>
            <xdr:cNvPr id="56324" name="Button 4" hidden="1">
              <a:extLst>
                <a:ext uri="{63B3BB69-23CF-44E3-9099-C40C66FF867C}">
                  <a14:compatExt spid="_x0000_s563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962025</xdr:colOff>
          <xdr:row>0</xdr:row>
          <xdr:rowOff>38100</xdr:rowOff>
        </xdr:from>
        <xdr:to>
          <xdr:col>7</xdr:col>
          <xdr:colOff>971550</xdr:colOff>
          <xdr:row>0</xdr:row>
          <xdr:rowOff>238125</xdr:rowOff>
        </xdr:to>
        <xdr:sp macro="" textlink="">
          <xdr:nvSpPr>
            <xdr:cNvPr id="57347" name="Button 3" hidden="1">
              <a:extLst>
                <a:ext uri="{63B3BB69-23CF-44E3-9099-C40C66FF867C}">
                  <a14:compatExt spid="_x0000_s5734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95250</xdr:colOff>
          <xdr:row>0</xdr:row>
          <xdr:rowOff>38100</xdr:rowOff>
        </xdr:from>
        <xdr:to>
          <xdr:col>9</xdr:col>
          <xdr:colOff>666750</xdr:colOff>
          <xdr:row>0</xdr:row>
          <xdr:rowOff>238125</xdr:rowOff>
        </xdr:to>
        <xdr:sp macro="" textlink="">
          <xdr:nvSpPr>
            <xdr:cNvPr id="57348" name="Button 4" hidden="1">
              <a:extLst>
                <a:ext uri="{63B3BB69-23CF-44E3-9099-C40C66FF867C}">
                  <a14:compatExt spid="_x0000_s573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962025</xdr:colOff>
          <xdr:row>0</xdr:row>
          <xdr:rowOff>38100</xdr:rowOff>
        </xdr:from>
        <xdr:to>
          <xdr:col>7</xdr:col>
          <xdr:colOff>971550</xdr:colOff>
          <xdr:row>0</xdr:row>
          <xdr:rowOff>238125</xdr:rowOff>
        </xdr:to>
        <xdr:sp macro="" textlink="">
          <xdr:nvSpPr>
            <xdr:cNvPr id="423937" name="Button 1" hidden="1">
              <a:extLst>
                <a:ext uri="{63B3BB69-23CF-44E3-9099-C40C66FF867C}">
                  <a14:compatExt spid="_x0000_s4239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95250</xdr:colOff>
          <xdr:row>0</xdr:row>
          <xdr:rowOff>38100</xdr:rowOff>
        </xdr:from>
        <xdr:to>
          <xdr:col>9</xdr:col>
          <xdr:colOff>676275</xdr:colOff>
          <xdr:row>0</xdr:row>
          <xdr:rowOff>238125</xdr:rowOff>
        </xdr:to>
        <xdr:sp macro="" textlink="">
          <xdr:nvSpPr>
            <xdr:cNvPr id="423938" name="Button 2" hidden="1">
              <a:extLst>
                <a:ext uri="{63B3BB69-23CF-44E3-9099-C40C66FF867C}">
                  <a14:compatExt spid="_x0000_s4239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133350</xdr:colOff>
          <xdr:row>0</xdr:row>
          <xdr:rowOff>38100</xdr:rowOff>
        </xdr:from>
        <xdr:to>
          <xdr:col>8</xdr:col>
          <xdr:colOff>152400</xdr:colOff>
          <xdr:row>0</xdr:row>
          <xdr:rowOff>238125</xdr:rowOff>
        </xdr:to>
        <xdr:sp macro="" textlink="">
          <xdr:nvSpPr>
            <xdr:cNvPr id="46083" name="Button 3" hidden="1">
              <a:extLst>
                <a:ext uri="{63B3BB69-23CF-44E3-9099-C40C66FF867C}">
                  <a14:compatExt spid="_x0000_s460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323850</xdr:colOff>
          <xdr:row>0</xdr:row>
          <xdr:rowOff>38100</xdr:rowOff>
        </xdr:from>
        <xdr:to>
          <xdr:col>10</xdr:col>
          <xdr:colOff>66675</xdr:colOff>
          <xdr:row>0</xdr:row>
          <xdr:rowOff>238125</xdr:rowOff>
        </xdr:to>
        <xdr:sp macro="" textlink="">
          <xdr:nvSpPr>
            <xdr:cNvPr id="46084" name="Button 4" hidden="1">
              <a:extLst>
                <a:ext uri="{63B3BB69-23CF-44E3-9099-C40C66FF867C}">
                  <a14:compatExt spid="_x0000_s460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962025</xdr:colOff>
          <xdr:row>0</xdr:row>
          <xdr:rowOff>38100</xdr:rowOff>
        </xdr:from>
        <xdr:to>
          <xdr:col>7</xdr:col>
          <xdr:colOff>971550</xdr:colOff>
          <xdr:row>0</xdr:row>
          <xdr:rowOff>238125</xdr:rowOff>
        </xdr:to>
        <xdr:sp macro="" textlink="">
          <xdr:nvSpPr>
            <xdr:cNvPr id="559105" name="Button 1" hidden="1">
              <a:extLst>
                <a:ext uri="{63B3BB69-23CF-44E3-9099-C40C66FF867C}">
                  <a14:compatExt spid="_x0000_s5591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95250</xdr:colOff>
          <xdr:row>0</xdr:row>
          <xdr:rowOff>38100</xdr:rowOff>
        </xdr:from>
        <xdr:to>
          <xdr:col>9</xdr:col>
          <xdr:colOff>676275</xdr:colOff>
          <xdr:row>0</xdr:row>
          <xdr:rowOff>238125</xdr:rowOff>
        </xdr:to>
        <xdr:sp macro="" textlink="">
          <xdr:nvSpPr>
            <xdr:cNvPr id="559106" name="Button 2" hidden="1">
              <a:extLst>
                <a:ext uri="{63B3BB69-23CF-44E3-9099-C40C66FF867C}">
                  <a14:compatExt spid="_x0000_s55910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800100</xdr:colOff>
          <xdr:row>0</xdr:row>
          <xdr:rowOff>38100</xdr:rowOff>
        </xdr:from>
        <xdr:to>
          <xdr:col>9</xdr:col>
          <xdr:colOff>342900</xdr:colOff>
          <xdr:row>0</xdr:row>
          <xdr:rowOff>238125</xdr:rowOff>
        </xdr:to>
        <xdr:sp macro="" textlink="">
          <xdr:nvSpPr>
            <xdr:cNvPr id="32771" name="Button 3" hidden="1">
              <a:extLst>
                <a:ext uri="{63B3BB69-23CF-44E3-9099-C40C66FF867C}">
                  <a14:compatExt spid="_x0000_s3277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504825</xdr:colOff>
          <xdr:row>0</xdr:row>
          <xdr:rowOff>38100</xdr:rowOff>
        </xdr:from>
        <xdr:to>
          <xdr:col>9</xdr:col>
          <xdr:colOff>1581150</xdr:colOff>
          <xdr:row>0</xdr:row>
          <xdr:rowOff>238125</xdr:rowOff>
        </xdr:to>
        <xdr:sp macro="" textlink="">
          <xdr:nvSpPr>
            <xdr:cNvPr id="32772" name="Button 4" hidden="1">
              <a:extLst>
                <a:ext uri="{63B3BB69-23CF-44E3-9099-C40C66FF867C}">
                  <a14:compatExt spid="_x0000_s327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76200</xdr:colOff>
          <xdr:row>0</xdr:row>
          <xdr:rowOff>38100</xdr:rowOff>
        </xdr:from>
        <xdr:to>
          <xdr:col>8</xdr:col>
          <xdr:colOff>76200</xdr:colOff>
          <xdr:row>0</xdr:row>
          <xdr:rowOff>238125</xdr:rowOff>
        </xdr:to>
        <xdr:sp macro="" textlink="">
          <xdr:nvSpPr>
            <xdr:cNvPr id="30723" name="Button 3" hidden="1">
              <a:extLst>
                <a:ext uri="{63B3BB69-23CF-44E3-9099-C40C66FF867C}">
                  <a14:compatExt spid="_x0000_s307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247650</xdr:colOff>
          <xdr:row>0</xdr:row>
          <xdr:rowOff>38100</xdr:rowOff>
        </xdr:from>
        <xdr:to>
          <xdr:col>9</xdr:col>
          <xdr:colOff>838200</xdr:colOff>
          <xdr:row>0</xdr:row>
          <xdr:rowOff>238125</xdr:rowOff>
        </xdr:to>
        <xdr:sp macro="" textlink="">
          <xdr:nvSpPr>
            <xdr:cNvPr id="30724" name="Button 4" hidden="1">
              <a:extLst>
                <a:ext uri="{63B3BB69-23CF-44E3-9099-C40C66FF867C}">
                  <a14:compatExt spid="_x0000_s307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180975</xdr:colOff>
          <xdr:row>0</xdr:row>
          <xdr:rowOff>38100</xdr:rowOff>
        </xdr:from>
        <xdr:to>
          <xdr:col>8</xdr:col>
          <xdr:colOff>200025</xdr:colOff>
          <xdr:row>0</xdr:row>
          <xdr:rowOff>238125</xdr:rowOff>
        </xdr:to>
        <xdr:sp macro="" textlink="">
          <xdr:nvSpPr>
            <xdr:cNvPr id="53251" name="Button 3" hidden="1">
              <a:extLst>
                <a:ext uri="{63B3BB69-23CF-44E3-9099-C40C66FF867C}">
                  <a14:compatExt spid="_x0000_s532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371475</xdr:colOff>
          <xdr:row>0</xdr:row>
          <xdr:rowOff>38100</xdr:rowOff>
        </xdr:from>
        <xdr:to>
          <xdr:col>9</xdr:col>
          <xdr:colOff>942975</xdr:colOff>
          <xdr:row>0</xdr:row>
          <xdr:rowOff>238125</xdr:rowOff>
        </xdr:to>
        <xdr:sp macro="" textlink="">
          <xdr:nvSpPr>
            <xdr:cNvPr id="53252" name="Button 4" hidden="1">
              <a:extLst>
                <a:ext uri="{63B3BB69-23CF-44E3-9099-C40C66FF867C}">
                  <a14:compatExt spid="_x0000_s532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171450</xdr:colOff>
          <xdr:row>0</xdr:row>
          <xdr:rowOff>38100</xdr:rowOff>
        </xdr:from>
        <xdr:to>
          <xdr:col>8</xdr:col>
          <xdr:colOff>180975</xdr:colOff>
          <xdr:row>0</xdr:row>
          <xdr:rowOff>238125</xdr:rowOff>
        </xdr:to>
        <xdr:sp macro="" textlink="">
          <xdr:nvSpPr>
            <xdr:cNvPr id="47107" name="Button 3" hidden="1">
              <a:extLst>
                <a:ext uri="{63B3BB69-23CF-44E3-9099-C40C66FF867C}">
                  <a14:compatExt spid="_x0000_s471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361950</xdr:colOff>
          <xdr:row>0</xdr:row>
          <xdr:rowOff>38100</xdr:rowOff>
        </xdr:from>
        <xdr:to>
          <xdr:col>9</xdr:col>
          <xdr:colOff>933450</xdr:colOff>
          <xdr:row>0</xdr:row>
          <xdr:rowOff>238125</xdr:rowOff>
        </xdr:to>
        <xdr:sp macro="" textlink="">
          <xdr:nvSpPr>
            <xdr:cNvPr id="47108" name="Button 4" hidden="1">
              <a:extLst>
                <a:ext uri="{63B3BB69-23CF-44E3-9099-C40C66FF867C}">
                  <a14:compatExt spid="_x0000_s471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800100</xdr:colOff>
          <xdr:row>0</xdr:row>
          <xdr:rowOff>38100</xdr:rowOff>
        </xdr:from>
        <xdr:to>
          <xdr:col>9</xdr:col>
          <xdr:colOff>333375</xdr:colOff>
          <xdr:row>0</xdr:row>
          <xdr:rowOff>238125</xdr:rowOff>
        </xdr:to>
        <xdr:sp macro="" textlink="">
          <xdr:nvSpPr>
            <xdr:cNvPr id="51203" name="Button 3" hidden="1">
              <a:extLst>
                <a:ext uri="{63B3BB69-23CF-44E3-9099-C40C66FF867C}">
                  <a14:compatExt spid="_x0000_s512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504825</xdr:colOff>
          <xdr:row>0</xdr:row>
          <xdr:rowOff>38100</xdr:rowOff>
        </xdr:from>
        <xdr:to>
          <xdr:col>9</xdr:col>
          <xdr:colOff>1562100</xdr:colOff>
          <xdr:row>0</xdr:row>
          <xdr:rowOff>238125</xdr:rowOff>
        </xdr:to>
        <xdr:sp macro="" textlink="">
          <xdr:nvSpPr>
            <xdr:cNvPr id="51204" name="Button 4" hidden="1">
              <a:extLst>
                <a:ext uri="{63B3BB69-23CF-44E3-9099-C40C66FF867C}">
                  <a14:compatExt spid="_x0000_s512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790575</xdr:colOff>
          <xdr:row>0</xdr:row>
          <xdr:rowOff>38100</xdr:rowOff>
        </xdr:from>
        <xdr:to>
          <xdr:col>9</xdr:col>
          <xdr:colOff>323850</xdr:colOff>
          <xdr:row>0</xdr:row>
          <xdr:rowOff>238125</xdr:rowOff>
        </xdr:to>
        <xdr:sp macro="" textlink="">
          <xdr:nvSpPr>
            <xdr:cNvPr id="50179" name="Button 3" hidden="1">
              <a:extLst>
                <a:ext uri="{63B3BB69-23CF-44E3-9099-C40C66FF867C}">
                  <a14:compatExt spid="_x0000_s501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485775</xdr:colOff>
          <xdr:row>0</xdr:row>
          <xdr:rowOff>38100</xdr:rowOff>
        </xdr:from>
        <xdr:to>
          <xdr:col>9</xdr:col>
          <xdr:colOff>1543050</xdr:colOff>
          <xdr:row>0</xdr:row>
          <xdr:rowOff>238125</xdr:rowOff>
        </xdr:to>
        <xdr:sp macro="" textlink="">
          <xdr:nvSpPr>
            <xdr:cNvPr id="50180" name="Button 4" hidden="1">
              <a:extLst>
                <a:ext uri="{63B3BB69-23CF-44E3-9099-C40C66FF867C}">
                  <a14:compatExt spid="_x0000_s5018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790575</xdr:colOff>
          <xdr:row>0</xdr:row>
          <xdr:rowOff>38100</xdr:rowOff>
        </xdr:from>
        <xdr:to>
          <xdr:col>9</xdr:col>
          <xdr:colOff>333375</xdr:colOff>
          <xdr:row>0</xdr:row>
          <xdr:rowOff>238125</xdr:rowOff>
        </xdr:to>
        <xdr:sp macro="" textlink="">
          <xdr:nvSpPr>
            <xdr:cNvPr id="372737" name="Button 1" hidden="1">
              <a:extLst>
                <a:ext uri="{63B3BB69-23CF-44E3-9099-C40C66FF867C}">
                  <a14:compatExt spid="_x0000_s372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495300</xdr:colOff>
          <xdr:row>0</xdr:row>
          <xdr:rowOff>38100</xdr:rowOff>
        </xdr:from>
        <xdr:to>
          <xdr:col>9</xdr:col>
          <xdr:colOff>1562100</xdr:colOff>
          <xdr:row>0</xdr:row>
          <xdr:rowOff>238125</xdr:rowOff>
        </xdr:to>
        <xdr:sp macro="" textlink="">
          <xdr:nvSpPr>
            <xdr:cNvPr id="372738" name="Button 2" hidden="1">
              <a:extLst>
                <a:ext uri="{63B3BB69-23CF-44E3-9099-C40C66FF867C}">
                  <a14:compatExt spid="_x0000_s372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314325</xdr:colOff>
          <xdr:row>0</xdr:row>
          <xdr:rowOff>38100</xdr:rowOff>
        </xdr:from>
        <xdr:to>
          <xdr:col>9</xdr:col>
          <xdr:colOff>676275</xdr:colOff>
          <xdr:row>0</xdr:row>
          <xdr:rowOff>238125</xdr:rowOff>
        </xdr:to>
        <xdr:sp macro="" textlink="">
          <xdr:nvSpPr>
            <xdr:cNvPr id="31747" name="Button 3" hidden="1">
              <a:extLst>
                <a:ext uri="{63B3BB69-23CF-44E3-9099-C40C66FF867C}">
                  <a14:compatExt spid="_x0000_s3174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114300</xdr:colOff>
          <xdr:row>0</xdr:row>
          <xdr:rowOff>38100</xdr:rowOff>
        </xdr:from>
        <xdr:to>
          <xdr:col>11</xdr:col>
          <xdr:colOff>581025</xdr:colOff>
          <xdr:row>0</xdr:row>
          <xdr:rowOff>238125</xdr:rowOff>
        </xdr:to>
        <xdr:sp macro="" textlink="">
          <xdr:nvSpPr>
            <xdr:cNvPr id="31748" name="Button 4" hidden="1">
              <a:extLst>
                <a:ext uri="{63B3BB69-23CF-44E3-9099-C40C66FF867C}">
                  <a14:compatExt spid="_x0000_s317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342900</xdr:colOff>
          <xdr:row>0</xdr:row>
          <xdr:rowOff>38100</xdr:rowOff>
        </xdr:from>
        <xdr:to>
          <xdr:col>15</xdr:col>
          <xdr:colOff>219075</xdr:colOff>
          <xdr:row>0</xdr:row>
          <xdr:rowOff>238125</xdr:rowOff>
        </xdr:to>
        <xdr:sp macro="" textlink="">
          <xdr:nvSpPr>
            <xdr:cNvPr id="1494017" name="Button 1" hidden="1">
              <a:extLst>
                <a:ext uri="{63B3BB69-23CF-44E3-9099-C40C66FF867C}">
                  <a14:compatExt spid="_x0000_s14940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390525</xdr:colOff>
          <xdr:row>0</xdr:row>
          <xdr:rowOff>38100</xdr:rowOff>
        </xdr:from>
        <xdr:to>
          <xdr:col>15</xdr:col>
          <xdr:colOff>1447800</xdr:colOff>
          <xdr:row>0</xdr:row>
          <xdr:rowOff>238125</xdr:rowOff>
        </xdr:to>
        <xdr:sp macro="" textlink="">
          <xdr:nvSpPr>
            <xdr:cNvPr id="1494018" name="Button 2" hidden="1">
              <a:extLst>
                <a:ext uri="{63B3BB69-23CF-44E3-9099-C40C66FF867C}">
                  <a14:compatExt spid="_x0000_s149401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342900</xdr:colOff>
          <xdr:row>0</xdr:row>
          <xdr:rowOff>38100</xdr:rowOff>
        </xdr:from>
        <xdr:to>
          <xdr:col>15</xdr:col>
          <xdr:colOff>219075</xdr:colOff>
          <xdr:row>0</xdr:row>
          <xdr:rowOff>238125</xdr:rowOff>
        </xdr:to>
        <xdr:sp macro="" textlink="">
          <xdr:nvSpPr>
            <xdr:cNvPr id="1495041" name="Button 1" hidden="1">
              <a:extLst>
                <a:ext uri="{63B3BB69-23CF-44E3-9099-C40C66FF867C}">
                  <a14:compatExt spid="_x0000_s14950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390525</xdr:colOff>
          <xdr:row>0</xdr:row>
          <xdr:rowOff>38100</xdr:rowOff>
        </xdr:from>
        <xdr:to>
          <xdr:col>15</xdr:col>
          <xdr:colOff>1447800</xdr:colOff>
          <xdr:row>0</xdr:row>
          <xdr:rowOff>238125</xdr:rowOff>
        </xdr:to>
        <xdr:sp macro="" textlink="">
          <xdr:nvSpPr>
            <xdr:cNvPr id="1495042" name="Button 2" hidden="1">
              <a:extLst>
                <a:ext uri="{63B3BB69-23CF-44E3-9099-C40C66FF867C}">
                  <a14:compatExt spid="_x0000_s14950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190500</xdr:colOff>
          <xdr:row>0</xdr:row>
          <xdr:rowOff>38100</xdr:rowOff>
        </xdr:from>
        <xdr:to>
          <xdr:col>15</xdr:col>
          <xdr:colOff>47625</xdr:colOff>
          <xdr:row>0</xdr:row>
          <xdr:rowOff>238125</xdr:rowOff>
        </xdr:to>
        <xdr:sp macro="" textlink="">
          <xdr:nvSpPr>
            <xdr:cNvPr id="1496065" name="Button 1" hidden="1">
              <a:extLst>
                <a:ext uri="{63B3BB69-23CF-44E3-9099-C40C66FF867C}">
                  <a14:compatExt spid="_x0000_s14960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228600</xdr:colOff>
          <xdr:row>0</xdr:row>
          <xdr:rowOff>38100</xdr:rowOff>
        </xdr:from>
        <xdr:to>
          <xdr:col>17</xdr:col>
          <xdr:colOff>57150</xdr:colOff>
          <xdr:row>0</xdr:row>
          <xdr:rowOff>238125</xdr:rowOff>
        </xdr:to>
        <xdr:sp macro="" textlink="">
          <xdr:nvSpPr>
            <xdr:cNvPr id="1496066" name="Button 2" hidden="1">
              <a:extLst>
                <a:ext uri="{63B3BB69-23CF-44E3-9099-C40C66FF867C}">
                  <a14:compatExt spid="_x0000_s149606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342900</xdr:colOff>
          <xdr:row>0</xdr:row>
          <xdr:rowOff>38100</xdr:rowOff>
        </xdr:from>
        <xdr:to>
          <xdr:col>15</xdr:col>
          <xdr:colOff>219075</xdr:colOff>
          <xdr:row>0</xdr:row>
          <xdr:rowOff>238125</xdr:rowOff>
        </xdr:to>
        <xdr:sp macro="" textlink="">
          <xdr:nvSpPr>
            <xdr:cNvPr id="1497089" name="Button 1" hidden="1">
              <a:extLst>
                <a:ext uri="{63B3BB69-23CF-44E3-9099-C40C66FF867C}">
                  <a14:compatExt spid="_x0000_s14970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390525</xdr:colOff>
          <xdr:row>0</xdr:row>
          <xdr:rowOff>38100</xdr:rowOff>
        </xdr:from>
        <xdr:to>
          <xdr:col>15</xdr:col>
          <xdr:colOff>1457325</xdr:colOff>
          <xdr:row>0</xdr:row>
          <xdr:rowOff>238125</xdr:rowOff>
        </xdr:to>
        <xdr:sp macro="" textlink="">
          <xdr:nvSpPr>
            <xdr:cNvPr id="1497090" name="Button 2" hidden="1">
              <a:extLst>
                <a:ext uri="{63B3BB69-23CF-44E3-9099-C40C66FF867C}">
                  <a14:compatExt spid="_x0000_s14970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190500</xdr:colOff>
          <xdr:row>0</xdr:row>
          <xdr:rowOff>38100</xdr:rowOff>
        </xdr:from>
        <xdr:to>
          <xdr:col>15</xdr:col>
          <xdr:colOff>47625</xdr:colOff>
          <xdr:row>0</xdr:row>
          <xdr:rowOff>238125</xdr:rowOff>
        </xdr:to>
        <xdr:sp macro="" textlink="">
          <xdr:nvSpPr>
            <xdr:cNvPr id="1498113" name="Button 1" hidden="1">
              <a:extLst>
                <a:ext uri="{63B3BB69-23CF-44E3-9099-C40C66FF867C}">
                  <a14:compatExt spid="_x0000_s149811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228600</xdr:colOff>
          <xdr:row>0</xdr:row>
          <xdr:rowOff>38100</xdr:rowOff>
        </xdr:from>
        <xdr:to>
          <xdr:col>17</xdr:col>
          <xdr:colOff>57150</xdr:colOff>
          <xdr:row>0</xdr:row>
          <xdr:rowOff>238125</xdr:rowOff>
        </xdr:to>
        <xdr:sp macro="" textlink="">
          <xdr:nvSpPr>
            <xdr:cNvPr id="1498114" name="Button 2" hidden="1">
              <a:extLst>
                <a:ext uri="{63B3BB69-23CF-44E3-9099-C40C66FF867C}">
                  <a14:compatExt spid="_x0000_s149811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190500</xdr:colOff>
          <xdr:row>0</xdr:row>
          <xdr:rowOff>38100</xdr:rowOff>
        </xdr:from>
        <xdr:to>
          <xdr:col>15</xdr:col>
          <xdr:colOff>47625</xdr:colOff>
          <xdr:row>0</xdr:row>
          <xdr:rowOff>238125</xdr:rowOff>
        </xdr:to>
        <xdr:sp macro="" textlink="">
          <xdr:nvSpPr>
            <xdr:cNvPr id="1499137" name="Button 1" hidden="1">
              <a:extLst>
                <a:ext uri="{63B3BB69-23CF-44E3-9099-C40C66FF867C}">
                  <a14:compatExt spid="_x0000_s14991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228600</xdr:colOff>
          <xdr:row>0</xdr:row>
          <xdr:rowOff>38100</xdr:rowOff>
        </xdr:from>
        <xdr:to>
          <xdr:col>17</xdr:col>
          <xdr:colOff>57150</xdr:colOff>
          <xdr:row>0</xdr:row>
          <xdr:rowOff>238125</xdr:rowOff>
        </xdr:to>
        <xdr:sp macro="" textlink="">
          <xdr:nvSpPr>
            <xdr:cNvPr id="1499138" name="Button 2" hidden="1">
              <a:extLst>
                <a:ext uri="{63B3BB69-23CF-44E3-9099-C40C66FF867C}">
                  <a14:compatExt spid="_x0000_s14991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190500</xdr:colOff>
          <xdr:row>0</xdr:row>
          <xdr:rowOff>57150</xdr:rowOff>
        </xdr:from>
        <xdr:to>
          <xdr:col>15</xdr:col>
          <xdr:colOff>38100</xdr:colOff>
          <xdr:row>0</xdr:row>
          <xdr:rowOff>257175</xdr:rowOff>
        </xdr:to>
        <xdr:sp macro="" textlink="">
          <xdr:nvSpPr>
            <xdr:cNvPr id="1500161" name="Button 1" hidden="1">
              <a:extLst>
                <a:ext uri="{63B3BB69-23CF-44E3-9099-C40C66FF867C}">
                  <a14:compatExt spid="_x0000_s15001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219075</xdr:colOff>
          <xdr:row>0</xdr:row>
          <xdr:rowOff>57150</xdr:rowOff>
        </xdr:from>
        <xdr:to>
          <xdr:col>17</xdr:col>
          <xdr:colOff>57150</xdr:colOff>
          <xdr:row>0</xdr:row>
          <xdr:rowOff>257175</xdr:rowOff>
        </xdr:to>
        <xdr:sp macro="" textlink="">
          <xdr:nvSpPr>
            <xdr:cNvPr id="1500162" name="Button 2" hidden="1">
              <a:extLst>
                <a:ext uri="{63B3BB69-23CF-44E3-9099-C40C66FF867C}">
                  <a14:compatExt spid="_x0000_s15001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14</xdr:col>
          <xdr:colOff>438150</xdr:colOff>
          <xdr:row>0</xdr:row>
          <xdr:rowOff>38100</xdr:rowOff>
        </xdr:from>
        <xdr:to>
          <xdr:col>14</xdr:col>
          <xdr:colOff>1514475</xdr:colOff>
          <xdr:row>0</xdr:row>
          <xdr:rowOff>238125</xdr:rowOff>
        </xdr:to>
        <xdr:sp macro="" textlink="">
          <xdr:nvSpPr>
            <xdr:cNvPr id="1489921" name="Button 1" hidden="1">
              <a:extLst>
                <a:ext uri="{63B3BB69-23CF-44E3-9099-C40C66FF867C}">
                  <a14:compatExt spid="_x0000_s14899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485775</xdr:colOff>
          <xdr:row>0</xdr:row>
          <xdr:rowOff>38100</xdr:rowOff>
        </xdr:from>
        <xdr:to>
          <xdr:col>18</xdr:col>
          <xdr:colOff>171450</xdr:colOff>
          <xdr:row>0</xdr:row>
          <xdr:rowOff>238125</xdr:rowOff>
        </xdr:to>
        <xdr:sp macro="" textlink="">
          <xdr:nvSpPr>
            <xdr:cNvPr id="1489922" name="Button 2" hidden="1">
              <a:extLst>
                <a:ext uri="{63B3BB69-23CF-44E3-9099-C40C66FF867C}">
                  <a14:compatExt spid="_x0000_s148992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14</xdr:col>
          <xdr:colOff>438150</xdr:colOff>
          <xdr:row>0</xdr:row>
          <xdr:rowOff>38100</xdr:rowOff>
        </xdr:from>
        <xdr:to>
          <xdr:col>14</xdr:col>
          <xdr:colOff>1504950</xdr:colOff>
          <xdr:row>0</xdr:row>
          <xdr:rowOff>238125</xdr:rowOff>
        </xdr:to>
        <xdr:sp macro="" textlink="">
          <xdr:nvSpPr>
            <xdr:cNvPr id="1490945" name="Button 1" hidden="1">
              <a:extLst>
                <a:ext uri="{63B3BB69-23CF-44E3-9099-C40C66FF867C}">
                  <a14:compatExt spid="_x0000_s14909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485775</xdr:colOff>
          <xdr:row>0</xdr:row>
          <xdr:rowOff>38100</xdr:rowOff>
        </xdr:from>
        <xdr:to>
          <xdr:col>18</xdr:col>
          <xdr:colOff>171450</xdr:colOff>
          <xdr:row>0</xdr:row>
          <xdr:rowOff>238125</xdr:rowOff>
        </xdr:to>
        <xdr:sp macro="" textlink="">
          <xdr:nvSpPr>
            <xdr:cNvPr id="1490946" name="Button 2" hidden="1">
              <a:extLst>
                <a:ext uri="{63B3BB69-23CF-44E3-9099-C40C66FF867C}">
                  <a14:compatExt spid="_x0000_s149094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14</xdr:col>
          <xdr:colOff>438150</xdr:colOff>
          <xdr:row>0</xdr:row>
          <xdr:rowOff>38100</xdr:rowOff>
        </xdr:from>
        <xdr:to>
          <xdr:col>14</xdr:col>
          <xdr:colOff>1504950</xdr:colOff>
          <xdr:row>0</xdr:row>
          <xdr:rowOff>238125</xdr:rowOff>
        </xdr:to>
        <xdr:sp macro="" textlink="">
          <xdr:nvSpPr>
            <xdr:cNvPr id="1491969" name="Button 1" hidden="1">
              <a:extLst>
                <a:ext uri="{63B3BB69-23CF-44E3-9099-C40C66FF867C}">
                  <a14:compatExt spid="_x0000_s14919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485775</xdr:colOff>
          <xdr:row>0</xdr:row>
          <xdr:rowOff>38100</xdr:rowOff>
        </xdr:from>
        <xdr:to>
          <xdr:col>18</xdr:col>
          <xdr:colOff>171450</xdr:colOff>
          <xdr:row>0</xdr:row>
          <xdr:rowOff>238125</xdr:rowOff>
        </xdr:to>
        <xdr:sp macro="" textlink="">
          <xdr:nvSpPr>
            <xdr:cNvPr id="1491970" name="Button 2" hidden="1">
              <a:extLst>
                <a:ext uri="{63B3BB69-23CF-44E3-9099-C40C66FF867C}">
                  <a14:compatExt spid="_x0000_s14919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14</xdr:col>
          <xdr:colOff>438150</xdr:colOff>
          <xdr:row>0</xdr:row>
          <xdr:rowOff>38100</xdr:rowOff>
        </xdr:from>
        <xdr:to>
          <xdr:col>14</xdr:col>
          <xdr:colOff>1514475</xdr:colOff>
          <xdr:row>0</xdr:row>
          <xdr:rowOff>238125</xdr:rowOff>
        </xdr:to>
        <xdr:sp macro="" textlink="">
          <xdr:nvSpPr>
            <xdr:cNvPr id="1492993" name="Button 1" hidden="1">
              <a:extLst>
                <a:ext uri="{63B3BB69-23CF-44E3-9099-C40C66FF867C}">
                  <a14:compatExt spid="_x0000_s14929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485775</xdr:colOff>
          <xdr:row>0</xdr:row>
          <xdr:rowOff>38100</xdr:rowOff>
        </xdr:from>
        <xdr:to>
          <xdr:col>18</xdr:col>
          <xdr:colOff>171450</xdr:colOff>
          <xdr:row>0</xdr:row>
          <xdr:rowOff>238125</xdr:rowOff>
        </xdr:to>
        <xdr:sp macro="" textlink="">
          <xdr:nvSpPr>
            <xdr:cNvPr id="1492994" name="Button 2" hidden="1">
              <a:extLst>
                <a:ext uri="{63B3BB69-23CF-44E3-9099-C40C66FF867C}">
                  <a14:compatExt spid="_x0000_s14929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581025</xdr:colOff>
          <xdr:row>0</xdr:row>
          <xdr:rowOff>38100</xdr:rowOff>
        </xdr:from>
        <xdr:to>
          <xdr:col>9</xdr:col>
          <xdr:colOff>123825</xdr:colOff>
          <xdr:row>0</xdr:row>
          <xdr:rowOff>238125</xdr:rowOff>
        </xdr:to>
        <xdr:sp macro="" textlink="">
          <xdr:nvSpPr>
            <xdr:cNvPr id="1178625" name="Button 1" hidden="1">
              <a:extLst>
                <a:ext uri="{63B3BB69-23CF-44E3-9099-C40C66FF867C}">
                  <a14:compatExt spid="_x0000_s11786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285750</xdr:colOff>
          <xdr:row>0</xdr:row>
          <xdr:rowOff>38100</xdr:rowOff>
        </xdr:from>
        <xdr:to>
          <xdr:col>9</xdr:col>
          <xdr:colOff>1371600</xdr:colOff>
          <xdr:row>0</xdr:row>
          <xdr:rowOff>238125</xdr:rowOff>
        </xdr:to>
        <xdr:sp macro="" textlink="">
          <xdr:nvSpPr>
            <xdr:cNvPr id="1178626" name="Button 2" hidden="1">
              <a:extLst>
                <a:ext uri="{63B3BB69-23CF-44E3-9099-C40C66FF867C}">
                  <a14:compatExt spid="_x0000_s1178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xdr:twoCellAnchor editAs="oneCell">
    <xdr:from>
      <xdr:col>16</xdr:col>
      <xdr:colOff>214312</xdr:colOff>
      <xdr:row>40</xdr:row>
      <xdr:rowOff>26194</xdr:rowOff>
    </xdr:from>
    <xdr:to>
      <xdr:col>21</xdr:col>
      <xdr:colOff>590550</xdr:colOff>
      <xdr:row>47</xdr:row>
      <xdr:rowOff>116681</xdr:rowOff>
    </xdr:to>
    <xdr:pic>
      <xdr:nvPicPr>
        <xdr:cNvPr id="2" name="Picture 1"/>
        <xdr:cNvPicPr>
          <a:picLocks noChangeAspect="1"/>
        </xdr:cNvPicPr>
      </xdr:nvPicPr>
      <xdr:blipFill>
        <a:blip xmlns:r="http://schemas.openxmlformats.org/officeDocument/2006/relationships" r:embed="rId1" cstate="print"/>
        <a:stretch>
          <a:fillRect/>
        </a:stretch>
      </xdr:blipFill>
      <xdr:spPr>
        <a:xfrm>
          <a:off x="17145000" y="7038975"/>
          <a:ext cx="3352800" cy="1257300"/>
        </a:xfrm>
        <a:prstGeom prst="rect">
          <a:avLst/>
        </a:prstGeom>
      </xdr:spPr>
    </xdr:pic>
    <xdr:clientData/>
  </xdr:twoCellAnchor>
  <xdr:twoCellAnchor editAs="oneCell">
    <xdr:from>
      <xdr:col>16</xdr:col>
      <xdr:colOff>214312</xdr:colOff>
      <xdr:row>49</xdr:row>
      <xdr:rowOff>6846</xdr:rowOff>
    </xdr:from>
    <xdr:to>
      <xdr:col>22</xdr:col>
      <xdr:colOff>2857</xdr:colOff>
      <xdr:row>57</xdr:row>
      <xdr:rowOff>121146</xdr:rowOff>
    </xdr:to>
    <xdr:pic>
      <xdr:nvPicPr>
        <xdr:cNvPr id="3" name="Picture 2"/>
        <xdr:cNvPicPr>
          <a:picLocks noChangeAspect="1"/>
        </xdr:cNvPicPr>
      </xdr:nvPicPr>
      <xdr:blipFill>
        <a:blip xmlns:r="http://schemas.openxmlformats.org/officeDocument/2006/relationships" r:embed="rId2" cstate="print"/>
        <a:stretch>
          <a:fillRect/>
        </a:stretch>
      </xdr:blipFill>
      <xdr:spPr>
        <a:xfrm>
          <a:off x="17145000" y="8519815"/>
          <a:ext cx="3360420" cy="1447800"/>
        </a:xfrm>
        <a:prstGeom prst="rect">
          <a:avLst/>
        </a:prstGeom>
      </xdr:spPr>
    </xdr:pic>
    <xdr:clientData/>
  </xdr:twoCellAnchor>
  <xdr:twoCellAnchor editAs="oneCell">
    <xdr:from>
      <xdr:col>16</xdr:col>
      <xdr:colOff>226219</xdr:colOff>
      <xdr:row>59</xdr:row>
      <xdr:rowOff>0</xdr:rowOff>
    </xdr:from>
    <xdr:to>
      <xdr:col>22</xdr:col>
      <xdr:colOff>30004</xdr:colOff>
      <xdr:row>66</xdr:row>
      <xdr:rowOff>164783</xdr:rowOff>
    </xdr:to>
    <xdr:pic>
      <xdr:nvPicPr>
        <xdr:cNvPr id="4" name="Picture 3"/>
        <xdr:cNvPicPr>
          <a:picLocks noChangeAspect="1"/>
        </xdr:cNvPicPr>
      </xdr:nvPicPr>
      <xdr:blipFill>
        <a:blip xmlns:r="http://schemas.openxmlformats.org/officeDocument/2006/relationships" r:embed="rId3" cstate="print"/>
        <a:stretch>
          <a:fillRect/>
        </a:stretch>
      </xdr:blipFill>
      <xdr:spPr>
        <a:xfrm>
          <a:off x="17156907" y="10179844"/>
          <a:ext cx="3375660" cy="137922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8</xdr:col>
          <xdr:colOff>95250</xdr:colOff>
          <xdr:row>0</xdr:row>
          <xdr:rowOff>38100</xdr:rowOff>
        </xdr:from>
        <xdr:to>
          <xdr:col>9</xdr:col>
          <xdr:colOff>781050</xdr:colOff>
          <xdr:row>0</xdr:row>
          <xdr:rowOff>238125</xdr:rowOff>
        </xdr:to>
        <xdr:sp macro="" textlink="">
          <xdr:nvSpPr>
            <xdr:cNvPr id="1268737" name="Button 1" hidden="1">
              <a:extLst>
                <a:ext uri="{63B3BB69-23CF-44E3-9099-C40C66FF867C}">
                  <a14:compatExt spid="_x0000_s1268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952500</xdr:colOff>
          <xdr:row>0</xdr:row>
          <xdr:rowOff>38100</xdr:rowOff>
        </xdr:from>
        <xdr:to>
          <xdr:col>9</xdr:col>
          <xdr:colOff>2019300</xdr:colOff>
          <xdr:row>0</xdr:row>
          <xdr:rowOff>238125</xdr:rowOff>
        </xdr:to>
        <xdr:sp macro="" textlink="">
          <xdr:nvSpPr>
            <xdr:cNvPr id="1268738" name="Button 2" hidden="1">
              <a:extLst>
                <a:ext uri="{63B3BB69-23CF-44E3-9099-C40C66FF867C}">
                  <a14:compatExt spid="_x0000_s1268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xdr:twoCellAnchor editAs="oneCell">
    <xdr:from>
      <xdr:col>18</xdr:col>
      <xdr:colOff>154780</xdr:colOff>
      <xdr:row>40</xdr:row>
      <xdr:rowOff>95250</xdr:rowOff>
    </xdr:from>
    <xdr:to>
      <xdr:col>22</xdr:col>
      <xdr:colOff>724375</xdr:colOff>
      <xdr:row>48</xdr:row>
      <xdr:rowOff>19050</xdr:rowOff>
    </xdr:to>
    <xdr:pic>
      <xdr:nvPicPr>
        <xdr:cNvPr id="2" name="Picture 1"/>
        <xdr:cNvPicPr>
          <a:picLocks noChangeAspect="1"/>
        </xdr:cNvPicPr>
      </xdr:nvPicPr>
      <xdr:blipFill>
        <a:blip xmlns:r="http://schemas.openxmlformats.org/officeDocument/2006/relationships" r:embed="rId1" cstate="print"/>
        <a:stretch>
          <a:fillRect/>
        </a:stretch>
      </xdr:blipFill>
      <xdr:spPr>
        <a:xfrm>
          <a:off x="17418843" y="7155656"/>
          <a:ext cx="3474720" cy="1257300"/>
        </a:xfrm>
        <a:prstGeom prst="rect">
          <a:avLst/>
        </a:prstGeom>
      </xdr:spPr>
    </xdr:pic>
    <xdr:clientData/>
  </xdr:twoCellAnchor>
  <xdr:twoCellAnchor editAs="oneCell">
    <xdr:from>
      <xdr:col>18</xdr:col>
      <xdr:colOff>47624</xdr:colOff>
      <xdr:row>49</xdr:row>
      <xdr:rowOff>119062</xdr:rowOff>
    </xdr:from>
    <xdr:to>
      <xdr:col>22</xdr:col>
      <xdr:colOff>624839</xdr:colOff>
      <xdr:row>58</xdr:row>
      <xdr:rowOff>66675</xdr:rowOff>
    </xdr:to>
    <xdr:pic>
      <xdr:nvPicPr>
        <xdr:cNvPr id="3" name="Picture 2"/>
        <xdr:cNvPicPr>
          <a:picLocks noChangeAspect="1"/>
        </xdr:cNvPicPr>
      </xdr:nvPicPr>
      <xdr:blipFill>
        <a:blip xmlns:r="http://schemas.openxmlformats.org/officeDocument/2006/relationships" r:embed="rId2" cstate="print"/>
        <a:stretch>
          <a:fillRect/>
        </a:stretch>
      </xdr:blipFill>
      <xdr:spPr>
        <a:xfrm>
          <a:off x="17311687" y="8679656"/>
          <a:ext cx="3482340" cy="1447800"/>
        </a:xfrm>
        <a:prstGeom prst="rect">
          <a:avLst/>
        </a:prstGeom>
      </xdr:spPr>
    </xdr:pic>
    <xdr:clientData/>
  </xdr:twoCellAnchor>
  <xdr:twoCellAnchor editAs="oneCell">
    <xdr:from>
      <xdr:col>18</xdr:col>
      <xdr:colOff>35718</xdr:colOff>
      <xdr:row>60</xdr:row>
      <xdr:rowOff>95250</xdr:rowOff>
    </xdr:from>
    <xdr:to>
      <xdr:col>22</xdr:col>
      <xdr:colOff>628173</xdr:colOff>
      <xdr:row>68</xdr:row>
      <xdr:rowOff>93345</xdr:rowOff>
    </xdr:to>
    <xdr:pic>
      <xdr:nvPicPr>
        <xdr:cNvPr id="4" name="Picture 3"/>
        <xdr:cNvPicPr>
          <a:picLocks noChangeAspect="1"/>
        </xdr:cNvPicPr>
      </xdr:nvPicPr>
      <xdr:blipFill>
        <a:blip xmlns:r="http://schemas.openxmlformats.org/officeDocument/2006/relationships" r:embed="rId3" cstate="print"/>
        <a:stretch>
          <a:fillRect/>
        </a:stretch>
      </xdr:blipFill>
      <xdr:spPr>
        <a:xfrm>
          <a:off x="17299781" y="10489406"/>
          <a:ext cx="3497580" cy="137922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8</xdr:col>
          <xdr:colOff>95250</xdr:colOff>
          <xdr:row>0</xdr:row>
          <xdr:rowOff>38100</xdr:rowOff>
        </xdr:from>
        <xdr:to>
          <xdr:col>9</xdr:col>
          <xdr:colOff>781050</xdr:colOff>
          <xdr:row>0</xdr:row>
          <xdr:rowOff>238125</xdr:rowOff>
        </xdr:to>
        <xdr:sp macro="" textlink="">
          <xdr:nvSpPr>
            <xdr:cNvPr id="1269761" name="Button 1" hidden="1">
              <a:extLst>
                <a:ext uri="{63B3BB69-23CF-44E3-9099-C40C66FF867C}">
                  <a14:compatExt spid="_x0000_s12697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952500</xdr:colOff>
          <xdr:row>0</xdr:row>
          <xdr:rowOff>38100</xdr:rowOff>
        </xdr:from>
        <xdr:to>
          <xdr:col>9</xdr:col>
          <xdr:colOff>2019300</xdr:colOff>
          <xdr:row>0</xdr:row>
          <xdr:rowOff>238125</xdr:rowOff>
        </xdr:to>
        <xdr:sp macro="" textlink="">
          <xdr:nvSpPr>
            <xdr:cNvPr id="1269762" name="Button 2" hidden="1">
              <a:extLst>
                <a:ext uri="{63B3BB69-23CF-44E3-9099-C40C66FF867C}">
                  <a14:compatExt spid="_x0000_s12697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xdr:twoCellAnchor editAs="oneCell">
    <xdr:from>
      <xdr:col>14</xdr:col>
      <xdr:colOff>2402682</xdr:colOff>
      <xdr:row>37</xdr:row>
      <xdr:rowOff>97631</xdr:rowOff>
    </xdr:from>
    <xdr:to>
      <xdr:col>22</xdr:col>
      <xdr:colOff>283369</xdr:colOff>
      <xdr:row>46</xdr:row>
      <xdr:rowOff>22384</xdr:rowOff>
    </xdr:to>
    <xdr:pic>
      <xdr:nvPicPr>
        <xdr:cNvPr id="2" name="Picture 1"/>
        <xdr:cNvPicPr>
          <a:picLocks noChangeAspect="1"/>
        </xdr:cNvPicPr>
      </xdr:nvPicPr>
      <xdr:blipFill>
        <a:blip xmlns:r="http://schemas.openxmlformats.org/officeDocument/2006/relationships" r:embed="rId1" cstate="print"/>
        <a:stretch>
          <a:fillRect/>
        </a:stretch>
      </xdr:blipFill>
      <xdr:spPr>
        <a:xfrm>
          <a:off x="16213932" y="6610350"/>
          <a:ext cx="4572000" cy="1424940"/>
        </a:xfrm>
        <a:prstGeom prst="rect">
          <a:avLst/>
        </a:prstGeom>
      </xdr:spPr>
    </xdr:pic>
    <xdr:clientData/>
  </xdr:twoCellAnchor>
  <xdr:twoCellAnchor editAs="oneCell">
    <xdr:from>
      <xdr:col>14</xdr:col>
      <xdr:colOff>2393156</xdr:colOff>
      <xdr:row>47</xdr:row>
      <xdr:rowOff>119063</xdr:rowOff>
    </xdr:from>
    <xdr:to>
      <xdr:col>19</xdr:col>
      <xdr:colOff>488156</xdr:colOff>
      <xdr:row>58</xdr:row>
      <xdr:rowOff>28576</xdr:rowOff>
    </xdr:to>
    <xdr:pic>
      <xdr:nvPicPr>
        <xdr:cNvPr id="3" name="Picture 2"/>
        <xdr:cNvPicPr>
          <a:picLocks noChangeAspect="1"/>
        </xdr:cNvPicPr>
      </xdr:nvPicPr>
      <xdr:blipFill>
        <a:blip xmlns:r="http://schemas.openxmlformats.org/officeDocument/2006/relationships" r:embed="rId2" cstate="print"/>
        <a:stretch>
          <a:fillRect/>
        </a:stretch>
      </xdr:blipFill>
      <xdr:spPr>
        <a:xfrm>
          <a:off x="16204406" y="8298657"/>
          <a:ext cx="3000375" cy="174307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8</xdr:col>
          <xdr:colOff>114300</xdr:colOff>
          <xdr:row>0</xdr:row>
          <xdr:rowOff>38100</xdr:rowOff>
        </xdr:from>
        <xdr:to>
          <xdr:col>9</xdr:col>
          <xdr:colOff>800100</xdr:colOff>
          <xdr:row>0</xdr:row>
          <xdr:rowOff>238125</xdr:rowOff>
        </xdr:to>
        <xdr:sp macro="" textlink="">
          <xdr:nvSpPr>
            <xdr:cNvPr id="1267713" name="Button 1" hidden="1">
              <a:extLst>
                <a:ext uri="{63B3BB69-23CF-44E3-9099-C40C66FF867C}">
                  <a14:compatExt spid="_x0000_s126771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971550</xdr:colOff>
          <xdr:row>0</xdr:row>
          <xdr:rowOff>38100</xdr:rowOff>
        </xdr:from>
        <xdr:to>
          <xdr:col>9</xdr:col>
          <xdr:colOff>2038350</xdr:colOff>
          <xdr:row>0</xdr:row>
          <xdr:rowOff>238125</xdr:rowOff>
        </xdr:to>
        <xdr:sp macro="" textlink="">
          <xdr:nvSpPr>
            <xdr:cNvPr id="1267714" name="Button 2" hidden="1">
              <a:extLst>
                <a:ext uri="{63B3BB69-23CF-44E3-9099-C40C66FF867C}">
                  <a14:compatExt spid="_x0000_s126771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xdr:twoCellAnchor editAs="oneCell">
    <xdr:from>
      <xdr:col>15</xdr:col>
      <xdr:colOff>581025</xdr:colOff>
      <xdr:row>36</xdr:row>
      <xdr:rowOff>50005</xdr:rowOff>
    </xdr:from>
    <xdr:to>
      <xdr:col>27</xdr:col>
      <xdr:colOff>485775</xdr:colOff>
      <xdr:row>54</xdr:row>
      <xdr:rowOff>135730</xdr:rowOff>
    </xdr:to>
    <xdr:pic>
      <xdr:nvPicPr>
        <xdr:cNvPr id="2" name="Picture 1"/>
        <xdr:cNvPicPr>
          <a:picLocks noChangeAspect="1"/>
        </xdr:cNvPicPr>
      </xdr:nvPicPr>
      <xdr:blipFill>
        <a:blip xmlns:r="http://schemas.openxmlformats.org/officeDocument/2006/relationships" r:embed="rId1" cstate="print"/>
        <a:stretch>
          <a:fillRect/>
        </a:stretch>
      </xdr:blipFill>
      <xdr:spPr>
        <a:xfrm>
          <a:off x="17987963" y="6169818"/>
          <a:ext cx="7048500" cy="30861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9</xdr:col>
          <xdr:colOff>104775</xdr:colOff>
          <xdr:row>0</xdr:row>
          <xdr:rowOff>38100</xdr:rowOff>
        </xdr:from>
        <xdr:to>
          <xdr:col>9</xdr:col>
          <xdr:colOff>1171575</xdr:colOff>
          <xdr:row>0</xdr:row>
          <xdr:rowOff>238125</xdr:rowOff>
        </xdr:to>
        <xdr:sp macro="" textlink="">
          <xdr:nvSpPr>
            <xdr:cNvPr id="1270785" name="Button 1" hidden="1">
              <a:extLst>
                <a:ext uri="{63B3BB69-23CF-44E3-9099-C40C66FF867C}">
                  <a14:compatExt spid="_x0000_s12707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Oversigt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1343025</xdr:colOff>
          <xdr:row>0</xdr:row>
          <xdr:rowOff>38100</xdr:rowOff>
        </xdr:from>
        <xdr:to>
          <xdr:col>9</xdr:col>
          <xdr:colOff>2409825</xdr:colOff>
          <xdr:row>0</xdr:row>
          <xdr:rowOff>238125</xdr:rowOff>
        </xdr:to>
        <xdr:sp macro="" textlink="">
          <xdr:nvSpPr>
            <xdr:cNvPr id="1270786" name="Button 2" hidden="1">
              <a:extLst>
                <a:ext uri="{63B3BB69-23CF-44E3-9099-C40C66FF867C}">
                  <a14:compatExt spid="_x0000_s12707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0" i="0" u="none" strike="noStrike" baseline="0">
                  <a:solidFill>
                    <a:srgbClr val="000000"/>
                  </a:solidFill>
                  <a:latin typeface="Arial"/>
                  <a:cs typeface="Arial"/>
                </a:rPr>
                <a:t>Resultater</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xdr:twoCellAnchor>
    <xdr:from>
      <xdr:col>32</xdr:col>
      <xdr:colOff>0</xdr:colOff>
      <xdr:row>62</xdr:row>
      <xdr:rowOff>0</xdr:rowOff>
    </xdr:from>
    <xdr:to>
      <xdr:col>48</xdr:col>
      <xdr:colOff>119063</xdr:colOff>
      <xdr:row>78</xdr:row>
      <xdr:rowOff>71437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0</xdr:colOff>
      <xdr:row>79</xdr:row>
      <xdr:rowOff>0</xdr:rowOff>
    </xdr:from>
    <xdr:to>
      <xdr:col>48</xdr:col>
      <xdr:colOff>119063</xdr:colOff>
      <xdr:row>95</xdr:row>
      <xdr:rowOff>71437</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32</xdr:col>
      <xdr:colOff>0</xdr:colOff>
      <xdr:row>96</xdr:row>
      <xdr:rowOff>0</xdr:rowOff>
    </xdr:from>
    <xdr:to>
      <xdr:col>48</xdr:col>
      <xdr:colOff>119063</xdr:colOff>
      <xdr:row>112</xdr:row>
      <xdr:rowOff>71437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32</xdr:col>
      <xdr:colOff>0</xdr:colOff>
      <xdr:row>43</xdr:row>
      <xdr:rowOff>79375</xdr:rowOff>
    </xdr:from>
    <xdr:to>
      <xdr:col>48</xdr:col>
      <xdr:colOff>119063</xdr:colOff>
      <xdr:row>59</xdr:row>
      <xdr:rowOff>150812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3</xdr:col>
          <xdr:colOff>885825</xdr:colOff>
          <xdr:row>1</xdr:row>
          <xdr:rowOff>152400</xdr:rowOff>
        </xdr:from>
        <xdr:to>
          <xdr:col>8</xdr:col>
          <xdr:colOff>0</xdr:colOff>
          <xdr:row>3</xdr:row>
          <xdr:rowOff>95250</xdr:rowOff>
        </xdr:to>
        <xdr:sp macro="" textlink="">
          <xdr:nvSpPr>
            <xdr:cNvPr id="1201154" name="Button 2" hidden="1">
              <a:extLst>
                <a:ext uri="{63B3BB69-23CF-44E3-9099-C40C66FF867C}">
                  <a14:compatExt spid="_x0000_s12011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1" i="0" u="none" strike="noStrike" baseline="0">
                  <a:solidFill>
                    <a:srgbClr val="000000"/>
                  </a:solidFill>
                  <a:latin typeface="Arial"/>
                  <a:cs typeface="Arial"/>
                </a:rPr>
                <a:t>Update sensitivity charts &amp; tables</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352425</xdr:colOff>
          <xdr:row>0</xdr:row>
          <xdr:rowOff>38100</xdr:rowOff>
        </xdr:from>
        <xdr:to>
          <xdr:col>18</xdr:col>
          <xdr:colOff>457200</xdr:colOff>
          <xdr:row>0</xdr:row>
          <xdr:rowOff>238125</xdr:rowOff>
        </xdr:to>
        <xdr:sp macro="" textlink="">
          <xdr:nvSpPr>
            <xdr:cNvPr id="468993" name="Drop Down 1" hidden="1">
              <a:extLst>
                <a:ext uri="{63B3BB69-23CF-44E3-9099-C40C66FF867C}">
                  <a14:compatExt spid="_x0000_s4689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95250</xdr:colOff>
          <xdr:row>3</xdr:row>
          <xdr:rowOff>0</xdr:rowOff>
        </xdr:from>
        <xdr:to>
          <xdr:col>9</xdr:col>
          <xdr:colOff>247650</xdr:colOff>
          <xdr:row>5</xdr:row>
          <xdr:rowOff>47625</xdr:rowOff>
        </xdr:to>
        <xdr:sp macro="" textlink="">
          <xdr:nvSpPr>
            <xdr:cNvPr id="468994" name="Button 2" hidden="1">
              <a:extLst>
                <a:ext uri="{63B3BB69-23CF-44E3-9099-C40C66FF867C}">
                  <a14:compatExt spid="_x0000_s4689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1000" b="1" i="0" u="none" strike="noStrike" baseline="0">
                  <a:solidFill>
                    <a:srgbClr val="000000"/>
                  </a:solidFill>
                  <a:latin typeface="Arial"/>
                  <a:cs typeface="Arial"/>
                </a:rPr>
                <a:t>Log resultater</a:t>
              </a:r>
            </a:p>
          </xdr:txBody>
        </xdr:sp>
        <xdr:clientData fPrintsWithSheet="0"/>
      </xdr:twoCellAnchor>
    </mc:Choice>
    <mc:Fallback/>
  </mc:AlternateContent>
</xdr:wsDr>
</file>

<file path=xl/drawings/drawing5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352425</xdr:colOff>
          <xdr:row>0</xdr:row>
          <xdr:rowOff>38100</xdr:rowOff>
        </xdr:from>
        <xdr:to>
          <xdr:col>19</xdr:col>
          <xdr:colOff>133350</xdr:colOff>
          <xdr:row>0</xdr:row>
          <xdr:rowOff>238125</xdr:rowOff>
        </xdr:to>
        <xdr:sp macro="" textlink="">
          <xdr:nvSpPr>
            <xdr:cNvPr id="470017" name="Drop Down 1" hidden="1">
              <a:extLst>
                <a:ext uri="{63B3BB69-23CF-44E3-9099-C40C66FF867C}">
                  <a14:compatExt spid="_x0000_s470017"/>
                </a:ext>
              </a:extLst>
            </xdr:cNvPr>
            <xdr:cNvSpPr/>
          </xdr:nvSpPr>
          <xdr:spPr>
            <a:xfrm>
              <a:off x="0" y="0"/>
              <a:ext cx="0" cy="0"/>
            </a:xfrm>
            <a:prstGeom prst="rect">
              <a:avLst/>
            </a:prstGeom>
          </xdr:spPr>
        </xdr:sp>
        <xdr:clientData/>
      </xdr:twoCellAnchor>
    </mc:Choice>
    <mc:Fallback/>
  </mc:AlternateContent>
</xdr:wsDr>
</file>

<file path=xl/drawings/drawing5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352425</xdr:colOff>
          <xdr:row>0</xdr:row>
          <xdr:rowOff>38100</xdr:rowOff>
        </xdr:from>
        <xdr:to>
          <xdr:col>19</xdr:col>
          <xdr:colOff>133350</xdr:colOff>
          <xdr:row>0</xdr:row>
          <xdr:rowOff>238125</xdr:rowOff>
        </xdr:to>
        <xdr:sp macro="" textlink="">
          <xdr:nvSpPr>
            <xdr:cNvPr id="471041" name="Drop Down 1" hidden="1">
              <a:extLst>
                <a:ext uri="{63B3BB69-23CF-44E3-9099-C40C66FF867C}">
                  <a14:compatExt spid="_x0000_s471041"/>
                </a:ext>
              </a:extLst>
            </xdr:cNvPr>
            <xdr:cNvSpPr/>
          </xdr:nvSpPr>
          <xdr:spPr>
            <a:xfrm>
              <a:off x="0" y="0"/>
              <a:ext cx="0" cy="0"/>
            </a:xfrm>
            <a:prstGeom prst="rect">
              <a:avLst/>
            </a:prstGeom>
          </xdr:spPr>
        </xdr:sp>
        <xdr:clientData/>
      </xdr:twoCellAnchor>
    </mc:Choice>
    <mc:Fallback/>
  </mc:AlternateContent>
</xdr:wsDr>
</file>

<file path=xl/drawings/drawing5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352425</xdr:colOff>
          <xdr:row>0</xdr:row>
          <xdr:rowOff>38100</xdr:rowOff>
        </xdr:from>
        <xdr:to>
          <xdr:col>19</xdr:col>
          <xdr:colOff>133350</xdr:colOff>
          <xdr:row>0</xdr:row>
          <xdr:rowOff>238125</xdr:rowOff>
        </xdr:to>
        <xdr:sp macro="" textlink="">
          <xdr:nvSpPr>
            <xdr:cNvPr id="963585" name="Drop Down 1" hidden="1">
              <a:extLst>
                <a:ext uri="{63B3BB69-23CF-44E3-9099-C40C66FF867C}">
                  <a14:compatExt spid="_x0000_s963585"/>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Kontortema">
  <a:themeElements>
    <a:clrScheme name="Kont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ont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4.vml"/></Relationships>
</file>

<file path=xl/worksheets/_rels/sheet3.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hyperlink" Target="http://www.eof.dk/" TargetMode="External"/><Relationship Id="rId7" Type="http://schemas.openxmlformats.org/officeDocument/2006/relationships/drawing" Target="../drawings/drawing3.xml"/><Relationship Id="rId12" Type="http://schemas.openxmlformats.org/officeDocument/2006/relationships/ctrlProp" Target="../ctrlProps/ctrlProp7.xml"/><Relationship Id="rId2" Type="http://schemas.openxmlformats.org/officeDocument/2006/relationships/hyperlink" Target="http://www.biofuelsb2b.com/useful_info.php?page=Typic" TargetMode="External"/><Relationship Id="rId1" Type="http://schemas.openxmlformats.org/officeDocument/2006/relationships/hyperlink" Target="http://www.dlg.dk/Afgroeder/Noteringer/Boersnotering.htm" TargetMode="External"/><Relationship Id="rId6" Type="http://schemas.openxmlformats.org/officeDocument/2006/relationships/printerSettings" Target="../printerSettings/printerSettings3.bin"/><Relationship Id="rId11" Type="http://schemas.openxmlformats.org/officeDocument/2006/relationships/ctrlProp" Target="../ctrlProps/ctrlProp6.xml"/><Relationship Id="rId5" Type="http://schemas.openxmlformats.org/officeDocument/2006/relationships/hyperlink" Target="http://www.bane.dk/db/filarkiv/14178/EEL%20EL%20008%20Notat%20Analyse%20Elektrificeringsstrategi.pdf%20-%20Page.%2056" TargetMode="External"/><Relationship Id="rId10" Type="http://schemas.openxmlformats.org/officeDocument/2006/relationships/ctrlProp" Target="../ctrlProps/ctrlProp5.xml"/><Relationship Id="rId4" Type="http://schemas.openxmlformats.org/officeDocument/2006/relationships/hyperlink" Target="http://www.cleanfuelconnection.com/" TargetMode="External"/><Relationship Id="rId9"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ctrlProp" Target="../ctrlProps/ctrlProp8.xml"/><Relationship Id="rId7" Type="http://schemas.openxmlformats.org/officeDocument/2006/relationships/ctrlProp" Target="../ctrlProps/ctrlProp12.xml"/><Relationship Id="rId2" Type="http://schemas.openxmlformats.org/officeDocument/2006/relationships/vmlDrawing" Target="../drawings/vmlDrawing6.vml"/><Relationship Id="rId1" Type="http://schemas.openxmlformats.org/officeDocument/2006/relationships/drawing" Target="../drawings/drawing4.x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18.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omments" Target="../comments1.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omments" Target="../comments2.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omments" Target="../comments3.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1.xml"/><Relationship Id="rId1" Type="http://schemas.openxmlformats.org/officeDocument/2006/relationships/printerSettings" Target="../printerSettings/printerSettings10.bin"/><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omments" Target="../comments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15.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16.vml"/></Relationships>
</file>

<file path=xl/worksheets/_rels/sheet24.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17.vml"/><Relationship Id="rId7" Type="http://schemas.openxmlformats.org/officeDocument/2006/relationships/ctrlProp" Target="../ctrlProps/ctrlProp36.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vmlDrawing" Target="../drawings/vmlDrawing18.v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vmlDrawing" Target="../drawings/vmlDrawing20.v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vmlDrawing" Target="../drawings/vmlDrawing22.v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trlProp" Target="../ctrlProps/ctrlProp42.xml"/><Relationship Id="rId5" Type="http://schemas.openxmlformats.org/officeDocument/2006/relationships/ctrlProp" Target="../ctrlProps/ctrlProp41.xml"/><Relationship Id="rId4" Type="http://schemas.openxmlformats.org/officeDocument/2006/relationships/vmlDrawing" Target="../drawings/vmlDrawing24.v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vmlDrawing" Target="../drawings/vmlDrawing26.v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trlProp" Target="../ctrlProps/ctrlProp46.xml"/><Relationship Id="rId5" Type="http://schemas.openxmlformats.org/officeDocument/2006/relationships/ctrlProp" Target="../ctrlProps/ctrlProp45.xml"/><Relationship Id="rId4" Type="http://schemas.openxmlformats.org/officeDocument/2006/relationships/vmlDrawing" Target="../drawings/vmlDrawing28.v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vmlDrawing" Target="../drawings/vmlDrawing30.v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vmlDrawing" Target="../drawings/vmlDrawing32.v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vmlDrawing" Target="../drawings/vmlDrawing34.v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54.xml"/><Relationship Id="rId5" Type="http://schemas.openxmlformats.org/officeDocument/2006/relationships/ctrlProp" Target="../ctrlProps/ctrlProp53.xml"/><Relationship Id="rId4" Type="http://schemas.openxmlformats.org/officeDocument/2006/relationships/vmlDrawing" Target="../drawings/vmlDrawing36.v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trlProp" Target="../ctrlProps/ctrlProp56.xml"/><Relationship Id="rId5" Type="http://schemas.openxmlformats.org/officeDocument/2006/relationships/ctrlProp" Target="../ctrlProps/ctrlProp55.xml"/><Relationship Id="rId4" Type="http://schemas.openxmlformats.org/officeDocument/2006/relationships/vmlDrawing" Target="../drawings/vmlDrawing38.v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58.xml"/><Relationship Id="rId5" Type="http://schemas.openxmlformats.org/officeDocument/2006/relationships/ctrlProp" Target="../ctrlProps/ctrlProp57.xml"/><Relationship Id="rId4" Type="http://schemas.openxmlformats.org/officeDocument/2006/relationships/vmlDrawing" Target="../drawings/vmlDrawing40.v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trlProp" Target="../ctrlProps/ctrlProp60.xml"/><Relationship Id="rId5" Type="http://schemas.openxmlformats.org/officeDocument/2006/relationships/ctrlProp" Target="../ctrlProps/ctrlProp59.xml"/><Relationship Id="rId4" Type="http://schemas.openxmlformats.org/officeDocument/2006/relationships/vmlDrawing" Target="../drawings/vmlDrawing42.v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trlProp" Target="../ctrlProps/ctrlProp62.xml"/><Relationship Id="rId5" Type="http://schemas.openxmlformats.org/officeDocument/2006/relationships/ctrlProp" Target="../ctrlProps/ctrlProp61.xml"/><Relationship Id="rId4" Type="http://schemas.openxmlformats.org/officeDocument/2006/relationships/vmlDrawing" Target="../drawings/vmlDrawing44.v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trlProp" Target="../ctrlProps/ctrlProp64.xml"/><Relationship Id="rId5" Type="http://schemas.openxmlformats.org/officeDocument/2006/relationships/ctrlProp" Target="../ctrlProps/ctrlProp63.xml"/><Relationship Id="rId4" Type="http://schemas.openxmlformats.org/officeDocument/2006/relationships/vmlDrawing" Target="../drawings/vmlDrawing46.v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trlProp" Target="../ctrlProps/ctrlProp66.xml"/><Relationship Id="rId5" Type="http://schemas.openxmlformats.org/officeDocument/2006/relationships/ctrlProp" Target="../ctrlProps/ctrlProp65.xml"/><Relationship Id="rId4" Type="http://schemas.openxmlformats.org/officeDocument/2006/relationships/vmlDrawing" Target="../drawings/vmlDrawing48.v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trlProp" Target="../ctrlProps/ctrlProp68.xml"/><Relationship Id="rId5" Type="http://schemas.openxmlformats.org/officeDocument/2006/relationships/ctrlProp" Target="../ctrlProps/ctrlProp67.xml"/><Relationship Id="rId4" Type="http://schemas.openxmlformats.org/officeDocument/2006/relationships/vmlDrawing" Target="../drawings/vmlDrawing50.v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30.xml"/><Relationship Id="rId1" Type="http://schemas.openxmlformats.org/officeDocument/2006/relationships/printerSettings" Target="../printerSettings/printerSettings30.bin"/><Relationship Id="rId6" Type="http://schemas.openxmlformats.org/officeDocument/2006/relationships/ctrlProp" Target="../ctrlProps/ctrlProp70.xml"/><Relationship Id="rId5" Type="http://schemas.openxmlformats.org/officeDocument/2006/relationships/ctrlProp" Target="../ctrlProps/ctrlProp69.xml"/><Relationship Id="rId4" Type="http://schemas.openxmlformats.org/officeDocument/2006/relationships/vmlDrawing" Target="../drawings/vmlDrawing52.v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31.xml"/><Relationship Id="rId1" Type="http://schemas.openxmlformats.org/officeDocument/2006/relationships/printerSettings" Target="../printerSettings/printerSettings31.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vmlDrawing" Target="../drawings/vmlDrawing54.v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32.xml"/><Relationship Id="rId1" Type="http://schemas.openxmlformats.org/officeDocument/2006/relationships/printerSettings" Target="../printerSettings/printerSettings32.bin"/><Relationship Id="rId6" Type="http://schemas.openxmlformats.org/officeDocument/2006/relationships/ctrlProp" Target="../ctrlProps/ctrlProp74.xml"/><Relationship Id="rId5" Type="http://schemas.openxmlformats.org/officeDocument/2006/relationships/ctrlProp" Target="../ctrlProps/ctrlProp73.xml"/><Relationship Id="rId4" Type="http://schemas.openxmlformats.org/officeDocument/2006/relationships/vmlDrawing" Target="../drawings/vmlDrawing56.v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33.xml"/><Relationship Id="rId1" Type="http://schemas.openxmlformats.org/officeDocument/2006/relationships/printerSettings" Target="../printerSettings/printerSettings33.bin"/><Relationship Id="rId6" Type="http://schemas.openxmlformats.org/officeDocument/2006/relationships/ctrlProp" Target="../ctrlProps/ctrlProp76.xml"/><Relationship Id="rId5" Type="http://schemas.openxmlformats.org/officeDocument/2006/relationships/ctrlProp" Target="../ctrlProps/ctrlProp75.xml"/><Relationship Id="rId4" Type="http://schemas.openxmlformats.org/officeDocument/2006/relationships/vmlDrawing" Target="../drawings/vmlDrawing58.v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drawing" Target="../drawings/drawing34.xml"/><Relationship Id="rId1" Type="http://schemas.openxmlformats.org/officeDocument/2006/relationships/printerSettings" Target="../printerSettings/printerSettings34.bin"/><Relationship Id="rId6" Type="http://schemas.openxmlformats.org/officeDocument/2006/relationships/ctrlProp" Target="../ctrlProps/ctrlProp78.xml"/><Relationship Id="rId5" Type="http://schemas.openxmlformats.org/officeDocument/2006/relationships/ctrlProp" Target="../ctrlProps/ctrlProp77.xml"/><Relationship Id="rId4" Type="http://schemas.openxmlformats.org/officeDocument/2006/relationships/vmlDrawing" Target="../drawings/vmlDrawing60.v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61.vml"/><Relationship Id="rId2" Type="http://schemas.openxmlformats.org/officeDocument/2006/relationships/drawing" Target="../drawings/drawing35.xml"/><Relationship Id="rId1" Type="http://schemas.openxmlformats.org/officeDocument/2006/relationships/printerSettings" Target="../printerSettings/printerSettings35.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vmlDrawing" Target="../drawings/vmlDrawing62.v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63.vml"/><Relationship Id="rId2" Type="http://schemas.openxmlformats.org/officeDocument/2006/relationships/drawing" Target="../drawings/drawing36.xml"/><Relationship Id="rId1" Type="http://schemas.openxmlformats.org/officeDocument/2006/relationships/printerSettings" Target="../printerSettings/printerSettings36.bin"/><Relationship Id="rId6" Type="http://schemas.openxmlformats.org/officeDocument/2006/relationships/ctrlProp" Target="../ctrlProps/ctrlProp82.xml"/><Relationship Id="rId5" Type="http://schemas.openxmlformats.org/officeDocument/2006/relationships/ctrlProp" Target="../ctrlProps/ctrlProp81.xml"/><Relationship Id="rId4" Type="http://schemas.openxmlformats.org/officeDocument/2006/relationships/vmlDrawing" Target="../drawings/vmlDrawing64.v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65.vml"/><Relationship Id="rId2" Type="http://schemas.openxmlformats.org/officeDocument/2006/relationships/drawing" Target="../drawings/drawing37.xml"/><Relationship Id="rId1" Type="http://schemas.openxmlformats.org/officeDocument/2006/relationships/printerSettings" Target="../printerSettings/printerSettings37.bin"/><Relationship Id="rId6" Type="http://schemas.openxmlformats.org/officeDocument/2006/relationships/ctrlProp" Target="../ctrlProps/ctrlProp84.xml"/><Relationship Id="rId5" Type="http://schemas.openxmlformats.org/officeDocument/2006/relationships/ctrlProp" Target="../ctrlProps/ctrlProp83.xml"/><Relationship Id="rId4" Type="http://schemas.openxmlformats.org/officeDocument/2006/relationships/vmlDrawing" Target="../drawings/vmlDrawing66.v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67.vml"/><Relationship Id="rId2" Type="http://schemas.openxmlformats.org/officeDocument/2006/relationships/drawing" Target="../drawings/drawing38.xml"/><Relationship Id="rId1" Type="http://schemas.openxmlformats.org/officeDocument/2006/relationships/printerSettings" Target="../printerSettings/printerSettings38.bin"/><Relationship Id="rId6" Type="http://schemas.openxmlformats.org/officeDocument/2006/relationships/ctrlProp" Target="../ctrlProps/ctrlProp86.xml"/><Relationship Id="rId5" Type="http://schemas.openxmlformats.org/officeDocument/2006/relationships/ctrlProp" Target="../ctrlProps/ctrlProp85.xml"/><Relationship Id="rId4" Type="http://schemas.openxmlformats.org/officeDocument/2006/relationships/vmlDrawing" Target="../drawings/vmlDrawing68.vml"/></Relationships>
</file>

<file path=xl/worksheets/_rels/sheet51.xml.rels><?xml version="1.0" encoding="UTF-8" standalone="yes"?>
<Relationships xmlns="http://schemas.openxmlformats.org/package/2006/relationships"><Relationship Id="rId3" Type="http://schemas.openxmlformats.org/officeDocument/2006/relationships/ctrlProp" Target="../ctrlProps/ctrlProp87.xml"/><Relationship Id="rId2" Type="http://schemas.openxmlformats.org/officeDocument/2006/relationships/vmlDrawing" Target="../drawings/vmlDrawing69.vml"/><Relationship Id="rId1" Type="http://schemas.openxmlformats.org/officeDocument/2006/relationships/drawing" Target="../drawings/drawing39.xml"/><Relationship Id="rId4" Type="http://schemas.openxmlformats.org/officeDocument/2006/relationships/ctrlProp" Target="../ctrlProps/ctrlProp88.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70.vml"/><Relationship Id="rId2" Type="http://schemas.openxmlformats.org/officeDocument/2006/relationships/drawing" Target="../drawings/drawing40.xml"/><Relationship Id="rId1" Type="http://schemas.openxmlformats.org/officeDocument/2006/relationships/printerSettings" Target="../printerSettings/printerSettings39.bin"/><Relationship Id="rId6" Type="http://schemas.openxmlformats.org/officeDocument/2006/relationships/ctrlProp" Target="../ctrlProps/ctrlProp90.xml"/><Relationship Id="rId5" Type="http://schemas.openxmlformats.org/officeDocument/2006/relationships/ctrlProp" Target="../ctrlProps/ctrlProp89.xml"/><Relationship Id="rId4" Type="http://schemas.openxmlformats.org/officeDocument/2006/relationships/vmlDrawing" Target="../drawings/vmlDrawing71.v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72.vml"/><Relationship Id="rId2" Type="http://schemas.openxmlformats.org/officeDocument/2006/relationships/drawing" Target="../drawings/drawing41.xml"/><Relationship Id="rId1" Type="http://schemas.openxmlformats.org/officeDocument/2006/relationships/printerSettings" Target="../printerSettings/printerSettings40.bin"/><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54.xml.rels><?xml version="1.0" encoding="UTF-8" standalone="yes"?>
<Relationships xmlns="http://schemas.openxmlformats.org/package/2006/relationships"><Relationship Id="rId3" Type="http://schemas.openxmlformats.org/officeDocument/2006/relationships/ctrlProp" Target="../ctrlProps/ctrlProp93.xml"/><Relationship Id="rId2" Type="http://schemas.openxmlformats.org/officeDocument/2006/relationships/vmlDrawing" Target="../drawings/vmlDrawing73.vml"/><Relationship Id="rId1" Type="http://schemas.openxmlformats.org/officeDocument/2006/relationships/drawing" Target="../drawings/drawing42.xml"/><Relationship Id="rId4" Type="http://schemas.openxmlformats.org/officeDocument/2006/relationships/ctrlProp" Target="../ctrlProps/ctrlProp94.xml"/></Relationships>
</file>

<file path=xl/worksheets/_rels/sheet55.xml.rels><?xml version="1.0" encoding="UTF-8" standalone="yes"?>
<Relationships xmlns="http://schemas.openxmlformats.org/package/2006/relationships"><Relationship Id="rId3" Type="http://schemas.openxmlformats.org/officeDocument/2006/relationships/ctrlProp" Target="../ctrlProps/ctrlProp95.xml"/><Relationship Id="rId2" Type="http://schemas.openxmlformats.org/officeDocument/2006/relationships/vmlDrawing" Target="../drawings/vmlDrawing74.vml"/><Relationship Id="rId1" Type="http://schemas.openxmlformats.org/officeDocument/2006/relationships/drawing" Target="../drawings/drawing43.xml"/><Relationship Id="rId4" Type="http://schemas.openxmlformats.org/officeDocument/2006/relationships/ctrlProp" Target="../ctrlProps/ctrlProp96.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75.vml"/><Relationship Id="rId2" Type="http://schemas.openxmlformats.org/officeDocument/2006/relationships/drawing" Target="../drawings/drawing44.xml"/><Relationship Id="rId1" Type="http://schemas.openxmlformats.org/officeDocument/2006/relationships/printerSettings" Target="../printerSettings/printerSettings41.bin"/><Relationship Id="rId6" Type="http://schemas.openxmlformats.org/officeDocument/2006/relationships/ctrlProp" Target="../ctrlProps/ctrlProp98.xml"/><Relationship Id="rId5" Type="http://schemas.openxmlformats.org/officeDocument/2006/relationships/ctrlProp" Target="../ctrlProps/ctrlProp97.xml"/><Relationship Id="rId4" Type="http://schemas.openxmlformats.org/officeDocument/2006/relationships/vmlDrawing" Target="../drawings/vmlDrawing76.v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77.vml"/><Relationship Id="rId2" Type="http://schemas.openxmlformats.org/officeDocument/2006/relationships/drawing" Target="../drawings/drawing45.xml"/><Relationship Id="rId1" Type="http://schemas.openxmlformats.org/officeDocument/2006/relationships/printerSettings" Target="../printerSettings/printerSettings42.bin"/><Relationship Id="rId6" Type="http://schemas.openxmlformats.org/officeDocument/2006/relationships/ctrlProp" Target="../ctrlProps/ctrlProp100.xml"/><Relationship Id="rId5" Type="http://schemas.openxmlformats.org/officeDocument/2006/relationships/ctrlProp" Target="../ctrlProps/ctrlProp99.xml"/><Relationship Id="rId4" Type="http://schemas.openxmlformats.org/officeDocument/2006/relationships/vmlDrawing" Target="../drawings/vmlDrawing78.v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79.vml"/><Relationship Id="rId2" Type="http://schemas.openxmlformats.org/officeDocument/2006/relationships/drawing" Target="../drawings/drawing46.xml"/><Relationship Id="rId1" Type="http://schemas.openxmlformats.org/officeDocument/2006/relationships/printerSettings" Target="../printerSettings/printerSettings43.bin"/><Relationship Id="rId6" Type="http://schemas.openxmlformats.org/officeDocument/2006/relationships/ctrlProp" Target="../ctrlProps/ctrlProp102.xml"/><Relationship Id="rId5" Type="http://schemas.openxmlformats.org/officeDocument/2006/relationships/ctrlProp" Target="../ctrlProps/ctrlProp101.xml"/><Relationship Id="rId4" Type="http://schemas.openxmlformats.org/officeDocument/2006/relationships/vmlDrawing" Target="../drawings/vmlDrawing80.v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81.vml"/><Relationship Id="rId2" Type="http://schemas.openxmlformats.org/officeDocument/2006/relationships/drawing" Target="../drawings/drawing47.xml"/><Relationship Id="rId1" Type="http://schemas.openxmlformats.org/officeDocument/2006/relationships/printerSettings" Target="../printerSettings/printerSettings44.bin"/><Relationship Id="rId6" Type="http://schemas.openxmlformats.org/officeDocument/2006/relationships/ctrlProp" Target="../ctrlProps/ctrlProp104.xml"/><Relationship Id="rId5" Type="http://schemas.openxmlformats.org/officeDocument/2006/relationships/ctrlProp" Target="../ctrlProps/ctrlProp103.xml"/><Relationship Id="rId4" Type="http://schemas.openxmlformats.org/officeDocument/2006/relationships/vmlDrawing" Target="../drawings/vmlDrawing82.v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83.vml"/><Relationship Id="rId2" Type="http://schemas.openxmlformats.org/officeDocument/2006/relationships/drawing" Target="../drawings/drawing48.xml"/><Relationship Id="rId1" Type="http://schemas.openxmlformats.org/officeDocument/2006/relationships/printerSettings" Target="../printerSettings/printerSettings45.bin"/><Relationship Id="rId6" Type="http://schemas.openxmlformats.org/officeDocument/2006/relationships/ctrlProp" Target="../ctrlProps/ctrlProp106.xml"/><Relationship Id="rId5" Type="http://schemas.openxmlformats.org/officeDocument/2006/relationships/ctrlProp" Target="../ctrlProps/ctrlProp105.xml"/><Relationship Id="rId4" Type="http://schemas.openxmlformats.org/officeDocument/2006/relationships/vmlDrawing" Target="../drawings/vmlDrawing84.v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85.vml"/><Relationship Id="rId2" Type="http://schemas.openxmlformats.org/officeDocument/2006/relationships/drawing" Target="../drawings/drawing49.xml"/><Relationship Id="rId1" Type="http://schemas.openxmlformats.org/officeDocument/2006/relationships/printerSettings" Target="../printerSettings/printerSettings46.bin"/><Relationship Id="rId6" Type="http://schemas.openxmlformats.org/officeDocument/2006/relationships/ctrlProp" Target="../ctrlProps/ctrlProp108.xml"/><Relationship Id="rId5" Type="http://schemas.openxmlformats.org/officeDocument/2006/relationships/ctrlProp" Target="../ctrlProps/ctrlProp107.xml"/><Relationship Id="rId4" Type="http://schemas.openxmlformats.org/officeDocument/2006/relationships/vmlDrawing" Target="../drawings/vmlDrawing86.v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87.vml"/><Relationship Id="rId2" Type="http://schemas.openxmlformats.org/officeDocument/2006/relationships/drawing" Target="../drawings/drawing50.xml"/><Relationship Id="rId1" Type="http://schemas.openxmlformats.org/officeDocument/2006/relationships/printerSettings" Target="../printerSettings/printerSettings47.bin"/><Relationship Id="rId6" Type="http://schemas.openxmlformats.org/officeDocument/2006/relationships/ctrlProp" Target="../ctrlProps/ctrlProp110.xml"/><Relationship Id="rId5" Type="http://schemas.openxmlformats.org/officeDocument/2006/relationships/ctrlProp" Target="../ctrlProps/ctrlProp109.xml"/><Relationship Id="rId4" Type="http://schemas.openxmlformats.org/officeDocument/2006/relationships/vmlDrawing" Target="../drawings/vmlDrawing88.v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89.vml"/><Relationship Id="rId2" Type="http://schemas.openxmlformats.org/officeDocument/2006/relationships/drawing" Target="../drawings/drawing51.xml"/><Relationship Id="rId1" Type="http://schemas.openxmlformats.org/officeDocument/2006/relationships/printerSettings" Target="../printerSettings/printerSettings48.bin"/><Relationship Id="rId6" Type="http://schemas.openxmlformats.org/officeDocument/2006/relationships/ctrlProp" Target="../ctrlProps/ctrlProp112.xml"/><Relationship Id="rId5" Type="http://schemas.openxmlformats.org/officeDocument/2006/relationships/ctrlProp" Target="../ctrlProps/ctrlProp111.xml"/><Relationship Id="rId4" Type="http://schemas.openxmlformats.org/officeDocument/2006/relationships/vmlDrawing" Target="../drawings/vmlDrawing90.v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91.vml"/><Relationship Id="rId2" Type="http://schemas.openxmlformats.org/officeDocument/2006/relationships/drawing" Target="../drawings/drawing52.xml"/><Relationship Id="rId1" Type="http://schemas.openxmlformats.org/officeDocument/2006/relationships/printerSettings" Target="../printerSettings/printerSettings49.bin"/><Relationship Id="rId6" Type="http://schemas.openxmlformats.org/officeDocument/2006/relationships/ctrlProp" Target="../ctrlProps/ctrlProp114.xml"/><Relationship Id="rId5" Type="http://schemas.openxmlformats.org/officeDocument/2006/relationships/ctrlProp" Target="../ctrlProps/ctrlProp113.xml"/><Relationship Id="rId4" Type="http://schemas.openxmlformats.org/officeDocument/2006/relationships/vmlDrawing" Target="../drawings/vmlDrawing92.vm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93.vml"/><Relationship Id="rId2" Type="http://schemas.openxmlformats.org/officeDocument/2006/relationships/drawing" Target="../drawings/drawing53.xml"/><Relationship Id="rId1" Type="http://schemas.openxmlformats.org/officeDocument/2006/relationships/printerSettings" Target="../printerSettings/printerSettings50.bin"/><Relationship Id="rId4" Type="http://schemas.openxmlformats.org/officeDocument/2006/relationships/ctrlProp" Target="../ctrlProps/ctrlProp115.xml"/></Relationships>
</file>

<file path=xl/worksheets/_rels/sheet66.xml.rels><?xml version="1.0" encoding="UTF-8" standalone="yes"?>
<Relationships xmlns="http://schemas.openxmlformats.org/package/2006/relationships"><Relationship Id="rId3" Type="http://schemas.openxmlformats.org/officeDocument/2006/relationships/ctrlProp" Target="../ctrlProps/ctrlProp116.xml"/><Relationship Id="rId2" Type="http://schemas.openxmlformats.org/officeDocument/2006/relationships/vmlDrawing" Target="../drawings/vmlDrawing94.vml"/><Relationship Id="rId1" Type="http://schemas.openxmlformats.org/officeDocument/2006/relationships/drawing" Target="../drawings/drawing54.xml"/><Relationship Id="rId4" Type="http://schemas.openxmlformats.org/officeDocument/2006/relationships/ctrlProp" Target="../ctrlProps/ctrlProp117.xml"/></Relationships>
</file>

<file path=xl/worksheets/_rels/sheet67.xml.rels><?xml version="1.0" encoding="UTF-8" standalone="yes"?>
<Relationships xmlns="http://schemas.openxmlformats.org/package/2006/relationships"><Relationship Id="rId3" Type="http://schemas.openxmlformats.org/officeDocument/2006/relationships/ctrlProp" Target="../ctrlProps/ctrlProp118.xml"/><Relationship Id="rId2" Type="http://schemas.openxmlformats.org/officeDocument/2006/relationships/vmlDrawing" Target="../drawings/vmlDrawing95.vml"/><Relationship Id="rId1" Type="http://schemas.openxmlformats.org/officeDocument/2006/relationships/drawing" Target="../drawings/drawing55.xml"/></Relationships>
</file>

<file path=xl/worksheets/_rels/sheet68.xml.rels><?xml version="1.0" encoding="UTF-8" standalone="yes"?>
<Relationships xmlns="http://schemas.openxmlformats.org/package/2006/relationships"><Relationship Id="rId3" Type="http://schemas.openxmlformats.org/officeDocument/2006/relationships/ctrlProp" Target="../ctrlProps/ctrlProp119.xml"/><Relationship Id="rId2" Type="http://schemas.openxmlformats.org/officeDocument/2006/relationships/vmlDrawing" Target="../drawings/vmlDrawing96.vml"/><Relationship Id="rId1" Type="http://schemas.openxmlformats.org/officeDocument/2006/relationships/drawing" Target="../drawings/drawing56.xml"/></Relationships>
</file>

<file path=xl/worksheets/_rels/sheet69.xml.rels><?xml version="1.0" encoding="UTF-8" standalone="yes"?>
<Relationships xmlns="http://schemas.openxmlformats.org/package/2006/relationships"><Relationship Id="rId3" Type="http://schemas.openxmlformats.org/officeDocument/2006/relationships/ctrlProp" Target="../ctrlProps/ctrlProp120.xml"/><Relationship Id="rId2" Type="http://schemas.openxmlformats.org/officeDocument/2006/relationships/vmlDrawing" Target="../drawings/vmlDrawing97.vml"/><Relationship Id="rId1" Type="http://schemas.openxmlformats.org/officeDocument/2006/relationships/drawing" Target="../drawings/drawing57.xml"/></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indexed="9"/>
    <pageSetUpPr autoPageBreaks="0" fitToPage="1"/>
  </sheetPr>
  <dimension ref="B1:S93"/>
  <sheetViews>
    <sheetView showGridLines="0" zoomScale="80" zoomScaleNormal="80" workbookViewId="0">
      <pane ySplit="1" topLeftCell="A2" activePane="bottomLeft" state="frozen"/>
      <selection activeCell="B87" sqref="B87:J99"/>
      <selection pane="bottomLeft"/>
    </sheetView>
  </sheetViews>
  <sheetFormatPr defaultColWidth="8.28515625" defaultRowHeight="12.75"/>
  <cols>
    <col min="1" max="1" width="3.28515625" style="22" customWidth="1"/>
    <col min="2" max="2" width="28.42578125" style="22" customWidth="1"/>
    <col min="3" max="9" width="8.28515625" style="22" customWidth="1"/>
    <col min="10" max="11" width="9.7109375" style="22" customWidth="1"/>
    <col min="12" max="12" width="16.7109375" style="22" customWidth="1"/>
    <col min="13" max="13" width="13.85546875" style="22" customWidth="1"/>
    <col min="14" max="15" width="8.28515625" style="22" customWidth="1"/>
    <col min="16" max="16" width="3.28515625" style="22" customWidth="1"/>
    <col min="17" max="16384" width="8.28515625" style="22"/>
  </cols>
  <sheetData>
    <row r="1" spans="2:19" s="465" customFormat="1" ht="21">
      <c r="B1" s="465" t="s">
        <v>104</v>
      </c>
      <c r="M1" s="2397"/>
      <c r="N1" s="2397"/>
      <c r="O1" s="2397"/>
      <c r="Q1" s="468"/>
    </row>
    <row r="13" spans="2:19">
      <c r="B13" s="20" t="s">
        <v>105</v>
      </c>
      <c r="C13" s="21"/>
      <c r="D13" s="21"/>
      <c r="E13" s="21"/>
      <c r="F13" s="21"/>
      <c r="G13" s="21"/>
      <c r="H13" s="21"/>
      <c r="I13" s="20"/>
      <c r="J13" s="21"/>
      <c r="K13" s="21"/>
      <c r="L13" s="21"/>
      <c r="M13" s="21"/>
    </row>
    <row r="14" spans="2:19">
      <c r="B14" s="23" t="s">
        <v>106</v>
      </c>
      <c r="C14" s="24"/>
      <c r="D14" s="24"/>
      <c r="E14" s="24"/>
      <c r="F14" s="24"/>
      <c r="G14" s="24"/>
      <c r="H14" s="24"/>
      <c r="I14" s="24"/>
      <c r="J14" s="24"/>
      <c r="K14" s="24"/>
      <c r="L14" s="24"/>
      <c r="M14" s="25"/>
      <c r="R14" s="45"/>
    </row>
    <row r="15" spans="2:19">
      <c r="B15" s="26" t="s">
        <v>469</v>
      </c>
      <c r="C15" s="27"/>
      <c r="D15" s="27"/>
      <c r="E15" s="27"/>
      <c r="F15" s="27"/>
      <c r="G15" s="27"/>
      <c r="H15" s="27"/>
      <c r="I15" s="27"/>
      <c r="J15" s="27"/>
      <c r="K15" s="27"/>
      <c r="L15" s="27"/>
      <c r="M15" s="28"/>
      <c r="R15" s="406"/>
      <c r="S15" s="406"/>
    </row>
    <row r="16" spans="2:19">
      <c r="B16" s="26"/>
      <c r="C16" s="27"/>
      <c r="D16" s="27"/>
      <c r="E16" s="27"/>
      <c r="F16" s="27"/>
      <c r="G16" s="27"/>
      <c r="H16" s="27"/>
      <c r="I16" s="27"/>
      <c r="J16" s="27"/>
      <c r="K16" s="27"/>
      <c r="L16" s="27"/>
      <c r="M16" s="28"/>
      <c r="R16" s="406"/>
      <c r="S16" s="406"/>
    </row>
    <row r="17" spans="2:19">
      <c r="B17" s="26" t="s">
        <v>107</v>
      </c>
      <c r="C17" s="27"/>
      <c r="D17" s="27"/>
      <c r="E17" s="27"/>
      <c r="F17" s="27"/>
      <c r="G17" s="27"/>
      <c r="H17" s="27"/>
      <c r="I17" s="27"/>
      <c r="J17" s="27"/>
      <c r="K17" s="27"/>
      <c r="L17" s="27"/>
      <c r="M17" s="28"/>
      <c r="S17" s="406"/>
    </row>
    <row r="18" spans="2:19">
      <c r="B18" s="26" t="s">
        <v>108</v>
      </c>
      <c r="C18" s="27"/>
      <c r="D18" s="27"/>
      <c r="E18" s="27"/>
      <c r="F18" s="27"/>
      <c r="G18" s="27"/>
      <c r="H18" s="27"/>
      <c r="I18" s="27"/>
      <c r="J18" s="27"/>
      <c r="K18" s="27"/>
      <c r="L18" s="27"/>
      <c r="M18" s="28"/>
      <c r="R18" s="406"/>
      <c r="S18" s="406"/>
    </row>
    <row r="19" spans="2:19">
      <c r="B19" s="26" t="s">
        <v>109</v>
      </c>
      <c r="C19" s="27"/>
      <c r="D19" s="27"/>
      <c r="E19" s="27"/>
      <c r="F19" s="27"/>
      <c r="G19" s="27"/>
      <c r="H19" s="27"/>
      <c r="I19" s="27"/>
      <c r="J19" s="27"/>
      <c r="K19" s="27"/>
      <c r="L19" s="27"/>
      <c r="M19" s="28"/>
      <c r="R19" s="406"/>
      <c r="S19" s="406"/>
    </row>
    <row r="20" spans="2:19">
      <c r="B20" s="26"/>
      <c r="C20" s="27"/>
      <c r="D20" s="27"/>
      <c r="E20" s="27"/>
      <c r="F20" s="27"/>
      <c r="G20" s="27"/>
      <c r="H20" s="27"/>
      <c r="I20" s="27"/>
      <c r="J20" s="27"/>
      <c r="K20" s="27"/>
      <c r="L20" s="27"/>
      <c r="M20" s="28"/>
      <c r="R20" s="406"/>
      <c r="S20" s="406"/>
    </row>
    <row r="21" spans="2:19">
      <c r="B21" s="26" t="s">
        <v>110</v>
      </c>
      <c r="C21" s="27"/>
      <c r="D21" s="27"/>
      <c r="E21" s="27"/>
      <c r="F21" s="27"/>
      <c r="G21" s="27"/>
      <c r="H21" s="27"/>
      <c r="I21" s="27"/>
      <c r="J21" s="27"/>
      <c r="K21" s="27"/>
      <c r="L21" s="27"/>
      <c r="M21" s="28"/>
      <c r="R21" s="406"/>
      <c r="S21" s="406"/>
    </row>
    <row r="22" spans="2:19">
      <c r="B22" s="26"/>
      <c r="C22" s="27"/>
      <c r="D22" s="27"/>
      <c r="E22" s="27"/>
      <c r="F22" s="27"/>
      <c r="G22" s="27"/>
      <c r="H22" s="27"/>
      <c r="I22" s="27"/>
      <c r="J22" s="27"/>
      <c r="K22" s="27"/>
      <c r="L22" s="27"/>
      <c r="M22" s="28"/>
      <c r="R22" s="406"/>
      <c r="S22" s="406"/>
    </row>
    <row r="23" spans="2:19">
      <c r="B23" s="26" t="s">
        <v>111</v>
      </c>
      <c r="C23" s="27"/>
      <c r="D23" s="27"/>
      <c r="E23" s="27"/>
      <c r="F23" s="27"/>
      <c r="G23" s="27"/>
      <c r="H23" s="27"/>
      <c r="I23" s="27"/>
      <c r="J23" s="27"/>
      <c r="K23" s="27"/>
      <c r="L23" s="27"/>
      <c r="M23" s="28"/>
      <c r="S23" s="406"/>
    </row>
    <row r="24" spans="2:19">
      <c r="B24" s="26" t="s">
        <v>468</v>
      </c>
      <c r="C24" s="27"/>
      <c r="D24" s="27"/>
      <c r="E24" s="27"/>
      <c r="F24" s="27"/>
      <c r="G24" s="27"/>
      <c r="H24" s="27"/>
      <c r="I24" s="27"/>
      <c r="J24" s="27"/>
      <c r="K24" s="27"/>
      <c r="L24" s="27"/>
      <c r="M24" s="28"/>
    </row>
    <row r="25" spans="2:19">
      <c r="B25" s="26"/>
      <c r="C25" s="27"/>
      <c r="D25" s="27"/>
      <c r="E25" s="27"/>
      <c r="F25" s="27"/>
      <c r="G25" s="27"/>
      <c r="H25" s="27"/>
      <c r="I25" s="27"/>
      <c r="J25" s="27"/>
      <c r="K25" s="27"/>
      <c r="L25" s="27"/>
      <c r="M25" s="28"/>
    </row>
    <row r="26" spans="2:19">
      <c r="B26" s="26" t="s">
        <v>112</v>
      </c>
      <c r="C26" s="27"/>
      <c r="D26" s="27"/>
      <c r="E26" s="27"/>
      <c r="F26" s="27"/>
      <c r="G26" s="27"/>
      <c r="H26" s="27"/>
      <c r="I26" s="27"/>
      <c r="J26" s="27"/>
      <c r="K26" s="27"/>
      <c r="L26" s="27"/>
      <c r="M26" s="28"/>
    </row>
    <row r="27" spans="2:19" s="32" customFormat="1" ht="12">
      <c r="B27" s="29" t="s">
        <v>113</v>
      </c>
      <c r="C27" s="30"/>
      <c r="D27" s="30"/>
      <c r="E27" s="30"/>
      <c r="F27" s="30"/>
      <c r="G27" s="30"/>
      <c r="H27" s="30"/>
      <c r="I27" s="30"/>
      <c r="J27" s="30"/>
      <c r="K27" s="30"/>
      <c r="L27" s="30"/>
      <c r="M27" s="31"/>
      <c r="R27" s="414"/>
    </row>
    <row r="28" spans="2:19">
      <c r="S28" s="406"/>
    </row>
    <row r="29" spans="2:19">
      <c r="B29" s="33" t="s">
        <v>114</v>
      </c>
      <c r="C29" s="34"/>
      <c r="D29" s="34"/>
      <c r="E29" s="34"/>
      <c r="F29" s="34"/>
      <c r="G29" s="34"/>
      <c r="H29" s="34"/>
      <c r="I29" s="34"/>
      <c r="J29" s="34"/>
      <c r="K29" s="34"/>
      <c r="L29" s="34"/>
      <c r="M29" s="34"/>
      <c r="S29" s="406"/>
    </row>
    <row r="30" spans="2:19">
      <c r="B30" s="35" t="s">
        <v>2599</v>
      </c>
      <c r="C30" s="36"/>
      <c r="D30" s="36"/>
      <c r="E30" s="36"/>
      <c r="F30" s="36"/>
      <c r="G30" s="36"/>
      <c r="H30" s="36"/>
      <c r="I30" s="36"/>
      <c r="J30" s="36"/>
      <c r="K30" s="36"/>
      <c r="L30" s="36"/>
      <c r="M30" s="37"/>
    </row>
    <row r="31" spans="2:19">
      <c r="B31" s="38" t="s">
        <v>115</v>
      </c>
      <c r="C31" s="36"/>
      <c r="D31" s="36"/>
      <c r="E31" s="36"/>
      <c r="F31" s="36"/>
      <c r="G31" s="36"/>
      <c r="H31" s="36"/>
      <c r="I31" s="36"/>
      <c r="J31" s="36"/>
      <c r="K31" s="36"/>
      <c r="L31" s="36"/>
      <c r="M31" s="37"/>
    </row>
    <row r="32" spans="2:19">
      <c r="B32" s="39" t="s">
        <v>133</v>
      </c>
      <c r="C32" s="36"/>
      <c r="D32" s="36"/>
      <c r="E32" s="36"/>
      <c r="F32" s="36"/>
      <c r="G32" s="36"/>
      <c r="H32" s="36"/>
      <c r="I32" s="36"/>
      <c r="J32" s="36"/>
      <c r="K32" s="36"/>
      <c r="L32" s="36"/>
      <c r="M32" s="37"/>
    </row>
    <row r="33" spans="2:13">
      <c r="B33" s="40" t="s">
        <v>2600</v>
      </c>
      <c r="C33" s="36"/>
      <c r="D33" s="36"/>
      <c r="E33" s="36"/>
      <c r="F33" s="36"/>
      <c r="G33" s="36"/>
      <c r="H33" s="36"/>
      <c r="I33" s="36"/>
      <c r="J33" s="36"/>
      <c r="K33" s="36"/>
      <c r="L33" s="36"/>
      <c r="M33" s="37"/>
    </row>
    <row r="34" spans="2:13">
      <c r="B34" s="41" t="s">
        <v>134</v>
      </c>
      <c r="C34" s="36"/>
      <c r="D34" s="36"/>
      <c r="E34" s="36"/>
      <c r="F34" s="36"/>
      <c r="G34" s="36"/>
      <c r="H34" s="36"/>
      <c r="I34" s="36"/>
      <c r="J34" s="36"/>
      <c r="K34" s="36"/>
      <c r="L34" s="36"/>
      <c r="M34" s="37"/>
    </row>
    <row r="35" spans="2:13">
      <c r="B35" s="42" t="s">
        <v>116</v>
      </c>
      <c r="C35" s="43"/>
      <c r="D35" s="43"/>
      <c r="E35" s="43"/>
      <c r="F35" s="43"/>
      <c r="G35" s="43"/>
      <c r="H35" s="43"/>
      <c r="I35" s="43"/>
      <c r="J35" s="43"/>
      <c r="K35" s="43"/>
      <c r="L35" s="43"/>
      <c r="M35" s="44"/>
    </row>
    <row r="36" spans="2:13">
      <c r="B36" s="45"/>
    </row>
    <row r="37" spans="2:13">
      <c r="B37" s="45" t="s">
        <v>117</v>
      </c>
    </row>
    <row r="38" spans="2:13">
      <c r="B38" s="46" t="s">
        <v>118</v>
      </c>
      <c r="C38" s="47" t="s">
        <v>119</v>
      </c>
      <c r="D38" s="48"/>
      <c r="E38" s="49"/>
      <c r="F38" s="49"/>
      <c r="G38" s="49"/>
      <c r="H38" s="49"/>
      <c r="I38" s="49"/>
      <c r="J38" s="49"/>
      <c r="K38" s="49"/>
      <c r="L38" s="49"/>
      <c r="M38" s="50"/>
    </row>
    <row r="39" spans="2:13">
      <c r="B39" s="51"/>
      <c r="C39" s="52"/>
      <c r="D39" s="52"/>
      <c r="E39" s="52"/>
      <c r="F39" s="52"/>
      <c r="G39" s="52"/>
      <c r="H39" s="52"/>
      <c r="I39" s="52"/>
      <c r="J39" s="52"/>
      <c r="K39" s="52"/>
      <c r="L39" s="52"/>
      <c r="M39" s="53"/>
    </row>
    <row r="40" spans="2:13">
      <c r="B40" s="51" t="s">
        <v>120</v>
      </c>
      <c r="C40" s="52" t="s">
        <v>121</v>
      </c>
      <c r="D40" s="52"/>
      <c r="E40" s="52"/>
      <c r="F40" s="52"/>
      <c r="G40" s="52"/>
      <c r="H40" s="52"/>
      <c r="I40" s="52"/>
      <c r="J40" s="52"/>
      <c r="K40" s="52"/>
      <c r="L40" s="52"/>
      <c r="M40" s="53"/>
    </row>
    <row r="41" spans="2:13">
      <c r="B41" s="51"/>
      <c r="C41" s="52"/>
      <c r="D41" s="52"/>
      <c r="E41" s="52"/>
      <c r="F41" s="52"/>
      <c r="G41" s="52"/>
      <c r="H41" s="52"/>
      <c r="I41" s="52"/>
      <c r="J41" s="52"/>
      <c r="K41" s="52"/>
      <c r="L41" s="52"/>
      <c r="M41" s="53"/>
    </row>
    <row r="42" spans="2:13">
      <c r="B42" s="51" t="s">
        <v>101</v>
      </c>
      <c r="C42" s="52" t="s">
        <v>122</v>
      </c>
      <c r="D42" s="52"/>
      <c r="E42" s="52"/>
      <c r="F42" s="52"/>
      <c r="G42" s="52"/>
      <c r="H42" s="52"/>
      <c r="I42" s="52"/>
      <c r="J42" s="52"/>
      <c r="K42" s="52"/>
      <c r="L42" s="52"/>
      <c r="M42" s="53"/>
    </row>
    <row r="43" spans="2:13">
      <c r="B43" s="51"/>
      <c r="C43" s="52"/>
      <c r="D43" s="52"/>
      <c r="E43" s="52"/>
      <c r="F43" s="52"/>
      <c r="G43" s="52"/>
      <c r="H43" s="52"/>
      <c r="I43" s="52"/>
      <c r="J43" s="52"/>
      <c r="K43" s="52"/>
      <c r="L43" s="52"/>
      <c r="M43" s="53"/>
    </row>
    <row r="44" spans="2:13">
      <c r="B44" s="2147" t="s">
        <v>124</v>
      </c>
      <c r="C44" s="52" t="s">
        <v>125</v>
      </c>
      <c r="D44" s="52"/>
      <c r="E44" s="52"/>
      <c r="F44" s="52"/>
      <c r="G44" s="52"/>
      <c r="H44" s="52"/>
      <c r="I44" s="52"/>
      <c r="J44" s="52"/>
      <c r="K44" s="52"/>
      <c r="L44" s="52"/>
      <c r="M44" s="53"/>
    </row>
    <row r="45" spans="2:13">
      <c r="B45" s="51"/>
      <c r="C45" s="52"/>
      <c r="D45" s="52"/>
      <c r="E45" s="52"/>
      <c r="F45" s="52"/>
      <c r="G45" s="52"/>
      <c r="H45" s="52"/>
      <c r="I45" s="52"/>
      <c r="J45" s="52"/>
      <c r="K45" s="52"/>
      <c r="L45" s="52"/>
      <c r="M45" s="53"/>
    </row>
    <row r="46" spans="2:13">
      <c r="B46" s="2145" t="s">
        <v>627</v>
      </c>
      <c r="C46" s="52" t="s">
        <v>126</v>
      </c>
      <c r="D46" s="52"/>
      <c r="E46" s="52"/>
      <c r="F46" s="52"/>
      <c r="G46" s="52"/>
      <c r="H46" s="52"/>
      <c r="I46" s="52"/>
      <c r="J46" s="52"/>
      <c r="K46" s="52"/>
      <c r="L46" s="52"/>
      <c r="M46" s="53"/>
    </row>
    <row r="47" spans="2:13">
      <c r="B47" s="51"/>
      <c r="C47" s="52"/>
      <c r="D47" s="52"/>
      <c r="E47" s="52"/>
      <c r="F47" s="52"/>
      <c r="G47" s="52"/>
      <c r="H47" s="52"/>
      <c r="I47" s="52"/>
      <c r="J47" s="52"/>
      <c r="K47" s="52"/>
      <c r="L47" s="52"/>
      <c r="M47" s="53"/>
    </row>
    <row r="48" spans="2:13">
      <c r="B48" s="202" t="s">
        <v>2303</v>
      </c>
      <c r="C48" s="52"/>
      <c r="D48" s="52"/>
      <c r="E48" s="52"/>
      <c r="F48" s="52"/>
      <c r="G48" s="52"/>
      <c r="H48" s="52"/>
      <c r="I48" s="52"/>
      <c r="J48" s="52"/>
      <c r="K48" s="52"/>
      <c r="L48" s="52"/>
      <c r="M48" s="53"/>
    </row>
    <row r="49" spans="2:13">
      <c r="B49" s="51"/>
      <c r="C49" s="52"/>
      <c r="D49" s="52"/>
      <c r="E49" s="52"/>
      <c r="F49" s="52"/>
      <c r="G49" s="52"/>
      <c r="H49" s="52"/>
      <c r="I49" s="52"/>
      <c r="J49" s="52"/>
      <c r="K49" s="52"/>
      <c r="L49" s="52"/>
      <c r="M49" s="53"/>
    </row>
    <row r="50" spans="2:13">
      <c r="B50" s="350" t="s">
        <v>2304</v>
      </c>
      <c r="C50" s="52" t="s">
        <v>127</v>
      </c>
      <c r="D50" s="52"/>
      <c r="E50" s="52"/>
      <c r="F50" s="52"/>
      <c r="G50" s="52"/>
      <c r="H50" s="52"/>
      <c r="I50" s="52"/>
      <c r="J50" s="52"/>
      <c r="K50" s="52"/>
      <c r="L50" s="52"/>
      <c r="M50" s="53"/>
    </row>
    <row r="51" spans="2:13">
      <c r="B51" s="51"/>
      <c r="C51" s="52"/>
      <c r="D51" s="52"/>
      <c r="E51" s="52"/>
      <c r="F51" s="52"/>
      <c r="G51" s="52"/>
      <c r="H51" s="52"/>
      <c r="I51" s="52"/>
      <c r="J51" s="52"/>
      <c r="K51" s="52"/>
      <c r="L51" s="52"/>
      <c r="M51" s="53"/>
    </row>
    <row r="52" spans="2:13">
      <c r="B52" s="2147" t="s">
        <v>2305</v>
      </c>
      <c r="C52" s="52" t="s">
        <v>628</v>
      </c>
      <c r="D52" s="52"/>
      <c r="E52" s="52"/>
      <c r="F52" s="52"/>
      <c r="G52" s="52"/>
      <c r="H52" s="52"/>
      <c r="I52" s="52"/>
      <c r="J52" s="52"/>
      <c r="K52" s="52"/>
      <c r="L52" s="52"/>
      <c r="M52" s="53"/>
    </row>
    <row r="53" spans="2:13">
      <c r="B53" s="2146"/>
      <c r="C53" s="52"/>
      <c r="D53" s="52"/>
      <c r="E53" s="52"/>
      <c r="F53" s="52"/>
      <c r="G53" s="52"/>
      <c r="H53" s="52"/>
      <c r="I53" s="52"/>
      <c r="J53" s="52"/>
      <c r="K53" s="52"/>
      <c r="L53" s="52"/>
      <c r="M53" s="53"/>
    </row>
    <row r="54" spans="2:13">
      <c r="B54" s="2147" t="s">
        <v>2207</v>
      </c>
      <c r="C54" s="52" t="s">
        <v>128</v>
      </c>
      <c r="D54" s="52"/>
      <c r="E54" s="52"/>
      <c r="F54" s="52"/>
      <c r="G54" s="52"/>
      <c r="H54" s="52"/>
      <c r="I54" s="52"/>
      <c r="J54" s="52"/>
      <c r="K54" s="52"/>
      <c r="L54" s="52"/>
      <c r="M54" s="53"/>
    </row>
    <row r="55" spans="2:13">
      <c r="B55" s="51"/>
      <c r="C55" s="52"/>
      <c r="D55" s="52"/>
      <c r="E55" s="52"/>
      <c r="F55" s="52"/>
      <c r="G55" s="52"/>
      <c r="H55" s="52"/>
      <c r="I55" s="52"/>
      <c r="J55" s="52"/>
      <c r="K55" s="52"/>
      <c r="L55" s="52"/>
      <c r="M55" s="53"/>
    </row>
    <row r="56" spans="2:13">
      <c r="B56" s="2147" t="s">
        <v>2306</v>
      </c>
      <c r="C56" s="52" t="s">
        <v>2307</v>
      </c>
      <c r="D56" s="52"/>
      <c r="E56" s="52"/>
      <c r="F56" s="52"/>
      <c r="G56" s="52"/>
      <c r="H56" s="52"/>
      <c r="I56" s="52"/>
      <c r="J56" s="52"/>
      <c r="K56" s="52"/>
      <c r="L56" s="52"/>
      <c r="M56" s="53"/>
    </row>
    <row r="57" spans="2:13">
      <c r="B57" s="51"/>
      <c r="C57" s="52"/>
      <c r="D57" s="52"/>
      <c r="E57" s="52"/>
      <c r="F57" s="52"/>
      <c r="G57" s="52"/>
      <c r="H57" s="52"/>
      <c r="I57" s="52"/>
      <c r="J57" s="52"/>
      <c r="K57" s="52"/>
      <c r="L57" s="52"/>
      <c r="M57" s="53"/>
    </row>
    <row r="58" spans="2:13">
      <c r="B58" s="2147" t="s">
        <v>135</v>
      </c>
      <c r="C58" s="52" t="s">
        <v>123</v>
      </c>
      <c r="D58" s="52"/>
      <c r="E58" s="52"/>
      <c r="F58" s="52"/>
      <c r="G58" s="52"/>
      <c r="H58" s="52"/>
      <c r="I58" s="52"/>
      <c r="J58" s="52"/>
      <c r="K58" s="52"/>
      <c r="L58" s="52"/>
      <c r="M58" s="53"/>
    </row>
    <row r="59" spans="2:13">
      <c r="B59" s="51"/>
      <c r="C59" s="52"/>
      <c r="D59" s="52"/>
      <c r="E59" s="52"/>
      <c r="F59" s="52"/>
      <c r="G59" s="52"/>
      <c r="H59" s="52"/>
      <c r="I59" s="52"/>
      <c r="J59" s="52"/>
      <c r="K59" s="52"/>
      <c r="L59" s="52"/>
      <c r="M59" s="53"/>
    </row>
    <row r="60" spans="2:13">
      <c r="B60" s="2147" t="s">
        <v>2308</v>
      </c>
      <c r="C60" s="52" t="s">
        <v>2309</v>
      </c>
      <c r="D60" s="52"/>
      <c r="E60" s="52"/>
      <c r="F60" s="52"/>
      <c r="G60" s="52"/>
      <c r="H60" s="52"/>
      <c r="I60" s="52"/>
      <c r="J60" s="52"/>
      <c r="K60" s="52"/>
      <c r="L60" s="52"/>
      <c r="M60" s="53"/>
    </row>
    <row r="61" spans="2:13">
      <c r="B61" s="51"/>
      <c r="C61" s="52"/>
      <c r="D61" s="52"/>
      <c r="E61" s="52"/>
      <c r="F61" s="52"/>
      <c r="G61" s="52"/>
      <c r="H61" s="52"/>
      <c r="I61" s="52"/>
      <c r="J61" s="52"/>
      <c r="K61" s="52"/>
      <c r="L61" s="52"/>
      <c r="M61" s="53"/>
    </row>
    <row r="62" spans="2:13">
      <c r="B62" s="349" t="s">
        <v>2310</v>
      </c>
      <c r="C62" s="52" t="s">
        <v>2311</v>
      </c>
      <c r="D62" s="52"/>
      <c r="E62" s="52"/>
      <c r="F62" s="52"/>
      <c r="G62" s="52"/>
      <c r="H62" s="52"/>
      <c r="I62" s="52"/>
      <c r="J62" s="52"/>
      <c r="K62" s="52"/>
      <c r="L62" s="52"/>
      <c r="M62" s="53"/>
    </row>
    <row r="63" spans="2:13">
      <c r="B63" s="51"/>
      <c r="C63" s="52"/>
      <c r="D63" s="52"/>
      <c r="E63" s="52"/>
      <c r="F63" s="52"/>
      <c r="G63" s="52"/>
      <c r="H63" s="52"/>
      <c r="I63" s="52"/>
      <c r="J63" s="52"/>
      <c r="K63" s="52"/>
      <c r="L63" s="52"/>
      <c r="M63" s="53"/>
    </row>
    <row r="64" spans="2:13">
      <c r="B64" s="349" t="s">
        <v>626</v>
      </c>
      <c r="C64" s="52" t="s">
        <v>130</v>
      </c>
      <c r="D64" s="52"/>
      <c r="E64" s="52"/>
      <c r="F64" s="52"/>
      <c r="G64" s="52"/>
      <c r="H64" s="52"/>
      <c r="I64" s="52"/>
      <c r="J64" s="52"/>
      <c r="K64" s="52"/>
      <c r="L64" s="52"/>
      <c r="M64" s="53"/>
    </row>
    <row r="65" spans="2:13">
      <c r="B65" s="51"/>
      <c r="C65" s="52"/>
      <c r="D65" s="52"/>
      <c r="E65" s="52"/>
      <c r="F65" s="52"/>
      <c r="G65" s="52"/>
      <c r="H65" s="52"/>
      <c r="I65" s="52"/>
      <c r="J65" s="52"/>
      <c r="K65" s="52"/>
      <c r="L65" s="52"/>
      <c r="M65" s="53"/>
    </row>
    <row r="66" spans="2:13">
      <c r="B66" s="2441" t="s">
        <v>2312</v>
      </c>
      <c r="C66" s="52" t="s">
        <v>131</v>
      </c>
      <c r="D66" s="52"/>
      <c r="E66" s="52"/>
      <c r="F66" s="52"/>
      <c r="G66" s="52"/>
      <c r="H66" s="52"/>
      <c r="I66" s="52"/>
      <c r="J66" s="52"/>
      <c r="K66" s="52"/>
      <c r="L66" s="52"/>
      <c r="M66" s="53"/>
    </row>
    <row r="67" spans="2:13">
      <c r="B67" s="51"/>
      <c r="C67" s="52"/>
      <c r="D67" s="52"/>
      <c r="E67" s="52"/>
      <c r="F67" s="52"/>
      <c r="G67" s="52"/>
      <c r="H67" s="52"/>
      <c r="I67" s="52"/>
      <c r="J67" s="52"/>
      <c r="K67" s="52"/>
      <c r="L67" s="52"/>
      <c r="M67" s="53"/>
    </row>
    <row r="68" spans="2:13">
      <c r="B68" s="2440" t="s">
        <v>2313</v>
      </c>
      <c r="C68" s="52" t="s">
        <v>132</v>
      </c>
      <c r="D68" s="52"/>
      <c r="E68" s="52"/>
      <c r="F68" s="52"/>
      <c r="G68" s="52"/>
      <c r="H68" s="52"/>
      <c r="I68" s="52"/>
      <c r="J68" s="52"/>
      <c r="K68" s="52"/>
      <c r="L68" s="52"/>
      <c r="M68" s="53"/>
    </row>
    <row r="69" spans="2:13">
      <c r="B69" s="54"/>
      <c r="C69" s="55"/>
      <c r="D69" s="55"/>
      <c r="E69" s="55"/>
      <c r="F69" s="55"/>
      <c r="G69" s="55"/>
      <c r="H69" s="55"/>
      <c r="I69" s="55"/>
      <c r="J69" s="55"/>
      <c r="K69" s="55"/>
      <c r="L69" s="55"/>
      <c r="M69" s="56"/>
    </row>
    <row r="72" spans="2:13">
      <c r="B72" s="1446" t="s">
        <v>2581</v>
      </c>
    </row>
    <row r="73" spans="2:13">
      <c r="B73" s="2442"/>
      <c r="C73" s="2443"/>
      <c r="D73" s="2443"/>
      <c r="E73" s="2443"/>
      <c r="F73" s="2443"/>
      <c r="G73" s="2443"/>
      <c r="H73" s="2443"/>
      <c r="I73" s="2443"/>
      <c r="J73" s="2443"/>
      <c r="K73" s="2443"/>
      <c r="L73" s="2443"/>
      <c r="M73" s="2444"/>
    </row>
    <row r="74" spans="2:13">
      <c r="B74" s="2450" t="s">
        <v>2582</v>
      </c>
      <c r="C74" s="323" t="s">
        <v>2591</v>
      </c>
      <c r="D74" s="248"/>
      <c r="E74" s="248"/>
      <c r="F74" s="248"/>
      <c r="G74" s="248"/>
      <c r="H74" s="248"/>
      <c r="I74" s="248"/>
      <c r="J74" s="248"/>
      <c r="K74" s="248"/>
      <c r="L74" s="248"/>
      <c r="M74" s="2446"/>
    </row>
    <row r="75" spans="2:13">
      <c r="B75" s="2445"/>
      <c r="C75" s="248"/>
      <c r="D75" s="248"/>
      <c r="E75" s="248"/>
      <c r="F75" s="248"/>
      <c r="G75" s="248"/>
      <c r="H75" s="248"/>
      <c r="I75" s="248"/>
      <c r="J75" s="248"/>
      <c r="K75" s="248"/>
      <c r="L75" s="248"/>
      <c r="M75" s="2446"/>
    </row>
    <row r="76" spans="2:13">
      <c r="B76" s="2450" t="s">
        <v>2583</v>
      </c>
      <c r="C76" s="323" t="s">
        <v>2592</v>
      </c>
      <c r="D76" s="248"/>
      <c r="E76" s="248"/>
      <c r="F76" s="248"/>
      <c r="G76" s="248"/>
      <c r="H76" s="248"/>
      <c r="I76" s="248"/>
      <c r="J76" s="248"/>
      <c r="K76" s="248"/>
      <c r="L76" s="248"/>
      <c r="M76" s="2446"/>
    </row>
    <row r="77" spans="2:13">
      <c r="B77" s="2445"/>
      <c r="C77" s="248"/>
      <c r="D77" s="248"/>
      <c r="E77" s="248"/>
      <c r="F77" s="248"/>
      <c r="G77" s="248"/>
      <c r="H77" s="248"/>
      <c r="I77" s="248"/>
      <c r="J77" s="248"/>
      <c r="K77" s="248"/>
      <c r="L77" s="248"/>
      <c r="M77" s="2446"/>
    </row>
    <row r="78" spans="2:13">
      <c r="B78" s="2450" t="s">
        <v>2584</v>
      </c>
      <c r="C78" s="323" t="s">
        <v>2656</v>
      </c>
      <c r="D78" s="248"/>
      <c r="E78" s="248"/>
      <c r="F78" s="248"/>
      <c r="G78" s="248"/>
      <c r="H78" s="248"/>
      <c r="I78" s="248"/>
      <c r="J78" s="248"/>
      <c r="K78" s="248"/>
      <c r="L78" s="248"/>
      <c r="M78" s="2446"/>
    </row>
    <row r="79" spans="2:13">
      <c r="B79" s="2445"/>
      <c r="C79" s="248"/>
      <c r="D79" s="248"/>
      <c r="E79" s="248"/>
      <c r="F79" s="248"/>
      <c r="G79" s="248"/>
      <c r="H79" s="248"/>
      <c r="I79" s="248"/>
      <c r="J79" s="248"/>
      <c r="K79" s="248"/>
      <c r="L79" s="248"/>
      <c r="M79" s="2446"/>
    </row>
    <row r="80" spans="2:13">
      <c r="B80" s="2450" t="s">
        <v>2585</v>
      </c>
      <c r="C80" s="323" t="s">
        <v>2594</v>
      </c>
      <c r="D80" s="248"/>
      <c r="E80" s="248"/>
      <c r="F80" s="248"/>
      <c r="G80" s="248"/>
      <c r="H80" s="248"/>
      <c r="I80" s="248"/>
      <c r="J80" s="248"/>
      <c r="K80" s="248"/>
      <c r="L80" s="248"/>
      <c r="M80" s="2446"/>
    </row>
    <row r="81" spans="2:13">
      <c r="B81" s="2445"/>
      <c r="C81" s="248"/>
      <c r="D81" s="248"/>
      <c r="E81" s="248"/>
      <c r="F81" s="248"/>
      <c r="G81" s="248"/>
      <c r="H81" s="248"/>
      <c r="I81" s="248"/>
      <c r="J81" s="248"/>
      <c r="K81" s="248"/>
      <c r="L81" s="248"/>
      <c r="M81" s="2446"/>
    </row>
    <row r="82" spans="2:13">
      <c r="B82" s="2450" t="s">
        <v>2587</v>
      </c>
      <c r="C82" s="323" t="s">
        <v>2593</v>
      </c>
      <c r="D82" s="248"/>
      <c r="E82" s="248"/>
      <c r="F82" s="248"/>
      <c r="G82" s="248"/>
      <c r="H82" s="248"/>
      <c r="I82" s="248"/>
      <c r="J82" s="248"/>
      <c r="K82" s="248"/>
      <c r="L82" s="248"/>
      <c r="M82" s="2446"/>
    </row>
    <row r="83" spans="2:13">
      <c r="B83" s="2445"/>
      <c r="C83" s="248"/>
      <c r="D83" s="248"/>
      <c r="E83" s="248"/>
      <c r="F83" s="248"/>
      <c r="G83" s="248"/>
      <c r="H83" s="248"/>
      <c r="I83" s="248"/>
      <c r="J83" s="248"/>
      <c r="K83" s="248"/>
      <c r="L83" s="248"/>
      <c r="M83" s="2446"/>
    </row>
    <row r="84" spans="2:13">
      <c r="B84" s="2450" t="s">
        <v>2586</v>
      </c>
      <c r="C84" s="323" t="s">
        <v>2595</v>
      </c>
      <c r="D84" s="248"/>
      <c r="E84" s="248"/>
      <c r="F84" s="248"/>
      <c r="G84" s="248"/>
      <c r="H84" s="248"/>
      <c r="I84" s="248"/>
      <c r="J84" s="248"/>
      <c r="K84" s="248"/>
      <c r="L84" s="248"/>
      <c r="M84" s="2446"/>
    </row>
    <row r="85" spans="2:13">
      <c r="B85" s="2445"/>
      <c r="C85" s="248"/>
      <c r="D85" s="248"/>
      <c r="E85" s="248"/>
      <c r="F85" s="248"/>
      <c r="G85" s="248"/>
      <c r="H85" s="248"/>
      <c r="I85" s="248"/>
      <c r="J85" s="248"/>
      <c r="K85" s="248"/>
      <c r="L85" s="248"/>
      <c r="M85" s="2446"/>
    </row>
    <row r="86" spans="2:13">
      <c r="B86" s="2450" t="s">
        <v>2588</v>
      </c>
      <c r="C86" s="2221" t="s">
        <v>2596</v>
      </c>
      <c r="D86" s="2451"/>
      <c r="E86" s="2451"/>
      <c r="F86" s="2451"/>
      <c r="G86" s="248"/>
      <c r="H86" s="248"/>
      <c r="I86" s="248"/>
      <c r="J86" s="248"/>
      <c r="K86" s="248"/>
      <c r="L86" s="248"/>
      <c r="M86" s="2446"/>
    </row>
    <row r="87" spans="2:13">
      <c r="B87" s="2445"/>
      <c r="C87" s="248"/>
      <c r="D87" s="248"/>
      <c r="E87" s="248"/>
      <c r="F87" s="248"/>
      <c r="G87" s="248"/>
      <c r="H87" s="248"/>
      <c r="I87" s="248"/>
      <c r="J87" s="248"/>
      <c r="K87" s="248"/>
      <c r="L87" s="248"/>
      <c r="M87" s="2446"/>
    </row>
    <row r="88" spans="2:13">
      <c r="B88" s="2450" t="s">
        <v>2589</v>
      </c>
      <c r="C88" s="323" t="s">
        <v>2597</v>
      </c>
      <c r="D88" s="248"/>
      <c r="E88" s="248"/>
      <c r="F88" s="248"/>
      <c r="G88" s="248"/>
      <c r="H88" s="248"/>
      <c r="I88" s="248"/>
      <c r="J88" s="248"/>
      <c r="K88" s="248"/>
      <c r="L88" s="248"/>
      <c r="M88" s="2446"/>
    </row>
    <row r="89" spans="2:13">
      <c r="B89" s="2450"/>
      <c r="C89" s="248"/>
      <c r="D89" s="248"/>
      <c r="E89" s="248"/>
      <c r="F89" s="248"/>
      <c r="G89" s="248"/>
      <c r="H89" s="248"/>
      <c r="I89" s="248"/>
      <c r="J89" s="248"/>
      <c r="K89" s="248"/>
      <c r="L89" s="248"/>
      <c r="M89" s="2446"/>
    </row>
    <row r="90" spans="2:13">
      <c r="B90" s="2450" t="s">
        <v>2590</v>
      </c>
      <c r="C90" s="323" t="s">
        <v>2598</v>
      </c>
      <c r="D90" s="248"/>
      <c r="E90" s="248"/>
      <c r="F90" s="248"/>
      <c r="G90" s="248"/>
      <c r="H90" s="248"/>
      <c r="I90" s="248"/>
      <c r="J90" s="248"/>
      <c r="K90" s="248"/>
      <c r="L90" s="248"/>
      <c r="M90" s="2446"/>
    </row>
    <row r="91" spans="2:13">
      <c r="B91" s="2450"/>
      <c r="C91" s="248"/>
      <c r="D91" s="248"/>
      <c r="E91" s="248"/>
      <c r="F91" s="248"/>
      <c r="G91" s="248"/>
      <c r="H91" s="248"/>
      <c r="I91" s="248"/>
      <c r="J91" s="248"/>
      <c r="K91" s="248"/>
      <c r="L91" s="248"/>
      <c r="M91" s="2446"/>
    </row>
    <row r="92" spans="2:13">
      <c r="B92" s="2445"/>
      <c r="C92" s="248"/>
      <c r="D92" s="248"/>
      <c r="E92" s="248"/>
      <c r="F92" s="248"/>
      <c r="G92" s="248"/>
      <c r="H92" s="248"/>
      <c r="I92" s="248"/>
      <c r="J92" s="248"/>
      <c r="K92" s="248"/>
      <c r="L92" s="248"/>
      <c r="M92" s="2446"/>
    </row>
    <row r="93" spans="2:13">
      <c r="B93" s="2447"/>
      <c r="C93" s="2448"/>
      <c r="D93" s="2448"/>
      <c r="E93" s="2448"/>
      <c r="F93" s="2448"/>
      <c r="G93" s="2448"/>
      <c r="H93" s="2448"/>
      <c r="I93" s="2448"/>
      <c r="J93" s="2448"/>
      <c r="K93" s="2448"/>
      <c r="L93" s="2448"/>
      <c r="M93" s="2449"/>
    </row>
  </sheetData>
  <phoneticPr fontId="7" type="noConversion"/>
  <pageMargins left="0.75" right="0.75" top="1.25" bottom="1" header="0.5" footer="0.5"/>
  <pageSetup paperSize="9" scale="72" orientation="portrait" r:id="rId1"/>
  <headerFooter alignWithMargins="0">
    <oddHeader>&amp;L&amp;"Arial"&amp;14&amp;BBeregningsmodel
&amp;"Arial"&amp;08&amp;B64329, Teknologivurdering af alternative drivmidler til transportsektoren&amp;R&amp;"Arial"&amp;08Page &amp;P of &amp;N</oddHeader>
    <oddFooter>&amp;L&amp;"Arial"&amp;08&amp;Z&amp;F
Sheet: &amp;A&amp;C&amp;"Arial"&amp;08Printed &amp;D &amp;T&amp;R&amp;G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457" r:id="rId5" name="Button 1">
              <controlPr defaultSize="0" print="0" autoFill="0" autoPict="0" macro="[0]!GtOver">
                <anchor moveWithCells="1" sizeWithCells="1">
                  <from>
                    <xdr:col>4</xdr:col>
                    <xdr:colOff>390525</xdr:colOff>
                    <xdr:row>0</xdr:row>
                    <xdr:rowOff>38100</xdr:rowOff>
                  </from>
                  <to>
                    <xdr:col>6</xdr:col>
                    <xdr:colOff>333375</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indexed="9"/>
    <pageSetUpPr fitToPage="1"/>
  </sheetPr>
  <dimension ref="B1:Q105"/>
  <sheetViews>
    <sheetView topLeftCell="A19" zoomScale="80" zoomScaleNormal="80" workbookViewId="0">
      <selection activeCell="J10" sqref="J10"/>
    </sheetView>
  </sheetViews>
  <sheetFormatPr defaultColWidth="10.7109375" defaultRowHeight="12.75"/>
  <cols>
    <col min="1" max="1" width="3.28515625" style="15" customWidth="1"/>
    <col min="2" max="16384" width="10.7109375" style="15"/>
  </cols>
  <sheetData>
    <row r="1" spans="2:17" s="465" customFormat="1" ht="21">
      <c r="B1" s="465" t="s">
        <v>101</v>
      </c>
      <c r="M1" s="2397"/>
      <c r="N1" s="2397"/>
      <c r="O1" s="2397"/>
      <c r="Q1" s="468"/>
    </row>
    <row r="3" spans="2:17">
      <c r="O3" s="16"/>
      <c r="P3" s="17"/>
    </row>
    <row r="4" spans="2:17">
      <c r="O4" s="16"/>
      <c r="P4" s="17"/>
    </row>
    <row r="5" spans="2:17">
      <c r="O5" s="16"/>
      <c r="P5" s="17"/>
    </row>
    <row r="6" spans="2:17" s="2398" customFormat="1" ht="17.25">
      <c r="B6" s="2398" t="s">
        <v>102</v>
      </c>
    </row>
    <row r="7" spans="2:17">
      <c r="O7" s="16"/>
      <c r="P7" s="17"/>
    </row>
    <row r="8" spans="2:17">
      <c r="K8" s="18"/>
    </row>
    <row r="9" spans="2:17">
      <c r="K9" s="18"/>
      <c r="M9" s="19"/>
    </row>
    <row r="11" spans="2:17">
      <c r="E11" s="557" t="s">
        <v>2382</v>
      </c>
      <c r="F11" s="1240"/>
      <c r="G11" s="1240"/>
      <c r="I11" s="557" t="s">
        <v>2381</v>
      </c>
      <c r="J11" s="1240"/>
      <c r="K11" s="18"/>
      <c r="L11" s="557" t="s">
        <v>2383</v>
      </c>
      <c r="M11" s="530"/>
    </row>
    <row r="12" spans="2:17">
      <c r="E12" s="1240"/>
      <c r="F12" s="1240"/>
      <c r="G12" s="1240"/>
      <c r="I12" s="1240"/>
      <c r="J12" s="1240"/>
      <c r="K12" s="18"/>
      <c r="L12" s="530"/>
      <c r="M12" s="530"/>
    </row>
    <row r="13" spans="2:17">
      <c r="E13" s="1240"/>
      <c r="F13" s="1240"/>
      <c r="G13" s="1240"/>
      <c r="I13" s="1240"/>
      <c r="J13" s="1240"/>
      <c r="K13" s="18"/>
      <c r="L13" s="530"/>
      <c r="M13" s="530"/>
      <c r="N13" s="18"/>
    </row>
    <row r="14" spans="2:17">
      <c r="E14" s="1240"/>
      <c r="F14" s="1240"/>
      <c r="G14" s="1240"/>
      <c r="I14" s="1240"/>
      <c r="J14" s="1240"/>
      <c r="L14" s="530"/>
      <c r="M14" s="530"/>
    </row>
    <row r="15" spans="2:17">
      <c r="E15" s="1240"/>
      <c r="F15" s="1240"/>
      <c r="G15" s="1240"/>
      <c r="I15" s="1240"/>
      <c r="J15" s="1240"/>
      <c r="L15" s="530"/>
      <c r="M15" s="530"/>
    </row>
    <row r="16" spans="2:17">
      <c r="E16" s="1240"/>
      <c r="F16" s="1240"/>
      <c r="G16" s="1240"/>
      <c r="I16" s="1240"/>
      <c r="J16" s="1240"/>
      <c r="L16" s="530"/>
      <c r="M16" s="530"/>
    </row>
    <row r="17" spans="5:13">
      <c r="E17" s="1240"/>
      <c r="F17" s="1240"/>
      <c r="G17" s="1240"/>
      <c r="I17" s="1240"/>
      <c r="J17" s="1240"/>
      <c r="K17" s="18"/>
      <c r="L17" s="530"/>
      <c r="M17" s="530"/>
    </row>
    <row r="18" spans="5:13">
      <c r="E18" s="1240"/>
      <c r="F18" s="1240"/>
      <c r="G18" s="1240"/>
      <c r="I18" s="1240"/>
      <c r="J18" s="1240"/>
      <c r="L18" s="530"/>
      <c r="M18" s="530"/>
    </row>
    <row r="19" spans="5:13">
      <c r="E19" s="1240"/>
      <c r="F19" s="1240"/>
      <c r="G19" s="1240"/>
      <c r="I19" s="1240"/>
      <c r="J19" s="1240"/>
      <c r="L19" s="530"/>
      <c r="M19" s="530"/>
    </row>
    <row r="20" spans="5:13">
      <c r="E20" s="1240"/>
      <c r="F20" s="1240"/>
      <c r="G20" s="1240"/>
      <c r="I20" s="1240"/>
      <c r="J20" s="1240"/>
      <c r="K20" s="18"/>
      <c r="L20" s="530"/>
      <c r="M20" s="530"/>
    </row>
    <row r="21" spans="5:13">
      <c r="E21" s="1240"/>
      <c r="F21" s="1240"/>
      <c r="G21" s="1240"/>
      <c r="K21" s="18"/>
      <c r="L21" s="530"/>
      <c r="M21" s="530"/>
    </row>
    <row r="22" spans="5:13">
      <c r="E22" s="1240"/>
      <c r="F22" s="1240"/>
      <c r="G22" s="1240"/>
      <c r="I22" s="234" t="s">
        <v>2380</v>
      </c>
      <c r="J22" s="1240"/>
      <c r="K22" s="18"/>
      <c r="L22" s="530"/>
      <c r="M22" s="393"/>
    </row>
    <row r="23" spans="5:13">
      <c r="E23" s="1240"/>
      <c r="F23" s="1240"/>
      <c r="G23" s="1240"/>
      <c r="I23" s="393"/>
      <c r="J23" s="1240"/>
      <c r="K23" s="18"/>
    </row>
    <row r="24" spans="5:13">
      <c r="E24" s="1240"/>
      <c r="F24" s="1240"/>
      <c r="G24" s="1240"/>
      <c r="I24" s="393"/>
      <c r="J24" s="1240"/>
      <c r="K24" s="18"/>
    </row>
    <row r="25" spans="5:13">
      <c r="E25" s="1240"/>
      <c r="F25" s="1240"/>
      <c r="G25" s="1240"/>
      <c r="I25" s="393"/>
      <c r="J25" s="1240"/>
      <c r="K25" s="18"/>
    </row>
    <row r="26" spans="5:13">
      <c r="E26" s="1240"/>
      <c r="F26" s="1240"/>
      <c r="G26" s="1240"/>
      <c r="I26" s="393"/>
      <c r="J26" s="1240"/>
      <c r="K26" s="18"/>
    </row>
    <row r="27" spans="5:13">
      <c r="E27" s="1240"/>
      <c r="F27" s="1240"/>
      <c r="G27" s="1240"/>
      <c r="I27" s="393"/>
      <c r="J27" s="1240"/>
      <c r="K27" s="18"/>
    </row>
    <row r="28" spans="5:13">
      <c r="E28" s="1240"/>
      <c r="F28" s="1240"/>
      <c r="G28" s="1240"/>
      <c r="I28" s="1240"/>
      <c r="J28" s="1240"/>
      <c r="K28" s="18"/>
    </row>
    <row r="29" spans="5:13">
      <c r="E29" s="1240"/>
      <c r="F29" s="1240"/>
      <c r="G29" s="1240"/>
      <c r="I29" s="1240"/>
      <c r="J29" s="1240"/>
      <c r="K29" s="18"/>
    </row>
    <row r="30" spans="5:13">
      <c r="E30" s="1240"/>
      <c r="F30" s="1240"/>
      <c r="G30" s="1240"/>
      <c r="H30" s="1447"/>
      <c r="I30" s="1240"/>
      <c r="J30" s="1240"/>
      <c r="K30" s="406"/>
    </row>
    <row r="31" spans="5:13">
      <c r="E31" s="1240"/>
      <c r="F31" s="1240"/>
      <c r="G31" s="1240"/>
      <c r="H31" s="1447"/>
      <c r="I31" s="1240"/>
      <c r="J31" s="1240"/>
      <c r="K31" s="406"/>
    </row>
    <row r="32" spans="5:13" s="1447" customFormat="1">
      <c r="E32" s="1240"/>
      <c r="F32" s="1240"/>
      <c r="G32" s="1240"/>
      <c r="I32" s="1240"/>
      <c r="J32" s="1240"/>
      <c r="K32" s="406"/>
    </row>
    <row r="33" spans="2:13" s="1447" customFormat="1">
      <c r="I33" s="1240"/>
      <c r="J33" s="1240"/>
      <c r="K33" s="406"/>
    </row>
    <row r="34" spans="2:13" s="1447" customFormat="1">
      <c r="I34" s="1240"/>
      <c r="J34" s="1240"/>
      <c r="K34" s="406"/>
    </row>
    <row r="35" spans="2:13" s="1447" customFormat="1">
      <c r="I35" s="1240"/>
      <c r="J35" s="1240"/>
      <c r="K35" s="406"/>
    </row>
    <row r="36" spans="2:13" s="1447" customFormat="1">
      <c r="I36" s="1240"/>
      <c r="J36" s="1240"/>
      <c r="K36" s="406"/>
    </row>
    <row r="37" spans="2:13" s="1447" customFormat="1">
      <c r="K37" s="406"/>
    </row>
    <row r="38" spans="2:13" s="1447" customFormat="1"/>
    <row r="39" spans="2:13" s="1447" customFormat="1"/>
    <row r="40" spans="2:13" s="1447" customFormat="1">
      <c r="M40" s="406"/>
    </row>
    <row r="41" spans="2:13" s="1447" customFormat="1">
      <c r="M41" s="406"/>
    </row>
    <row r="42" spans="2:13" s="1447" customFormat="1">
      <c r="M42" s="406"/>
    </row>
    <row r="43" spans="2:13" s="1447" customFormat="1">
      <c r="M43" s="406"/>
    </row>
    <row r="44" spans="2:13" s="1447" customFormat="1">
      <c r="M44" s="406"/>
    </row>
    <row r="45" spans="2:13">
      <c r="M45" s="18"/>
    </row>
    <row r="46" spans="2:13" s="2398" customFormat="1" ht="17.25">
      <c r="B46" s="2398" t="s">
        <v>103</v>
      </c>
    </row>
    <row r="47" spans="2:13">
      <c r="M47" s="18"/>
    </row>
    <row r="48" spans="2:13">
      <c r="B48" s="18" t="s">
        <v>470</v>
      </c>
    </row>
    <row r="49" spans="2:14">
      <c r="B49" s="18" t="s">
        <v>471</v>
      </c>
    </row>
    <row r="50" spans="2:14">
      <c r="M50" s="19"/>
    </row>
    <row r="52" spans="2:14">
      <c r="M52" s="18"/>
    </row>
    <row r="53" spans="2:14" ht="13.5" thickBot="1">
      <c r="B53" s="19" t="s">
        <v>472</v>
      </c>
      <c r="G53" s="19" t="s">
        <v>473</v>
      </c>
      <c r="L53" s="19" t="s">
        <v>474</v>
      </c>
      <c r="M53" s="18"/>
    </row>
    <row r="54" spans="2:14">
      <c r="B54" s="2217" t="s">
        <v>1467</v>
      </c>
      <c r="C54" s="2218"/>
      <c r="D54" s="2219"/>
      <c r="G54" s="2226" t="s">
        <v>1998</v>
      </c>
      <c r="H54" s="2227"/>
      <c r="I54" s="2228"/>
      <c r="L54" s="2244" t="s">
        <v>290</v>
      </c>
      <c r="M54" s="2238"/>
      <c r="N54" s="2239"/>
    </row>
    <row r="55" spans="2:14">
      <c r="B55" s="2220" t="s">
        <v>1468</v>
      </c>
      <c r="C55" s="2221"/>
      <c r="D55" s="2222"/>
      <c r="G55" s="2229" t="s">
        <v>382</v>
      </c>
      <c r="H55" s="2230"/>
      <c r="I55" s="2231"/>
      <c r="L55" s="2245" t="s">
        <v>86</v>
      </c>
      <c r="M55" s="2240"/>
      <c r="N55" s="2241"/>
    </row>
    <row r="56" spans="2:14">
      <c r="B56" s="2220" t="s">
        <v>1469</v>
      </c>
      <c r="C56" s="2223"/>
      <c r="D56" s="2222"/>
      <c r="G56" s="2229" t="s">
        <v>383</v>
      </c>
      <c r="H56" s="1705"/>
      <c r="I56" s="2231"/>
      <c r="L56" s="2245" t="s">
        <v>294</v>
      </c>
      <c r="M56" s="2242"/>
      <c r="N56" s="2241"/>
    </row>
    <row r="57" spans="2:14">
      <c r="B57" s="2220" t="s">
        <v>1470</v>
      </c>
      <c r="C57" s="2223"/>
      <c r="D57" s="2222"/>
      <c r="G57" s="2229" t="s">
        <v>677</v>
      </c>
      <c r="H57" s="1705"/>
      <c r="I57" s="2231"/>
      <c r="L57" s="2245" t="s">
        <v>295</v>
      </c>
      <c r="M57" s="2242"/>
      <c r="N57" s="2241"/>
    </row>
    <row r="58" spans="2:14">
      <c r="B58" s="2220" t="s">
        <v>1471</v>
      </c>
      <c r="C58" s="2224"/>
      <c r="D58" s="2222"/>
      <c r="G58" s="2229" t="s">
        <v>555</v>
      </c>
      <c r="H58" s="2232"/>
      <c r="I58" s="2231"/>
      <c r="L58" s="2245" t="s">
        <v>296</v>
      </c>
      <c r="M58" s="2243"/>
      <c r="N58" s="2241"/>
    </row>
    <row r="59" spans="2:14">
      <c r="B59" s="2220" t="s">
        <v>1472</v>
      </c>
      <c r="C59" s="2221"/>
      <c r="D59" s="2222"/>
      <c r="G59" s="2229" t="s">
        <v>1913</v>
      </c>
      <c r="H59" s="2230"/>
      <c r="I59" s="2231"/>
      <c r="L59" s="2245" t="s">
        <v>297</v>
      </c>
      <c r="M59" s="2240"/>
      <c r="N59" s="2241"/>
    </row>
    <row r="60" spans="2:14">
      <c r="B60" s="2220" t="s">
        <v>1473</v>
      </c>
      <c r="C60" s="2221"/>
      <c r="D60" s="2222"/>
      <c r="G60" s="2229" t="s">
        <v>361</v>
      </c>
      <c r="H60" s="2230"/>
      <c r="I60" s="2231"/>
      <c r="L60" s="2245" t="s">
        <v>667</v>
      </c>
      <c r="M60" s="2240"/>
      <c r="N60" s="2241"/>
    </row>
    <row r="61" spans="2:14">
      <c r="B61" s="2220" t="s">
        <v>1474</v>
      </c>
      <c r="C61" s="2221"/>
      <c r="D61" s="2222"/>
      <c r="G61" s="2233" t="s">
        <v>1485</v>
      </c>
      <c r="H61" s="2230"/>
      <c r="I61" s="2231"/>
      <c r="L61" s="2245" t="s">
        <v>276</v>
      </c>
      <c r="M61" s="2240"/>
      <c r="N61" s="2241"/>
    </row>
    <row r="62" spans="2:14">
      <c r="B62" s="2220" t="s">
        <v>1475</v>
      </c>
      <c r="C62" s="2223"/>
      <c r="D62" s="2222"/>
      <c r="G62" s="2234"/>
      <c r="H62" s="1705"/>
      <c r="I62" s="2231"/>
      <c r="L62" s="2245" t="s">
        <v>72</v>
      </c>
      <c r="M62" s="2242"/>
      <c r="N62" s="2241"/>
    </row>
    <row r="63" spans="2:14">
      <c r="B63" s="2220" t="s">
        <v>1476</v>
      </c>
      <c r="C63" s="2221"/>
      <c r="D63" s="2222"/>
      <c r="G63" s="2234"/>
      <c r="H63" s="2230"/>
      <c r="I63" s="2231"/>
      <c r="L63" s="2245" t="s">
        <v>466</v>
      </c>
      <c r="M63" s="2240"/>
      <c r="N63" s="2241"/>
    </row>
    <row r="64" spans="2:14">
      <c r="B64" s="2220" t="s">
        <v>1477</v>
      </c>
      <c r="C64" s="2223"/>
      <c r="D64" s="2222"/>
      <c r="G64" s="2234"/>
      <c r="H64" s="1705"/>
      <c r="I64" s="2231"/>
      <c r="L64" s="2245" t="s">
        <v>605</v>
      </c>
      <c r="M64" s="2242"/>
      <c r="N64" s="2241"/>
    </row>
    <row r="65" spans="2:14">
      <c r="B65" s="2225" t="s">
        <v>1478</v>
      </c>
      <c r="C65" s="2221"/>
      <c r="D65" s="2222"/>
      <c r="G65" s="2234"/>
      <c r="H65" s="2230"/>
      <c r="I65" s="2231"/>
      <c r="L65" s="2245" t="s">
        <v>642</v>
      </c>
      <c r="M65" s="2240"/>
      <c r="N65" s="2241"/>
    </row>
    <row r="66" spans="2:14">
      <c r="B66" s="2225" t="s">
        <v>1479</v>
      </c>
      <c r="C66" s="2223"/>
      <c r="D66" s="2222"/>
      <c r="G66" s="2234"/>
      <c r="H66" s="1705"/>
      <c r="I66" s="2231"/>
      <c r="L66" s="2245" t="s">
        <v>656</v>
      </c>
      <c r="M66" s="2242"/>
      <c r="N66" s="2241"/>
    </row>
    <row r="67" spans="2:14">
      <c r="B67" s="2225" t="s">
        <v>1480</v>
      </c>
      <c r="C67" s="2221"/>
      <c r="D67" s="2222"/>
      <c r="G67" s="2234"/>
      <c r="H67" s="2230"/>
      <c r="I67" s="2231"/>
      <c r="L67" s="2245" t="s">
        <v>639</v>
      </c>
      <c r="M67" s="2240"/>
      <c r="N67" s="2241"/>
    </row>
    <row r="68" spans="2:14">
      <c r="B68" s="2225" t="s">
        <v>1481</v>
      </c>
      <c r="C68" s="2223"/>
      <c r="D68" s="2222"/>
      <c r="G68" s="2234"/>
      <c r="H68" s="1705"/>
      <c r="I68" s="2231"/>
      <c r="L68" s="2245" t="s">
        <v>640</v>
      </c>
      <c r="M68" s="2242"/>
      <c r="N68" s="2241"/>
    </row>
    <row r="69" spans="2:14">
      <c r="B69" s="2225" t="s">
        <v>1482</v>
      </c>
      <c r="C69" s="2221"/>
      <c r="D69" s="2222"/>
      <c r="G69" s="2234"/>
      <c r="H69" s="2230"/>
      <c r="I69" s="2231"/>
      <c r="L69" s="2246" t="s">
        <v>1646</v>
      </c>
      <c r="M69" s="2240"/>
      <c r="N69" s="2241"/>
    </row>
    <row r="70" spans="2:14">
      <c r="B70" s="2225" t="s">
        <v>1483</v>
      </c>
      <c r="C70" s="2221"/>
      <c r="D70" s="2222"/>
      <c r="G70" s="2234"/>
      <c r="H70" s="2230"/>
      <c r="I70" s="2231"/>
      <c r="L70" s="2246" t="s">
        <v>1649</v>
      </c>
      <c r="M70" s="2240"/>
      <c r="N70" s="2241"/>
    </row>
    <row r="71" spans="2:14" ht="13.5" thickBot="1">
      <c r="B71" s="2225" t="s">
        <v>2062</v>
      </c>
      <c r="C71" s="2221"/>
      <c r="D71" s="2222"/>
      <c r="G71" s="2235"/>
      <c r="H71" s="2236"/>
      <c r="I71" s="2237"/>
      <c r="L71" s="2246" t="s">
        <v>1982</v>
      </c>
      <c r="M71" s="2240"/>
      <c r="N71" s="2241"/>
    </row>
    <row r="72" spans="2:14">
      <c r="B72" s="2225" t="s">
        <v>2063</v>
      </c>
      <c r="C72" s="2221"/>
      <c r="D72" s="2222"/>
      <c r="L72" s="2246" t="s">
        <v>2093</v>
      </c>
      <c r="M72" s="2240"/>
      <c r="N72" s="2241"/>
    </row>
    <row r="73" spans="2:14">
      <c r="B73" s="2225" t="s">
        <v>2064</v>
      </c>
      <c r="C73" s="2221"/>
      <c r="D73" s="2222"/>
      <c r="L73" s="2246" t="s">
        <v>1606</v>
      </c>
      <c r="M73" s="2240"/>
      <c r="N73" s="2241"/>
    </row>
    <row r="74" spans="2:14">
      <c r="B74" s="2225" t="s">
        <v>1574</v>
      </c>
      <c r="C74" s="2221"/>
      <c r="D74" s="2222"/>
      <c r="L74" s="2246" t="s">
        <v>1978</v>
      </c>
      <c r="M74" s="2240"/>
      <c r="N74" s="2241"/>
    </row>
    <row r="75" spans="2:14">
      <c r="B75" s="2225" t="s">
        <v>80</v>
      </c>
      <c r="C75" s="2221"/>
      <c r="D75" s="2222"/>
      <c r="L75" s="2246" t="s">
        <v>1979</v>
      </c>
      <c r="M75" s="2240"/>
      <c r="N75" s="2241"/>
    </row>
    <row r="76" spans="2:14">
      <c r="B76" s="2225" t="s">
        <v>79</v>
      </c>
      <c r="C76" s="2221"/>
      <c r="D76" s="2222"/>
      <c r="L76" s="2246" t="s">
        <v>1980</v>
      </c>
      <c r="M76" s="2240"/>
      <c r="N76" s="2241"/>
    </row>
    <row r="77" spans="2:14">
      <c r="B77" s="2225" t="s">
        <v>2</v>
      </c>
      <c r="C77" s="2221"/>
      <c r="D77" s="2222"/>
      <c r="L77" s="2246" t="s">
        <v>1981</v>
      </c>
      <c r="M77" s="2240"/>
      <c r="N77" s="2241"/>
    </row>
    <row r="78" spans="2:14">
      <c r="B78" s="2225" t="s">
        <v>1</v>
      </c>
      <c r="C78" s="2221"/>
      <c r="D78" s="2222"/>
      <c r="M78" s="18"/>
    </row>
    <row r="79" spans="2:14">
      <c r="B79" s="2225" t="s">
        <v>1437</v>
      </c>
      <c r="C79" s="2221"/>
      <c r="D79" s="2222"/>
      <c r="M79" s="18"/>
    </row>
    <row r="80" spans="2:14">
      <c r="B80" s="2225" t="s">
        <v>1484</v>
      </c>
      <c r="C80" s="2221"/>
      <c r="D80" s="2222"/>
      <c r="M80" s="18"/>
    </row>
    <row r="81" spans="2:14">
      <c r="B81" s="2225" t="s">
        <v>353</v>
      </c>
      <c r="C81" s="2221"/>
      <c r="D81" s="2222"/>
      <c r="M81" s="18"/>
    </row>
    <row r="82" spans="2:14">
      <c r="B82" s="2225"/>
      <c r="C82" s="2221"/>
      <c r="D82" s="2222"/>
    </row>
    <row r="83" spans="2:14">
      <c r="M83" s="18"/>
    </row>
    <row r="86" spans="2:14">
      <c r="M86" s="19"/>
      <c r="N86" s="18"/>
    </row>
    <row r="94" spans="2:14">
      <c r="M94" s="19"/>
    </row>
    <row r="97" spans="5:14">
      <c r="M97" s="19"/>
    </row>
    <row r="100" spans="5:14">
      <c r="E100" s="18"/>
      <c r="F100" s="18"/>
    </row>
    <row r="105" spans="5:14">
      <c r="M105" s="18"/>
      <c r="N105" s="18"/>
    </row>
  </sheetData>
  <phoneticPr fontId="9" type="noConversion"/>
  <hyperlinks>
    <hyperlink ref="B54" location="'(FORCE 1) Bio-Methanol'!A1" display="(FORCE 1) Bio-Methanol"/>
    <hyperlink ref="G54" location="'tog-elektricitet'!A1" display="tog-elektricitet"/>
    <hyperlink ref="G55" location="'Elektrolyse og komprimering'!A1" display="Elektrolyse og komprimering"/>
    <hyperlink ref="G56" location="Ladestation!A1" display="Ladestation"/>
    <hyperlink ref="G57" location="'Ladestation Hybrid'!A1" display="Ladestation Hybrid"/>
    <hyperlink ref="G58" location="Importspor!A1" display="Importspor"/>
    <hyperlink ref="G59" location="LNG!A1" display="LNG"/>
    <hyperlink ref="L63" location="'Lastbil DME'!A1" display="Lastbil DME"/>
    <hyperlink ref="L62" location="Lastbil!A1" display="Lastbil"/>
    <hyperlink ref="L61" location="Elmotor!A1" display="Elmotor"/>
    <hyperlink ref="L60" location="'Plugin Hybrid'!A1" display="Plugin Hybrid"/>
    <hyperlink ref="L59" location="'Brændselscelle, meth motor'!A1" display="Brændselscelle, meth motor"/>
    <hyperlink ref="L58" location="'Brændselscelle, brint motor'!A1" display="Brændselscelle, brint motor"/>
    <hyperlink ref="L57" location="'Tilpasset Otto motor'!A1" display="Tilpasset Otto motor"/>
    <hyperlink ref="L56" location="'Diesel motor DME'!A1" display="Diesel motor DME"/>
    <hyperlink ref="L55" location="'Std diesel motor'!A1" display="Std diesel motor"/>
    <hyperlink ref="L54" location="'Std benzin motor'!A1" display="Std benzin motor"/>
    <hyperlink ref="L64" location="'Lastbil RME'!A1" display="Lastbil RME"/>
    <hyperlink ref="G60" location="'Naturgas komprimering'!A1" display="Naturgas komprimering"/>
    <hyperlink ref="B55" location="'(FORCE 2) ETL-Methanol'!A1" display="(FORCE 2) ETL-Methanol"/>
    <hyperlink ref="B56" location="'(FORCE 3) 1G ethanol'!A1" display="(FORCE 3) 1G ethanol"/>
    <hyperlink ref="B57" location="'(FORCE 4) 2G ethanol'!A1" display="(FORCE 4) 2G ethanol"/>
    <hyperlink ref="B58" location="'(FORCE 5) 1G diesel'!A1" display="(FORCE 5) 1G diesel"/>
    <hyperlink ref="B59" location="'(FORCE 6) 1G HVO DIESEL'!A1" display="(FORCE 6) 1G HVO DIESEL"/>
    <hyperlink ref="B60" location="'(FORCE 7) 2G diesel'!A1" display="(FORCE 7) 2G diesel"/>
    <hyperlink ref="B61" location="'(FORCE 8)  Diesel - MOGD'!A1" display="(FORCE 8)  Diesel - MOGD"/>
    <hyperlink ref="B62" location="'(FORCE 9) Bio-DME '!A1" display="(FORCE 9) Bio-DME "/>
    <hyperlink ref="B63" location="'(FORCE 10) SNG-gasification'!A1" display="(FORCE 10) SNG-gasification"/>
    <hyperlink ref="B64" location="'(FORCE 11) 2G Kerosene'!A1" display="(FORCE 11) 2G Kerosene"/>
    <hyperlink ref="B65" location="'(FORCE 12) Torrefied wood'!A1" display="(FORCE 12) Torrefied wood"/>
    <hyperlink ref="B66" location="'(FORCE 13) Bio-Liquid'!A1" display="(FORCE 13) Bio-Liquid"/>
    <hyperlink ref="B67" location="'(FORCE 14) 2G bio-ethanol'!A1" display="(FORCE 14) 2G bio-ethanol"/>
    <hyperlink ref="B68" location="'(FORCE 15) Ethanol+Biogas'!A1" display="(FORCE 15) Ethanol+Biogas"/>
    <hyperlink ref="B69" location="'(FORCE 16) 2G Diesel'!A1" display="(FORCE 16) 2G Diesel"/>
    <hyperlink ref="B70" location="'(FORCE 17) SNG-biogas'!A1" display="(FORCE 17) SNG-biogas"/>
    <hyperlink ref="B71" location="'(FORCE 18) Bio Jetfuel'!A1" display="(FORCE 18) Bio Jetfuel"/>
    <hyperlink ref="B72" location="'(FORCE 19) RME Rapeseed'!A1" display="(FORCE 19) RME Rapeseed"/>
    <hyperlink ref="B73" location="'(FORCE 20) Ethanol SugarBeet'!A1" display="(FORCE 20) Ethanol SugarBeet"/>
    <hyperlink ref="B74" location="'Biogas ENS'!A1" display="Biogas ENS"/>
    <hyperlink ref="B75" location="'brint-elektricitet'!A1" display="brint-elektricitet"/>
    <hyperlink ref="B76" location="'oplade-elektricitet'!A1" display="oplade-elektricitet"/>
    <hyperlink ref="B77" location="Diesel!A1" display="Diesel"/>
    <hyperlink ref="B78" location="Benzin!A1" display="Benzin"/>
    <hyperlink ref="B79" location="HFO!A1" display="HFO"/>
    <hyperlink ref="B80" location="'Jet Fuel'!A1" display="Jet Fuel"/>
    <hyperlink ref="B81" location="'Naturgas raffinering'!A1" display="Naturgas raffinering"/>
    <hyperlink ref="G61" location="'Ingen mellem'!A1" display="Ingen mellem"/>
    <hyperlink ref="L65" location="'Lastbil Gas'!A1" display="Lastbil Gas"/>
    <hyperlink ref="L66" location="Bus!A1" display="Bus"/>
    <hyperlink ref="L67" location="'Bus Gas'!A1" display="Bus Gas"/>
    <hyperlink ref="L68" location="'Bus Hybrid'!A1" display="Bus Hybrid"/>
    <hyperlink ref="L69" location="'9000 TEU HFO'!A1" display="9000 TEU HFO"/>
    <hyperlink ref="L70" location="'9000 TEU Diesel'!A1" display="9000 TEU Diesel"/>
    <hyperlink ref="L71" location="'9000 TEU Dual fuel'!A1" display="9000 TEU Dual fuel"/>
    <hyperlink ref="L72" location="'Katamaran ferry'!A1" display="Katamaran ferry"/>
    <hyperlink ref="L73" location="'SAS avg. airplane'!A1" display="SAS avg. airplane"/>
    <hyperlink ref="L74" location="'Diesel IC-reg.tog'!A1" display="Diesel IC-reg.tog"/>
    <hyperlink ref="L75" location="'Diesel Lokaltog'!A1" display="Diesel Lokaltog"/>
    <hyperlink ref="L76" location="'Gas Lokaltog'!A1" display="Gas Lokaltog"/>
    <hyperlink ref="L77" location="'El IC-reg.tog'!A1" display="El IC-reg.tog"/>
  </hyperlinks>
  <pageMargins left="0.35433070866141736" right="0.35433070866141736" top="1.25" bottom="0.59055118110236227" header="0.51181102362204722" footer="0.51181102362204722"/>
  <pageSetup paperSize="9" scale="91" orientation="portrait" r:id="rId1"/>
  <headerFooter alignWithMargins="0">
    <oddHeader>&amp;L&amp;"Arial"&amp;14&amp;BBeregningsmodel
&amp;"Arial"&amp;08&amp;B64329, Teknologivurdering af alternative drivmidler til transportsektoren&amp;R&amp;"Arial"&amp;08Page &amp;P of &amp;N</oddHeader>
    <oddFooter>&amp;L&amp;"Arial"&amp;08&amp;Z&amp;F
Sheet: &amp;A&amp;C&amp;"Arial"&amp;08Printed &amp;D &amp;T&amp;R&amp;G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8436" r:id="rId5" name="Button 4">
              <controlPr defaultSize="0" autoFill="0" autoPict="0" macro="[0]!GtInt">
                <anchor moveWithCells="1" sizeWithCells="1">
                  <from>
                    <xdr:col>3</xdr:col>
                    <xdr:colOff>352425</xdr:colOff>
                    <xdr:row>1</xdr:row>
                    <xdr:rowOff>114300</xdr:rowOff>
                  </from>
                  <to>
                    <xdr:col>5</xdr:col>
                    <xdr:colOff>180975</xdr:colOff>
                    <xdr:row>3</xdr:row>
                    <xdr:rowOff>38100</xdr:rowOff>
                  </to>
                </anchor>
              </controlPr>
            </control>
          </mc:Choice>
        </mc:AlternateContent>
        <mc:AlternateContent xmlns:mc="http://schemas.openxmlformats.org/markup-compatibility/2006">
          <mc:Choice Requires="x14">
            <control shapeId="18455" r:id="rId6" name="Button 23">
              <controlPr defaultSize="0" autoFill="0" autoPict="0" macro="[0]!GtRefe">
                <anchor moveWithCells="1" sizeWithCells="1">
                  <from>
                    <xdr:col>5</xdr:col>
                    <xdr:colOff>361950</xdr:colOff>
                    <xdr:row>1</xdr:row>
                    <xdr:rowOff>104775</xdr:rowOff>
                  </from>
                  <to>
                    <xdr:col>7</xdr:col>
                    <xdr:colOff>190500</xdr:colOff>
                    <xdr:row>3</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8" tint="0.39997558519241921"/>
    <pageSetUpPr fitToPage="1"/>
  </sheetPr>
  <dimension ref="A1:N81"/>
  <sheetViews>
    <sheetView topLeftCell="A25" zoomScale="80" zoomScaleNormal="80" workbookViewId="0">
      <selection activeCell="C40" sqref="C40"/>
    </sheetView>
  </sheetViews>
  <sheetFormatPr defaultRowHeight="12.75"/>
  <cols>
    <col min="1" max="1" width="9.140625" style="58"/>
    <col min="2" max="2" width="167.85546875" style="58" customWidth="1"/>
    <col min="3" max="3" width="11.140625" style="58" customWidth="1"/>
    <col min="4" max="16384" width="9.140625" style="58"/>
  </cols>
  <sheetData>
    <row r="1" spans="1:6" s="465" customFormat="1" ht="21">
      <c r="A1" s="465" t="s">
        <v>124</v>
      </c>
    </row>
    <row r="5" spans="1:6" ht="13.5" thickBot="1"/>
    <row r="6" spans="1:6">
      <c r="B6" s="827" t="str">
        <f>CONCATENATE(D6,", ",C6)</f>
        <v>Nr. , Reference</v>
      </c>
      <c r="C6" s="1293" t="s">
        <v>174</v>
      </c>
      <c r="D6" s="1292" t="s">
        <v>1738</v>
      </c>
    </row>
    <row r="7" spans="1:6">
      <c r="B7" s="500" t="str">
        <f>CONCATENATE(D7,", ",C7)</f>
        <v>1, Forudsætninger for samfundsøkonomiske analyser på energiområdet. Energistyrelsen. April 2011.</v>
      </c>
      <c r="C7" s="503" t="s">
        <v>490</v>
      </c>
      <c r="D7" s="1290">
        <v>1</v>
      </c>
      <c r="F7" s="1289"/>
    </row>
    <row r="8" spans="1:6">
      <c r="B8" s="500" t="str">
        <f t="shared" ref="B8:B69" si="0">CONCATENATE(D8,", ",C8)</f>
        <v>2, Energistyrelsen. Forudsætninger for samfundsøkonomiske analyser på energiområdet. April 2010</v>
      </c>
      <c r="C8" s="504" t="s">
        <v>2699</v>
      </c>
      <c r="D8" s="1291">
        <v>2</v>
      </c>
    </row>
    <row r="9" spans="1:6">
      <c r="B9" s="500" t="str">
        <f t="shared" si="0"/>
        <v>3, Transportøkonomiske enhedspriser 2010, DTU , Institut for transport</v>
      </c>
      <c r="C9" s="504" t="s">
        <v>2698</v>
      </c>
      <c r="D9" s="1291">
        <v>3</v>
      </c>
    </row>
    <row r="10" spans="1:6">
      <c r="B10" s="500" t="str">
        <f t="shared" si="0"/>
        <v>4, http://www.dlg.dk/Afgroeder/Noteringer/Boersnotering.htm</v>
      </c>
      <c r="C10" s="1294" t="s">
        <v>480</v>
      </c>
      <c r="D10" s="1291">
        <v>4</v>
      </c>
    </row>
    <row r="11" spans="1:6">
      <c r="B11" s="500" t="str">
        <f t="shared" si="0"/>
        <v>5, Concawe (2011): Well-to-wheels analysis of future automotive fuels and power-trains in the European Context. November 2011.</v>
      </c>
      <c r="C11" s="504" t="s">
        <v>530</v>
      </c>
      <c r="D11" s="1291">
        <v>5</v>
      </c>
    </row>
    <row r="12" spans="1:6">
      <c r="B12" s="500" t="str">
        <f t="shared" si="0"/>
        <v>6, Nyt fra Danmarks Statistik, Motorparken 2010.</v>
      </c>
      <c r="C12" s="504" t="s">
        <v>2700</v>
      </c>
      <c r="D12" s="1291">
        <v>6</v>
      </c>
    </row>
    <row r="13" spans="1:6">
      <c r="B13" s="500" t="str">
        <f t="shared" si="0"/>
        <v>7, EU kommisionens forordning nr. 692/2008 om EURO V og VI normer</v>
      </c>
      <c r="C13" s="504" t="s">
        <v>509</v>
      </c>
      <c r="D13" s="1291">
        <v>7</v>
      </c>
    </row>
    <row r="14" spans="1:6">
      <c r="B14" s="500" t="str">
        <f t="shared" si="0"/>
        <v>8, IEA, Energy Technology Perspectives 2008.</v>
      </c>
      <c r="C14" s="504" t="s">
        <v>511</v>
      </c>
      <c r="D14" s="1291">
        <v>8</v>
      </c>
    </row>
    <row r="15" spans="1:6">
      <c r="B15" s="500" t="str">
        <f t="shared" si="0"/>
        <v>9, Better Place, Renault Fluence</v>
      </c>
      <c r="C15" s="504" t="s">
        <v>513</v>
      </c>
      <c r="D15" s="1291">
        <v>9</v>
      </c>
    </row>
    <row r="16" spans="1:6">
      <c r="B16" s="500" t="str">
        <f t="shared" si="0"/>
        <v>10, COWI, Literaturstudie vedrørerende aktuelle og forventede priser på batterier, sendt til ENS</v>
      </c>
      <c r="C16" s="504" t="s">
        <v>514</v>
      </c>
      <c r="D16" s="1291">
        <v>10</v>
      </c>
    </row>
    <row r="17" spans="2:4">
      <c r="B17" s="500" t="str">
        <f t="shared" si="0"/>
        <v>11, Catalyst, Forsøgsordning med el-biler - tredje runde. Juni 2011. ENS</v>
      </c>
      <c r="C17" s="504" t="s">
        <v>515</v>
      </c>
      <c r="D17" s="1291">
        <v>11</v>
      </c>
    </row>
    <row r="18" spans="2:4">
      <c r="B18" s="500" t="str">
        <f t="shared" si="0"/>
        <v>12, Michael Sloth, Note om prisreduktionspotentiale for brændselsceller til biler - justeret for langsommere udrulning</v>
      </c>
      <c r="C18" s="504" t="s">
        <v>518</v>
      </c>
      <c r="D18" s="1291">
        <v>12</v>
      </c>
    </row>
    <row r="19" spans="2:4">
      <c r="B19" s="500" t="str">
        <f t="shared" si="0"/>
        <v>13, http://www.biofuelsb2b.com/useful_info.php?page=Typic</v>
      </c>
      <c r="C19" s="1294" t="s">
        <v>527</v>
      </c>
      <c r="D19" s="1291">
        <v>13</v>
      </c>
    </row>
    <row r="20" spans="2:4">
      <c r="B20" s="500" t="str">
        <f t="shared" si="0"/>
        <v>14, Concawe (2006): Well-to-wheels analysis of future automotive fuels and power-trains in the European Context. May 2006.</v>
      </c>
      <c r="C20" s="504" t="s">
        <v>175</v>
      </c>
      <c r="D20" s="1291">
        <v>14</v>
      </c>
    </row>
    <row r="21" spans="2:4">
      <c r="B21" s="500" t="str">
        <f t="shared" si="0"/>
        <v>15, Energistyrelsen. Biogasanlæg business case: Model 1000 m3/dag med salg af gas til decentral KV-værk og halmprocesvarme. Rev. 2009.05.25</v>
      </c>
      <c r="C21" s="504" t="s">
        <v>476</v>
      </c>
      <c r="D21" s="1291">
        <v>15</v>
      </c>
    </row>
    <row r="22" spans="2:4">
      <c r="B22" s="500" t="str">
        <f t="shared" si="0"/>
        <v>16, Energistyrelsen. Energistatistik 2011.</v>
      </c>
      <c r="C22" s="504" t="s">
        <v>534</v>
      </c>
      <c r="D22" s="1291">
        <v>16</v>
      </c>
    </row>
    <row r="23" spans="2:4">
      <c r="B23" s="500" t="str">
        <f t="shared" si="0"/>
        <v>17, Oplysninger per email fra Steffen Müller, produktionschef i Volvo Danmark, november 2011</v>
      </c>
      <c r="C23" s="504" t="s">
        <v>542</v>
      </c>
      <c r="D23" s="1291">
        <v>17</v>
      </c>
    </row>
    <row r="24" spans="2:4">
      <c r="B24" s="500" t="str">
        <f t="shared" si="0"/>
        <v>18, IEA, Technology Roadmap - Biofuels for Transport, 2011</v>
      </c>
      <c r="C24" s="504" t="s">
        <v>544</v>
      </c>
      <c r="D24" s="1291">
        <v>18</v>
      </c>
    </row>
    <row r="25" spans="2:4">
      <c r="B25" s="500" t="str">
        <f t="shared" si="0"/>
        <v>19, Lorie Hamelin, 2011. Modeling land use changes in consequential LCA, presentation, meta study</v>
      </c>
      <c r="C25" s="1294" t="s">
        <v>597</v>
      </c>
      <c r="D25" s="1291">
        <v>19</v>
      </c>
    </row>
    <row r="26" spans="2:4">
      <c r="B26" s="500" t="str">
        <f t="shared" si="0"/>
        <v>20, Hydrogen Link, Brint til transport i Danmark frem mod 2050, www.hydrogennet.dk</v>
      </c>
      <c r="C26" s="504" t="s">
        <v>612</v>
      </c>
      <c r="D26" s="1291">
        <v>20</v>
      </c>
    </row>
    <row r="27" spans="2:4">
      <c r="B27" s="500" t="str">
        <f t="shared" si="0"/>
        <v>21, www.eof.dk</v>
      </c>
      <c r="C27" s="1294" t="s">
        <v>613</v>
      </c>
      <c r="D27" s="1291">
        <v>21</v>
      </c>
    </row>
    <row r="28" spans="2:4">
      <c r="B28" s="500" t="str">
        <f t="shared" si="0"/>
        <v>22, Oplysninger per mail fra Anton Freiesleben, Scania Danmark A/S, 10. januar 2012, telefon 2551 8049</v>
      </c>
      <c r="C28" s="1294" t="s">
        <v>631</v>
      </c>
      <c r="D28" s="1291">
        <v>22</v>
      </c>
    </row>
    <row r="29" spans="2:4">
      <c r="B29" s="500" t="str">
        <f t="shared" si="0"/>
        <v>23, Oplysninger fra Claes Westberg, Volvo (via mail fra Steffen Müller, Volvo d. 9/1-2012)</v>
      </c>
      <c r="C29" s="504" t="s">
        <v>633</v>
      </c>
      <c r="D29" s="1291">
        <v>23</v>
      </c>
    </row>
    <row r="30" spans="2:4">
      <c r="B30" s="500" t="str">
        <f t="shared" si="0"/>
        <v>24, Power Point præsentation "Alternative Fuels Volvo Busser Danmark A/S" fra Jens Ommen, Volvo (via mail fra Steffen Müller 15/12-2011 til Michael Rask)</v>
      </c>
      <c r="C30" s="504" t="s">
        <v>641</v>
      </c>
      <c r="D30" s="1291">
        <v>24</v>
      </c>
    </row>
    <row r="31" spans="2:4">
      <c r="B31" s="500" t="str">
        <f t="shared" si="0"/>
        <v>25, Høringssvar fra Morten Winther, Institut for Miljøvidenskab (EVNS), Aarhus Universitet (mail til Michael Rask d. 16/12-2011)</v>
      </c>
      <c r="C31" s="504" t="s">
        <v>660</v>
      </c>
      <c r="D31" s="1291">
        <v>25</v>
      </c>
    </row>
    <row r="32" spans="2:4">
      <c r="B32" s="500" t="str">
        <f t="shared" si="0"/>
        <v xml:space="preserve">26, "The Mercedes-Benz Econic NGT/Biogas Conservation of Natural Resources", præsentation fremsendt med hørnigssvar af Daimler ved Lars van het Erve, lars.erve@daimler.com, +45 6023 9021 </v>
      </c>
      <c r="C32" s="504" t="s">
        <v>663</v>
      </c>
      <c r="D32" s="1291">
        <v>26</v>
      </c>
    </row>
    <row r="33" spans="1:4">
      <c r="B33" s="500" t="str">
        <f t="shared" si="0"/>
        <v>27, Emails fra Kurt Vinther (kurt.vinther@volvo.com), Volvo d. 23/1-2012</v>
      </c>
      <c r="C33" s="504" t="s">
        <v>669</v>
      </c>
      <c r="D33" s="1291">
        <v>27</v>
      </c>
    </row>
    <row r="34" spans="1:4">
      <c r="B34" s="500" t="str">
        <f t="shared" si="0"/>
        <v>28, Oplysninger per email fra Niels Frees, Trafikstyrelsen, bekræftet af ENS. 07-09-2012.</v>
      </c>
      <c r="C34" s="504" t="s">
        <v>693</v>
      </c>
      <c r="D34" s="1291">
        <v>28</v>
      </c>
    </row>
    <row r="35" spans="1:4">
      <c r="B35" s="500" t="str">
        <f t="shared" si="0"/>
        <v>29, Oplysninger per mail fra ENS, Henrik Duer, 06/12 2012</v>
      </c>
      <c r="C35" s="1294" t="s">
        <v>853</v>
      </c>
      <c r="D35" s="1291">
        <v>29</v>
      </c>
    </row>
    <row r="36" spans="1:4">
      <c r="B36" s="500" t="str">
        <f t="shared" si="0"/>
        <v>30, Høringssvar til Alternative Drivmidler, jan 2012, SerEnergy A/S, Danish Power Systems, Nordic Green, Aalborg University. inklusiv uddybning per 10/12 2012</v>
      </c>
      <c r="C36" s="504" t="s">
        <v>854</v>
      </c>
      <c r="D36" s="1291">
        <v>30</v>
      </c>
    </row>
    <row r="37" spans="1:4">
      <c r="B37" s="500" t="str">
        <f t="shared" si="0"/>
        <v>31, Forudsætninger for samfundsøkonomiske analyser på energiområdet. Energistyrelsen. April 2011, opdateret dataark oktober 2012</v>
      </c>
      <c r="C37" s="504" t="s">
        <v>981</v>
      </c>
      <c r="D37" s="1291">
        <v>31</v>
      </c>
    </row>
    <row r="38" spans="1:4">
      <c r="B38" s="500" t="str">
        <f t="shared" si="0"/>
        <v>32, SHIP-DESMO-Container Ship - 1 January 2014.xls - https://www.shipowners.dk/services/beregningsvaerktoejer/</v>
      </c>
      <c r="C38" s="504" t="s">
        <v>2481</v>
      </c>
      <c r="D38" s="1291">
        <v>32</v>
      </c>
    </row>
    <row r="39" spans="1:4">
      <c r="B39" s="500" t="str">
        <f t="shared" si="0"/>
        <v xml:space="preserve">33, </v>
      </c>
      <c r="C39" s="504"/>
      <c r="D39" s="1291">
        <v>33</v>
      </c>
    </row>
    <row r="40" spans="1:4">
      <c r="A40" s="58" t="s">
        <v>475</v>
      </c>
      <c r="B40" s="500" t="str">
        <f t="shared" si="0"/>
        <v>34, JEC - Joint Research Centre-EUCAR-CONCAWE collaboration, Tank to Wheels Report, version 4.0, July 2013</v>
      </c>
      <c r="C40" s="504" t="s">
        <v>1075</v>
      </c>
      <c r="D40" s="1291">
        <v>34</v>
      </c>
    </row>
    <row r="41" spans="1:4">
      <c r="B41" s="500" t="str">
        <f t="shared" si="0"/>
        <v>35, Statoil, Grønt Regnskab 2012</v>
      </c>
      <c r="C41" s="504" t="s">
        <v>1444</v>
      </c>
      <c r="D41" s="1291">
        <v>35</v>
      </c>
    </row>
    <row r="42" spans="1:4">
      <c r="B42" s="500" t="str">
        <f t="shared" si="0"/>
        <v>36, ASTM 7566 - 13, Standard Specification for Aviation Fuel Containing Synthesized Hydrocarbons</v>
      </c>
      <c r="C42" s="504" t="s">
        <v>1449</v>
      </c>
      <c r="D42" s="1291">
        <v>36</v>
      </c>
    </row>
    <row r="43" spans="1:4">
      <c r="B43" s="500" t="str">
        <f t="shared" si="0"/>
        <v>37, ASTM 1655 - 13, Standard Specification for Aviation Fuel</v>
      </c>
      <c r="C43" s="504" t="s">
        <v>1450</v>
      </c>
      <c r="D43" s="1291">
        <v>37</v>
      </c>
    </row>
    <row r="44" spans="1:4">
      <c r="B44" s="500" t="str">
        <f t="shared" si="0"/>
        <v>38, Biogas i Danmark - status, barrierer og perspektiver, Biogas Taskforce, November 2013, Kap 8, Biogasøkonomi. Ea-energianalyser har leveret den bagvedliggende data.</v>
      </c>
      <c r="C44" s="504" t="s">
        <v>1741</v>
      </c>
      <c r="D44" s="1291">
        <v>38</v>
      </c>
    </row>
    <row r="45" spans="1:4">
      <c r="B45" s="500" t="str">
        <f t="shared" si="0"/>
        <v>39, http://www.energinet.dk/SiteCollectionDocuments/Danske%20dokumenter/Gas/Faktablad%20-%20gaskvalitet.pdf</v>
      </c>
      <c r="C45" s="504" t="s">
        <v>1504</v>
      </c>
      <c r="D45" s="1291">
        <v>39</v>
      </c>
    </row>
    <row r="46" spans="1:4">
      <c r="B46" s="500" t="str">
        <f t="shared" si="0"/>
        <v>40, IFRO rapport 220: Biogasproduktion i Danmark – Vurderinger af drifts- og samfundsøkonomi, 2013, tabel 5.6. http://curis.ku.dk/ws/files/46258309/IFRO_rapport_220.pdf</v>
      </c>
      <c r="C46" s="504" t="s">
        <v>1740</v>
      </c>
      <c r="D46" s="1291">
        <v>40</v>
      </c>
    </row>
    <row r="47" spans="1:4">
      <c r="B47" s="60" t="str">
        <f>CONCATENATE(D47,", ",C47)</f>
        <v>41, Energistyrelsen. Biogasanlæg business case: Model 1000 m3/dag med salg af gas til decentral KV-værk og halmprocesvarme. Rev. 2009.05.25</v>
      </c>
      <c r="C47" s="504" t="s">
        <v>476</v>
      </c>
      <c r="D47" s="1291">
        <v>41</v>
      </c>
    </row>
    <row r="48" spans="1:4">
      <c r="B48" s="1484" t="str">
        <f t="shared" si="0"/>
        <v>42, FORCE, Danish Energy Agency, 2013, Technology data for advanced bioenergy fuels.</v>
      </c>
      <c r="C48" s="504" t="s">
        <v>1742</v>
      </c>
      <c r="D48" s="1291">
        <v>42</v>
      </c>
    </row>
    <row r="49" spans="2:14">
      <c r="B49" s="1484" t="str">
        <f>CONCATENATE(D49,", ",C49)</f>
        <v>43, Energistyrelsen Juni 1999. Brændselsprisforudsætninger for samfundsøkonomiske beregninger</v>
      </c>
      <c r="C49" s="504" t="s">
        <v>178</v>
      </c>
      <c r="D49" s="1291">
        <v>43</v>
      </c>
    </row>
    <row r="50" spans="2:14">
      <c r="B50" s="1484" t="str">
        <f>CONCATENATE(D50,", ",C50)</f>
        <v>44, Energistyrelsen. Forudsætninger for samfundsøkonomiske analyser på energi-området. Maj 2009</v>
      </c>
      <c r="C50" s="504" t="s">
        <v>477</v>
      </c>
      <c r="D50" s="1291">
        <v>44</v>
      </c>
    </row>
    <row r="51" spans="2:14">
      <c r="B51" s="1484" t="str">
        <f>CONCATENATE(D51,", ",C51)</f>
        <v>45, Hydrogen Energy - Part2 1994 af Reinhold Wurster &amp; Werner Zittel</v>
      </c>
      <c r="C51" s="504" t="s">
        <v>181</v>
      </c>
      <c r="D51" s="1291">
        <v>45</v>
      </c>
    </row>
    <row r="52" spans="2:14">
      <c r="B52" s="1484" t="str">
        <f>CONCATENATE(D52,", ",C52)</f>
        <v>46, Concawe (2006): Well-to-wheels analysis of future automotive fuels and power-trains in the European Context. May 2006.</v>
      </c>
      <c r="C52" s="504" t="s">
        <v>175</v>
      </c>
      <c r="D52" s="1291">
        <v>46</v>
      </c>
    </row>
    <row r="53" spans="2:14">
      <c r="B53" s="1484" t="str">
        <f t="shared" si="0"/>
        <v>47, Hydrogen in the Energy Sector, Issue 8.7.1996, Authors: Dr. Werner Zittel, Reinhold Wurster, Ludwig-Bölkow-Systemtechnik GmbH</v>
      </c>
      <c r="C53" s="504" t="s">
        <v>180</v>
      </c>
      <c r="D53" s="1291">
        <v>47</v>
      </c>
    </row>
    <row r="54" spans="2:14">
      <c r="B54" s="1484" t="str">
        <f t="shared" si="0"/>
        <v xml:space="preserve">48, Hvide Sande 2 </v>
      </c>
      <c r="C54" s="504" t="s">
        <v>1779</v>
      </c>
      <c r="D54" s="1291">
        <v>48</v>
      </c>
    </row>
    <row r="55" spans="2:14">
      <c r="B55" s="1484" t="str">
        <f t="shared" si="0"/>
        <v>49, Hydrogen Energy - Part 2 1994; Reinhold Wurster &amp; Werner Zittel</v>
      </c>
      <c r="C55" s="504" t="s">
        <v>412</v>
      </c>
      <c r="D55" s="1291">
        <v>49</v>
      </c>
    </row>
    <row r="56" spans="2:14">
      <c r="B56" s="1484" t="str">
        <f>CONCATENATE(D56,", ",C56)</f>
        <v>50, www.cleanfuelconnection.com</v>
      </c>
      <c r="C56" s="504" t="s">
        <v>182</v>
      </c>
      <c r="D56" s="1291">
        <v>50</v>
      </c>
    </row>
    <row r="57" spans="2:14">
      <c r="B57" s="1484" t="str">
        <f>CONCATENATE(D57,", ",C57)</f>
        <v>51, Energistyrelsen (2006): Appendiks: Forudsætninger for samfundsøkonomiske analyser på energiområdet. Energistyrelsen, juli 2006.</v>
      </c>
      <c r="C57" s="504" t="s">
        <v>177</v>
      </c>
      <c r="D57" s="1291">
        <v>51</v>
      </c>
    </row>
    <row r="58" spans="2:14">
      <c r="B58" s="1484" t="str">
        <f>CONCATENATE(D58,", ",C58)</f>
        <v>52, Dansk Energi (2006): Anvendelse af biomasse i transportsektoren. Udarbejdet af COWI for Dansk Energi.</v>
      </c>
      <c r="C58" s="504" t="s">
        <v>176</v>
      </c>
      <c r="D58" s="1291">
        <v>52</v>
      </c>
    </row>
    <row r="59" spans="2:14">
      <c r="B59" s="500" t="str">
        <f>CONCATENATE(D59,", ",C59)</f>
        <v>53, Energistyrelsen, oktober 2003: Samfundsøkonomiske transportomkostninger for fossile brændsler - olieprodukter, kul og naturgas. COWI for Energistyrelsen.</v>
      </c>
      <c r="C59" s="504" t="s">
        <v>179</v>
      </c>
      <c r="D59" s="1291">
        <v>53</v>
      </c>
      <c r="M59" s="386"/>
      <c r="N59" s="2370"/>
    </row>
    <row r="60" spans="2:14">
      <c r="B60" s="500" t="str">
        <f t="shared" si="0"/>
        <v>54, Niras (2011). Strategisk analyse af electrificering af banenettet - Opgave A, strategianalysen. Banedanmark.</v>
      </c>
      <c r="C60" s="504" t="s">
        <v>1987</v>
      </c>
      <c r="D60" s="1291">
        <v>54</v>
      </c>
      <c r="M60" s="386"/>
      <c r="N60" s="2370"/>
    </row>
    <row r="61" spans="2:14">
      <c r="B61" s="500" t="str">
        <f t="shared" si="0"/>
        <v>55, http://www.bane.dk/db/filarkiv/14178/EEL%20EL%20008%20Notat%20Analyse%20Elektrificeringsstrategi.pdf - Page. 56</v>
      </c>
      <c r="C61" s="504" t="s">
        <v>2000</v>
      </c>
      <c r="D61" s="1291">
        <v>55</v>
      </c>
      <c r="M61" s="386"/>
      <c r="N61" s="2370"/>
    </row>
    <row r="62" spans="2:14">
      <c r="B62" s="500" t="str">
        <f t="shared" si="0"/>
        <v>56, LNG LTD. Improved LNG process - Better Economics for Future Projects. http://www.lnglimited.com.au/IRM/content/default.aspx</v>
      </c>
      <c r="C62" s="504" t="s">
        <v>2046</v>
      </c>
      <c r="D62" s="1291">
        <v>56</v>
      </c>
      <c r="M62" s="386"/>
      <c r="N62" s="2370"/>
    </row>
    <row r="63" spans="2:14">
      <c r="B63" s="500" t="str">
        <f t="shared" si="0"/>
        <v xml:space="preserve">57, Ea Enerrgy Analyses (2013)  "Analysis of biomass prices, future Danish prices for straw, wood chips and wood pellets (draft 21-03-2013)", </v>
      </c>
      <c r="C63" s="504" t="s">
        <v>2224</v>
      </c>
      <c r="D63" s="1291">
        <v>57</v>
      </c>
      <c r="M63" s="386"/>
      <c r="N63" s="2370"/>
    </row>
    <row r="64" spans="2:14">
      <c r="B64" s="500" t="str">
        <f t="shared" si="0"/>
        <v>58, COWI/SDU 2013: Life Cycle Assessment of bioenergy pathways for the future Danish energy system</v>
      </c>
      <c r="C64" s="504" t="s">
        <v>2239</v>
      </c>
      <c r="D64" s="1291">
        <v>58</v>
      </c>
      <c r="M64" s="386"/>
      <c r="N64" s="2370"/>
    </row>
    <row r="65" spans="2:14">
      <c r="B65" s="500" t="str">
        <f t="shared" si="0"/>
        <v>59, IFPRI (2015): Global Trade and Environmental Impact Study of the EU Biofuels Mandate</v>
      </c>
      <c r="C65" s="504" t="s">
        <v>2657</v>
      </c>
      <c r="D65" s="1291">
        <v>59</v>
      </c>
      <c r="M65" s="386"/>
      <c r="N65" s="2370"/>
    </row>
    <row r="66" spans="2:14">
      <c r="B66" s="500" t="str">
        <f t="shared" si="0"/>
        <v>60, EU projektet Railenergy (www.railenergy.eu)</v>
      </c>
      <c r="C66" s="504" t="s">
        <v>2486</v>
      </c>
      <c r="D66" s="1291">
        <v>60</v>
      </c>
      <c r="M66" s="386"/>
      <c r="N66" s="2370"/>
    </row>
    <row r="67" spans="2:14">
      <c r="B67" s="500" t="str">
        <f t="shared" si="0"/>
        <v>61, "European Benchmarking of the costs, performance and revenues of GB TOCs", Prepared for the Office of Rail Regulation, Hamburg, November 20th, 2012, Civity Management Consultants, http://www.rail-reg.gov.uk/upload/pdf/civity-toc-benchmarking-201112.pdf (modificeret dansk værdi ift EU gns.: 2,4£ x 1,36)</v>
      </c>
      <c r="C67" s="504" t="s">
        <v>2487</v>
      </c>
      <c r="D67" s="1291">
        <v>61</v>
      </c>
      <c r="M67" s="386"/>
      <c r="N67" s="2370"/>
    </row>
    <row r="68" spans="2:14">
      <c r="B68" s="500" t="str">
        <f t="shared" si="0"/>
        <v>62, Baseret på viden og praktisk erfaring fra tekniske eksperter fra jernbanesektoren i Danmark og internationale faglige netværk</v>
      </c>
      <c r="C68" s="504" t="s">
        <v>2488</v>
      </c>
      <c r="D68" s="1291">
        <v>62</v>
      </c>
      <c r="M68" s="386"/>
      <c r="N68" s="2370"/>
    </row>
    <row r="69" spans="2:14">
      <c r="B69" s="500" t="str">
        <f t="shared" si="0"/>
        <v>63, Det lovgivende dokument for ikke vejgående maskiner (Non-Road Mobile Machinery, NRMM) indeholder i dag syv direktiver: "moder"-direktivet 97/68/EC, direktivændringerne som fremgår af Direktiv 2002/88/EC, Direktiv 2004/26/EC, Direktiv 2006/105/EC, Direktiv 2015/26/EU, Direktiv 2011/88/EU , og den sidste ændring af Direktiv 2012/46/EU, http://ec.europa.eu/enterprise/sectors/mechanical/documents/legislation/emissions-non-road</v>
      </c>
      <c r="C69" s="504" t="s">
        <v>2658</v>
      </c>
      <c r="D69" s="1291">
        <v>63</v>
      </c>
      <c r="M69" s="386"/>
      <c r="N69" s="2370"/>
    </row>
    <row r="70" spans="2:14">
      <c r="B70" s="500" t="str">
        <f t="shared" ref="B70:B80" si="1">CONCATENATE(D70,", ",C70)</f>
        <v>66, Lokalbanen, www.lokalbanen.dk/om-lokalbanen/miljoe</v>
      </c>
      <c r="C70" s="504" t="s">
        <v>2489</v>
      </c>
      <c r="D70" s="1291">
        <v>66</v>
      </c>
      <c r="M70" s="386"/>
      <c r="N70" s="2370"/>
    </row>
    <row r="71" spans="2:14">
      <c r="B71" s="500" t="str">
        <f t="shared" si="1"/>
        <v>67, ETH, Zürich, http://www.ethlife.ethz.ch/archive_articles/130912_erdgasdieselhybrid_cn/index_EN</v>
      </c>
      <c r="C71" s="504" t="s">
        <v>2490</v>
      </c>
      <c r="D71" s="1291">
        <v>67</v>
      </c>
      <c r="M71" s="386"/>
      <c r="N71" s="2370"/>
    </row>
    <row r="72" spans="2:14">
      <c r="B72" s="500" t="str">
        <f t="shared" si="1"/>
        <v>68, Korrespondance med Jakob Stenby Lundsager, Energistyrelsen af 9/7-2014</v>
      </c>
      <c r="C72" s="504" t="s">
        <v>2529</v>
      </c>
      <c r="D72" s="1291">
        <v>68</v>
      </c>
      <c r="M72" s="386"/>
      <c r="N72" s="2370"/>
    </row>
    <row r="73" spans="2:14">
      <c r="B73" s="500" t="str">
        <f t="shared" si="1"/>
        <v>69, Bilag til lokalbaneplan for Østbanen, Region Sjælland</v>
      </c>
      <c r="C73" s="504" t="s">
        <v>2557</v>
      </c>
      <c r="D73" s="1291">
        <v>69</v>
      </c>
      <c r="M73" s="386"/>
      <c r="N73" s="2370"/>
    </row>
    <row r="74" spans="2:14">
      <c r="B74" s="500" t="str">
        <f t="shared" si="1"/>
        <v>70, RAMMEVILKÅR FOR GAS TIL TUNG VEJTRANSPORT, Energistyrelsen, 2014</v>
      </c>
      <c r="C74" s="504" t="s">
        <v>2575</v>
      </c>
      <c r="D74" s="1291">
        <v>70</v>
      </c>
      <c r="M74" s="386"/>
      <c r="N74" s="2370"/>
    </row>
    <row r="75" spans="2:14">
      <c r="B75" s="500" t="str">
        <f t="shared" si="1"/>
        <v>71, Maritime Economics, Martin Stopford, 3rd edition, 2009, chapter 13, Routledge</v>
      </c>
      <c r="C75" s="1471" t="s">
        <v>2629</v>
      </c>
      <c r="D75" s="1291">
        <v>71</v>
      </c>
      <c r="M75" s="386"/>
      <c r="N75" s="2370"/>
    </row>
    <row r="76" spans="2:14">
      <c r="B76" s="500" t="str">
        <f t="shared" si="1"/>
        <v>72, Fast Ferry International, http://www.fastferryinfo.com/</v>
      </c>
      <c r="C76" s="504" t="s">
        <v>2703</v>
      </c>
      <c r="D76" s="1291">
        <v>72</v>
      </c>
      <c r="M76" s="386"/>
      <c r="N76" s="2370"/>
    </row>
    <row r="77" spans="2:14">
      <c r="B77" s="500" t="str">
        <f t="shared" si="1"/>
        <v xml:space="preserve">73, </v>
      </c>
      <c r="C77" s="504"/>
      <c r="D77" s="1291">
        <v>73</v>
      </c>
      <c r="M77" s="386"/>
      <c r="N77" s="2370"/>
    </row>
    <row r="78" spans="2:14">
      <c r="B78" s="500" t="str">
        <f t="shared" si="1"/>
        <v xml:space="preserve">74, </v>
      </c>
      <c r="C78" s="504"/>
      <c r="D78" s="1291">
        <v>74</v>
      </c>
      <c r="M78" s="386"/>
      <c r="N78" s="2370"/>
    </row>
    <row r="79" spans="2:14">
      <c r="B79" s="500" t="str">
        <f t="shared" si="1"/>
        <v xml:space="preserve">75, </v>
      </c>
      <c r="C79" s="504"/>
      <c r="D79" s="1291">
        <v>75</v>
      </c>
      <c r="M79" s="386"/>
      <c r="N79" s="2370"/>
    </row>
    <row r="80" spans="2:14">
      <c r="B80" s="500" t="str">
        <f t="shared" si="1"/>
        <v xml:space="preserve">76, </v>
      </c>
      <c r="C80" s="504"/>
      <c r="D80" s="1291">
        <v>76</v>
      </c>
      <c r="M80" s="386"/>
      <c r="N80" s="2370"/>
    </row>
    <row r="81" spans="4:13">
      <c r="D81" s="386"/>
      <c r="M81" s="386"/>
    </row>
  </sheetData>
  <hyperlinks>
    <hyperlink ref="C10" r:id="rId1"/>
    <hyperlink ref="C19" r:id="rId2"/>
    <hyperlink ref="C27" r:id="rId3"/>
    <hyperlink ref="C56" r:id="rId4"/>
    <hyperlink ref="C61" r:id="rId5"/>
  </hyperlinks>
  <printOptions headings="1"/>
  <pageMargins left="0.74803149606299213" right="0.74803149606299213" top="0.98425196850393704" bottom="0.98425196850393704" header="0.51181102362204722" footer="0.51181102362204722"/>
  <pageSetup paperSize="9" scale="41" orientation="landscape" r:id="rId6"/>
  <headerFooter alignWithMargins="0"/>
  <drawing r:id="rId7"/>
  <legacyDrawing r:id="rId8"/>
  <mc:AlternateContent xmlns:mc="http://schemas.openxmlformats.org/markup-compatibility/2006">
    <mc:Choice Requires="x14">
      <controls>
        <mc:AlternateContent xmlns:mc="http://schemas.openxmlformats.org/markup-compatibility/2006">
          <mc:Choice Requires="x14">
            <control shapeId="263169" r:id="rId9" name="Button 1">
              <controlPr defaultSize="0" print="0" autoFill="0" autoPict="0" macro="[0]!GtOver">
                <anchor>
                  <from>
                    <xdr:col>1</xdr:col>
                    <xdr:colOff>5124450</xdr:colOff>
                    <xdr:row>0</xdr:row>
                    <xdr:rowOff>38100</xdr:rowOff>
                  </from>
                  <to>
                    <xdr:col>1</xdr:col>
                    <xdr:colOff>6191250</xdr:colOff>
                    <xdr:row>0</xdr:row>
                    <xdr:rowOff>238125</xdr:rowOff>
                  </to>
                </anchor>
              </controlPr>
            </control>
          </mc:Choice>
        </mc:AlternateContent>
        <mc:AlternateContent xmlns:mc="http://schemas.openxmlformats.org/markup-compatibility/2006">
          <mc:Choice Requires="x14">
            <control shapeId="263170" r:id="rId10" name="Button 2">
              <controlPr defaultSize="0" print="0" autoFill="0" autoPict="0" macro="[0]!GtRes">
                <anchor>
                  <from>
                    <xdr:col>1</xdr:col>
                    <xdr:colOff>6362700</xdr:colOff>
                    <xdr:row>0</xdr:row>
                    <xdr:rowOff>38100</xdr:rowOff>
                  </from>
                  <to>
                    <xdr:col>1</xdr:col>
                    <xdr:colOff>7429500</xdr:colOff>
                    <xdr:row>0</xdr:row>
                    <xdr:rowOff>238125</xdr:rowOff>
                  </to>
                </anchor>
              </controlPr>
            </control>
          </mc:Choice>
        </mc:AlternateContent>
        <mc:AlternateContent xmlns:mc="http://schemas.openxmlformats.org/markup-compatibility/2006">
          <mc:Choice Requires="x14">
            <control shapeId="263171" r:id="rId11" name="Drop Down 3">
              <controlPr defaultSize="0" autoLine="0" autoPict="0">
                <anchor moveWithCells="1">
                  <from>
                    <xdr:col>2</xdr:col>
                    <xdr:colOff>419100</xdr:colOff>
                    <xdr:row>0</xdr:row>
                    <xdr:rowOff>28575</xdr:rowOff>
                  </from>
                  <to>
                    <xdr:col>5</xdr:col>
                    <xdr:colOff>76200</xdr:colOff>
                    <xdr:row>0</xdr:row>
                    <xdr:rowOff>228600</xdr:rowOff>
                  </to>
                </anchor>
              </controlPr>
            </control>
          </mc:Choice>
        </mc:AlternateContent>
        <mc:AlternateContent xmlns:mc="http://schemas.openxmlformats.org/markup-compatibility/2006">
          <mc:Choice Requires="x14">
            <control shapeId="263172" r:id="rId12" name="Drop Down 4">
              <controlPr defaultSize="0" autoLine="0" autoPict="0">
                <anchor>
                  <from>
                    <xdr:col>1</xdr:col>
                    <xdr:colOff>3200400</xdr:colOff>
                    <xdr:row>0</xdr:row>
                    <xdr:rowOff>28575</xdr:rowOff>
                  </from>
                  <to>
                    <xdr:col>1</xdr:col>
                    <xdr:colOff>4876800</xdr:colOff>
                    <xdr:row>0</xdr:row>
                    <xdr:rowOff>228600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BN1048574"/>
  <sheetViews>
    <sheetView tabSelected="1" zoomScale="80" zoomScaleNormal="80" workbookViewId="0">
      <selection activeCell="B34" sqref="B34"/>
    </sheetView>
  </sheetViews>
  <sheetFormatPr defaultRowHeight="12.75"/>
  <cols>
    <col min="1" max="1" width="4" style="1241" customWidth="1"/>
    <col min="2" max="2" width="43.7109375" style="1241" customWidth="1"/>
    <col min="3" max="3" width="7" style="1241" customWidth="1"/>
    <col min="4" max="8" width="9.140625" style="1241"/>
    <col min="9" max="9" width="21.42578125" style="1241" customWidth="1"/>
    <col min="10" max="16" width="9.140625" style="1241"/>
    <col min="17" max="17" width="10" style="1241" customWidth="1"/>
    <col min="18" max="20" width="9.140625" style="1241"/>
    <col min="21" max="21" width="10.7109375" style="1241" customWidth="1"/>
    <col min="22" max="50" width="9.140625" style="1241"/>
    <col min="51" max="51" width="17.140625" style="1241" bestFit="1" customWidth="1"/>
    <col min="52" max="52" width="24" style="1241" customWidth="1"/>
    <col min="53" max="57" width="9.140625" style="1241"/>
    <col min="58" max="59" width="3" style="1241" customWidth="1"/>
    <col min="60" max="60" width="9.42578125" style="1241" customWidth="1"/>
    <col min="61" max="16384" width="9.140625" style="1241"/>
  </cols>
  <sheetData>
    <row r="1" spans="2:66" s="465" customFormat="1" ht="21">
      <c r="B1" s="465" t="s">
        <v>2500</v>
      </c>
      <c r="P1" s="2387">
        <f ca="1">'Log2015'!M1</f>
        <v>-8.0112614142160741</v>
      </c>
      <c r="Q1" s="468">
        <f ca="1">'Log2015'!N1</f>
        <v>-160807.124977848</v>
      </c>
      <c r="R1" s="2388"/>
      <c r="T1" s="2389"/>
      <c r="V1" s="2388"/>
      <c r="X1" s="2389"/>
    </row>
    <row r="2" spans="2:66" s="2378" customFormat="1" ht="18.75" customHeight="1">
      <c r="D2" s="2379" t="s">
        <v>611</v>
      </c>
      <c r="E2" s="2380"/>
      <c r="F2" s="2380"/>
      <c r="G2" s="2380"/>
      <c r="H2" s="2380"/>
      <c r="I2" s="2380"/>
      <c r="J2" s="2380"/>
      <c r="K2" s="2380"/>
      <c r="L2" s="2380"/>
      <c r="M2" s="2380"/>
      <c r="N2" s="2380"/>
      <c r="O2" s="2380"/>
      <c r="P2" s="2380"/>
      <c r="Q2" s="2380"/>
      <c r="R2" s="2381"/>
      <c r="S2" s="2380"/>
      <c r="T2" s="2382"/>
      <c r="U2" s="2380"/>
      <c r="V2" s="2380"/>
      <c r="W2" s="2380"/>
      <c r="X2" s="2380"/>
      <c r="Y2" s="2380"/>
      <c r="BI2" s="1241"/>
      <c r="BJ2" s="1241"/>
      <c r="BK2" s="1241"/>
      <c r="BL2" s="1241"/>
      <c r="BM2" s="1241"/>
      <c r="BN2" s="1241"/>
    </row>
    <row r="3" spans="2:66" ht="12.75" customHeight="1">
      <c r="D3" s="2383" t="s">
        <v>606</v>
      </c>
      <c r="O3" s="2383" t="s">
        <v>686</v>
      </c>
      <c r="AA3" s="2383" t="s">
        <v>2289</v>
      </c>
      <c r="AM3" s="2383" t="s">
        <v>2378</v>
      </c>
    </row>
    <row r="4" spans="2:66" ht="12.75" customHeight="1">
      <c r="B4" s="2384" t="s">
        <v>2501</v>
      </c>
    </row>
    <row r="5" spans="2:66" ht="12.75" customHeight="1">
      <c r="B5" s="2393">
        <v>1</v>
      </c>
      <c r="AY5" s="2477"/>
      <c r="AZ5" s="2478" t="str">
        <f>ResultsOneYear!D$6</f>
        <v>Køretøj</v>
      </c>
      <c r="BA5" s="2478" t="str">
        <f>ResultsOneYear!E$6</f>
        <v>Brændstof inkl. infrastruktur</v>
      </c>
      <c r="BB5" s="2479" t="str">
        <f>ResultsOneYear!F$6</f>
        <v>Værdi emissioner + støj</v>
      </c>
      <c r="BD5" s="2477"/>
      <c r="BE5" s="2478" t="s">
        <v>2389</v>
      </c>
      <c r="BF5" s="2478"/>
      <c r="BG5" s="2478"/>
      <c r="BH5" s="2479" t="s">
        <v>2390</v>
      </c>
    </row>
    <row r="6" spans="2:66" ht="12.75" customHeight="1">
      <c r="B6" s="2393"/>
      <c r="AY6" s="2250" t="str">
        <f>ResultsOneYear!$C8</f>
        <v>Bil-konv. diesel</v>
      </c>
      <c r="AZ6" s="1973">
        <f ca="1">ResultsOneYear!D8</f>
        <v>1.1633739010812751</v>
      </c>
      <c r="BA6" s="1973">
        <f ca="1">ResultsOneYear!E8</f>
        <v>0.23628094002963623</v>
      </c>
      <c r="BB6" s="2483">
        <f ca="1">ResultsOneYear!F8</f>
        <v>7.107049790144282E-2</v>
      </c>
      <c r="BD6" s="2250" t="str">
        <f>ResultsOneYear!$C8</f>
        <v>Bil-konv. diesel</v>
      </c>
      <c r="BE6" s="2480">
        <f ca="1">ResultsOneYear!I8</f>
        <v>0.23759628394566742</v>
      </c>
      <c r="BF6" s="2480"/>
      <c r="BG6" s="2480"/>
      <c r="BH6" s="2251">
        <f ca="1">ResultsOneYear!R8</f>
        <v>130.30849928407619</v>
      </c>
    </row>
    <row r="7" spans="2:66" ht="12.75" customHeight="1">
      <c r="B7" s="2394" t="s">
        <v>599</v>
      </c>
      <c r="AY7" s="2250" t="str">
        <f>ResultsOneYear!C9</f>
        <v>Bil-konv. Benzin</v>
      </c>
      <c r="AZ7" s="1973">
        <f ca="1">ResultsOneYear!D9</f>
        <v>1.087921776676704</v>
      </c>
      <c r="BA7" s="1973">
        <f ca="1">ResultsOneYear!E9</f>
        <v>0.3288289196461448</v>
      </c>
      <c r="BB7" s="2483">
        <f ca="1">ResultsOneYear!F9</f>
        <v>6.8724123665360431E-2</v>
      </c>
      <c r="BD7" s="2250" t="str">
        <f>ResultsOneYear!$C9</f>
        <v>Bil-konv. Benzin</v>
      </c>
      <c r="BE7" s="2480">
        <f ca="1">ResultsOneYear!I9</f>
        <v>0.16769792432989633</v>
      </c>
      <c r="BF7" s="2480"/>
      <c r="BG7" s="2480"/>
      <c r="BH7" s="2251">
        <f ca="1">ResultsOneYear!R9</f>
        <v>173.36485076842851</v>
      </c>
    </row>
    <row r="8" spans="2:66" ht="12.75" customHeight="1">
      <c r="B8" s="2393">
        <v>5</v>
      </c>
      <c r="AY8" s="2250" t="str">
        <f>ResultsOneYear!C10</f>
        <v>Bil-E85 hvede</v>
      </c>
      <c r="AZ8" s="1973">
        <f ca="1">ResultsOneYear!D10</f>
        <v>1.087921776676704</v>
      </c>
      <c r="BA8" s="1973">
        <f ca="1">ResultsOneYear!E10</f>
        <v>0.3951834906643838</v>
      </c>
      <c r="BB8" s="2483">
        <f ca="1">ResultsOneYear!F10</f>
        <v>0.10260043543487185</v>
      </c>
      <c r="BD8" s="2250" t="str">
        <f>ResultsOneYear!$C10</f>
        <v>Bil-E85 hvede</v>
      </c>
      <c r="BE8" s="2480">
        <f ca="1">ResultsOneYear!I10</f>
        <v>0.13923731496982597</v>
      </c>
      <c r="BF8" s="2480"/>
      <c r="BG8" s="2480"/>
      <c r="BH8" s="2251">
        <f ca="1">ResultsOneYear!R10</f>
        <v>656.49203682319421</v>
      </c>
    </row>
    <row r="9" spans="2:66" ht="12.75" customHeight="1">
      <c r="B9" s="2393"/>
      <c r="AY9" s="2250" t="str">
        <f>ResultsOneYear!C11</f>
        <v>Bil-E85 sukkerroer</v>
      </c>
      <c r="AZ9" s="1973">
        <f ca="1">ResultsOneYear!D11</f>
        <v>1.0879217766767042</v>
      </c>
      <c r="BA9" s="1973">
        <f ca="1">ResultsOneYear!E11</f>
        <v>0.26366706712438354</v>
      </c>
      <c r="BB9" s="2483">
        <f ca="1">ResultsOneYear!F11</f>
        <v>0.10553423675259793</v>
      </c>
      <c r="BD9" s="2250" t="str">
        <f>ResultsOneYear!$C11</f>
        <v>Bil-E85 sukkerroer</v>
      </c>
      <c r="BE9" s="2480">
        <f ca="1">ResultsOneYear!I11</f>
        <v>0.14097114871113556</v>
      </c>
      <c r="BF9" s="2480"/>
      <c r="BG9" s="2480"/>
      <c r="BH9" s="2251">
        <f ca="1">ResultsOneYear!R11</f>
        <v>822.1090351161464</v>
      </c>
    </row>
    <row r="10" spans="2:66" ht="12.75" customHeight="1">
      <c r="B10" s="2394" t="s">
        <v>598</v>
      </c>
      <c r="AY10" s="2250" t="str">
        <f>ResultsOneYear!C12</f>
        <v>Bil-E85 halm</v>
      </c>
      <c r="AZ10" s="1973" t="str">
        <f ca="1">ResultsOneYear!D12</f>
        <v>Teknologi ikke tilgængelig</v>
      </c>
      <c r="BA10" s="1973" t="str">
        <f ca="1">ResultsOneYear!E12</f>
        <v xml:space="preserve"> </v>
      </c>
      <c r="BB10" s="2483" t="str">
        <f ca="1">ResultsOneYear!F12</f>
        <v xml:space="preserve"> </v>
      </c>
      <c r="BD10" s="2250" t="str">
        <f>ResultsOneYear!$C12</f>
        <v>Bil-E85 halm</v>
      </c>
      <c r="BE10" s="2480" t="str">
        <f ca="1">ResultsOneYear!I12</f>
        <v xml:space="preserve"> </v>
      </c>
      <c r="BF10" s="2480"/>
      <c r="BG10" s="2480"/>
      <c r="BH10" s="2251" t="str">
        <f ca="1">ResultsOneYear!R12</f>
        <v xml:space="preserve"> </v>
      </c>
    </row>
    <row r="11" spans="2:66" ht="12.75" customHeight="1">
      <c r="B11" s="2395">
        <v>2</v>
      </c>
      <c r="AY11" s="2250" t="str">
        <f>ResultsOneYear!C13</f>
        <v>Bil-Biodiesel RME</v>
      </c>
      <c r="AZ11" s="1973">
        <f ca="1">ResultsOneYear!D13</f>
        <v>1.1633739010812749</v>
      </c>
      <c r="BA11" s="1973">
        <f ca="1">ResultsOneYear!E13</f>
        <v>0.21145967651080436</v>
      </c>
      <c r="BB11" s="2483">
        <f ca="1">ResultsOneYear!F13</f>
        <v>0.10015306234283385</v>
      </c>
      <c r="BD11" s="2250" t="str">
        <f>ResultsOneYear!$C13</f>
        <v>Bil-Biodiesel RME</v>
      </c>
      <c r="BE11" s="2480">
        <f ca="1">ResultsOneYear!I13</f>
        <v>0.20776980245257207</v>
      </c>
      <c r="BF11" s="2480"/>
      <c r="BG11" s="2480"/>
      <c r="BH11" s="2251">
        <f ca="1">ResultsOneYear!R13</f>
        <v>545.73459990388676</v>
      </c>
    </row>
    <row r="12" spans="2:66" ht="12.75" customHeight="1">
      <c r="B12" s="2393"/>
      <c r="AY12" s="2250" t="str">
        <f>ResultsOneYear!C14</f>
        <v>Bil-Biodiesel halm</v>
      </c>
      <c r="AZ12" s="1973" t="str">
        <f ca="1">ResultsOneYear!D14</f>
        <v>Teknologi ikke tilgængelig</v>
      </c>
      <c r="BA12" s="1973" t="str">
        <f ca="1">ResultsOneYear!E14</f>
        <v xml:space="preserve"> </v>
      </c>
      <c r="BB12" s="2483" t="str">
        <f ca="1">ResultsOneYear!F14</f>
        <v xml:space="preserve"> </v>
      </c>
      <c r="BD12" s="2250" t="str">
        <f>ResultsOneYear!$C14</f>
        <v>Bil-Biodiesel halm</v>
      </c>
      <c r="BE12" s="2480" t="str">
        <f ca="1">ResultsOneYear!I14</f>
        <v xml:space="preserve"> </v>
      </c>
      <c r="BF12" s="2480"/>
      <c r="BG12" s="2480"/>
      <c r="BH12" s="2251" t="str">
        <f ca="1">ResultsOneYear!R14</f>
        <v xml:space="preserve"> </v>
      </c>
    </row>
    <row r="13" spans="2:66" ht="12.75" customHeight="1">
      <c r="B13" s="2394" t="s">
        <v>624</v>
      </c>
      <c r="AY13" s="2250" t="str">
        <f>ResultsOneYear!C15</f>
        <v>Bil-DME</v>
      </c>
      <c r="AZ13" s="1973" t="str">
        <f ca="1">ResultsOneYear!D15</f>
        <v>Teknologi ikke tilgængelig</v>
      </c>
      <c r="BA13" s="1973" t="str">
        <f ca="1">ResultsOneYear!E15</f>
        <v xml:space="preserve"> </v>
      </c>
      <c r="BB13" s="2483" t="str">
        <f ca="1">ResultsOneYear!F15</f>
        <v xml:space="preserve"> </v>
      </c>
      <c r="BD13" s="2250" t="str">
        <f>ResultsOneYear!$C15</f>
        <v>Bil-DME</v>
      </c>
      <c r="BE13" s="2480" t="str">
        <f ca="1">ResultsOneYear!I15</f>
        <v xml:space="preserve"> </v>
      </c>
      <c r="BF13" s="2480"/>
      <c r="BG13" s="2480"/>
      <c r="BH13" s="2251" t="str">
        <f ca="1">ResultsOneYear!R15</f>
        <v xml:space="preserve"> </v>
      </c>
    </row>
    <row r="14" spans="2:66" ht="12.75" customHeight="1">
      <c r="B14" s="2396">
        <v>1</v>
      </c>
      <c r="AY14" s="2250" t="str">
        <f>ResultsOneYear!C16</f>
        <v>Bil-Naturgas</v>
      </c>
      <c r="AZ14" s="1973">
        <f ca="1">ResultsOneYear!D16</f>
        <v>1.1616015357429128</v>
      </c>
      <c r="BA14" s="1973">
        <f ca="1">ResultsOneYear!E16</f>
        <v>0.1623758967786543</v>
      </c>
      <c r="BB14" s="2483">
        <f ca="1">ResultsOneYear!F16</f>
        <v>6.2477212039718941E-2</v>
      </c>
      <c r="BD14" s="2250" t="str">
        <f>ResultsOneYear!$C16</f>
        <v>Bil-Naturgas</v>
      </c>
      <c r="BE14" s="2480">
        <f ca="1">ResultsOneYear!I16</f>
        <v>0.16831539661914319</v>
      </c>
      <c r="BF14" s="2480"/>
      <c r="BG14" s="2480"/>
      <c r="BH14" s="2251">
        <f ca="1">ResultsOneYear!R16</f>
        <v>148.46711957195433</v>
      </c>
    </row>
    <row r="15" spans="2:66" ht="12.75" customHeight="1">
      <c r="B15" s="2393"/>
      <c r="AY15" s="2250" t="str">
        <f>ResultsOneYear!C17</f>
        <v>Bil-Biogas</v>
      </c>
      <c r="AZ15" s="1973">
        <f ca="1">ResultsOneYear!D17</f>
        <v>1.161601535742913</v>
      </c>
      <c r="BA15" s="1973">
        <f ca="1">ResultsOneYear!E17</f>
        <v>0.41427910551507502</v>
      </c>
      <c r="BB15" s="2483">
        <f ca="1">ResultsOneYear!F17</f>
        <v>5.3773330731964525E-2</v>
      </c>
      <c r="BD15" s="2250" t="str">
        <f>ResultsOneYear!$C17</f>
        <v>Bil-Biogas</v>
      </c>
      <c r="BE15" s="2480">
        <f ca="1">ResultsOneYear!I17</f>
        <v>0.15819847757401839</v>
      </c>
      <c r="BF15" s="2480"/>
      <c r="BG15" s="2480"/>
      <c r="BH15" s="2251">
        <f ca="1">ResultsOneYear!R17</f>
        <v>-118.74945696650954</v>
      </c>
    </row>
    <row r="16" spans="2:66" ht="12.75" customHeight="1">
      <c r="B16" s="2394" t="s">
        <v>2113</v>
      </c>
      <c r="AY16" s="2250" t="str">
        <f>ResultsOneYear!C18</f>
        <v>Bil-MeOH-brændselscellehybrid</v>
      </c>
      <c r="AZ16" s="1973" t="str">
        <f ca="1">ResultsOneYear!D18</f>
        <v>Teknologi ikke tilgængelig</v>
      </c>
      <c r="BA16" s="1973" t="str">
        <f ca="1">ResultsOneYear!E18</f>
        <v xml:space="preserve"> </v>
      </c>
      <c r="BB16" s="2483" t="str">
        <f ca="1">ResultsOneYear!F18</f>
        <v xml:space="preserve"> </v>
      </c>
      <c r="BD16" s="2250" t="str">
        <f>ResultsOneYear!$C18</f>
        <v>Bil-MeOH-brændselscellehybrid</v>
      </c>
      <c r="BE16" s="2480" t="str">
        <f ca="1">ResultsOneYear!I18</f>
        <v xml:space="preserve"> </v>
      </c>
      <c r="BF16" s="2480"/>
      <c r="BG16" s="2480"/>
      <c r="BH16" s="2251" t="str">
        <f ca="1">ResultsOneYear!R18</f>
        <v xml:space="preserve"> </v>
      </c>
    </row>
    <row r="17" spans="2:60" ht="12.75" customHeight="1">
      <c r="B17" s="2396">
        <v>2</v>
      </c>
      <c r="AY17" s="2250" t="str">
        <f>ResultsOneYear!C19</f>
        <v>Bil-Brint-brændselscelle</v>
      </c>
      <c r="AZ17" s="1973">
        <f ca="1">ResultsOneYear!D19</f>
        <v>1.7074047938560752</v>
      </c>
      <c r="BA17" s="1973">
        <f ca="1">ResultsOneYear!E19</f>
        <v>0.34233440587495356</v>
      </c>
      <c r="BB17" s="2483">
        <f ca="1">ResultsOneYear!F19</f>
        <v>2.5254270495223559E-2</v>
      </c>
      <c r="BD17" s="2250" t="str">
        <f>ResultsOneYear!$C19</f>
        <v>Bil-Brint-brændselscelle</v>
      </c>
      <c r="BE17" s="2480">
        <f ca="1">ResultsOneYear!I19</f>
        <v>0.3139907650936678</v>
      </c>
      <c r="BF17" s="2480"/>
      <c r="BG17" s="2480"/>
      <c r="BH17" s="2251">
        <f ca="1">ResultsOneYear!R19</f>
        <v>7.4868508085085361</v>
      </c>
    </row>
    <row r="18" spans="2:60" ht="12.75" customHeight="1">
      <c r="B18" s="2396"/>
      <c r="AY18" s="2250" t="str">
        <f>ResultsOneYear!C21</f>
        <v>Bil-El</v>
      </c>
      <c r="AZ18" s="1973">
        <f ca="1">ResultsOneYear!D21</f>
        <v>1.3969083189338007</v>
      </c>
      <c r="BA18" s="1973">
        <f ca="1">ResultsOneYear!E21</f>
        <v>8.6061169239214891E-2</v>
      </c>
      <c r="BB18" s="2483">
        <f ca="1">ResultsOneYear!F21</f>
        <v>2.0192010884150697E-2</v>
      </c>
      <c r="BD18" s="2250" t="str">
        <f>ResultsOneYear!$C21</f>
        <v>Bil-El</v>
      </c>
      <c r="BE18" s="2480">
        <f ca="1">ResultsOneYear!I21</f>
        <v>0.65414862139188079</v>
      </c>
      <c r="BF18" s="2480"/>
      <c r="BG18" s="2480"/>
      <c r="BH18" s="2251">
        <f ca="1">ResultsOneYear!R21</f>
        <v>2.3500131018202395</v>
      </c>
    </row>
    <row r="19" spans="2:60" ht="12.75" customHeight="1">
      <c r="B19" s="2394" t="s">
        <v>2493</v>
      </c>
      <c r="AY19" s="2481" t="str">
        <f>ResultsOneYear!C22</f>
        <v>Bil-Plugin Hybrid</v>
      </c>
      <c r="AZ19" s="2484">
        <f ca="1">ResultsOneYear!D22</f>
        <v>1.2770421607451312</v>
      </c>
      <c r="BA19" s="2484">
        <f ca="1">ResultsOneYear!E22</f>
        <v>0.12113984995708156</v>
      </c>
      <c r="BB19" s="2485">
        <f ca="1">ResultsOneYear!F22</f>
        <v>3.2945758485795597E-2</v>
      </c>
      <c r="BD19" s="2481" t="str">
        <f>ResultsOneYear!$C22</f>
        <v>Bil-Plugin Hybrid</v>
      </c>
      <c r="BE19" s="2482">
        <f ca="1">ResultsOneYear!I22</f>
        <v>0.37402054072693969</v>
      </c>
      <c r="BF19" s="2482"/>
      <c r="BG19" s="2482"/>
      <c r="BH19" s="2252">
        <f ca="1">ResultsOneYear!R22</f>
        <v>99.25718830055304</v>
      </c>
    </row>
    <row r="20" spans="2:60" ht="12.75" customHeight="1">
      <c r="B20" s="2393">
        <v>1</v>
      </c>
    </row>
    <row r="21" spans="2:60" ht="12.75" customHeight="1">
      <c r="AY21" s="2477"/>
      <c r="AZ21" s="2478" t="str">
        <f>ResultsOneYear!D$6</f>
        <v>Køretøj</v>
      </c>
      <c r="BA21" s="2478" t="str">
        <f>ResultsOneYear!E$6</f>
        <v>Brændstof inkl. infrastruktur</v>
      </c>
      <c r="BB21" s="2479" t="str">
        <f>ResultsOneYear!F$6</f>
        <v>Værdi emissioner + støj</v>
      </c>
      <c r="BD21" s="2477"/>
      <c r="BE21" s="2478" t="s">
        <v>2389</v>
      </c>
      <c r="BF21" s="2478"/>
      <c r="BG21" s="2478"/>
      <c r="BH21" s="2479" t="s">
        <v>2390</v>
      </c>
    </row>
    <row r="22" spans="2:60" ht="12.75" customHeight="1">
      <c r="AY22" s="2250" t="str">
        <f>ResultsOneYear!$C24</f>
        <v>Lastbil-Diesel</v>
      </c>
      <c r="AZ22" s="1973">
        <f ca="1">ResultsOneYear!D24</f>
        <v>6.0792768951702509</v>
      </c>
      <c r="BA22" s="1973">
        <f ca="1">ResultsOneYear!E24</f>
        <v>2.0532786934302796</v>
      </c>
      <c r="BB22" s="2483">
        <f ca="1">ResultsOneYear!F24</f>
        <v>0.47301182165945482</v>
      </c>
      <c r="BD22" s="2250" t="str">
        <f>ResultsOneYear!$C24</f>
        <v>Lastbil-Diesel</v>
      </c>
      <c r="BE22" s="2480">
        <f ca="1">ResultsOneYear!I24</f>
        <v>0.37270005324810579</v>
      </c>
      <c r="BF22" s="2480"/>
      <c r="BG22" s="2480"/>
      <c r="BH22" s="2251">
        <f ca="1">ResultsOneYear!R24</f>
        <v>1183.2686415251512</v>
      </c>
    </row>
    <row r="23" spans="2:60" ht="12.75" customHeight="1" thickBot="1">
      <c r="AY23" s="2250" t="str">
        <f>ResultsOneYear!$C25</f>
        <v>Lastbil-CNG</v>
      </c>
      <c r="AZ23" s="1973">
        <f ca="1">ResultsOneYear!D25</f>
        <v>6.5103939793764818</v>
      </c>
      <c r="BA23" s="1973">
        <f ca="1">ResultsOneYear!E25</f>
        <v>1.2693343945522162</v>
      </c>
      <c r="BB23" s="2483">
        <f ca="1">ResultsOneYear!F25</f>
        <v>0.51336786005941382</v>
      </c>
      <c r="BD23" s="2250" t="str">
        <f>ResultsOneYear!$C25</f>
        <v>Lastbil-CNG</v>
      </c>
      <c r="BE23" s="2480">
        <f ca="1">ResultsOneYear!I25</f>
        <v>0.29089665540578735</v>
      </c>
      <c r="BF23" s="2480"/>
      <c r="BG23" s="2480"/>
      <c r="BH23" s="2251">
        <f ca="1">ResultsOneYear!R25</f>
        <v>1205.3277162569384</v>
      </c>
    </row>
    <row r="24" spans="2:60" ht="12.75" customHeight="1">
      <c r="B24" s="2392" t="s">
        <v>2497</v>
      </c>
      <c r="AY24" s="2250" t="str">
        <f>ResultsOneYear!$C28</f>
        <v>Bus-Diesel</v>
      </c>
      <c r="AZ24" s="1973">
        <f ca="1">ResultsOneYear!D28</f>
        <v>5.7195351938510033</v>
      </c>
      <c r="BA24" s="1973">
        <f ca="1">ResultsOneYear!E28</f>
        <v>2.1695807377876464</v>
      </c>
      <c r="BB24" s="2483">
        <f ca="1">ResultsOneYear!F28</f>
        <v>0.54583713523050403</v>
      </c>
      <c r="BD24" s="2250" t="str">
        <f>ResultsOneYear!$C28</f>
        <v>Bus-Diesel</v>
      </c>
      <c r="BE24" s="2480">
        <f ca="1">ResultsOneYear!I28</f>
        <v>0.30102696608500845</v>
      </c>
      <c r="BF24" s="2480"/>
      <c r="BG24" s="2480"/>
      <c r="BH24" s="2251">
        <f ca="1">ResultsOneYear!R28</f>
        <v>1247.9778083912533</v>
      </c>
    </row>
    <row r="25" spans="2:60" ht="12.75" customHeight="1">
      <c r="B25" s="2390" t="s">
        <v>2425</v>
      </c>
      <c r="AY25" s="2250" t="str">
        <f>ResultsOneYear!$C29</f>
        <v>Bus-CNG</v>
      </c>
      <c r="AZ25" s="1973">
        <f ca="1">ResultsOneYear!D29</f>
        <v>6.2748959530251263</v>
      </c>
      <c r="BA25" s="1973">
        <f ca="1">ResultsOneYear!E29</f>
        <v>1.3826973750304781</v>
      </c>
      <c r="BB25" s="2483">
        <f ca="1">ResultsOneYear!F29</f>
        <v>0.61835779437468885</v>
      </c>
      <c r="BD25" s="2250" t="str">
        <f>ResultsOneYear!$C29</f>
        <v>Bus-CNG</v>
      </c>
      <c r="BE25" s="2480">
        <f ca="1">ResultsOneYear!I29</f>
        <v>0.22790901296842467</v>
      </c>
      <c r="BF25" s="2480"/>
      <c r="BG25" s="2480"/>
      <c r="BH25" s="2251">
        <f ca="1">ResultsOneYear!R29</f>
        <v>1299.8312299017655</v>
      </c>
    </row>
    <row r="26" spans="2:60" ht="12.75" customHeight="1">
      <c r="B26" s="2390" t="s">
        <v>2424</v>
      </c>
      <c r="AY26" s="2481" t="str">
        <f>ResultsOneYear!$C31</f>
        <v>Bus-Hybrid</v>
      </c>
      <c r="AZ26" s="2484">
        <f ca="1">ResultsOneYear!D31</f>
        <v>7.099814806613602</v>
      </c>
      <c r="BA26" s="2484">
        <f ca="1">ResultsOneYear!E31</f>
        <v>1.6689082598366509</v>
      </c>
      <c r="BB26" s="2485">
        <f ca="1">ResultsOneYear!F31</f>
        <v>0.44233298418497802</v>
      </c>
      <c r="BD26" s="2481" t="str">
        <f>ResultsOneYear!$C31</f>
        <v>Bus-Hybrid</v>
      </c>
      <c r="BE26" s="2482">
        <f ca="1">ResultsOneYear!I31</f>
        <v>0.39133505591051104</v>
      </c>
      <c r="BF26" s="2482"/>
      <c r="BG26" s="2482"/>
      <c r="BH26" s="2252">
        <f ca="1">ResultsOneYear!R31</f>
        <v>959.98292953173348</v>
      </c>
    </row>
    <row r="27" spans="2:60" ht="12.75" customHeight="1">
      <c r="B27" s="2390" t="s">
        <v>2426</v>
      </c>
    </row>
    <row r="28" spans="2:60" ht="12.75" customHeight="1">
      <c r="B28" s="2390" t="s">
        <v>2498</v>
      </c>
      <c r="AY28" s="2477"/>
      <c r="AZ28" s="2478" t="str">
        <f>ResultsOneYear!D$6</f>
        <v>Køretøj</v>
      </c>
      <c r="BA28" s="2478" t="str">
        <f>ResultsOneYear!E$6</f>
        <v>Brændstof inkl. infrastruktur</v>
      </c>
      <c r="BB28" s="2479" t="str">
        <f>ResultsOneYear!F$6</f>
        <v>Værdi emissioner + støj</v>
      </c>
      <c r="BD28" s="2477"/>
      <c r="BE28" s="2478" t="s">
        <v>2389</v>
      </c>
      <c r="BF28" s="2478"/>
      <c r="BG28" s="2478"/>
      <c r="BH28" s="2479" t="s">
        <v>2390</v>
      </c>
    </row>
    <row r="29" spans="2:60" ht="12.75" customHeight="1" thickBot="1">
      <c r="B29" s="2391" t="s">
        <v>2499</v>
      </c>
      <c r="AY29" s="2250" t="str">
        <f>ResultsOneYear!$C36</f>
        <v>Hurtigfærge</v>
      </c>
      <c r="AZ29" s="2162">
        <f ca="1">ResultsOneYear!D36</f>
        <v>0</v>
      </c>
      <c r="BA29" s="2162">
        <f ca="1">ResultsOneYear!E36</f>
        <v>615.37464959371619</v>
      </c>
      <c r="BB29" s="2249">
        <f ca="1">ResultsOneYear!F36</f>
        <v>353.70232470206804</v>
      </c>
      <c r="BD29" s="2250" t="str">
        <f>ResultsOneYear!$C36</f>
        <v>Hurtigfærge</v>
      </c>
      <c r="BE29" s="2480">
        <f ca="1">ResultsOneYear!I36</f>
        <v>0.37407164929552272</v>
      </c>
      <c r="BF29" s="2480"/>
      <c r="BG29" s="2480"/>
      <c r="BH29" s="2251">
        <f ca="1">ResultsOneYear!R36</f>
        <v>350298.61560125841</v>
      </c>
    </row>
    <row r="30" spans="2:60" ht="12.75" customHeight="1">
      <c r="AY30" s="2250" t="str">
        <f>ResultsOneYear!$C38</f>
        <v>9000TEU HFO</v>
      </c>
      <c r="AZ30" s="2162">
        <f ca="1">ResultsOneYear!D38</f>
        <v>304.66215341115674</v>
      </c>
      <c r="BA30" s="2162">
        <f ca="1">ResultsOneYear!E38</f>
        <v>662.99059732121952</v>
      </c>
      <c r="BB30" s="2249">
        <f ca="1">ResultsOneYear!F38</f>
        <v>2761.9193654785481</v>
      </c>
      <c r="BD30" s="2250" t="str">
        <f>ResultsOneYear!$C38</f>
        <v>9000TEU HFO</v>
      </c>
      <c r="BE30" s="2480">
        <f ca="1">ResultsOneYear!I38</f>
        <v>0.47428587647615433</v>
      </c>
      <c r="BF30" s="2480"/>
      <c r="BG30" s="2480"/>
      <c r="BH30" s="2251">
        <f ca="1">ResultsOneYear!R38</f>
        <v>562273.26292468584</v>
      </c>
    </row>
    <row r="31" spans="2:60" ht="12.75" customHeight="1">
      <c r="AY31" s="2250" t="str">
        <f>ResultsOneYear!$C39</f>
        <v>9000TEU Diesel</v>
      </c>
      <c r="AZ31" s="2162">
        <f ca="1">ResultsOneYear!D39</f>
        <v>304.66215341115674</v>
      </c>
      <c r="BA31" s="2162">
        <f ca="1">ResultsOneYear!E39</f>
        <v>952.3468358728984</v>
      </c>
      <c r="BB31" s="2249">
        <f ca="1">ResultsOneYear!F39</f>
        <v>547.38571046645643</v>
      </c>
      <c r="BD31" s="2250" t="str">
        <f>ResultsOneYear!$C39</f>
        <v>9000TEU Diesel</v>
      </c>
      <c r="BE31" s="2480">
        <f ca="1">ResultsOneYear!I39</f>
        <v>0.45146578363252743</v>
      </c>
      <c r="BF31" s="2480"/>
      <c r="BG31" s="2480"/>
      <c r="BH31" s="2251">
        <f ca="1">ResultsOneYear!R39</f>
        <v>542118.16882409609</v>
      </c>
    </row>
    <row r="32" spans="2:60" ht="12.75" customHeight="1">
      <c r="AY32" s="2250" t="str">
        <f>ResultsOneYear!$C40</f>
        <v>9000TEU BioDiesel</v>
      </c>
      <c r="AZ32" s="2162" t="str">
        <f ca="1">ResultsOneYear!D40</f>
        <v>Teknologi ikke tilgængelig</v>
      </c>
      <c r="BA32" s="2162" t="str">
        <f ca="1">ResultsOneYear!E40</f>
        <v xml:space="preserve"> </v>
      </c>
      <c r="BB32" s="2249" t="str">
        <f ca="1">ResultsOneYear!F40</f>
        <v xml:space="preserve"> </v>
      </c>
      <c r="BD32" s="2250" t="str">
        <f>ResultsOneYear!$C40</f>
        <v>9000TEU BioDiesel</v>
      </c>
      <c r="BE32" s="2480" t="str">
        <f ca="1">ResultsOneYear!I40</f>
        <v xml:space="preserve"> </v>
      </c>
      <c r="BF32" s="2480"/>
      <c r="BG32" s="2480"/>
      <c r="BH32" s="2251" t="str">
        <f ca="1">ResultsOneYear!R40</f>
        <v xml:space="preserve"> </v>
      </c>
    </row>
    <row r="33" spans="4:60" ht="12.75" customHeight="1">
      <c r="AY33" s="2481" t="str">
        <f>ResultsOneYear!$C41</f>
        <v>9000TEU LNG</v>
      </c>
      <c r="AZ33" s="2486">
        <f ca="1">ResultsOneYear!D41</f>
        <v>335.43935761739453</v>
      </c>
      <c r="BA33" s="2486">
        <f ca="1">ResultsOneYear!E41</f>
        <v>522.6753169515506</v>
      </c>
      <c r="BB33" s="2487">
        <f ca="1">ResultsOneYear!F41</f>
        <v>217.13076133948235</v>
      </c>
      <c r="BD33" s="2481" t="str">
        <f>ResultsOneYear!$C41</f>
        <v>9000TEU LNG</v>
      </c>
      <c r="BE33" s="2482">
        <f ca="1">ResultsOneYear!I41</f>
        <v>0.40611005021873081</v>
      </c>
      <c r="BF33" s="2482"/>
      <c r="BG33" s="2482"/>
      <c r="BH33" s="2252">
        <f ca="1">ResultsOneYear!R41</f>
        <v>528613.83067174477</v>
      </c>
    </row>
    <row r="34" spans="4:60" ht="12.75" customHeight="1"/>
    <row r="35" spans="4:60" ht="12.75" customHeight="1">
      <c r="AY35" s="2477"/>
      <c r="AZ35" s="2478" t="str">
        <f>ResultsOneYear!D$6</f>
        <v>Køretøj</v>
      </c>
      <c r="BA35" s="2478" t="str">
        <f>ResultsOneYear!E$6</f>
        <v>Brændstof inkl. infrastruktur</v>
      </c>
      <c r="BB35" s="2479" t="str">
        <f>ResultsOneYear!F$6</f>
        <v>Værdi emissioner + støj</v>
      </c>
      <c r="BD35" s="2477"/>
      <c r="BE35" s="2478" t="s">
        <v>2389</v>
      </c>
      <c r="BF35" s="2478"/>
      <c r="BG35" s="2478"/>
      <c r="BH35" s="2479" t="s">
        <v>2390</v>
      </c>
    </row>
    <row r="36" spans="4:60" ht="20.25">
      <c r="D36" s="2379" t="s">
        <v>608</v>
      </c>
      <c r="E36" s="2385"/>
      <c r="F36" s="2385"/>
      <c r="G36" s="2385"/>
      <c r="H36" s="2385"/>
      <c r="I36" s="2385"/>
      <c r="J36" s="2385"/>
      <c r="K36" s="2385"/>
      <c r="L36" s="2385"/>
      <c r="M36" s="2385"/>
      <c r="N36" s="2385"/>
      <c r="O36" s="2385"/>
      <c r="P36" s="2385"/>
      <c r="Q36" s="2385"/>
      <c r="R36" s="2385"/>
      <c r="S36" s="2385"/>
      <c r="T36" s="2385"/>
      <c r="U36" s="2385"/>
      <c r="V36" s="2385"/>
      <c r="W36" s="2385"/>
      <c r="X36" s="2385"/>
      <c r="Y36" s="2385"/>
      <c r="AY36" s="2250" t="str">
        <f>ResultsOneYear!$C33</f>
        <v>Fly-fossil</v>
      </c>
      <c r="AZ36" s="1973">
        <f ca="1">ResultsOneYear!D33</f>
        <v>40.971295478940782</v>
      </c>
      <c r="BA36" s="1973">
        <f ca="1">ResultsOneYear!E33</f>
        <v>13.588820564803141</v>
      </c>
      <c r="BB36" s="2483">
        <f ca="1">ResultsOneYear!F33</f>
        <v>2.148181198775843</v>
      </c>
      <c r="BD36" s="2250" t="str">
        <f>ResultsOneYear!$C33</f>
        <v>Fly-fossil</v>
      </c>
      <c r="BE36" s="2480">
        <f ca="1">ResultsOneYear!I33</f>
        <v>0.447221292916757</v>
      </c>
      <c r="BF36" s="2480"/>
      <c r="BG36" s="2480"/>
      <c r="BH36" s="2251">
        <f ca="1">ResultsOneYear!R33</f>
        <v>8160.5219186429176</v>
      </c>
    </row>
    <row r="37" spans="4:60" ht="12.75" customHeight="1">
      <c r="D37" s="2383" t="s">
        <v>606</v>
      </c>
      <c r="O37" s="2383" t="s">
        <v>479</v>
      </c>
      <c r="AA37" s="2383" t="s">
        <v>2289</v>
      </c>
      <c r="AB37" s="2386"/>
      <c r="AC37" s="2386"/>
      <c r="AD37" s="2386"/>
      <c r="AE37" s="2386"/>
      <c r="AF37" s="2386"/>
      <c r="AG37" s="2386"/>
      <c r="AH37" s="2386"/>
      <c r="AI37" s="2386"/>
      <c r="AJ37" s="2386"/>
      <c r="AK37" s="2386"/>
      <c r="AL37" s="2386"/>
      <c r="AM37" s="2383" t="s">
        <v>2378</v>
      </c>
      <c r="AY37" s="2250" t="str">
        <f>ResultsOneYear!$C34</f>
        <v>Fly-biofuel</v>
      </c>
      <c r="AZ37" s="1973" t="str">
        <f ca="1">ResultsOneYear!D34</f>
        <v>Teknologi ikke tilgængelig</v>
      </c>
      <c r="BA37" s="1973" t="str">
        <f ca="1">ResultsOneYear!E34</f>
        <v xml:space="preserve"> </v>
      </c>
      <c r="BB37" s="2483" t="str">
        <f ca="1">ResultsOneYear!F34</f>
        <v xml:space="preserve"> </v>
      </c>
      <c r="BD37" s="2250" t="str">
        <f>ResultsOneYear!$C34</f>
        <v>Fly-biofuel</v>
      </c>
      <c r="BE37" s="2480" t="str">
        <f ca="1">ResultsOneYear!I34</f>
        <v xml:space="preserve"> </v>
      </c>
      <c r="BF37" s="2480"/>
      <c r="BG37" s="2480"/>
      <c r="BH37" s="2251" t="str">
        <f ca="1">ResultsOneYear!R34</f>
        <v xml:space="preserve"> </v>
      </c>
    </row>
    <row r="38" spans="4:60" ht="12.75" customHeight="1">
      <c r="AY38" s="2250" t="str">
        <f>ResultsOneYear!$C43</f>
        <v>IC Tog-diesel</v>
      </c>
      <c r="AZ38" s="1973">
        <f ca="1">ResultsOneYear!D43</f>
        <v>42.743963249923823</v>
      </c>
      <c r="BA38" s="1973">
        <f ca="1">ResultsOneYear!E43</f>
        <v>5.7354646358041883</v>
      </c>
      <c r="BB38" s="2483">
        <f ca="1">ResultsOneYear!F43</f>
        <v>3.7570037759796713</v>
      </c>
      <c r="BD38" s="2250" t="str">
        <f>ResultsOneYear!$C43</f>
        <v>IC Tog-diesel</v>
      </c>
      <c r="BE38" s="2480">
        <f ca="1">ResultsOneYear!I43</f>
        <v>0.29816004259848461</v>
      </c>
      <c r="BF38" s="2480"/>
      <c r="BG38" s="2480"/>
      <c r="BH38" s="2251">
        <f ca="1">ResultsOneYear!R43</f>
        <v>3264.8815206779341</v>
      </c>
    </row>
    <row r="39" spans="4:60" ht="12.75" customHeight="1">
      <c r="AY39" s="2250" t="str">
        <f>ResultsOneYear!$C44</f>
        <v>IC Tog-biodiesel halm</v>
      </c>
      <c r="AZ39" s="1973" t="str">
        <f ca="1">ResultsOneYear!D44</f>
        <v>Teknologi ikke tilgængelig</v>
      </c>
      <c r="BA39" s="1973" t="str">
        <f ca="1">ResultsOneYear!E44</f>
        <v xml:space="preserve"> </v>
      </c>
      <c r="BB39" s="2483" t="str">
        <f ca="1">ResultsOneYear!F44</f>
        <v xml:space="preserve"> </v>
      </c>
      <c r="BD39" s="2250" t="str">
        <f>ResultsOneYear!$C44</f>
        <v>IC Tog-biodiesel halm</v>
      </c>
      <c r="BE39" s="2480" t="str">
        <f ca="1">ResultsOneYear!I44</f>
        <v xml:space="preserve"> </v>
      </c>
      <c r="BF39" s="2480"/>
      <c r="BG39" s="2480"/>
      <c r="BH39" s="2251" t="str">
        <f ca="1">ResultsOneYear!R44</f>
        <v xml:space="preserve"> </v>
      </c>
    </row>
    <row r="40" spans="4:60" ht="12.75" customHeight="1">
      <c r="AY40" s="2250" t="str">
        <f>ResultsOneYear!$C45</f>
        <v>IC Tog-el</v>
      </c>
      <c r="AZ40" s="1973">
        <f ca="1">ResultsOneYear!D45</f>
        <v>43.090904237018634</v>
      </c>
      <c r="BA40" s="1973">
        <f ca="1">ResultsOneYear!E45</f>
        <v>9.5941748047471123</v>
      </c>
      <c r="BB40" s="2483">
        <f ca="1">ResultsOneYear!F45</f>
        <v>9.9115847380816038E-2</v>
      </c>
      <c r="BD40" s="2250" t="str">
        <f>ResultsOneYear!$C45</f>
        <v>IC Tog-el</v>
      </c>
      <c r="BE40" s="2480">
        <f ca="1">ResultsOneYear!I45</f>
        <v>0.69049021146920753</v>
      </c>
      <c r="BF40" s="2480"/>
      <c r="BG40" s="2480"/>
      <c r="BH40" s="2251">
        <f ca="1">ResultsOneYear!R45</f>
        <v>100.57603941182192</v>
      </c>
    </row>
    <row r="41" spans="4:60" ht="12.75" customHeight="1">
      <c r="AY41" s="2250" t="str">
        <f>ResultsOneYear!$C46</f>
        <v>Lokaltog-diesel</v>
      </c>
      <c r="AZ41" s="1973">
        <f ca="1">ResultsOneYear!D46</f>
        <v>38.760327639897277</v>
      </c>
      <c r="BA41" s="1973">
        <f ca="1">ResultsOneYear!E46</f>
        <v>4.6926528838397896</v>
      </c>
      <c r="BB41" s="2483">
        <f ca="1">ResultsOneYear!F46</f>
        <v>2.6199763050190037</v>
      </c>
      <c r="BD41" s="2250" t="str">
        <f>ResultsOneYear!$C46</f>
        <v>Lokaltog-diesel</v>
      </c>
      <c r="BE41" s="2480">
        <f ca="1">ResultsOneYear!I46</f>
        <v>0.29816004259848461</v>
      </c>
      <c r="BF41" s="2480"/>
      <c r="BG41" s="2480"/>
      <c r="BH41" s="2251">
        <f ca="1">ResultsOneYear!R46</f>
        <v>2671.266698736491</v>
      </c>
    </row>
    <row r="42" spans="4:60" ht="12.75" customHeight="1">
      <c r="AY42" s="2250" t="str">
        <f>ResultsOneYear!$C47</f>
        <v>Lokaltog-biodiesel halm</v>
      </c>
      <c r="AZ42" s="1973" t="str">
        <f ca="1">ResultsOneYear!D47</f>
        <v>Teknologi ikke tilgængelig</v>
      </c>
      <c r="BA42" s="1973" t="str">
        <f ca="1">ResultsOneYear!E47</f>
        <v xml:space="preserve"> </v>
      </c>
      <c r="BB42" s="2483" t="str">
        <f ca="1">ResultsOneYear!F47</f>
        <v xml:space="preserve"> </v>
      </c>
      <c r="BD42" s="2250" t="str">
        <f>ResultsOneYear!$C47</f>
        <v>Lokaltog-biodiesel halm</v>
      </c>
      <c r="BE42" s="2480" t="str">
        <f ca="1">ResultsOneYear!I47</f>
        <v xml:space="preserve"> </v>
      </c>
      <c r="BF42" s="2480"/>
      <c r="BG42" s="2480"/>
      <c r="BH42" s="2251" t="str">
        <f ca="1">ResultsOneYear!R47</f>
        <v xml:space="preserve"> </v>
      </c>
    </row>
    <row r="43" spans="4:60" ht="12.75" customHeight="1">
      <c r="AY43" s="2481" t="str">
        <f>ResultsOneYear!$C48</f>
        <v>Lokaltog-LNG</v>
      </c>
      <c r="AZ43" s="2484">
        <f ca="1">ResultsOneYear!D48</f>
        <v>43.49049145984592</v>
      </c>
      <c r="BA43" s="2484">
        <f ca="1">ResultsOneYear!E48</f>
        <v>2.5548831361770192</v>
      </c>
      <c r="BB43" s="2485">
        <f ca="1">ResultsOneYear!F48</f>
        <v>2.5343337815707923</v>
      </c>
      <c r="BD43" s="2481" t="str">
        <f>ResultsOneYear!$C48</f>
        <v>Lokaltog-LNG</v>
      </c>
      <c r="BE43" s="2482">
        <f ca="1">ResultsOneYear!I48</f>
        <v>0.28718003652181961</v>
      </c>
      <c r="BF43" s="2482"/>
      <c r="BG43" s="2482"/>
      <c r="BH43" s="2252">
        <f ca="1">ResultsOneYear!R48</f>
        <v>2385.0901574690902</v>
      </c>
    </row>
    <row r="44" spans="4:60" ht="12.75" customHeight="1"/>
    <row r="45" spans="4:60" ht="12.75" customHeight="1"/>
    <row r="46" spans="4:60" ht="12.75" customHeight="1"/>
    <row r="47" spans="4:60" ht="12.75" customHeight="1"/>
    <row r="48" spans="4:60" ht="12.75" customHeight="1"/>
    <row r="49" spans="2:2" ht="12.75" customHeight="1"/>
    <row r="50" spans="2:2" ht="12.75" customHeight="1"/>
    <row r="51" spans="2:2" ht="12.75" customHeight="1"/>
    <row r="52" spans="2:2" ht="12.75" customHeight="1"/>
    <row r="53" spans="2:2" ht="12.75" customHeight="1"/>
    <row r="54" spans="2:2" ht="12.75" customHeight="1"/>
    <row r="55" spans="2:2" ht="12.75" customHeight="1"/>
    <row r="56" spans="2:2" ht="12.75" customHeight="1"/>
    <row r="57" spans="2:2" ht="12.75" customHeight="1">
      <c r="B57" s="1241">
        <v>2</v>
      </c>
    </row>
    <row r="58" spans="2:2" ht="12.75" customHeight="1"/>
    <row r="59" spans="2:2" ht="12.75" customHeight="1"/>
    <row r="60" spans="2:2" ht="12.75" customHeight="1"/>
    <row r="61" spans="2:2" ht="12.75" customHeight="1"/>
    <row r="62" spans="2:2" ht="12.75" customHeight="1"/>
    <row r="63" spans="2:2" ht="12" customHeight="1"/>
    <row r="64" spans="2:2" ht="12.75" customHeight="1"/>
    <row r="65" ht="12.75" customHeight="1"/>
    <row r="66" ht="12.75" customHeight="1"/>
    <row r="67" ht="12.75" customHeight="1"/>
    <row r="68" ht="12.75" customHeight="1"/>
    <row r="69" ht="12.75" customHeight="1"/>
    <row r="70"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1048574" spans="1:1">
      <c r="A1048574" s="1241">
        <v>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9730" r:id="rId3" name="Drop Down 2">
              <controlPr defaultSize="0" autoLine="0" autoPict="0">
                <anchor moveWithCells="1">
                  <from>
                    <xdr:col>1</xdr:col>
                    <xdr:colOff>0</xdr:colOff>
                    <xdr:row>9</xdr:row>
                    <xdr:rowOff>152400</xdr:rowOff>
                  </from>
                  <to>
                    <xdr:col>1</xdr:col>
                    <xdr:colOff>1428750</xdr:colOff>
                    <xdr:row>11</xdr:row>
                    <xdr:rowOff>28575</xdr:rowOff>
                  </to>
                </anchor>
              </controlPr>
            </control>
          </mc:Choice>
        </mc:AlternateContent>
        <mc:AlternateContent xmlns:mc="http://schemas.openxmlformats.org/markup-compatibility/2006">
          <mc:Choice Requires="x14">
            <control shapeId="329732" r:id="rId4" name="Drop Down 4">
              <controlPr defaultSize="0" autoLine="0" autoPict="0">
                <anchor moveWithCells="1">
                  <from>
                    <xdr:col>1</xdr:col>
                    <xdr:colOff>0</xdr:colOff>
                    <xdr:row>6</xdr:row>
                    <xdr:rowOff>142875</xdr:rowOff>
                  </from>
                  <to>
                    <xdr:col>1</xdr:col>
                    <xdr:colOff>981075</xdr:colOff>
                    <xdr:row>8</xdr:row>
                    <xdr:rowOff>28575</xdr:rowOff>
                  </to>
                </anchor>
              </controlPr>
            </control>
          </mc:Choice>
        </mc:AlternateContent>
        <mc:AlternateContent xmlns:mc="http://schemas.openxmlformats.org/markup-compatibility/2006">
          <mc:Choice Requires="x14">
            <control shapeId="329735" r:id="rId5" name="Button 7">
              <controlPr defaultSize="0" print="0" autoFill="0" autoPict="0" macro="[0]!Danmark">
                <anchor moveWithCells="1" sizeWithCells="1">
                  <from>
                    <xdr:col>1</xdr:col>
                    <xdr:colOff>47625</xdr:colOff>
                    <xdr:row>20</xdr:row>
                    <xdr:rowOff>114300</xdr:rowOff>
                  </from>
                  <to>
                    <xdr:col>1</xdr:col>
                    <xdr:colOff>1800225</xdr:colOff>
                    <xdr:row>22</xdr:row>
                    <xdr:rowOff>66675</xdr:rowOff>
                  </to>
                </anchor>
              </controlPr>
            </control>
          </mc:Choice>
        </mc:AlternateContent>
        <mc:AlternateContent xmlns:mc="http://schemas.openxmlformats.org/markup-compatibility/2006">
          <mc:Choice Requires="x14">
            <control shapeId="329736" r:id="rId6" name="Drop Down 8">
              <controlPr defaultSize="0" autoLine="0" autoPict="0">
                <anchor moveWithCells="1">
                  <from>
                    <xdr:col>0</xdr:col>
                    <xdr:colOff>257175</xdr:colOff>
                    <xdr:row>12</xdr:row>
                    <xdr:rowOff>142875</xdr:rowOff>
                  </from>
                  <to>
                    <xdr:col>1</xdr:col>
                    <xdr:colOff>1743075</xdr:colOff>
                    <xdr:row>14</xdr:row>
                    <xdr:rowOff>28575</xdr:rowOff>
                  </to>
                </anchor>
              </controlPr>
            </control>
          </mc:Choice>
        </mc:AlternateContent>
        <mc:AlternateContent xmlns:mc="http://schemas.openxmlformats.org/markup-compatibility/2006">
          <mc:Choice Requires="x14">
            <control shapeId="329738" r:id="rId7" name="Drop Down 10">
              <controlPr defaultSize="0" autoLine="0" autoPict="0">
                <anchor moveWithCells="1">
                  <from>
                    <xdr:col>0</xdr:col>
                    <xdr:colOff>257175</xdr:colOff>
                    <xdr:row>15</xdr:row>
                    <xdr:rowOff>161925</xdr:rowOff>
                  </from>
                  <to>
                    <xdr:col>1</xdr:col>
                    <xdr:colOff>1743075</xdr:colOff>
                    <xdr:row>17</xdr:row>
                    <xdr:rowOff>38100</xdr:rowOff>
                  </to>
                </anchor>
              </controlPr>
            </control>
          </mc:Choice>
        </mc:AlternateContent>
        <mc:AlternateContent xmlns:mc="http://schemas.openxmlformats.org/markup-compatibility/2006">
          <mc:Choice Requires="x14">
            <control shapeId="329740" r:id="rId8" name="Drop Down 12">
              <controlPr defaultSize="0" autoLine="0" autoPict="0">
                <anchor moveWithCells="1">
                  <from>
                    <xdr:col>0</xdr:col>
                    <xdr:colOff>247650</xdr:colOff>
                    <xdr:row>4</xdr:row>
                    <xdr:rowOff>0</xdr:rowOff>
                  </from>
                  <to>
                    <xdr:col>1</xdr:col>
                    <xdr:colOff>981075</xdr:colOff>
                    <xdr:row>5</xdr:row>
                    <xdr:rowOff>38100</xdr:rowOff>
                  </to>
                </anchor>
              </controlPr>
            </control>
          </mc:Choice>
        </mc:AlternateContent>
        <mc:AlternateContent xmlns:mc="http://schemas.openxmlformats.org/markup-compatibility/2006">
          <mc:Choice Requires="x14">
            <control shapeId="329743" r:id="rId9" name="Drop Down 15">
              <controlPr defaultSize="0" autoLine="0" autoPict="0">
                <anchor moveWithCells="1">
                  <from>
                    <xdr:col>0</xdr:col>
                    <xdr:colOff>257175</xdr:colOff>
                    <xdr:row>18</xdr:row>
                    <xdr:rowOff>161925</xdr:rowOff>
                  </from>
                  <to>
                    <xdr:col>1</xdr:col>
                    <xdr:colOff>1562100</xdr:colOff>
                    <xdr:row>20</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B050"/>
    <outlinePr summaryBelow="0" summaryRight="0"/>
  </sheetPr>
  <dimension ref="B1:AC96"/>
  <sheetViews>
    <sheetView zoomScaleNormal="100" workbookViewId="0">
      <selection activeCell="O27" sqref="O27"/>
    </sheetView>
  </sheetViews>
  <sheetFormatPr defaultRowHeight="12.75"/>
  <cols>
    <col min="1" max="1" width="1.7109375" style="1" customWidth="1"/>
    <col min="2" max="2" width="4.5703125" style="1" customWidth="1"/>
    <col min="3" max="3" width="24.28515625" style="1" customWidth="1"/>
    <col min="4" max="4" width="20.28515625" style="1" customWidth="1"/>
    <col min="5" max="7" width="9.140625" style="1" customWidth="1"/>
    <col min="8" max="8" width="7" style="1" customWidth="1"/>
    <col min="9" max="9" width="9.140625" style="1" customWidth="1"/>
    <col min="10" max="10" width="6.28515625" style="1" customWidth="1"/>
    <col min="11" max="11" width="8" style="1" customWidth="1"/>
    <col min="12" max="12" width="10.85546875" style="1" customWidth="1"/>
    <col min="13" max="13" width="6.5703125" style="1" customWidth="1"/>
    <col min="14" max="14" width="11.7109375" style="1" customWidth="1"/>
    <col min="15" max="15" width="9.140625" style="1" bestFit="1" customWidth="1"/>
    <col min="16" max="16" width="8.7109375" style="1" bestFit="1" customWidth="1"/>
    <col min="17" max="17" width="6.42578125" style="1" customWidth="1"/>
    <col min="18" max="18" width="7.85546875" style="1" customWidth="1"/>
    <col min="19" max="19" width="7.28515625" style="1" customWidth="1"/>
    <col min="20" max="20" width="13.28515625" style="1" customWidth="1"/>
    <col min="21" max="21" width="10.5703125" style="1" customWidth="1"/>
    <col min="22" max="22" width="10.5703125" style="58" customWidth="1"/>
    <col min="23" max="23" width="16.28515625" style="1" customWidth="1"/>
    <col min="24" max="24" width="9.140625" style="1" customWidth="1"/>
    <col min="25" max="25" width="11.5703125" style="1" customWidth="1"/>
    <col min="26" max="26" width="9.140625" style="1" customWidth="1"/>
    <col min="27" max="27" width="9.42578125" style="1" customWidth="1"/>
    <col min="28" max="35" width="9.140625" style="1" customWidth="1"/>
    <col min="36" max="16384" width="9.140625" style="1"/>
  </cols>
  <sheetData>
    <row r="1" spans="2:29" s="465" customFormat="1" ht="21">
      <c r="B1" s="465" t="s">
        <v>299</v>
      </c>
      <c r="P1" s="2387">
        <f ca="1">'Log2015'!M1</f>
        <v>-8.0112614142160741</v>
      </c>
      <c r="Q1" s="468">
        <f ca="1">'Log2015'!N1</f>
        <v>-160807.124977848</v>
      </c>
      <c r="R1" s="2388"/>
      <c r="S1" s="2388"/>
      <c r="T1" s="2388"/>
      <c r="W1" s="2389"/>
      <c r="Y1" s="2388"/>
      <c r="AA1" s="2389"/>
    </row>
    <row r="2" spans="2:29" ht="13.5" thickBot="1"/>
    <row r="3" spans="2:29" ht="13.5" thickBot="1">
      <c r="I3" s="88" t="s">
        <v>250</v>
      </c>
      <c r="J3" s="117"/>
      <c r="K3" s="264">
        <f>Supplementary!C195</f>
        <v>1</v>
      </c>
      <c r="L3" s="264">
        <f>Supplementary!C196</f>
        <v>25</v>
      </c>
      <c r="M3" s="265">
        <f>Supplementary!C197</f>
        <v>298</v>
      </c>
    </row>
    <row r="4" spans="2:29" ht="13.5" thickBot="1">
      <c r="C4" s="5" t="s">
        <v>304</v>
      </c>
      <c r="D4" s="5" t="s">
        <v>305</v>
      </c>
      <c r="E4" s="2">
        <f ca="1">Supplementary!L12</f>
        <v>2015</v>
      </c>
      <c r="F4" s="2"/>
      <c r="G4" s="2"/>
      <c r="H4" s="2"/>
      <c r="I4" s="2"/>
      <c r="J4" s="2"/>
      <c r="L4" s="2"/>
      <c r="M4" s="2"/>
      <c r="N4" s="2"/>
      <c r="O4" s="2"/>
      <c r="P4" s="2"/>
      <c r="Q4" s="2"/>
      <c r="R4" s="2"/>
      <c r="S4" s="2"/>
      <c r="T4" s="2"/>
      <c r="U4" s="2"/>
      <c r="V4" s="168"/>
    </row>
    <row r="5" spans="2:29" ht="13.5" thickBot="1">
      <c r="C5" s="6"/>
      <c r="D5" s="2471" t="s">
        <v>47</v>
      </c>
      <c r="E5" s="2472"/>
      <c r="F5" s="2472"/>
      <c r="G5" s="2473"/>
      <c r="H5" s="2471" t="s">
        <v>48</v>
      </c>
      <c r="I5" s="2472"/>
      <c r="J5" s="2473"/>
      <c r="K5" s="2471" t="s">
        <v>49</v>
      </c>
      <c r="L5" s="2472"/>
      <c r="M5" s="2472"/>
      <c r="N5" s="2472"/>
      <c r="O5" s="2472"/>
      <c r="P5" s="2474"/>
      <c r="Q5" s="2"/>
      <c r="R5" s="2"/>
      <c r="S5" s="2"/>
      <c r="T5" s="382" t="s">
        <v>687</v>
      </c>
      <c r="V5" s="2463"/>
      <c r="W5" s="2464"/>
    </row>
    <row r="6" spans="2:29">
      <c r="C6" s="7" t="s">
        <v>50</v>
      </c>
      <c r="D6" s="8" t="s">
        <v>378</v>
      </c>
      <c r="E6" s="3" t="s">
        <v>610</v>
      </c>
      <c r="F6" s="3" t="s">
        <v>556</v>
      </c>
      <c r="G6" s="9" t="s">
        <v>300</v>
      </c>
      <c r="H6" s="8"/>
      <c r="I6" s="3" t="s">
        <v>51</v>
      </c>
      <c r="J6" s="9"/>
      <c r="K6" s="4" t="s">
        <v>24</v>
      </c>
      <c r="L6" s="4" t="s">
        <v>27</v>
      </c>
      <c r="M6" s="4" t="s">
        <v>28</v>
      </c>
      <c r="N6" s="4" t="s">
        <v>26</v>
      </c>
      <c r="O6" s="4" t="s">
        <v>25</v>
      </c>
      <c r="P6" s="263" t="s">
        <v>45</v>
      </c>
      <c r="Q6" s="2"/>
      <c r="R6" s="12" t="s">
        <v>56</v>
      </c>
      <c r="S6" s="4"/>
      <c r="T6" s="383"/>
      <c r="V6" s="4"/>
      <c r="W6" s="2465"/>
    </row>
    <row r="7" spans="2:29">
      <c r="C7" s="10"/>
      <c r="D7" s="2475" t="s">
        <v>55</v>
      </c>
      <c r="E7" s="2469"/>
      <c r="F7" s="2469"/>
      <c r="G7" s="2476"/>
      <c r="H7" s="2475" t="s">
        <v>52</v>
      </c>
      <c r="I7" s="2469"/>
      <c r="J7" s="2476"/>
      <c r="K7" s="2475" t="s">
        <v>7</v>
      </c>
      <c r="L7" s="2469"/>
      <c r="M7" s="2469"/>
      <c r="N7" s="2469"/>
      <c r="O7" s="2469"/>
      <c r="P7" s="2470"/>
      <c r="Q7" s="2"/>
      <c r="R7" s="13" t="s">
        <v>7</v>
      </c>
      <c r="S7" s="4"/>
      <c r="T7" s="13" t="s">
        <v>55</v>
      </c>
      <c r="V7" s="4"/>
      <c r="W7" s="2466" t="s">
        <v>301</v>
      </c>
    </row>
    <row r="8" spans="2:29" ht="12.75" customHeight="1">
      <c r="B8" s="2522" t="s">
        <v>2287</v>
      </c>
      <c r="C8" s="7" t="s">
        <v>2718</v>
      </c>
      <c r="D8" s="2515">
        <f ca="1">IF(OFFSET(Vehicles!$E$12,chosenYear,MATCH($W8,Vehicles!$F$6:$AP$6,0))="Nej","Teknologi ikke tilgængelig",OFFSET(Vehicles!$E$26,0,MATCH($W8,Vehicles!$F$6:$AP$6,0))-OFFSET(Vehicles!$E$27,0,MATCH($W8,Vehicles!$F$6:$AP$6,0)))</f>
        <v>1.1633739010812751</v>
      </c>
      <c r="E8" s="145">
        <f ca="1">IF($D8="Teknologi ikke tilgængelig"," ",OFFSET(Vehicles!$E$27,0,MATCH($W8,Vehicles!$F$6:$AP$6,0)))</f>
        <v>0.23628094002963623</v>
      </c>
      <c r="F8" s="145">
        <f ca="1">IF($D8="Teknologi ikke tilgængelig"," ",OFFSET(Vehicles!$E$25,0,MATCH($W8,Vehicles!$F$6:$AP$6,0)))</f>
        <v>7.107049790144282E-2</v>
      </c>
      <c r="G8" s="146">
        <f ca="1">IF($D8="Teknologi ikke tilgængelig"," ",SUM(D8:F8))</f>
        <v>1.470725339012354</v>
      </c>
      <c r="H8" s="147"/>
      <c r="I8" s="257">
        <f ca="1">IF($D8="Teknologi ikke tilgængelig"," ",OFFSET(Vehicles!$E$63,0,MATCH($W8,Vehicles!$F$6:$AP$6,0)))</f>
        <v>0.23759628394566742</v>
      </c>
      <c r="J8" s="148"/>
      <c r="K8" s="458">
        <f ca="1">IF($D8="Teknologi ikke tilgængelig"," ",OFFSET(Vehicles!$E$182,0,MATCH($W8,Vehicles!$F$6:$AP$6,0)))</f>
        <v>129.10407835437584</v>
      </c>
      <c r="L8" s="150">
        <f ca="1">IF($D8="Teknologi ikke tilgængelig"," ",OFFSET(Vehicles!$E$183,0,MATCH($W8,Vehicles!$F$6:$AP$6,0)))</f>
        <v>4.8012609040468654E-2</v>
      </c>
      <c r="M8" s="150">
        <f ca="1">IF($D8="Teknologi ikke tilgængelig"," ",OFFSET(Vehicles!$E$184,0,MATCH($W8,Vehicles!$F$6:$AP$6,0)))</f>
        <v>1.3777529156443044E-5</v>
      </c>
      <c r="N8" s="150">
        <f ca="1">IF($D8="Teknologi ikke tilgængelig"," ",OFFSET(Vehicles!$E$185,0,MATCH($W8,Vehicles!$F$6:$AP$6,0)))</f>
        <v>3.7352222940245112E-3</v>
      </c>
      <c r="O8" s="150">
        <f ca="1">IF($D8="Teknologi ikke tilgængelig"," ",OFFSET(Vehicles!$E$186,0,MATCH($W8,Vehicles!$F$6:$AP$6,0)))</f>
        <v>0.25590166357906741</v>
      </c>
      <c r="P8" s="170">
        <f ca="1">IF($D8="Teknologi ikke tilgængelig"," ",OFFSET(Vehicles!$E$187,0,MATCH($W8,Vehicles!$F$6:$AP$6,0)))</f>
        <v>4.8294582819452666E-3</v>
      </c>
      <c r="Q8" s="2"/>
      <c r="R8" s="259">
        <f ca="1">IF($D8="Teknologi ikke tilgængelig"," ",SUMPRODUCT($K$3:$M$3,K8:M8))</f>
        <v>130.30849928407619</v>
      </c>
      <c r="S8" s="381"/>
      <c r="T8" s="384">
        <f ca="1">IF($D8="Teknologi ikke tilgængelig"," ",OFFSET(Vehicles!$E$51,0,MATCH($W8,Vehicles!$F$6:$AP$6,0)))</f>
        <v>3.6670713451180371E-2</v>
      </c>
      <c r="V8" s="150"/>
      <c r="W8" s="2467" t="s">
        <v>961</v>
      </c>
      <c r="X8" s="267"/>
      <c r="AA8" s="268"/>
      <c r="AC8" s="345"/>
    </row>
    <row r="9" spans="2:29">
      <c r="B9" s="2522"/>
      <c r="C9" s="11" t="s">
        <v>2719</v>
      </c>
      <c r="D9" s="2515">
        <f ca="1">IF(OFFSET(Vehicles!$E$12,chosenYear,MATCH($W9,Vehicles!$F$6:$AP$6,0))="Nej","Teknologi ikke tilgængelig",OFFSET(Vehicles!$E$26,0,MATCH($W9,Vehicles!$F$6:$AP$6,0))-OFFSET(Vehicles!$E$27,0,MATCH($W9,Vehicles!$F$6:$AP$6,0)))</f>
        <v>1.087921776676704</v>
      </c>
      <c r="E9" s="145">
        <f ca="1">IF($D9="Teknologi ikke tilgængelig"," ",OFFSET(Vehicles!$E$27,0,MATCH($W9,Vehicles!$F$6:$AP$6,0)))</f>
        <v>0.3288289196461448</v>
      </c>
      <c r="F9" s="145">
        <f ca="1">IF($D9="Teknologi ikke tilgængelig"," ",OFFSET(Vehicles!$E$25,0,MATCH($W9,Vehicles!$F$6:$AP$6,0)))</f>
        <v>6.8724123665360431E-2</v>
      </c>
      <c r="G9" s="146">
        <f t="shared" ref="G9:G48" ca="1" si="0">IF($D9="Teknologi ikke tilgængelig"," ",SUM(D9:F9))</f>
        <v>1.4854748199882091</v>
      </c>
      <c r="H9" s="147"/>
      <c r="I9" s="257">
        <f ca="1">IF($D9="Teknologi ikke tilgængelig"," ",OFFSET(Vehicles!$E$63,0,MATCH($W9,Vehicles!$F$6:$AP$6,0)))</f>
        <v>0.16769792432989633</v>
      </c>
      <c r="J9" s="148"/>
      <c r="K9" s="458">
        <f ca="1">IF($D9="Teknologi ikke tilgængelig"," ",OFFSET(Vehicles!$E$182,0,MATCH($W9,Vehicles!$F$6:$AP$6,0)))</f>
        <v>172.55843372534684</v>
      </c>
      <c r="L9" s="150">
        <f ca="1">IF($D9="Teknologi ikke tilgængelig"," ",OFFSET(Vehicles!$E$183,0,MATCH($W9,Vehicles!$F$6:$AP$6,0)))</f>
        <v>3.202483363648826E-2</v>
      </c>
      <c r="M9" s="150">
        <f ca="1">IF($D9="Teknologi ikke tilgængelig"," ",OFFSET(Vehicles!$E$184,0,MATCH($W9,Vehicles!$F$6:$AP$6,0)))</f>
        <v>1.9450342850515443E-5</v>
      </c>
      <c r="N9" s="150">
        <f ca="1">IF($D9="Teknologi ikke tilgængelig"," ",OFFSET(Vehicles!$E$185,0,MATCH($W9,Vehicles!$F$6:$AP$6,0)))</f>
        <v>1.1259263887397026E-4</v>
      </c>
      <c r="O9" s="150">
        <f ca="1">IF($D9="Teknologi ikke tilgængelig"," ",OFFSET(Vehicles!$E$186,0,MATCH($W9,Vehicles!$F$6:$AP$6,0)))</f>
        <v>0.17389290520138728</v>
      </c>
      <c r="P9" s="170">
        <f ca="1">IF($D9="Teknologi ikke tilgængelig"," ",OFFSET(Vehicles!$E$187,0,MATCH($W9,Vehicles!$F$6:$AP$6,0)))</f>
        <v>5.0433545095920273E-3</v>
      </c>
      <c r="Q9" s="168"/>
      <c r="R9" s="259">
        <f t="shared" ref="R9:R48" ca="1" si="1">IF($D9="Teknologi ikke tilgængelig"," ",SUMPRODUCT($K$3:$M$3,K9:M9))</f>
        <v>173.36485076842851</v>
      </c>
      <c r="S9" s="381"/>
      <c r="T9" s="384">
        <f ca="1">IF($D9="Teknologi ikke tilgængelig"," ",OFFSET(Vehicles!$E$51,0,MATCH($W9,Vehicles!$F$6:$AP$6,0)))</f>
        <v>6.6576558451709331E-2</v>
      </c>
      <c r="V9" s="150"/>
      <c r="W9" s="2467" t="s">
        <v>962</v>
      </c>
      <c r="X9" s="267"/>
      <c r="AA9" s="268"/>
      <c r="AC9" s="345"/>
    </row>
    <row r="10" spans="2:29">
      <c r="B10" s="2522"/>
      <c r="C10" s="7" t="s">
        <v>2720</v>
      </c>
      <c r="D10" s="2515">
        <f ca="1">IF(OFFSET(Vehicles!$E$12,chosenYear,MATCH($W10,Vehicles!$F$6:$AP$6,0))="Nej","Teknologi ikke tilgængelig",OFFSET(Vehicles!$E$26,0,MATCH($W10,Vehicles!$F$6:$AP$6,0))-OFFSET(Vehicles!$E$27,0,MATCH($W10,Vehicles!$F$6:$AP$6,0)))</f>
        <v>1.087921776676704</v>
      </c>
      <c r="E10" s="145">
        <f ca="1">IF($D10="Teknologi ikke tilgængelig"," ",OFFSET(Vehicles!$E$27,0,MATCH($W10,Vehicles!$F$6:$AP$6,0)))</f>
        <v>0.3951834906643838</v>
      </c>
      <c r="F10" s="145">
        <f ca="1">IF($D10="Teknologi ikke tilgængelig"," ",OFFSET(Vehicles!$E$25,0,MATCH($W10,Vehicles!$F$6:$AP$6,0)))</f>
        <v>0.10260043543487185</v>
      </c>
      <c r="G10" s="146">
        <f t="shared" ca="1" si="0"/>
        <v>1.5857057027759596</v>
      </c>
      <c r="H10" s="147"/>
      <c r="I10" s="257">
        <f ca="1">IF($D10="Teknologi ikke tilgængelig"," ",OFFSET(Vehicles!$E$63,0,MATCH($W10,Vehicles!$F$6:$AP$6,0)))</f>
        <v>0.13923731496982597</v>
      </c>
      <c r="J10" s="148"/>
      <c r="K10" s="458">
        <f ca="1">IF($D10="Teknologi ikke tilgængelig"," ",OFFSET(Vehicles!$E$182,0,MATCH($W10,Vehicles!$F$6:$AP$6,0)))</f>
        <v>655.50814561418053</v>
      </c>
      <c r="L10" s="150">
        <f ca="1">IF($D10="Teknologi ikke tilgængelig"," ",OFFSET(Vehicles!$E$183,0,MATCH($W10,Vehicles!$F$6:$AP$6,0)))</f>
        <v>3.6430700509678969E-2</v>
      </c>
      <c r="M10" s="150">
        <f ca="1">IF($D10="Teknologi ikke tilgængelig"," ",OFFSET(Vehicles!$E$184,0,MATCH($W10,Vehicles!$F$6:$AP$6,0)))</f>
        <v>2.4538153111336452E-4</v>
      </c>
      <c r="N10" s="150">
        <f ca="1">IF($D10="Teknologi ikke tilgængelig"," ",OFFSET(Vehicles!$E$185,0,MATCH($W10,Vehicles!$F$6:$AP$6,0)))</f>
        <v>1.0622722529863238E-2</v>
      </c>
      <c r="O10" s="150">
        <f ca="1">IF($D10="Teknologi ikke tilgængelig"," ",OFFSET(Vehicles!$E$186,0,MATCH($W10,Vehicles!$F$6:$AP$6,0)))</f>
        <v>0.31708824681041975</v>
      </c>
      <c r="P10" s="170">
        <f ca="1">IF($D10="Teknologi ikke tilgængelig"," ",OFFSET(Vehicles!$E$187,0,MATCH($W10,Vehicles!$F$6:$AP$6,0)))</f>
        <v>6.1405618023072841E-3</v>
      </c>
      <c r="Q10" s="168"/>
      <c r="R10" s="259">
        <f t="shared" ca="1" si="1"/>
        <v>656.49203682319421</v>
      </c>
      <c r="S10" s="381"/>
      <c r="T10" s="384">
        <f ca="1">IF($D10="Teknologi ikke tilgængelig"," ",OFFSET(Vehicles!$E$51,0,MATCH($W10,Vehicles!$F$6:$AP$6,0)))</f>
        <v>9.5443577385943362E-2</v>
      </c>
      <c r="V10" s="150"/>
      <c r="W10" s="2467" t="s">
        <v>84</v>
      </c>
      <c r="X10" s="267"/>
      <c r="AA10" s="268"/>
      <c r="AC10" s="345"/>
    </row>
    <row r="11" spans="2:29">
      <c r="B11" s="2522"/>
      <c r="C11" s="7" t="s">
        <v>2721</v>
      </c>
      <c r="D11" s="2515">
        <f ca="1">IF(OFFSET(Vehicles!$E$12,chosenYear,MATCH($W11,Vehicles!$F$6:$AP$6,0))="Nej","Teknologi ikke tilgængelig",OFFSET(Vehicles!$E$26,0,MATCH($W11,Vehicles!$F$6:$AP$6,0))-OFFSET(Vehicles!$E$27,0,MATCH($W11,Vehicles!$F$6:$AP$6,0)))</f>
        <v>1.0879217766767042</v>
      </c>
      <c r="E11" s="145">
        <f ca="1">IF($D11="Teknologi ikke tilgængelig"," ",OFFSET(Vehicles!$E$27,0,MATCH($W11,Vehicles!$F$6:$AP$6,0)))</f>
        <v>0.26366706712438354</v>
      </c>
      <c r="F11" s="145">
        <f ca="1">IF($D11="Teknologi ikke tilgængelig"," ",OFFSET(Vehicles!$E$25,0,MATCH($W11,Vehicles!$F$6:$AP$6,0)))</f>
        <v>0.10553423675259793</v>
      </c>
      <c r="G11" s="146">
        <f t="shared" ca="1" si="0"/>
        <v>1.4571230805536857</v>
      </c>
      <c r="H11" s="147"/>
      <c r="I11" s="257">
        <f ca="1">IF($D11="Teknologi ikke tilgængelig"," ",OFFSET(Vehicles!$E$63,0,MATCH($W11,Vehicles!$F$6:$AP$6,0)))</f>
        <v>0.14097114871113556</v>
      </c>
      <c r="J11" s="148"/>
      <c r="K11" s="458">
        <f ca="1">IF($D11="Teknologi ikke tilgængelig"," ",OFFSET(Vehicles!$E$182,0,MATCH($W11,Vehicles!$F$6:$AP$6,0)))</f>
        <v>821.34823372772871</v>
      </c>
      <c r="L11" s="150">
        <f ca="1">IF($D11="Teknologi ikke tilgængelig"," ",OFFSET(Vehicles!$E$183,0,MATCH($W11,Vehicles!$F$6:$AP$6,0)))</f>
        <v>3.0920136268405948E-2</v>
      </c>
      <c r="M11" s="150">
        <f ca="1">IF($D11="Teknologi ikke tilgængelig"," ",OFFSET(Vehicles!$E$184,0,MATCH($W11,Vehicles!$F$6:$AP$6,0)))</f>
        <v>-4.094637010899917E-5</v>
      </c>
      <c r="N11" s="150">
        <f ca="1">IF($D11="Teknologi ikke tilgængelig"," ",OFFSET(Vehicles!$E$185,0,MATCH($W11,Vehicles!$F$6:$AP$6,0)))</f>
        <v>-2.4353849795403079E-3</v>
      </c>
      <c r="O11" s="150">
        <f ca="1">IF($D11="Teknologi ikke tilgængelig"," ",OFFSET(Vehicles!$E$186,0,MATCH($W11,Vehicles!$F$6:$AP$6,0)))</f>
        <v>0.28229617687182607</v>
      </c>
      <c r="P11" s="170">
        <f ca="1">IF($D11="Teknologi ikke tilgængelig"," ",OFFSET(Vehicles!$E$187,0,MATCH($W11,Vehicles!$F$6:$AP$6,0)))</f>
        <v>4.7750388485872843E-3</v>
      </c>
      <c r="Q11" s="168"/>
      <c r="R11" s="259">
        <f t="shared" ca="1" si="1"/>
        <v>822.1090351161464</v>
      </c>
      <c r="S11" s="381"/>
      <c r="T11" s="384">
        <f ca="1">IF($D11="Teknologi ikke tilgængelig"," ",OFFSET(Vehicles!$E$51,0,MATCH($W11,Vehicles!$F$6:$AP$6,0)))</f>
        <v>9.5443577385943362E-2</v>
      </c>
      <c r="V11" s="150"/>
      <c r="W11" s="2467" t="s">
        <v>2083</v>
      </c>
      <c r="X11" s="267"/>
      <c r="AA11" s="268"/>
      <c r="AC11" s="345"/>
    </row>
    <row r="12" spans="2:29">
      <c r="B12" s="2522"/>
      <c r="C12" s="7" t="s">
        <v>2722</v>
      </c>
      <c r="D12" s="2515" t="str">
        <f ca="1">IF(OFFSET(Vehicles!$E$12,chosenYear,MATCH($W12,Vehicles!$F$6:$AP$6,0))="Nej","Teknologi ikke tilgængelig",OFFSET(Vehicles!$E$26,0,MATCH($W12,Vehicles!$F$6:$AP$6,0))-OFFSET(Vehicles!$E$27,0,MATCH($W12,Vehicles!$F$6:$AP$6,0)))</f>
        <v>Teknologi ikke tilgængelig</v>
      </c>
      <c r="E12" s="145" t="str">
        <f ca="1">IF($D12="Teknologi ikke tilgængelig"," ",OFFSET(Vehicles!$E$27,0,MATCH($W12,Vehicles!$F$6:$AP$6,0)))</f>
        <v xml:space="preserve"> </v>
      </c>
      <c r="F12" s="145" t="str">
        <f ca="1">IF($D12="Teknologi ikke tilgængelig"," ",OFFSET(Vehicles!$E$25,0,MATCH($W12,Vehicles!$F$6:$AP$6,0)))</f>
        <v xml:space="preserve"> </v>
      </c>
      <c r="G12" s="146" t="str">
        <f t="shared" ca="1" si="0"/>
        <v xml:space="preserve"> </v>
      </c>
      <c r="H12" s="147"/>
      <c r="I12" s="257" t="str">
        <f ca="1">IF($D12="Teknologi ikke tilgængelig"," ",OFFSET(Vehicles!$E$63,0,MATCH($W12,Vehicles!$F$6:$AP$6,0)))</f>
        <v xml:space="preserve"> </v>
      </c>
      <c r="J12" s="148"/>
      <c r="K12" s="458" t="str">
        <f ca="1">IF($D12="Teknologi ikke tilgængelig"," ",OFFSET(Vehicles!$E$182,0,MATCH($W12,Vehicles!$F$6:$AP$6,0)))</f>
        <v xml:space="preserve"> </v>
      </c>
      <c r="L12" s="150" t="str">
        <f ca="1">IF($D12="Teknologi ikke tilgængelig"," ",OFFSET(Vehicles!$E$183,0,MATCH($W12,Vehicles!$F$6:$AP$6,0)))</f>
        <v xml:space="preserve"> </v>
      </c>
      <c r="M12" s="150" t="str">
        <f ca="1">IF($D12="Teknologi ikke tilgængelig"," ",OFFSET(Vehicles!$E$184,0,MATCH($W12,Vehicles!$F$6:$AP$6,0)))</f>
        <v xml:space="preserve"> </v>
      </c>
      <c r="N12" s="150" t="str">
        <f ca="1">IF($D12="Teknologi ikke tilgængelig"," ",OFFSET(Vehicles!$E$185,0,MATCH($W12,Vehicles!$F$6:$AP$6,0)))</f>
        <v xml:space="preserve"> </v>
      </c>
      <c r="O12" s="150" t="str">
        <f ca="1">IF($D12="Teknologi ikke tilgængelig"," ",OFFSET(Vehicles!$E$186,0,MATCH($W12,Vehicles!$F$6:$AP$6,0)))</f>
        <v xml:space="preserve"> </v>
      </c>
      <c r="P12" s="170" t="str">
        <f ca="1">IF($D12="Teknologi ikke tilgængelig"," ",OFFSET(Vehicles!$E$187,0,MATCH($W12,Vehicles!$F$6:$AP$6,0)))</f>
        <v xml:space="preserve"> </v>
      </c>
      <c r="Q12" s="168"/>
      <c r="R12" s="259" t="str">
        <f t="shared" ca="1" si="1"/>
        <v xml:space="preserve"> </v>
      </c>
      <c r="S12" s="381"/>
      <c r="T12" s="384" t="str">
        <f ca="1">IF($D12="Teknologi ikke tilgængelig"," ",OFFSET(Vehicles!$E$51,0,MATCH($W12,Vehicles!$F$6:$AP$6,0)))</f>
        <v xml:space="preserve"> </v>
      </c>
      <c r="V12" s="150"/>
      <c r="W12" s="2467" t="s">
        <v>1597</v>
      </c>
      <c r="X12" s="267"/>
      <c r="AA12" s="268"/>
      <c r="AC12" s="345"/>
    </row>
    <row r="13" spans="2:29">
      <c r="B13" s="2522"/>
      <c r="C13" s="7" t="s">
        <v>2723</v>
      </c>
      <c r="D13" s="2515">
        <f ca="1">IF(OFFSET(Vehicles!$E$12,chosenYear,MATCH($W13,Vehicles!$F$6:$AP$6,0))="Nej","Teknologi ikke tilgængelig",OFFSET(Vehicles!$E$26,0,MATCH($W13,Vehicles!$F$6:$AP$6,0))-OFFSET(Vehicles!$E$27,0,MATCH($W13,Vehicles!$F$6:$AP$6,0)))</f>
        <v>1.1633739010812749</v>
      </c>
      <c r="E13" s="145">
        <f ca="1">IF($D13="Teknologi ikke tilgængelig"," ",OFFSET(Vehicles!$E$27,0,MATCH($W13,Vehicles!$F$6:$AP$6,0)))</f>
        <v>0.21145967651080436</v>
      </c>
      <c r="F13" s="145">
        <f ca="1">IF($D13="Teknologi ikke tilgængelig"," ",OFFSET(Vehicles!$E$25,0,MATCH($W13,Vehicles!$F$6:$AP$6,0)))</f>
        <v>0.10015306234283385</v>
      </c>
      <c r="G13" s="146">
        <f t="shared" ca="1" si="0"/>
        <v>1.4749866399349132</v>
      </c>
      <c r="H13" s="147"/>
      <c r="I13" s="257">
        <f ca="1">IF($D13="Teknologi ikke tilgængelig"," ",OFFSET(Vehicles!$E$63,0,MATCH($W13,Vehicles!$F$6:$AP$6,0)))</f>
        <v>0.20776980245257207</v>
      </c>
      <c r="J13" s="148"/>
      <c r="K13" s="458">
        <f ca="1">IF($D13="Teknologi ikke tilgængelig"," ",OFFSET(Vehicles!$E$182,0,MATCH($W13,Vehicles!$F$6:$AP$6,0)))</f>
        <v>544.50615151774787</v>
      </c>
      <c r="L13" s="150">
        <f ca="1">IF($D13="Teknologi ikke tilgængelig"," ",OFFSET(Vehicles!$E$183,0,MATCH($W13,Vehicles!$F$6:$AP$6,0)))</f>
        <v>4.8639151407407669E-2</v>
      </c>
      <c r="M13" s="150">
        <f ca="1">IF($D13="Teknologi ikke tilgængelig"," ",OFFSET(Vehicles!$E$184,0,MATCH($W13,Vehicles!$F$6:$AP$6,0)))</f>
        <v>4.1844298502567521E-5</v>
      </c>
      <c r="N13" s="150">
        <f ca="1">IF($D13="Teknologi ikke tilgængelig"," ",OFFSET(Vehicles!$E$185,0,MATCH($W13,Vehicles!$F$6:$AP$6,0)))</f>
        <v>1.6874799662969708E-3</v>
      </c>
      <c r="O13" s="150">
        <f ca="1">IF($D13="Teknologi ikke tilgængelig"," ",OFFSET(Vehicles!$E$186,0,MATCH($W13,Vehicles!$F$6:$AP$6,0)))</f>
        <v>0.43661351092628126</v>
      </c>
      <c r="P13" s="170">
        <f ca="1">IF($D13="Teknologi ikke tilgængelig"," ",OFFSET(Vehicles!$E$187,0,MATCH($W13,Vehicles!$F$6:$AP$6,0)))</f>
        <v>4.9840567963167571E-3</v>
      </c>
      <c r="Q13" s="168"/>
      <c r="R13" s="259">
        <f t="shared" ca="1" si="1"/>
        <v>545.73459990388676</v>
      </c>
      <c r="S13" s="381"/>
      <c r="T13" s="384">
        <f ca="1">IF($D13="Teknologi ikke tilgængelig"," ",OFFSET(Vehicles!$E$51,0,MATCH($W13,Vehicles!$F$6:$AP$6,0)))</f>
        <v>5.5722910381405595E-2</v>
      </c>
      <c r="V13" s="150"/>
      <c r="W13" s="2467" t="s">
        <v>2086</v>
      </c>
      <c r="X13" s="267"/>
      <c r="AA13" s="268"/>
      <c r="AC13" s="345"/>
    </row>
    <row r="14" spans="2:29">
      <c r="B14" s="2522"/>
      <c r="C14" s="7" t="s">
        <v>2724</v>
      </c>
      <c r="D14" s="2515" t="str">
        <f ca="1">IF(OFFSET(Vehicles!$E$12,chosenYear,MATCH($W14,Vehicles!$F$6:$AP$6,0))="Nej","Teknologi ikke tilgængelig",OFFSET(Vehicles!$E$26,0,MATCH($W14,Vehicles!$F$6:$AP$6,0))-OFFSET(Vehicles!$E$27,0,MATCH($W14,Vehicles!$F$6:$AP$6,0)))</f>
        <v>Teknologi ikke tilgængelig</v>
      </c>
      <c r="E14" s="145" t="str">
        <f ca="1">IF($D14="Teknologi ikke tilgængelig"," ",OFFSET(Vehicles!$E$27,0,MATCH($W14,Vehicles!$F$6:$AP$6,0)))</f>
        <v xml:space="preserve"> </v>
      </c>
      <c r="F14" s="145" t="str">
        <f ca="1">IF($D14="Teknologi ikke tilgængelig"," ",OFFSET(Vehicles!$E$25,0,MATCH($W14,Vehicles!$F$6:$AP$6,0)))</f>
        <v xml:space="preserve"> </v>
      </c>
      <c r="G14" s="146" t="str">
        <f t="shared" ca="1" si="0"/>
        <v xml:space="preserve"> </v>
      </c>
      <c r="H14" s="147"/>
      <c r="I14" s="257" t="str">
        <f ca="1">IF($D14="Teknologi ikke tilgængelig"," ",OFFSET(Vehicles!$E$63,0,MATCH($W14,Vehicles!$F$6:$AP$6,0)))</f>
        <v xml:space="preserve"> </v>
      </c>
      <c r="J14" s="148"/>
      <c r="K14" s="458" t="str">
        <f ca="1">IF($D14="Teknologi ikke tilgængelig"," ",OFFSET(Vehicles!$E$182,0,MATCH($W14,Vehicles!$F$6:$AP$6,0)))</f>
        <v xml:space="preserve"> </v>
      </c>
      <c r="L14" s="150" t="str">
        <f ca="1">IF($D14="Teknologi ikke tilgængelig"," ",OFFSET(Vehicles!$E$183,0,MATCH($W14,Vehicles!$F$6:$AP$6,0)))</f>
        <v xml:space="preserve"> </v>
      </c>
      <c r="M14" s="150" t="str">
        <f ca="1">IF($D14="Teknologi ikke tilgængelig"," ",OFFSET(Vehicles!$E$184,0,MATCH($W14,Vehicles!$F$6:$AP$6,0)))</f>
        <v xml:space="preserve"> </v>
      </c>
      <c r="N14" s="150" t="str">
        <f ca="1">IF($D14="Teknologi ikke tilgængelig"," ",OFFSET(Vehicles!$E$185,0,MATCH($W14,Vehicles!$F$6:$AP$6,0)))</f>
        <v xml:space="preserve"> </v>
      </c>
      <c r="O14" s="150" t="str">
        <f ca="1">IF($D14="Teknologi ikke tilgængelig"," ",OFFSET(Vehicles!$E$186,0,MATCH($W14,Vehicles!$F$6:$AP$6,0)))</f>
        <v xml:space="preserve"> </v>
      </c>
      <c r="P14" s="170" t="str">
        <f ca="1">IF($D14="Teknologi ikke tilgængelig"," ",OFFSET(Vehicles!$E$187,0,MATCH($W14,Vehicles!$F$6:$AP$6,0)))</f>
        <v xml:space="preserve"> </v>
      </c>
      <c r="Q14" s="168"/>
      <c r="R14" s="259" t="str">
        <f t="shared" ca="1" si="1"/>
        <v xml:space="preserve"> </v>
      </c>
      <c r="S14" s="381"/>
      <c r="T14" s="384" t="str">
        <f ca="1">IF($D14="Teknologi ikke tilgængelig"," ",OFFSET(Vehicles!$E$51,0,MATCH($W14,Vehicles!$F$6:$AP$6,0)))</f>
        <v xml:space="preserve"> </v>
      </c>
      <c r="V14" s="150"/>
      <c r="W14" s="2467" t="s">
        <v>1598</v>
      </c>
      <c r="X14" s="267"/>
      <c r="AA14" s="268"/>
      <c r="AC14" s="345"/>
    </row>
    <row r="15" spans="2:29">
      <c r="B15" s="2522"/>
      <c r="C15" s="7" t="s">
        <v>2725</v>
      </c>
      <c r="D15" s="2515" t="str">
        <f ca="1">IF(OFFSET(Vehicles!$E$12,chosenYear,MATCH($W15,Vehicles!$F$6:$AP$6,0))="Nej","Teknologi ikke tilgængelig",OFFSET(Vehicles!$E$26,0,MATCH($W15,Vehicles!$F$6:$AP$6,0))-OFFSET(Vehicles!$E$27,0,MATCH($W15,Vehicles!$F$6:$AP$6,0)))</f>
        <v>Teknologi ikke tilgængelig</v>
      </c>
      <c r="E15" s="145" t="str">
        <f ca="1">IF($D15="Teknologi ikke tilgængelig"," ",OFFSET(Vehicles!$E$27,0,MATCH($W15,Vehicles!$F$6:$AP$6,0)))</f>
        <v xml:space="preserve"> </v>
      </c>
      <c r="F15" s="145" t="str">
        <f ca="1">IF($D15="Teknologi ikke tilgængelig"," ",OFFSET(Vehicles!$E$25,0,MATCH($W15,Vehicles!$F$6:$AP$6,0)))</f>
        <v xml:space="preserve"> </v>
      </c>
      <c r="G15" s="146" t="str">
        <f t="shared" ca="1" si="0"/>
        <v xml:space="preserve"> </v>
      </c>
      <c r="H15" s="147"/>
      <c r="I15" s="257" t="str">
        <f ca="1">IF($D15="Teknologi ikke tilgængelig"," ",OFFSET(Vehicles!$E$63,0,MATCH($W15,Vehicles!$F$6:$AP$6,0)))</f>
        <v xml:space="preserve"> </v>
      </c>
      <c r="J15" s="148"/>
      <c r="K15" s="458" t="str">
        <f ca="1">IF($D15="Teknologi ikke tilgængelig"," ",OFFSET(Vehicles!$E$182,0,MATCH($W15,Vehicles!$F$6:$AP$6,0)))</f>
        <v xml:space="preserve"> </v>
      </c>
      <c r="L15" s="150" t="str">
        <f ca="1">IF($D15="Teknologi ikke tilgængelig"," ",OFFSET(Vehicles!$E$183,0,MATCH($W15,Vehicles!$F$6:$AP$6,0)))</f>
        <v xml:space="preserve"> </v>
      </c>
      <c r="M15" s="150" t="str">
        <f ca="1">IF($D15="Teknologi ikke tilgængelig"," ",OFFSET(Vehicles!$E$184,0,MATCH($W15,Vehicles!$F$6:$AP$6,0)))</f>
        <v xml:space="preserve"> </v>
      </c>
      <c r="N15" s="150" t="str">
        <f ca="1">IF($D15="Teknologi ikke tilgængelig"," ",OFFSET(Vehicles!$E$185,0,MATCH($W15,Vehicles!$F$6:$AP$6,0)))</f>
        <v xml:space="preserve"> </v>
      </c>
      <c r="O15" s="150" t="str">
        <f ca="1">IF($D15="Teknologi ikke tilgængelig"," ",OFFSET(Vehicles!$E$186,0,MATCH($W15,Vehicles!$F$6:$AP$6,0)))</f>
        <v xml:space="preserve"> </v>
      </c>
      <c r="P15" s="170" t="str">
        <f ca="1">IF($D15="Teknologi ikke tilgængelig"," ",OFFSET(Vehicles!$E$187,0,MATCH($W15,Vehicles!$F$6:$AP$6,0)))</f>
        <v xml:space="preserve"> </v>
      </c>
      <c r="Q15" s="168"/>
      <c r="R15" s="259" t="str">
        <f t="shared" ca="1" si="1"/>
        <v xml:space="preserve"> </v>
      </c>
      <c r="S15" s="381"/>
      <c r="T15" s="384" t="str">
        <f ca="1">IF($D15="Teknologi ikke tilgængelig"," ",OFFSET(Vehicles!$E$51,0,MATCH($W15,Vehicles!$F$6:$AP$6,0)))</f>
        <v xml:space="preserve"> </v>
      </c>
      <c r="V15" s="150"/>
      <c r="W15" s="2467" t="s">
        <v>11</v>
      </c>
      <c r="X15" s="267"/>
      <c r="AA15" s="268"/>
      <c r="AC15" s="345"/>
    </row>
    <row r="16" spans="2:29">
      <c r="B16" s="2522"/>
      <c r="C16" s="7" t="s">
        <v>2726</v>
      </c>
      <c r="D16" s="2515">
        <f ca="1">IF(OFFSET(Vehicles!$E$12,chosenYear,MATCH($W16,Vehicles!$F$6:$AP$6,0))="Nej","Teknologi ikke tilgængelig",OFFSET(Vehicles!$E$26,0,MATCH($W16,Vehicles!$F$6:$AP$6,0))-OFFSET(Vehicles!$E$27,0,MATCH($W16,Vehicles!$F$6:$AP$6,0)))</f>
        <v>1.1616015357429128</v>
      </c>
      <c r="E16" s="145">
        <f ca="1">IF($D16="Teknologi ikke tilgængelig"," ",OFFSET(Vehicles!$E$27,0,MATCH($W16,Vehicles!$F$6:$AP$6,0)))</f>
        <v>0.1623758967786543</v>
      </c>
      <c r="F16" s="145">
        <f ca="1">IF($D16="Teknologi ikke tilgængelig"," ",OFFSET(Vehicles!$E$25,0,MATCH($W16,Vehicles!$F$6:$AP$6,0)))</f>
        <v>6.2477212039718941E-2</v>
      </c>
      <c r="G16" s="146">
        <f t="shared" ca="1" si="0"/>
        <v>1.3864546445612862</v>
      </c>
      <c r="H16" s="147"/>
      <c r="I16" s="257">
        <f ca="1">IF($D16="Teknologi ikke tilgængelig"," ",OFFSET(Vehicles!$E$63,0,MATCH($W16,Vehicles!$F$6:$AP$6,0)))</f>
        <v>0.16831539661914319</v>
      </c>
      <c r="J16" s="148"/>
      <c r="K16" s="458">
        <f ca="1">IF($D16="Teknologi ikke tilgængelig"," ",OFFSET(Vehicles!$E$182,0,MATCH($W16,Vehicles!$F$6:$AP$6,0)))</f>
        <v>146.32163627759718</v>
      </c>
      <c r="L16" s="150">
        <f ca="1">IF($D16="Teknologi ikke tilgængelig"," ",OFFSET(Vehicles!$E$183,0,MATCH($W16,Vehicles!$F$6:$AP$6,0)))</f>
        <v>8.5722416214285696E-2</v>
      </c>
      <c r="M16" s="150">
        <f ca="1">IF($D16="Teknologi ikke tilgængelig"," ",OFFSET(Vehicles!$E$184,0,MATCH($W16,Vehicles!$F$6:$AP$6,0)))</f>
        <v>8.1305000000000012E-6</v>
      </c>
      <c r="N16" s="150">
        <f ca="1">IF($D16="Teknologi ikke tilgængelig"," ",OFFSET(Vehicles!$E$185,0,MATCH($W16,Vehicles!$F$6:$AP$6,0)))</f>
        <v>5.6658005321844899E-5</v>
      </c>
      <c r="O16" s="150">
        <f ca="1">IF($D16="Teknologi ikke tilgængelig"," ",OFFSET(Vehicles!$E$186,0,MATCH($W16,Vehicles!$F$6:$AP$6,0)))</f>
        <v>7.0387300975671557E-2</v>
      </c>
      <c r="P16" s="170">
        <f ca="1">IF($D16="Teknologi ikke tilgængelig"," ",OFFSET(Vehicles!$E$187,0,MATCH($W16,Vehicles!$F$6:$AP$6,0)))</f>
        <v>5.008130500000001E-3</v>
      </c>
      <c r="Q16" s="168"/>
      <c r="R16" s="259">
        <f t="shared" ca="1" si="1"/>
        <v>148.46711957195433</v>
      </c>
      <c r="S16" s="381"/>
      <c r="T16" s="384">
        <f ca="1">IF($D16="Teknologi ikke tilgængelig"," ",OFFSET(Vehicles!$E$51,0,MATCH($W16,Vehicles!$F$6:$AP$6,0)))</f>
        <v>2.5302322255822546E-2</v>
      </c>
      <c r="V16" s="150"/>
      <c r="W16" s="2467" t="s">
        <v>30</v>
      </c>
      <c r="X16" s="267"/>
      <c r="AA16" s="268"/>
      <c r="AC16" s="345"/>
    </row>
    <row r="17" spans="2:29">
      <c r="B17" s="2522"/>
      <c r="C17" s="7" t="s">
        <v>2727</v>
      </c>
      <c r="D17" s="2515">
        <f ca="1">IF(OFFSET(Vehicles!$E$12,chosenYear,MATCH($W17,Vehicles!$F$6:$AP$6,0))="Nej","Teknologi ikke tilgængelig",OFFSET(Vehicles!$E$26,0,MATCH($W17,Vehicles!$F$6:$AP$6,0))-OFFSET(Vehicles!$E$27,0,MATCH($W17,Vehicles!$F$6:$AP$6,0)))</f>
        <v>1.161601535742913</v>
      </c>
      <c r="E17" s="145">
        <f ca="1">IF($D17="Teknologi ikke tilgængelig"," ",OFFSET(Vehicles!$E$27,0,MATCH($W17,Vehicles!$F$6:$AP$6,0)))</f>
        <v>0.41427910551507502</v>
      </c>
      <c r="F17" s="145">
        <f ca="1">IF($D17="Teknologi ikke tilgængelig"," ",OFFSET(Vehicles!$E$25,0,MATCH($W17,Vehicles!$F$6:$AP$6,0)))</f>
        <v>5.3773330731964525E-2</v>
      </c>
      <c r="G17" s="146">
        <f t="shared" ca="1" si="0"/>
        <v>1.6296539719899525</v>
      </c>
      <c r="H17" s="147"/>
      <c r="I17" s="257">
        <f ca="1">IF($D17="Teknologi ikke tilgængelig"," ",OFFSET(Vehicles!$E$63,0,MATCH($W17,Vehicles!$F$6:$AP$6,0)))</f>
        <v>0.15819847757401839</v>
      </c>
      <c r="J17" s="148"/>
      <c r="K17" s="458">
        <f ca="1">IF($D17="Teknologi ikke tilgængelig"," ",OFFSET(Vehicles!$E$182,0,MATCH($W17,Vehicles!$F$6:$AP$6,0)))</f>
        <v>-127.16462503304298</v>
      </c>
      <c r="L17" s="150">
        <f ca="1">IF($D17="Teknologi ikke tilgængelig"," ",OFFSET(Vehicles!$E$183,0,MATCH($W17,Vehicles!$F$6:$AP$6,0)))</f>
        <v>0.33526201855727622</v>
      </c>
      <c r="M17" s="150">
        <f ca="1">IF($D17="Teknologi ikke tilgængelig"," ",OFFSET(Vehicles!$E$184,0,MATCH($W17,Vehicles!$F$6:$AP$6,0)))</f>
        <v>1.1281074698501578E-4</v>
      </c>
      <c r="N17" s="150">
        <f ca="1">IF($D17="Teknologi ikke tilgængelig"," ",OFFSET(Vehicles!$E$185,0,MATCH($W17,Vehicles!$F$6:$AP$6,0)))</f>
        <v>4.1313380002972466E-3</v>
      </c>
      <c r="O17" s="150">
        <f ca="1">IF($D17="Teknologi ikke tilgængelig"," ",OFFSET(Vehicles!$E$186,0,MATCH($W17,Vehicles!$F$6:$AP$6,0)))</f>
        <v>0.14252323799674044</v>
      </c>
      <c r="P17" s="170">
        <f ca="1">IF($D17="Teknologi ikke tilgængelig"," ",OFFSET(Vehicles!$E$187,0,MATCH($W17,Vehicles!$F$6:$AP$6,0)))</f>
        <v>5.4446600524303192E-3</v>
      </c>
      <c r="Q17" s="168"/>
      <c r="R17" s="259">
        <f t="shared" ca="1" si="1"/>
        <v>-118.74945696650954</v>
      </c>
      <c r="S17" s="381"/>
      <c r="T17" s="384">
        <f ca="1">IF($D17="Teknologi ikke tilgængelig"," ",OFFSET(Vehicles!$E$51,0,MATCH($W17,Vehicles!$F$6:$AP$6,0)))</f>
        <v>2.5302322255822546E-2</v>
      </c>
      <c r="V17" s="150"/>
      <c r="W17" s="2467" t="s">
        <v>4</v>
      </c>
      <c r="X17" s="267"/>
      <c r="AA17" s="268"/>
      <c r="AC17" s="345"/>
    </row>
    <row r="18" spans="2:29">
      <c r="B18" s="2522"/>
      <c r="C18" s="7" t="s">
        <v>2728</v>
      </c>
      <c r="D18" s="2515" t="str">
        <f ca="1">IF(OFFSET(Vehicles!$E$12,chosenYear,MATCH($W18,Vehicles!$F$6:$AP$6,0))="Nej","Teknologi ikke tilgængelig",OFFSET(Vehicles!$E$26,0,MATCH($W18,Vehicles!$F$6:$AP$6,0))-OFFSET(Vehicles!$E$27,0,MATCH($W18,Vehicles!$F$6:$AP$6,0)))</f>
        <v>Teknologi ikke tilgængelig</v>
      </c>
      <c r="E18" s="145" t="str">
        <f ca="1">IF($D18="Teknologi ikke tilgængelig"," ",OFFSET(Vehicles!$E$27,0,MATCH($W18,Vehicles!$F$6:$AP$6,0)))</f>
        <v xml:space="preserve"> </v>
      </c>
      <c r="F18" s="145" t="str">
        <f ca="1">IF($D18="Teknologi ikke tilgængelig"," ",OFFSET(Vehicles!$E$25,0,MATCH($W18,Vehicles!$F$6:$AP$6,0)))</f>
        <v xml:space="preserve"> </v>
      </c>
      <c r="G18" s="146" t="str">
        <f t="shared" ca="1" si="0"/>
        <v xml:space="preserve"> </v>
      </c>
      <c r="H18" s="147"/>
      <c r="I18" s="257" t="str">
        <f ca="1">IF($D18="Teknologi ikke tilgængelig"," ",OFFSET(Vehicles!$E$63,0,MATCH($W18,Vehicles!$F$6:$AP$6,0)))</f>
        <v xml:space="preserve"> </v>
      </c>
      <c r="J18" s="148"/>
      <c r="K18" s="458" t="str">
        <f ca="1">IF($D18="Teknologi ikke tilgængelig"," ",OFFSET(Vehicles!$E$182,0,MATCH($W18,Vehicles!$F$6:$AP$6,0)))</f>
        <v xml:space="preserve"> </v>
      </c>
      <c r="L18" s="150" t="str">
        <f ca="1">IF($D18="Teknologi ikke tilgængelig"," ",OFFSET(Vehicles!$E$183,0,MATCH($W18,Vehicles!$F$6:$AP$6,0)))</f>
        <v xml:space="preserve"> </v>
      </c>
      <c r="M18" s="150" t="str">
        <f ca="1">IF($D18="Teknologi ikke tilgængelig"," ",OFFSET(Vehicles!$E$184,0,MATCH($W18,Vehicles!$F$6:$AP$6,0)))</f>
        <v xml:space="preserve"> </v>
      </c>
      <c r="N18" s="150" t="str">
        <f ca="1">IF($D18="Teknologi ikke tilgængelig"," ",OFFSET(Vehicles!$E$185,0,MATCH($W18,Vehicles!$F$6:$AP$6,0)))</f>
        <v xml:space="preserve"> </v>
      </c>
      <c r="O18" s="150" t="str">
        <f ca="1">IF($D18="Teknologi ikke tilgængelig"," ",OFFSET(Vehicles!$E$186,0,MATCH($W18,Vehicles!$F$6:$AP$6,0)))</f>
        <v xml:space="preserve"> </v>
      </c>
      <c r="P18" s="170" t="str">
        <f ca="1">IF($D18="Teknologi ikke tilgængelig"," ",OFFSET(Vehicles!$E$187,0,MATCH($W18,Vehicles!$F$6:$AP$6,0)))</f>
        <v xml:space="preserve"> </v>
      </c>
      <c r="Q18" s="168"/>
      <c r="R18" s="259" t="str">
        <f t="shared" ca="1" si="1"/>
        <v xml:space="preserve"> </v>
      </c>
      <c r="S18" s="381"/>
      <c r="T18" s="384" t="str">
        <f ca="1">IF($D18="Teknologi ikke tilgængelig"," ",OFFSET(Vehicles!$E$51,0,MATCH($W18,Vehicles!$F$6:$AP$6,0)))</f>
        <v xml:space="preserve"> </v>
      </c>
      <c r="V18" s="150"/>
      <c r="W18" s="2467" t="s">
        <v>82</v>
      </c>
      <c r="X18" s="267"/>
      <c r="AA18" s="268"/>
      <c r="AC18" s="345"/>
    </row>
    <row r="19" spans="2:29">
      <c r="B19" s="2522"/>
      <c r="C19" s="7" t="s">
        <v>2729</v>
      </c>
      <c r="D19" s="2515">
        <f ca="1">IF(OFFSET(Vehicles!$E$12,chosenYear,MATCH($W19,Vehicles!$F$6:$AP$6,0))="Nej","Teknologi ikke tilgængelig",OFFSET(Vehicles!$E$26,0,MATCH($W19,Vehicles!$F$6:$AP$6,0))-OFFSET(Vehicles!$E$27,0,MATCH($W19,Vehicles!$F$6:$AP$6,0)))</f>
        <v>1.7074047938560752</v>
      </c>
      <c r="E19" s="145">
        <f ca="1">IF($D19="Teknologi ikke tilgængelig"," ",OFFSET(Vehicles!$E$27,0,MATCH($W19,Vehicles!$F$6:$AP$6,0)))</f>
        <v>0.34233440587495356</v>
      </c>
      <c r="F19" s="145">
        <f ca="1">IF($D19="Teknologi ikke tilgængelig"," ",OFFSET(Vehicles!$E$25,0,MATCH($W19,Vehicles!$F$6:$AP$6,0)))</f>
        <v>2.5254270495223559E-2</v>
      </c>
      <c r="G19" s="146">
        <f t="shared" ca="1" si="0"/>
        <v>2.0749934702262522</v>
      </c>
      <c r="H19" s="147"/>
      <c r="I19" s="257">
        <f ca="1">IF($D19="Teknologi ikke tilgængelig"," ",OFFSET(Vehicles!$E$63,0,MATCH($W19,Vehicles!$F$6:$AP$6,0)))</f>
        <v>0.3139907650936678</v>
      </c>
      <c r="J19" s="148"/>
      <c r="K19" s="458">
        <f ca="1">IF($D19="Teknologi ikke tilgængelig"," ",OFFSET(Vehicles!$E$182,0,MATCH($W19,Vehicles!$F$6:$AP$6,0)))</f>
        <v>7.440008998189179</v>
      </c>
      <c r="L19" s="150">
        <f ca="1">IF($D19="Teknologi ikke tilgængelig"," ",OFFSET(Vehicles!$E$183,0,MATCH($W19,Vehicles!$F$6:$AP$6,0)))</f>
        <v>1.4502108458005426E-4</v>
      </c>
      <c r="M19" s="150">
        <f ca="1">IF($D19="Teknologi ikke tilgængelig"," ",OFFSET(Vehicles!$E$184,0,MATCH($W19,Vehicles!$F$6:$AP$6,0)))</f>
        <v>1.4502108458005426E-4</v>
      </c>
      <c r="N19" s="150">
        <f ca="1">IF($D19="Teknologi ikke tilgængelig"," ",OFFSET(Vehicles!$E$185,0,MATCH($W19,Vehicles!$F$6:$AP$6,0)))</f>
        <v>4.7939921378988351E-4</v>
      </c>
      <c r="O19" s="150">
        <f ca="1">IF($D19="Teknologi ikke tilgængelig"," ",OFFSET(Vehicles!$E$186,0,MATCH($W19,Vehicles!$F$6:$AP$6,0)))</f>
        <v>0.14162799517241018</v>
      </c>
      <c r="P19" s="170">
        <f ca="1">IF($D19="Teknologi ikke tilgængelig"," ",OFFSET(Vehicles!$E$187,0,MATCH($W19,Vehicles!$F$6:$AP$6,0)))</f>
        <v>1.4502108458005426E-4</v>
      </c>
      <c r="Q19" s="168"/>
      <c r="R19" s="259">
        <f t="shared" ca="1" si="1"/>
        <v>7.4868508085085361</v>
      </c>
      <c r="S19" s="381"/>
      <c r="T19" s="384">
        <f ca="1">IF($D19="Teknologi ikke tilgængelig"," ",OFFSET(Vehicles!$E$51,0,MATCH($W19,Vehicles!$F$6:$AP$6,0)))</f>
        <v>0.21475959942302503</v>
      </c>
      <c r="V19" s="150"/>
      <c r="W19" s="2467" t="s">
        <v>2714</v>
      </c>
      <c r="X19" s="267"/>
      <c r="AA19" s="268"/>
      <c r="AC19" s="345"/>
    </row>
    <row r="20" spans="2:29" s="58" customFormat="1">
      <c r="B20" s="2522"/>
      <c r="C20" s="7" t="s">
        <v>2730</v>
      </c>
      <c r="D20" s="2515" t="str">
        <f ca="1">IF(OFFSET(Vehicles!$E$12,chosenYear,MATCH($W20,Vehicles!$F$6:$AP$6,0))="Nej","Teknologi ikke tilgængelig",OFFSET(Vehicles!$E$26,0,MATCH($W20,Vehicles!$F$6:$AP$6,0))-OFFSET(Vehicles!$E$27,0,MATCH($W20,Vehicles!$F$6:$AP$6,0)))</f>
        <v>Teknologi ikke tilgængelig</v>
      </c>
      <c r="E20" s="145" t="str">
        <f ca="1">IF($D20="Teknologi ikke tilgængelig"," ",OFFSET(Vehicles!$E$27,0,MATCH($W20,Vehicles!$F$6:$AP$6,0)))</f>
        <v xml:space="preserve"> </v>
      </c>
      <c r="F20" s="145" t="str">
        <f ca="1">IF($D20="Teknologi ikke tilgængelig"," ",OFFSET(Vehicles!$E$25,0,MATCH($W20,Vehicles!$F$6:$AP$6,0)))</f>
        <v xml:space="preserve"> </v>
      </c>
      <c r="G20" s="146" t="str">
        <f t="shared" ref="G20" ca="1" si="2">IF($D20="Teknologi ikke tilgængelig"," ",SUM(D20:F20))</f>
        <v xml:space="preserve"> </v>
      </c>
      <c r="H20" s="147"/>
      <c r="I20" s="257" t="str">
        <f ca="1">IF($D20="Teknologi ikke tilgængelig"," ",OFFSET(Vehicles!$E$63,0,MATCH($W20,Vehicles!$F$6:$AP$6,0)))</f>
        <v xml:space="preserve"> </v>
      </c>
      <c r="J20" s="148"/>
      <c r="K20" s="458" t="str">
        <f ca="1">IF($D20="Teknologi ikke tilgængelig"," ",OFFSET(Vehicles!$E$182,0,MATCH($W20,Vehicles!$F$6:$AP$6,0)))</f>
        <v xml:space="preserve"> </v>
      </c>
      <c r="L20" s="150" t="str">
        <f ca="1">IF($D20="Teknologi ikke tilgængelig"," ",OFFSET(Vehicles!$E$183,0,MATCH($W20,Vehicles!$F$6:$AP$6,0)))</f>
        <v xml:space="preserve"> </v>
      </c>
      <c r="M20" s="150" t="str">
        <f ca="1">IF($D20="Teknologi ikke tilgængelig"," ",OFFSET(Vehicles!$E$184,0,MATCH($W20,Vehicles!$F$6:$AP$6,0)))</f>
        <v xml:space="preserve"> </v>
      </c>
      <c r="N20" s="150" t="str">
        <f ca="1">IF($D20="Teknologi ikke tilgængelig"," ",OFFSET(Vehicles!$E$185,0,MATCH($W20,Vehicles!$F$6:$AP$6,0)))</f>
        <v xml:space="preserve"> </v>
      </c>
      <c r="O20" s="150" t="str">
        <f ca="1">IF($D20="Teknologi ikke tilgængelig"," ",OFFSET(Vehicles!$E$186,0,MATCH($W20,Vehicles!$F$6:$AP$6,0)))</f>
        <v xml:space="preserve"> </v>
      </c>
      <c r="P20" s="170" t="str">
        <f ca="1">IF($D20="Teknologi ikke tilgængelig"," ",OFFSET(Vehicles!$E$187,0,MATCH($W20,Vehicles!$F$6:$AP$6,0)))</f>
        <v xml:space="preserve"> </v>
      </c>
      <c r="Q20" s="168"/>
      <c r="R20" s="259" t="str">
        <f t="shared" ref="R20" ca="1" si="3">IF($D20="Teknologi ikke tilgængelig"," ",SUMPRODUCT($K$3:$M$3,K20:M20))</f>
        <v xml:space="preserve"> </v>
      </c>
      <c r="S20" s="381"/>
      <c r="T20" s="384" t="str">
        <f ca="1">IF($D20="Teknologi ikke tilgængelig"," ",OFFSET(Vehicles!$E$51,0,MATCH($W20,Vehicles!$F$6:$AP$6,0)))</f>
        <v xml:space="preserve"> </v>
      </c>
      <c r="V20" s="150"/>
      <c r="W20" s="2467" t="s">
        <v>96</v>
      </c>
      <c r="X20" s="267"/>
      <c r="AA20" s="268"/>
      <c r="AC20" s="345"/>
    </row>
    <row r="21" spans="2:29">
      <c r="B21" s="2522"/>
      <c r="C21" s="7" t="s">
        <v>2731</v>
      </c>
      <c r="D21" s="2515">
        <f ca="1">IF(OFFSET(Vehicles!$E$12,chosenYear,MATCH($W21,Vehicles!$F$6:$AP$6,0))="Nej","Teknologi ikke tilgængelig",OFFSET(Vehicles!$E$26,0,MATCH($W21,Vehicles!$F$6:$AP$6,0))-OFFSET(Vehicles!$E$27,0,MATCH($W21,Vehicles!$F$6:$AP$6,0)))</f>
        <v>1.3969083189338007</v>
      </c>
      <c r="E21" s="145">
        <f ca="1">IF($D21="Teknologi ikke tilgængelig"," ",OFFSET(Vehicles!$E$27,0,MATCH($W21,Vehicles!$F$6:$AP$6,0)))</f>
        <v>8.6061169239214891E-2</v>
      </c>
      <c r="F21" s="145">
        <f ca="1">IF($D21="Teknologi ikke tilgængelig"," ",OFFSET(Vehicles!$E$25,0,MATCH($W21,Vehicles!$F$6:$AP$6,0)))</f>
        <v>2.0192010884150697E-2</v>
      </c>
      <c r="G21" s="146">
        <f t="shared" ca="1" si="0"/>
        <v>1.5031614990571662</v>
      </c>
      <c r="H21" s="147"/>
      <c r="I21" s="257">
        <f ca="1">IF($D21="Teknologi ikke tilgængelig"," ",OFFSET(Vehicles!$E$63,0,MATCH($W21,Vehicles!$F$6:$AP$6,0)))</f>
        <v>0.65414862139188079</v>
      </c>
      <c r="J21" s="148"/>
      <c r="K21" s="458">
        <f ca="1">IF($D21="Teknologi ikke tilgængelig"," ",OFFSET(Vehicles!$E$182,0,MATCH($W21,Vehicles!$F$6:$AP$6,0)))</f>
        <v>2.3353101418202393</v>
      </c>
      <c r="L21" s="150">
        <f ca="1">IF($D21="Teknologi ikke tilgængelig"," ",OFFSET(Vehicles!$E$183,0,MATCH($W21,Vehicles!$F$6:$AP$6,0)))</f>
        <v>4.5519999999999998E-5</v>
      </c>
      <c r="M21" s="150">
        <f ca="1">IF($D21="Teknologi ikke tilgængelig"," ",OFFSET(Vehicles!$E$184,0,MATCH($W21,Vehicles!$F$6:$AP$6,0)))</f>
        <v>4.5519999999999998E-5</v>
      </c>
      <c r="N21" s="150">
        <f ca="1">IF($D21="Teknologi ikke tilgængelig"," ",OFFSET(Vehicles!$E$185,0,MATCH($W21,Vehicles!$F$6:$AP$6,0)))</f>
        <v>1.5047641020550509E-4</v>
      </c>
      <c r="O21" s="150">
        <f ca="1">IF($D21="Teknologi ikke tilgængelig"," ",OFFSET(Vehicles!$E$186,0,MATCH($W21,Vehicles!$F$6:$AP$6,0)))</f>
        <v>4.4454958800761835E-2</v>
      </c>
      <c r="P21" s="170">
        <f ca="1">IF($D21="Teknologi ikke tilgængelig"," ",OFFSET(Vehicles!$E$187,0,MATCH($W21,Vehicles!$F$6:$AP$6,0)))</f>
        <v>4.5519999999999998E-5</v>
      </c>
      <c r="Q21" s="168"/>
      <c r="R21" s="259">
        <f t="shared" ca="1" si="1"/>
        <v>2.3500131018202395</v>
      </c>
      <c r="S21" s="381"/>
      <c r="T21" s="384">
        <f ca="1">IF($D21="Teknologi ikke tilgængelig"," ",OFFSET(Vehicles!$E$51,0,MATCH($W21,Vehicles!$F$6:$AP$6,0)))</f>
        <v>3.8469320035750459E-2</v>
      </c>
      <c r="V21" s="150"/>
      <c r="W21" s="2467" t="s">
        <v>19</v>
      </c>
      <c r="X21" s="267"/>
      <c r="AA21" s="268"/>
      <c r="AC21" s="345"/>
    </row>
    <row r="22" spans="2:29">
      <c r="B22" s="2522"/>
      <c r="C22" s="7" t="s">
        <v>2732</v>
      </c>
      <c r="D22" s="2515">
        <f ca="1">IF(OFFSET(Vehicles!$E$12,chosenYear,MATCH($W22,Vehicles!$F$6:$AP$6,0))="Nej","Teknologi ikke tilgængelig",OFFSET(Vehicles!$E$26,0,MATCH($W22,Vehicles!$F$6:$AP$6,0))-OFFSET(Vehicles!$E$27,0,MATCH($W22,Vehicles!$F$6:$AP$6,0)))</f>
        <v>1.2770421607451312</v>
      </c>
      <c r="E22" s="145">
        <f ca="1">IF($D22="Teknologi ikke tilgængelig"," ",OFFSET(Vehicles!$E$27,0,MATCH($W22,Vehicles!$F$6:$AP$6,0)))</f>
        <v>0.12113984995708156</v>
      </c>
      <c r="F22" s="145">
        <f ca="1">IF($D22="Teknologi ikke tilgængelig"," ",OFFSET(Vehicles!$E$25,0,MATCH($W22,Vehicles!$F$6:$AP$6,0)))</f>
        <v>3.2945758485795597E-2</v>
      </c>
      <c r="G22" s="146">
        <f t="shared" ca="1" si="0"/>
        <v>1.4311277691880082</v>
      </c>
      <c r="H22" s="147"/>
      <c r="I22" s="257">
        <f ca="1">IF($D22="Teknologi ikke tilgængelig"," ",OFFSET(Vehicles!$E$63,0,MATCH($W22,Vehicles!$F$6:$AP$6,0)))</f>
        <v>0.37402054072693969</v>
      </c>
      <c r="J22" s="148"/>
      <c r="K22" s="458">
        <f ca="1">IF($D22="Teknologi ikke tilgængelig"," ",OFFSET(Vehicles!$E$182,0,MATCH($W22,Vehicles!$F$6:$AP$6,0)))</f>
        <v>99.247243257167113</v>
      </c>
      <c r="L22" s="150">
        <f ca="1">IF($D22="Teknologi ikke tilgængelig"," ",OFFSET(Vehicles!$E$183,0,MATCH($W22,Vehicles!$F$6:$AP$6,0)))</f>
        <v>3.3617411035472782E-5</v>
      </c>
      <c r="M22" s="150">
        <f ca="1">IF($D22="Teknologi ikke tilgængelig"," ",OFFSET(Vehicles!$E$184,0,MATCH($W22,Vehicles!$F$6:$AP$6,0)))</f>
        <v>3.0552376208153498E-5</v>
      </c>
      <c r="N22" s="150">
        <f ca="1">IF($D22="Teknologi ikke tilgængelig"," ",OFFSET(Vehicles!$E$185,0,MATCH($W22,Vehicles!$F$6:$AP$6,0)))</f>
        <v>1.2849502557400736E-4</v>
      </c>
      <c r="O22" s="150">
        <f ca="1">IF($D22="Teknologi ikke tilgængelig"," ",OFFSET(Vehicles!$E$186,0,MATCH($W22,Vehicles!$F$6:$AP$6,0)))</f>
        <v>8.3868508232251227E-2</v>
      </c>
      <c r="P22" s="170">
        <f ca="1">IF($D22="Teknologi ikke tilgængelig"," ",OFFSET(Vehicles!$E$187,0,MATCH($W22,Vehicles!$F$6:$AP$6,0)))</f>
        <v>4.4162464847390223E-5</v>
      </c>
      <c r="Q22" s="168"/>
      <c r="R22" s="259">
        <f t="shared" ca="1" si="1"/>
        <v>99.25718830055304</v>
      </c>
      <c r="S22" s="381"/>
      <c r="T22" s="384">
        <f ca="1">IF($D22="Teknologi ikke tilgængelig"," ",OFFSET(Vehicles!$E$51,0,MATCH($W22,Vehicles!$F$6:$AP$6,0)))</f>
        <v>2.4131403022714219E-2</v>
      </c>
      <c r="V22" s="150"/>
      <c r="W22" s="2467" t="s">
        <v>667</v>
      </c>
      <c r="X22" s="267"/>
      <c r="AA22" s="268"/>
      <c r="AC22" s="345"/>
    </row>
    <row r="23" spans="2:29" s="58" customFormat="1">
      <c r="B23" s="385"/>
      <c r="C23" s="7"/>
      <c r="D23" s="2515"/>
      <c r="E23" s="145"/>
      <c r="F23" s="145"/>
      <c r="G23" s="146"/>
      <c r="H23" s="147"/>
      <c r="I23" s="257"/>
      <c r="J23" s="148"/>
      <c r="K23" s="458"/>
      <c r="L23" s="150"/>
      <c r="M23" s="150"/>
      <c r="N23" s="150"/>
      <c r="O23" s="150"/>
      <c r="P23" s="170"/>
      <c r="Q23" s="168"/>
      <c r="R23" s="259"/>
      <c r="S23" s="381"/>
      <c r="T23" s="384"/>
      <c r="V23" s="150"/>
      <c r="W23" s="2467"/>
      <c r="X23" s="267"/>
      <c r="AA23" s="268"/>
      <c r="AC23" s="345"/>
    </row>
    <row r="24" spans="2:29">
      <c r="B24" s="2522" t="s">
        <v>2288</v>
      </c>
      <c r="C24" s="7" t="s">
        <v>2687</v>
      </c>
      <c r="D24" s="2515">
        <f ca="1">IF(OFFSET(Vehicles!$E$12,chosenYear,MATCH($W24,Vehicles!$F$6:$AP$6,0))="Nej","Teknologi ikke tilgængelig",OFFSET(Vehicles!$E$26,0,MATCH($W24,Vehicles!$F$6:$AP$6,0))-OFFSET(Vehicles!$E$27,0,MATCH($W24,Vehicles!$F$6:$AP$6,0)))</f>
        <v>6.0792768951702509</v>
      </c>
      <c r="E24" s="145">
        <f ca="1">IF($D24="Teknologi ikke tilgængelig"," ",OFFSET(Vehicles!$E$27,0,MATCH($W24,Vehicles!$F$6:$AP$6,0)))</f>
        <v>2.0532786934302796</v>
      </c>
      <c r="F24" s="145">
        <f ca="1">IF($D24="Teknologi ikke tilgængelig"," ",OFFSET(Vehicles!$E$25,0,MATCH($W24,Vehicles!$F$6:$AP$6,0)))</f>
        <v>0.47301182165945482</v>
      </c>
      <c r="G24" s="146">
        <f t="shared" ca="1" si="0"/>
        <v>8.6055674102599848</v>
      </c>
      <c r="H24" s="147"/>
      <c r="I24" s="257">
        <f ca="1">IF($D24="Teknologi ikke tilgængelig"," ",OFFSET(Vehicles!$E$63,0,MATCH($W24,Vehicles!$F$6:$AP$6,0)))</f>
        <v>0.37270005324810579</v>
      </c>
      <c r="J24" s="148"/>
      <c r="K24" s="458">
        <f ca="1">IF($D24="Teknologi ikke tilgængelig"," ",OFFSET(Vehicles!$E$182,0,MATCH($W24,Vehicles!$F$6:$AP$6,0)))</f>
        <v>1168.7764286309739</v>
      </c>
      <c r="L24" s="150">
        <f ca="1">IF($D24="Teknologi ikke tilgængelig"," ",OFFSET(Vehicles!$E$183,0,MATCH($W24,Vehicles!$F$6:$AP$6,0)))</f>
        <v>8.2077285947566407E-3</v>
      </c>
      <c r="M24" s="150">
        <f ca="1">IF($D24="Teknologi ikke tilgængelig"," ",OFFSET(Vehicles!$E$184,0,MATCH($W24,Vehicles!$F$6:$AP$6,0)))</f>
        <v>4.7943019058082438E-2</v>
      </c>
      <c r="N24" s="150">
        <f ca="1">IF($D24="Teknologi ikke tilgængelig"," ",OFFSET(Vehicles!$E$185,0,MATCH($W24,Vehicles!$F$6:$AP$6,0)))</f>
        <v>4.042890549191705E-2</v>
      </c>
      <c r="O24" s="150">
        <f ca="1">IF($D24="Teknologi ikke tilgængelig"," ",OFFSET(Vehicles!$E$186,0,MATCH($W24,Vehicles!$F$6:$AP$6,0)))</f>
        <v>5.679361259625149</v>
      </c>
      <c r="P24" s="170">
        <f ca="1">IF($D24="Teknologi ikke tilgængelig"," ",OFFSET(Vehicles!$E$187,0,MATCH($W24,Vehicles!$F$6:$AP$6,0)))</f>
        <v>4.6842596928490042E-2</v>
      </c>
      <c r="Q24" s="168"/>
      <c r="R24" s="259">
        <f t="shared" ca="1" si="1"/>
        <v>1183.2686415251512</v>
      </c>
      <c r="S24" s="381"/>
      <c r="T24" s="384">
        <f ca="1">IF($D24="Teknologi ikke tilgængelig"," ",OFFSET(Vehicles!$E$51,0,MATCH($W24,Vehicles!$F$6:$AP$6,0)))</f>
        <v>0.31866808466544821</v>
      </c>
      <c r="V24" s="150"/>
      <c r="W24" s="2467" t="s">
        <v>604</v>
      </c>
      <c r="X24" s="267"/>
      <c r="AA24" s="268"/>
      <c r="AC24" s="345"/>
    </row>
    <row r="25" spans="2:29">
      <c r="B25" s="2522"/>
      <c r="C25" s="7" t="s">
        <v>2688</v>
      </c>
      <c r="D25" s="2515">
        <f ca="1">IF(OFFSET(Vehicles!$E$12,chosenYear,MATCH($W25,Vehicles!$F$6:$AP$6,0))="Nej","Teknologi ikke tilgængelig",OFFSET(Vehicles!$E$26,0,MATCH($W25,Vehicles!$F$6:$AP$6,0))-OFFSET(Vehicles!$E$27,0,MATCH($W25,Vehicles!$F$6:$AP$6,0)))</f>
        <v>6.5103939793764818</v>
      </c>
      <c r="E25" s="145">
        <f ca="1">IF($D25="Teknologi ikke tilgængelig"," ",OFFSET(Vehicles!$E$27,0,MATCH($W25,Vehicles!$F$6:$AP$6,0)))</f>
        <v>1.2693343945522162</v>
      </c>
      <c r="F25" s="145">
        <f ca="1">IF($D25="Teknologi ikke tilgængelig"," ",OFFSET(Vehicles!$E$25,0,MATCH($W25,Vehicles!$F$6:$AP$6,0)))</f>
        <v>0.51336786005941382</v>
      </c>
      <c r="G25" s="146">
        <f t="shared" ca="1" si="0"/>
        <v>8.2930962339881127</v>
      </c>
      <c r="H25" s="147"/>
      <c r="I25" s="257">
        <f ca="1">IF($D25="Teknologi ikke tilgængelig"," ",OFFSET(Vehicles!$E$63,0,MATCH($W25,Vehicles!$F$6:$AP$6,0)))</f>
        <v>0.29089665540578735</v>
      </c>
      <c r="J25" s="148"/>
      <c r="K25" s="458">
        <f ca="1">IF($D25="Teknologi ikke tilgængelig"," ",OFFSET(Vehicles!$E$182,0,MATCH($W25,Vehicles!$F$6:$AP$6,0)))</f>
        <v>1143.8340867025122</v>
      </c>
      <c r="L25" s="150">
        <f ca="1">IF($D25="Teknologi ikke tilgængelig"," ",OFFSET(Vehicles!$E$183,0,MATCH($W25,Vehicles!$F$6:$AP$6,0)))</f>
        <v>1.7259918648886667</v>
      </c>
      <c r="M25" s="150">
        <f ca="1">IF($D25="Teknologi ikke tilgængelig"," ",OFFSET(Vehicles!$E$184,0,MATCH($W25,Vehicles!$F$6:$AP$6,0)))</f>
        <v>6.1556486349696383E-2</v>
      </c>
      <c r="N25" s="150">
        <f ca="1">IF($D25="Teknologi ikke tilgængelig"," ",OFFSET(Vehicles!$E$185,0,MATCH($W25,Vehicles!$F$6:$AP$6,0)))</f>
        <v>8.9483456490763915E-3</v>
      </c>
      <c r="O25" s="150">
        <f ca="1">IF($D25="Teknologi ikke tilgængelig"," ",OFFSET(Vehicles!$E$186,0,MATCH($W25,Vehicles!$F$6:$AP$6,0)))</f>
        <v>6.4170332069264058</v>
      </c>
      <c r="P25" s="170">
        <f ca="1">IF($D25="Teknologi ikke tilgængelig"," ",OFFSET(Vehicles!$E$187,0,MATCH($W25,Vehicles!$F$6:$AP$6,0)))</f>
        <v>5.9953224805319512E-2</v>
      </c>
      <c r="Q25" s="168"/>
      <c r="R25" s="259">
        <f t="shared" ca="1" si="1"/>
        <v>1205.3277162569384</v>
      </c>
      <c r="S25" s="381"/>
      <c r="T25" s="384">
        <f ca="1">IF($D25="Teknologi ikke tilgængelig"," ",OFFSET(Vehicles!$E$51,0,MATCH($W25,Vehicles!$F$6:$AP$6,0)))</f>
        <v>0.19779479921912674</v>
      </c>
      <c r="V25" s="150"/>
      <c r="W25" s="2467" t="s">
        <v>632</v>
      </c>
      <c r="AC25" s="345"/>
    </row>
    <row r="26" spans="2:29" s="58" customFormat="1">
      <c r="B26" s="2522"/>
      <c r="C26" s="7" t="s">
        <v>2690</v>
      </c>
      <c r="D26" s="2515">
        <f ca="1">IF(OFFSET(Vehicles!$E$12,chosenYear,MATCH($W26,Vehicles!$F$6:$AP$6,0))="Nej","Teknologi ikke tilgængelig",OFFSET(Vehicles!$E$26,0,MATCH($W26,Vehicles!$F$6:$AP$6,0))-OFFSET(Vehicles!$E$27,0,MATCH($W26,Vehicles!$F$6:$AP$6,0)))</f>
        <v>6.1186803887922867</v>
      </c>
      <c r="E26" s="145">
        <f ca="1">IF($D26="Teknologi ikke tilgængelig"," ",OFFSET(Vehicles!$E$27,0,MATCH($W26,Vehicles!$F$6:$AP$6,0)))</f>
        <v>1.8375821945047064</v>
      </c>
      <c r="F26" s="145">
        <f ca="1">IF($D26="Teknologi ikke tilgængelig"," ",OFFSET(Vehicles!$E$25,0,MATCH($W26,Vehicles!$F$6:$AP$6,0)))</f>
        <v>0.78347428868263214</v>
      </c>
      <c r="G26" s="146">
        <f t="shared" ca="1" si="0"/>
        <v>8.7397368719796251</v>
      </c>
      <c r="H26" s="147"/>
      <c r="I26" s="257">
        <f ca="1">IF($D26="Teknologi ikke tilgængelig"," ",OFFSET(Vehicles!$E$63,0,MATCH($W26,Vehicles!$F$6:$AP$6,0)))</f>
        <v>0.32591341561187775</v>
      </c>
      <c r="J26" s="148"/>
      <c r="K26" s="458">
        <f ca="1">IF($D26="Teknologi ikke tilgængelig"," ",OFFSET(Vehicles!$E$182,0,MATCH($W26,Vehicles!$F$6:$AP$6,0)))</f>
        <v>4929.4024112208763</v>
      </c>
      <c r="L26" s="150">
        <f ca="1">IF($D26="Teknologi ikke tilgængelig"," ",OFFSET(Vehicles!$E$183,0,MATCH($W26,Vehicles!$F$6:$AP$6,0)))</f>
        <v>1.3879803089622195E-2</v>
      </c>
      <c r="M26" s="150">
        <f ca="1">IF($D26="Teknologi ikke tilgængelig"," ",OFFSET(Vehicles!$E$184,0,MATCH($W26,Vehicles!$F$6:$AP$6,0)))</f>
        <v>4.8197106913847397E-2</v>
      </c>
      <c r="N26" s="150">
        <f ca="1">IF($D26="Teknologi ikke tilgængelig"," ",OFFSET(Vehicles!$E$185,0,MATCH($W26,Vehicles!$F$6:$AP$6,0)))</f>
        <v>2.1289464052636899E-2</v>
      </c>
      <c r="O26" s="150">
        <f ca="1">IF($D26="Teknologi ikke tilgængelig"," ",OFFSET(Vehicles!$E$186,0,MATCH($W26,Vehicles!$F$6:$AP$6,0)))</f>
        <v>8.3007191039202084</v>
      </c>
      <c r="P26" s="170">
        <f ca="1">IF($D26="Teknologi ikke tilgængelig"," ",OFFSET(Vehicles!$E$187,0,MATCH($W26,Vehicles!$F$6:$AP$6,0)))</f>
        <v>4.8242173934901787E-2</v>
      </c>
      <c r="Q26" s="168"/>
      <c r="R26" s="259">
        <f t="shared" ca="1" si="1"/>
        <v>4944.1121441584437</v>
      </c>
      <c r="S26" s="381"/>
      <c r="T26" s="384">
        <f ca="1">IF($D26="Teknologi ikke tilgængelig"," ",OFFSET(Vehicles!$E$51,0,MATCH($W26,Vehicles!$F$6:$AP$6,0)))</f>
        <v>0.484231460259614</v>
      </c>
      <c r="V26" s="150"/>
      <c r="W26" s="2467" t="s">
        <v>2578</v>
      </c>
      <c r="AC26" s="345"/>
    </row>
    <row r="27" spans="2:29" s="58" customFormat="1">
      <c r="B27" s="2522"/>
      <c r="C27" s="7" t="s">
        <v>2691</v>
      </c>
      <c r="D27" s="2515" t="str">
        <f ca="1">IF(OFFSET(Vehicles!$E$12,chosenYear,MATCH($W27,Vehicles!$F$6:$AP$6,0))="Nej","Teknologi ikke tilgængelig",OFFSET(Vehicles!$E$26,0,MATCH($W27,Vehicles!$F$6:$AP$6,0))-OFFSET(Vehicles!$E$27,0,MATCH($W27,Vehicles!$F$6:$AP$6,0)))</f>
        <v>Teknologi ikke tilgængelig</v>
      </c>
      <c r="E27" s="145" t="str">
        <f ca="1">IF($D27="Teknologi ikke tilgængelig"," ",OFFSET(Vehicles!$E$27,0,MATCH($W27,Vehicles!$F$6:$AP$6,0)))</f>
        <v xml:space="preserve"> </v>
      </c>
      <c r="F27" s="145" t="str">
        <f ca="1">IF($D27="Teknologi ikke tilgængelig"," ",OFFSET(Vehicles!$E$25,0,MATCH($W27,Vehicles!$F$6:$AP$6,0)))</f>
        <v xml:space="preserve"> </v>
      </c>
      <c r="G27" s="146" t="str">
        <f t="shared" ca="1" si="0"/>
        <v xml:space="preserve"> </v>
      </c>
      <c r="H27" s="147"/>
      <c r="I27" s="257" t="str">
        <f ca="1">IF($D27="Teknologi ikke tilgængelig"," ",OFFSET(Vehicles!$E$63,0,MATCH($W27,Vehicles!$F$6:$AP$6,0)))</f>
        <v xml:space="preserve"> </v>
      </c>
      <c r="J27" s="148"/>
      <c r="K27" s="458" t="str">
        <f ca="1">IF($D27="Teknologi ikke tilgængelig"," ",OFFSET(Vehicles!$E$182,0,MATCH($W27,Vehicles!$F$6:$AP$6,0)))</f>
        <v xml:space="preserve"> </v>
      </c>
      <c r="L27" s="150" t="str">
        <f ca="1">IF($D27="Teknologi ikke tilgængelig"," ",OFFSET(Vehicles!$E$183,0,MATCH($W27,Vehicles!$F$6:$AP$6,0)))</f>
        <v xml:space="preserve"> </v>
      </c>
      <c r="M27" s="150" t="str">
        <f ca="1">IF($D27="Teknologi ikke tilgængelig"," ",OFFSET(Vehicles!$E$184,0,MATCH($W27,Vehicles!$F$6:$AP$6,0)))</f>
        <v xml:space="preserve"> </v>
      </c>
      <c r="N27" s="150" t="str">
        <f ca="1">IF($D27="Teknologi ikke tilgængelig"," ",OFFSET(Vehicles!$E$185,0,MATCH($W27,Vehicles!$F$6:$AP$6,0)))</f>
        <v xml:space="preserve"> </v>
      </c>
      <c r="O27" s="150" t="str">
        <f ca="1">IF($D27="Teknologi ikke tilgængelig"," ",OFFSET(Vehicles!$E$186,0,MATCH($W27,Vehicles!$F$6:$AP$6,0)))</f>
        <v xml:space="preserve"> </v>
      </c>
      <c r="P27" s="170" t="str">
        <f ca="1">IF($D27="Teknologi ikke tilgængelig"," ",OFFSET(Vehicles!$E$187,0,MATCH($W27,Vehicles!$F$6:$AP$6,0)))</f>
        <v xml:space="preserve"> </v>
      </c>
      <c r="Q27" s="168"/>
      <c r="R27" s="259" t="str">
        <f t="shared" ca="1" si="1"/>
        <v xml:space="preserve"> </v>
      </c>
      <c r="S27" s="381"/>
      <c r="T27" s="384" t="str">
        <f ca="1">IF($D27="Teknologi ikke tilgængelig"," ",OFFSET(Vehicles!$E$51,0,MATCH($W27,Vehicles!$F$6:$AP$6,0)))</f>
        <v xml:space="preserve"> </v>
      </c>
      <c r="V27" s="150"/>
      <c r="W27" s="2467" t="s">
        <v>2577</v>
      </c>
      <c r="AC27" s="345"/>
    </row>
    <row r="28" spans="2:29">
      <c r="B28" s="2522"/>
      <c r="C28" s="7" t="s">
        <v>2692</v>
      </c>
      <c r="D28" s="2515">
        <f ca="1">IF(OFFSET(Vehicles!$E$12,chosenYear,MATCH($W28,Vehicles!$F$6:$AP$6,0))="Nej","Teknologi ikke tilgængelig",OFFSET(Vehicles!$E$26,0,MATCH($W28,Vehicles!$F$6:$AP$6,0))-OFFSET(Vehicles!$E$27,0,MATCH($W28,Vehicles!$F$6:$AP$6,0)))</f>
        <v>5.7195351938510033</v>
      </c>
      <c r="E28" s="145">
        <f ca="1">IF($D28="Teknologi ikke tilgængelig"," ",OFFSET(Vehicles!$E$27,0,MATCH($W28,Vehicles!$F$6:$AP$6,0)))</f>
        <v>2.1695807377876464</v>
      </c>
      <c r="F28" s="145">
        <f ca="1">IF($D28="Teknologi ikke tilgængelig"," ",OFFSET(Vehicles!$E$25,0,MATCH($W28,Vehicles!$F$6:$AP$6,0)))</f>
        <v>0.54583713523050403</v>
      </c>
      <c r="G28" s="146">
        <f t="shared" ca="1" si="0"/>
        <v>8.4349530668691539</v>
      </c>
      <c r="H28" s="147"/>
      <c r="I28" s="257">
        <f ca="1">IF($D28="Teknologi ikke tilgængelig"," ",OFFSET(Vehicles!$E$63,0,MATCH($W28,Vehicles!$F$6:$AP$6,0)))</f>
        <v>0.30102696608500845</v>
      </c>
      <c r="J28" s="148"/>
      <c r="K28" s="458">
        <f ca="1">IF($D28="Teknologi ikke tilgængelig"," ",OFFSET(Vehicles!$E$182,0,MATCH($W28,Vehicles!$F$6:$AP$6,0)))</f>
        <v>1234.9783955054234</v>
      </c>
      <c r="L28" s="150">
        <f ca="1">IF($D28="Teknologi ikke tilgængelig"," ",OFFSET(Vehicles!$E$183,0,MATCH($W28,Vehicles!$F$6:$AP$6,0)))</f>
        <v>5.6116195476301261E-3</v>
      </c>
      <c r="M28" s="150">
        <f ca="1">IF($D28="Teknologi ikke tilgængelig"," ",OFFSET(Vehicles!$E$184,0,MATCH($W28,Vehicles!$F$6:$AP$6,0)))</f>
        <v>4.3151417440065287E-2</v>
      </c>
      <c r="N28" s="150">
        <f ca="1">IF($D28="Teknologi ikke tilgængelig"," ",OFFSET(Vehicles!$E$185,0,MATCH($W28,Vehicles!$F$6:$AP$6,0)))</f>
        <v>4.2718884136747501E-2</v>
      </c>
      <c r="O28" s="150">
        <f ca="1">IF($D28="Teknologi ikke tilgængelig"," ",OFFSET(Vehicles!$E$186,0,MATCH($W28,Vehicles!$F$6:$AP$6,0)))</f>
        <v>7.0799690194113776</v>
      </c>
      <c r="P28" s="170">
        <f ca="1">IF($D28="Teknologi ikke tilgængelig"," ",OFFSET(Vehicles!$E$187,0,MATCH($W28,Vehicles!$F$6:$AP$6,0)))</f>
        <v>4.933048470211962E-2</v>
      </c>
      <c r="Q28" s="168"/>
      <c r="R28" s="259">
        <f t="shared" ca="1" si="1"/>
        <v>1247.9778083912533</v>
      </c>
      <c r="S28" s="381"/>
      <c r="T28" s="384">
        <f ca="1">IF($D28="Teknologi ikke tilgængelig"," ",OFFSET(Vehicles!$E$51,0,MATCH($W28,Vehicles!$F$6:$AP$6,0)))</f>
        <v>0.336718118417136</v>
      </c>
      <c r="V28" s="150"/>
      <c r="W28" s="2467" t="s">
        <v>671</v>
      </c>
      <c r="AC28" s="345"/>
    </row>
    <row r="29" spans="2:29" ht="12.75" customHeight="1">
      <c r="B29" s="2522"/>
      <c r="C29" s="7" t="s">
        <v>2693</v>
      </c>
      <c r="D29" s="2515">
        <f ca="1">IF(OFFSET(Vehicles!$E$12,chosenYear,MATCH($W29,Vehicles!$F$6:$AP$6,0))="Nej","Teknologi ikke tilgængelig",OFFSET(Vehicles!$E$26,0,MATCH($W29,Vehicles!$F$6:$AP$6,0))-OFFSET(Vehicles!$E$27,0,MATCH($W29,Vehicles!$F$6:$AP$6,0)))</f>
        <v>6.2748959530251263</v>
      </c>
      <c r="E29" s="145">
        <f ca="1">IF($D29="Teknologi ikke tilgængelig"," ",OFFSET(Vehicles!$E$27,0,MATCH($W29,Vehicles!$F$6:$AP$6,0)))</f>
        <v>1.3826973750304781</v>
      </c>
      <c r="F29" s="145">
        <f ca="1">IF($D29="Teknologi ikke tilgængelig"," ",OFFSET(Vehicles!$E$25,0,MATCH($W29,Vehicles!$F$6:$AP$6,0)))</f>
        <v>0.61835779437468885</v>
      </c>
      <c r="G29" s="146">
        <f t="shared" ca="1" si="0"/>
        <v>8.2759511224302926</v>
      </c>
      <c r="H29" s="147"/>
      <c r="I29" s="257">
        <f ca="1">IF($D29="Teknologi ikke tilgængelig"," ",OFFSET(Vehicles!$E$63,0,MATCH($W29,Vehicles!$F$6:$AP$6,0)))</f>
        <v>0.22790901296842467</v>
      </c>
      <c r="J29" s="148"/>
      <c r="K29" s="458">
        <f ca="1">IF($D29="Teknologi ikke tilgængelig"," ",OFFSET(Vehicles!$E$182,0,MATCH($W29,Vehicles!$F$6:$AP$6,0)))</f>
        <v>1245.9887606778993</v>
      </c>
      <c r="L29" s="150">
        <f ca="1">IF($D29="Teknologi ikke tilgængelig"," ",OFFSET(Vehicles!$E$183,0,MATCH($W29,Vehicles!$F$6:$AP$6,0)))</f>
        <v>1.4730484345429999</v>
      </c>
      <c r="M29" s="150">
        <f ca="1">IF($D29="Teknologi ikke tilgængelig"," ",OFFSET(Vehicles!$E$184,0,MATCH($W29,Vehicles!$F$6:$AP$6,0)))</f>
        <v>5.7101538121782279E-2</v>
      </c>
      <c r="N29" s="150">
        <f ca="1">IF($D29="Teknologi ikke tilgængelig"," ",OFFSET(Vehicles!$E$185,0,MATCH($W29,Vehicles!$F$6:$AP$6,0)))</f>
        <v>9.7475134156497049E-3</v>
      </c>
      <c r="O29" s="150">
        <f ca="1">IF($D29="Teknologi ikke tilgængelig"," ",OFFSET(Vehicles!$E$186,0,MATCH($W29,Vehicles!$F$6:$AP$6,0)))</f>
        <v>8.420481682159636</v>
      </c>
      <c r="P29" s="170">
        <f ca="1">IF($D29="Teknologi ikke tilgængelig"," ",OFFSET(Vehicles!$E$187,0,MATCH($W29,Vehicles!$F$6:$AP$6,0)))</f>
        <v>6.5088343721223907E-2</v>
      </c>
      <c r="Q29" s="168"/>
      <c r="R29" s="259">
        <f t="shared" ca="1" si="1"/>
        <v>1299.8312299017655</v>
      </c>
      <c r="S29" s="381"/>
      <c r="T29" s="384">
        <f ca="1">IF($D29="Teknologi ikke tilgængelig"," ",OFFSET(Vehicles!$E$51,0,MATCH($W29,Vehicles!$F$6:$AP$6,0)))</f>
        <v>0.21545965416894447</v>
      </c>
      <c r="V29" s="150"/>
      <c r="W29" s="2467" t="s">
        <v>672</v>
      </c>
      <c r="Y29" s="345"/>
      <c r="AC29" s="345"/>
    </row>
    <row r="30" spans="2:29" s="58" customFormat="1" ht="12.75" customHeight="1">
      <c r="B30" s="2522"/>
      <c r="C30" s="7" t="s">
        <v>2733</v>
      </c>
      <c r="D30" s="2515">
        <f ca="1">IF(OFFSET(Vehicles!$E$12,chosenYear,MATCH($W30,Vehicles!$F$6:$AP$6,0))="Nej","Teknologi ikke tilgængelig",OFFSET(Vehicles!$E$26,0,MATCH($W30,Vehicles!$F$6:$AP$6,0))-OFFSET(Vehicles!$E$27,0,MATCH($W30,Vehicles!$F$6:$AP$6,0)))</f>
        <v>5.7195351938510033</v>
      </c>
      <c r="E30" s="145">
        <f ca="1">IF($D30="Teknologi ikke tilgængelig"," ",OFFSET(Vehicles!$E$27,0,MATCH($W30,Vehicles!$F$6:$AP$6,0)))</f>
        <v>1.9416667333349196</v>
      </c>
      <c r="F30" s="145">
        <f ca="1">IF($D30="Teknologi ikke tilgængelig"," ",OFFSET(Vehicles!$E$25,0,MATCH($W30,Vehicles!$F$6:$AP$6,0)))</f>
        <v>0.82403391436265461</v>
      </c>
      <c r="G30" s="146">
        <f t="shared" ref="G30" ca="1" si="4">IF($D30="Teknologi ikke tilgængelig"," ",SUM(D30:F30))</f>
        <v>8.4852358415485778</v>
      </c>
      <c r="H30" s="147"/>
      <c r="I30" s="257">
        <f ca="1">IF($D30="Teknologi ikke tilgængelig"," ",OFFSET(Vehicles!$E$63,0,MATCH($W30,Vehicles!$F$6:$AP$6,0)))</f>
        <v>0.26323775876343969</v>
      </c>
      <c r="J30" s="148"/>
      <c r="K30" s="458">
        <f ca="1">IF($D30="Teknologi ikke tilgængelig"," ",OFFSET(Vehicles!$E$182,0,MATCH($W30,Vehicles!$F$6:$AP$6,0)))</f>
        <v>5208.6141810207882</v>
      </c>
      <c r="L30" s="150">
        <f ca="1">IF($D30="Teknologi ikke tilgængelig"," ",OFFSET(Vehicles!$E$183,0,MATCH($W30,Vehicles!$F$6:$AP$6,0)))</f>
        <v>1.1604972328590424E-2</v>
      </c>
      <c r="M30" s="150">
        <f ca="1">IF($D30="Teknologi ikke tilgængelig"," ",OFFSET(Vehicles!$E$184,0,MATCH($W30,Vehicles!$F$6:$AP$6,0)))</f>
        <v>4.3419897368940613E-2</v>
      </c>
      <c r="N30" s="150">
        <f ca="1">IF($D30="Teknologi ikke tilgængelig"," ",OFFSET(Vehicles!$E$185,0,MATCH($W30,Vehicles!$F$6:$AP$6,0)))</f>
        <v>2.3130676184370424E-2</v>
      </c>
      <c r="O30" s="150">
        <f ca="1">IF($D30="Teknologi ikke tilgængelig"," ",OFFSET(Vehicles!$E$186,0,MATCH($W30,Vehicles!$F$6:$AP$6,0)))</f>
        <v>8.8086148540773657</v>
      </c>
      <c r="P30" s="170">
        <f ca="1">IF($D30="Teknologi ikke tilgængelig"," ",OFFSET(Vehicles!$E$187,0,MATCH($W30,Vehicles!$F$6:$AP$6,0)))</f>
        <v>5.0809336707878537E-2</v>
      </c>
      <c r="Q30" s="168"/>
      <c r="R30" s="259">
        <f t="shared" ref="R30" ca="1" si="5">IF($D30="Teknologi ikke tilgængelig"," ",SUMPRODUCT($K$3:$M$3,K30:M30))</f>
        <v>5221.8434347449474</v>
      </c>
      <c r="S30" s="381"/>
      <c r="T30" s="384">
        <f ca="1">IF($D30="Teknologi ikke tilgængelig"," ",OFFSET(Vehicles!$E$51,0,MATCH($W30,Vehicles!$F$6:$AP$6,0)))</f>
        <v>0.51165935348742553</v>
      </c>
      <c r="V30" s="150"/>
      <c r="W30" s="2467" t="s">
        <v>2717</v>
      </c>
      <c r="Y30" s="345"/>
      <c r="AC30" s="345"/>
    </row>
    <row r="31" spans="2:29">
      <c r="B31" s="2522"/>
      <c r="C31" s="7" t="s">
        <v>2694</v>
      </c>
      <c r="D31" s="2515">
        <f ca="1">IF(OFFSET(Vehicles!$E$12,chosenYear,MATCH($W31,Vehicles!$F$6:$AP$6,0))="Nej","Teknologi ikke tilgængelig",OFFSET(Vehicles!$E$26,0,MATCH($W31,Vehicles!$F$6:$AP$6,0))-OFFSET(Vehicles!$E$27,0,MATCH($W31,Vehicles!$F$6:$AP$6,0)))</f>
        <v>7.099814806613602</v>
      </c>
      <c r="E31" s="145">
        <f ca="1">IF($D31="Teknologi ikke tilgængelig"," ",OFFSET(Vehicles!$E$27,0,MATCH($W31,Vehicles!$F$6:$AP$6,0)))</f>
        <v>1.6689082598366509</v>
      </c>
      <c r="F31" s="145">
        <f ca="1">IF($D31="Teknologi ikke tilgængelig"," ",OFFSET(Vehicles!$E$25,0,MATCH($W31,Vehicles!$F$6:$AP$6,0)))</f>
        <v>0.44233298418497802</v>
      </c>
      <c r="G31" s="146">
        <f t="shared" ca="1" si="0"/>
        <v>9.2110560506352304</v>
      </c>
      <c r="H31" s="147"/>
      <c r="I31" s="257">
        <f ca="1">IF($D31="Teknologi ikke tilgængelig"," ",OFFSET(Vehicles!$E$63,0,MATCH($W31,Vehicles!$F$6:$AP$6,0)))</f>
        <v>0.39133505591051104</v>
      </c>
      <c r="J31" s="148"/>
      <c r="K31" s="458">
        <f ca="1">IF($D31="Teknologi ikke tilgængelig"," ",OFFSET(Vehicles!$E$182,0,MATCH($W31,Vehicles!$F$6:$AP$6,0)))</f>
        <v>949.98338115801789</v>
      </c>
      <c r="L31" s="150">
        <f ca="1">IF($D31="Teknologi ikke tilgængelig"," ",OFFSET(Vehicles!$E$183,0,MATCH($W31,Vehicles!$F$6:$AP$6,0)))</f>
        <v>4.3166304212539424E-3</v>
      </c>
      <c r="M31" s="150">
        <f ca="1">IF($D31="Teknologi ikke tilgængelig"," ",OFFSET(Vehicles!$E$184,0,MATCH($W31,Vehicles!$F$6:$AP$6,0)))</f>
        <v>3.319339803081945E-2</v>
      </c>
      <c r="N31" s="150">
        <f ca="1">IF($D31="Teknologi ikke tilgængelig"," ",OFFSET(Vehicles!$E$185,0,MATCH($W31,Vehicles!$F$6:$AP$6,0)))</f>
        <v>3.2860680105190387E-2</v>
      </c>
      <c r="O31" s="150">
        <f ca="1">IF($D31="Teknologi ikke tilgængelig"," ",OFFSET(Vehicles!$E$186,0,MATCH($W31,Vehicles!$F$6:$AP$6,0)))</f>
        <v>5.4461300149318284</v>
      </c>
      <c r="P31" s="170">
        <f ca="1">IF($D31="Teknologi ikke tilgængelig"," ",OFFSET(Vehicles!$E$187,0,MATCH($W31,Vehicles!$F$6:$AP$6,0)))</f>
        <v>3.7946526693938165E-2</v>
      </c>
      <c r="Q31" s="168"/>
      <c r="R31" s="259">
        <f t="shared" ca="1" si="1"/>
        <v>959.98292953173348</v>
      </c>
      <c r="S31" s="381"/>
      <c r="T31" s="384">
        <f ca="1">IF($D31="Teknologi ikke tilgængelig"," ",OFFSET(Vehicles!$E$51,0,MATCH($W31,Vehicles!$F$6:$AP$6,0)))</f>
        <v>0.25901393724395078</v>
      </c>
      <c r="V31" s="150"/>
      <c r="W31" s="2467" t="s">
        <v>673</v>
      </c>
      <c r="AC31" s="345"/>
    </row>
    <row r="32" spans="2:29" ht="12.75" customHeight="1">
      <c r="B32" s="385"/>
      <c r="C32" s="7"/>
      <c r="D32" s="2515"/>
      <c r="E32" s="145"/>
      <c r="F32" s="145"/>
      <c r="G32" s="146"/>
      <c r="H32" s="147"/>
      <c r="I32" s="257"/>
      <c r="J32" s="148"/>
      <c r="K32" s="458"/>
      <c r="L32" s="150"/>
      <c r="M32" s="150"/>
      <c r="N32" s="150"/>
      <c r="O32" s="150"/>
      <c r="P32" s="170"/>
      <c r="Q32" s="168"/>
      <c r="R32" s="259"/>
      <c r="S32" s="381"/>
      <c r="T32" s="384"/>
      <c r="V32" s="150"/>
      <c r="W32" s="2467"/>
      <c r="AC32" s="345"/>
    </row>
    <row r="33" spans="2:29" ht="12.75" customHeight="1">
      <c r="B33" s="2522" t="s">
        <v>1655</v>
      </c>
      <c r="C33" s="7" t="s">
        <v>2734</v>
      </c>
      <c r="D33" s="2515">
        <f ca="1">IF(OFFSET(Vehicles!$E$12,chosenYear,MATCH($W33,Vehicles!$F$6:$AP$6,0))="Nej","Teknologi ikke tilgængelig",OFFSET(Vehicles!$E$26,0,MATCH($W33,Vehicles!$F$6:$AP$6,0))-OFFSET(Vehicles!$E$27,0,MATCH($W33,Vehicles!$F$6:$AP$6,0)))</f>
        <v>40.971295478940782</v>
      </c>
      <c r="E33" s="145">
        <f ca="1">IF($D33="Teknologi ikke tilgængelig"," ",OFFSET(Vehicles!$E$27,0,MATCH($W33,Vehicles!$F$6:$AP$6,0)))</f>
        <v>13.588820564803141</v>
      </c>
      <c r="F33" s="145">
        <f ca="1">IF($D33="Teknologi ikke tilgængelig"," ",OFFSET(Vehicles!$E$25,0,MATCH($W33,Vehicles!$F$6:$AP$6,0)))</f>
        <v>2.148181198775843</v>
      </c>
      <c r="G33" s="146">
        <f t="shared" ca="1" si="0"/>
        <v>56.70829724251977</v>
      </c>
      <c r="H33" s="147"/>
      <c r="I33" s="257">
        <f ca="1">IF($D33="Teknologi ikke tilgængelig"," ",OFFSET(Vehicles!$E$63,0,MATCH($W33,Vehicles!$F$6:$AP$6,0)))</f>
        <v>0.447221292916757</v>
      </c>
      <c r="J33" s="148"/>
      <c r="K33" s="458">
        <f ca="1">IF($D33="Teknologi ikke tilgængelig"," ",OFFSET(Vehicles!$E$182,0,MATCH($W33,Vehicles!$F$6:$AP$6,0)))</f>
        <v>8160.2132887107191</v>
      </c>
      <c r="L33" s="150">
        <f ca="1">IF($D33="Teknologi ikke tilgængelig"," ",OFFSET(Vehicles!$E$183,0,MATCH($W33,Vehicles!$F$6:$AP$6,0)))</f>
        <v>1.1795317062249279E-3</v>
      </c>
      <c r="M33" s="150">
        <f ca="1">IF($D33="Teknologi ikke tilgængelig"," ",OFFSET(Vehicles!$E$184,0,MATCH($W33,Vehicles!$F$6:$AP$6,0)))</f>
        <v>9.3671691121772983E-4</v>
      </c>
      <c r="N33" s="150">
        <f ca="1">IF($D33="Teknologi ikke tilgængelig"," ",OFFSET(Vehicles!$E$185,0,MATCH($W33,Vehicles!$F$6:$AP$6,0)))</f>
        <v>5.6533274884788967E-3</v>
      </c>
      <c r="O33" s="150">
        <f ca="1">IF($D33="Teknologi ikke tilgængelig"," ",OFFSET(Vehicles!$E$186,0,MATCH($W33,Vehicles!$F$6:$AP$6,0)))</f>
        <v>36.228237400329036</v>
      </c>
      <c r="P33" s="170">
        <f ca="1">IF($D33="Teknologi ikke tilgængelig"," ",OFFSET(Vehicles!$E$187,0,MATCH($W33,Vehicles!$F$6:$AP$6,0)))</f>
        <v>2.014920282190978E-3</v>
      </c>
      <c r="Q33" s="168"/>
      <c r="R33" s="259">
        <f t="shared" ca="1" si="1"/>
        <v>8160.5219186429176</v>
      </c>
      <c r="S33" s="381"/>
      <c r="T33" s="384">
        <f ca="1">IF($D33="Teknologi ikke tilgængelig"," ",OFFSET(Vehicles!$E$51,0,MATCH($W33,Vehicles!$F$6:$AP$6,0)))</f>
        <v>0.40559372638599306</v>
      </c>
      <c r="V33" s="150"/>
      <c r="W33" s="2467" t="s">
        <v>1656</v>
      </c>
      <c r="AC33" s="345"/>
    </row>
    <row r="34" spans="2:29" ht="12.75" customHeight="1">
      <c r="B34" s="2522"/>
      <c r="C34" s="7" t="s">
        <v>2735</v>
      </c>
      <c r="D34" s="2515" t="str">
        <f ca="1">IF(OFFSET(Vehicles!$E$12,chosenYear,MATCH($W34,Vehicles!$F$6:$AP$6,0))="Nej","Teknologi ikke tilgængelig",OFFSET(Vehicles!$E$26,0,MATCH($W34,Vehicles!$F$6:$AP$6,0))-OFFSET(Vehicles!$E$27,0,MATCH($W34,Vehicles!$F$6:$AP$6,0)))</f>
        <v>Teknologi ikke tilgængelig</v>
      </c>
      <c r="E34" s="145" t="str">
        <f ca="1">IF($D34="Teknologi ikke tilgængelig"," ",OFFSET(Vehicles!$E$27,0,MATCH($W34,Vehicles!$F$6:$AP$6,0)))</f>
        <v xml:space="preserve"> </v>
      </c>
      <c r="F34" s="145" t="str">
        <f ca="1">IF($D34="Teknologi ikke tilgængelig"," ",OFFSET(Vehicles!$E$25,0,MATCH($W34,Vehicles!$F$6:$AP$6,0)))</f>
        <v xml:space="preserve"> </v>
      </c>
      <c r="G34" s="146" t="str">
        <f t="shared" ca="1" si="0"/>
        <v xml:space="preserve"> </v>
      </c>
      <c r="H34" s="147"/>
      <c r="I34" s="257" t="str">
        <f ca="1">IF($D34="Teknologi ikke tilgængelig"," ",OFFSET(Vehicles!$E$63,0,MATCH($W34,Vehicles!$F$6:$AP$6,0)))</f>
        <v xml:space="preserve"> </v>
      </c>
      <c r="J34" s="148"/>
      <c r="K34" s="458" t="str">
        <f ca="1">IF($D34="Teknologi ikke tilgængelig"," ",OFFSET(Vehicles!$E$182,0,MATCH($W34,Vehicles!$F$6:$AP$6,0)))</f>
        <v xml:space="preserve"> </v>
      </c>
      <c r="L34" s="150" t="str">
        <f ca="1">IF($D34="Teknologi ikke tilgængelig"," ",OFFSET(Vehicles!$E$183,0,MATCH($W34,Vehicles!$F$6:$AP$6,0)))</f>
        <v xml:space="preserve"> </v>
      </c>
      <c r="M34" s="150" t="str">
        <f ca="1">IF($D34="Teknologi ikke tilgængelig"," ",OFFSET(Vehicles!$E$184,0,MATCH($W34,Vehicles!$F$6:$AP$6,0)))</f>
        <v xml:space="preserve"> </v>
      </c>
      <c r="N34" s="150" t="str">
        <f ca="1">IF($D34="Teknologi ikke tilgængelig"," ",OFFSET(Vehicles!$E$185,0,MATCH($W34,Vehicles!$F$6:$AP$6,0)))</f>
        <v xml:space="preserve"> </v>
      </c>
      <c r="O34" s="150" t="str">
        <f ca="1">IF($D34="Teknologi ikke tilgængelig"," ",OFFSET(Vehicles!$E$186,0,MATCH($W34,Vehicles!$F$6:$AP$6,0)))</f>
        <v xml:space="preserve"> </v>
      </c>
      <c r="P34" s="170" t="str">
        <f ca="1">IF($D34="Teknologi ikke tilgængelig"," ",OFFSET(Vehicles!$E$187,0,MATCH($W34,Vehicles!$F$6:$AP$6,0)))</f>
        <v xml:space="preserve"> </v>
      </c>
      <c r="Q34" s="168"/>
      <c r="R34" s="259" t="str">
        <f t="shared" ca="1" si="1"/>
        <v xml:space="preserve"> </v>
      </c>
      <c r="S34" s="381"/>
      <c r="T34" s="384" t="str">
        <f ca="1">IF($D34="Teknologi ikke tilgængelig"," ",OFFSET(Vehicles!$E$51,0,MATCH($W34,Vehicles!$F$6:$AP$6,0)))</f>
        <v xml:space="preserve"> </v>
      </c>
      <c r="V34" s="150"/>
      <c r="W34" s="2467" t="s">
        <v>2080</v>
      </c>
      <c r="AC34" s="345"/>
    </row>
    <row r="35" spans="2:29">
      <c r="C35" s="7"/>
      <c r="D35" s="2515"/>
      <c r="E35" s="145"/>
      <c r="F35" s="145"/>
      <c r="G35" s="146"/>
      <c r="H35" s="147"/>
      <c r="I35" s="257"/>
      <c r="J35" s="148"/>
      <c r="K35" s="458"/>
      <c r="L35" s="150"/>
      <c r="M35" s="150"/>
      <c r="N35" s="150"/>
      <c r="O35" s="150"/>
      <c r="P35" s="170"/>
      <c r="Q35" s="168"/>
      <c r="R35" s="259"/>
      <c r="S35" s="381"/>
      <c r="T35" s="384"/>
      <c r="V35" s="150"/>
      <c r="W35" s="2467"/>
    </row>
    <row r="36" spans="2:29" ht="12.75" customHeight="1">
      <c r="B36" s="2522" t="s">
        <v>2289</v>
      </c>
      <c r="C36" s="7" t="s">
        <v>2695</v>
      </c>
      <c r="D36" s="2515">
        <f ca="1">IF(OFFSET(Vehicles!$E$12,chosenYear,MATCH($W36,Vehicles!$F$6:$AP$6,0))="Nej","Teknologi ikke tilgængelig",OFFSET(Vehicles!$E$26,0,MATCH($W36,Vehicles!$F$6:$AP$6,0))-OFFSET(Vehicles!$E$27,0,MATCH($W36,Vehicles!$F$6:$AP$6,0)))</f>
        <v>0</v>
      </c>
      <c r="E36" s="145">
        <f ca="1">IF($D36="Teknologi ikke tilgængelig"," ",OFFSET(Vehicles!$E$27,0,MATCH($W36,Vehicles!$F$6:$AP$6,0)))</f>
        <v>615.37464959371619</v>
      </c>
      <c r="F36" s="145">
        <f ca="1">IF($D36="Teknologi ikke tilgængelig"," ",OFFSET(Vehicles!$E$25,0,MATCH($W36,Vehicles!$F$6:$AP$6,0)))</f>
        <v>353.70232470206804</v>
      </c>
      <c r="G36" s="146">
        <f t="shared" ca="1" si="0"/>
        <v>969.07697429578423</v>
      </c>
      <c r="H36" s="147"/>
      <c r="I36" s="257">
        <f ca="1">IF($D36="Teknologi ikke tilgængelig"," ",OFFSET(Vehicles!$E$63,0,MATCH($W36,Vehicles!$F$6:$AP$6,0)))</f>
        <v>0.37407164929552272</v>
      </c>
      <c r="J36" s="148"/>
      <c r="K36" s="458">
        <f ca="1">IF($D36="Teknologi ikke tilgængelig"," ",OFFSET(Vehicles!$E$182,0,MATCH($W36,Vehicles!$F$6:$AP$6,0)))</f>
        <v>350286.29456072551</v>
      </c>
      <c r="L36" s="150">
        <f ca="1">IF($D36="Teknologi ikke tilgængelig"," ",OFFSET(Vehicles!$E$183,0,MATCH($W36,Vehicles!$F$6:$AP$6,0)))</f>
        <v>4.7256400466709536E-2</v>
      </c>
      <c r="M36" s="150">
        <f ca="1">IF($D36="Teknologi ikke tilgængelig"," ",OFFSET(Vehicles!$E$184,0,MATCH($W36,Vehicles!$F$6:$AP$6,0)))</f>
        <v>3.7381310473908955E-2</v>
      </c>
      <c r="N36" s="150">
        <f ca="1">IF($D36="Teknologi ikke tilgængelig"," ",OFFSET(Vehicles!$E$185,0,MATCH($W36,Vehicles!$F$6:$AP$6,0)))</f>
        <v>775.4157608748709</v>
      </c>
      <c r="O36" s="150">
        <f ca="1">IF($D36="Teknologi ikke tilgængelig"," ",OFFSET(Vehicles!$E$186,0,MATCH($W36,Vehicles!$F$6:$AP$6,0)))</f>
        <v>2211.1156546512934</v>
      </c>
      <c r="P36" s="170">
        <f ca="1">IF($D36="Teknologi ikke tilgængelig"," ",OFFSET(Vehicles!$E$187,0,MATCH($W36,Vehicles!$F$6:$AP$6,0)))</f>
        <v>391.19959713676701</v>
      </c>
      <c r="Q36" s="168"/>
      <c r="R36" s="259">
        <f t="shared" ca="1" si="1"/>
        <v>350298.61560125841</v>
      </c>
      <c r="S36" s="381"/>
      <c r="T36" s="384">
        <f ca="1">IF($D36="Teknologi ikke tilgængelig"," ",OFFSET(Vehicles!$E$51,0,MATCH($W36,Vehicles!$F$6:$AP$6,0)))</f>
        <v>95.505915278402298</v>
      </c>
      <c r="V36" s="150"/>
      <c r="W36" s="2467" t="s">
        <v>2092</v>
      </c>
      <c r="AC36" s="345"/>
    </row>
    <row r="37" spans="2:29" s="58" customFormat="1" ht="12.75" customHeight="1">
      <c r="B37" s="2522"/>
      <c r="C37" s="7" t="s">
        <v>2736</v>
      </c>
      <c r="D37" s="2515" t="str">
        <f ca="1">IF(OFFSET(Vehicles!$E$12,chosenYear,MATCH($W37,Vehicles!$F$6:$AP$6,0))="Nej","Teknologi ikke tilgængelig",OFFSET(Vehicles!$E$26,0,MATCH($W37,Vehicles!$F$6:$AP$6,0))-OFFSET(Vehicles!$E$27,0,MATCH($W37,Vehicles!$F$6:$AP$6,0)))</f>
        <v>Teknologi ikke tilgængelig</v>
      </c>
      <c r="E37" s="145" t="str">
        <f ca="1">IF($D37="Teknologi ikke tilgængelig"," ",OFFSET(Vehicles!$E$27,0,MATCH($W37,Vehicles!$F$6:$AP$6,0)))</f>
        <v xml:space="preserve"> </v>
      </c>
      <c r="F37" s="145" t="str">
        <f ca="1">IF($D37="Teknologi ikke tilgængelig"," ",OFFSET(Vehicles!$E$25,0,MATCH($W37,Vehicles!$F$6:$AP$6,0)))</f>
        <v xml:space="preserve"> </v>
      </c>
      <c r="G37" s="146" t="str">
        <f t="shared" ref="G37" ca="1" si="6">IF($D37="Teknologi ikke tilgængelig"," ",SUM(D37:F37))</f>
        <v xml:space="preserve"> </v>
      </c>
      <c r="H37" s="147"/>
      <c r="I37" s="257" t="str">
        <f ca="1">IF($D37="Teknologi ikke tilgængelig"," ",OFFSET(Vehicles!$E$63,0,MATCH($W37,Vehicles!$F$6:$AP$6,0)))</f>
        <v xml:space="preserve"> </v>
      </c>
      <c r="J37" s="148"/>
      <c r="K37" s="458" t="str">
        <f ca="1">IF($D37="Teknologi ikke tilgængelig"," ",OFFSET(Vehicles!$E$182,0,MATCH($W37,Vehicles!$F$6:$AP$6,0)))</f>
        <v xml:space="preserve"> </v>
      </c>
      <c r="L37" s="150" t="str">
        <f ca="1">IF($D37="Teknologi ikke tilgængelig"," ",OFFSET(Vehicles!$E$183,0,MATCH($W37,Vehicles!$F$6:$AP$6,0)))</f>
        <v xml:space="preserve"> </v>
      </c>
      <c r="M37" s="150" t="str">
        <f ca="1">IF($D37="Teknologi ikke tilgængelig"," ",OFFSET(Vehicles!$E$184,0,MATCH($W37,Vehicles!$F$6:$AP$6,0)))</f>
        <v xml:space="preserve"> </v>
      </c>
      <c r="N37" s="150" t="str">
        <f ca="1">IF($D37="Teknologi ikke tilgængelig"," ",OFFSET(Vehicles!$E$185,0,MATCH($W37,Vehicles!$F$6:$AP$6,0)))</f>
        <v xml:space="preserve"> </v>
      </c>
      <c r="O37" s="150" t="str">
        <f ca="1">IF($D37="Teknologi ikke tilgængelig"," ",OFFSET(Vehicles!$E$186,0,MATCH($W37,Vehicles!$F$6:$AP$6,0)))</f>
        <v xml:space="preserve"> </v>
      </c>
      <c r="P37" s="170" t="str">
        <f ca="1">IF($D37="Teknologi ikke tilgængelig"," ",OFFSET(Vehicles!$E$187,0,MATCH($W37,Vehicles!$F$6:$AP$6,0)))</f>
        <v xml:space="preserve"> </v>
      </c>
      <c r="Q37" s="168"/>
      <c r="R37" s="259" t="str">
        <f t="shared" ref="R37" ca="1" si="7">IF($D37="Teknologi ikke tilgængelig"," ",SUMPRODUCT($K$3:$M$3,K37:M37))</f>
        <v xml:space="preserve"> </v>
      </c>
      <c r="S37" s="381"/>
      <c r="T37" s="384" t="str">
        <f ca="1">IF($D37="Teknologi ikke tilgængelig"," ",OFFSET(Vehicles!$E$51,0,MATCH($W37,Vehicles!$F$6:$AP$6,0)))</f>
        <v xml:space="preserve"> </v>
      </c>
      <c r="V37" s="150"/>
      <c r="W37" s="2467" t="s">
        <v>2650</v>
      </c>
      <c r="AC37" s="345"/>
    </row>
    <row r="38" spans="2:29">
      <c r="B38" s="2522"/>
      <c r="C38" s="7" t="s">
        <v>1647</v>
      </c>
      <c r="D38" s="2515">
        <f ca="1">IF(OFFSET(Vehicles!$E$12,chosenYear,MATCH($W38,Vehicles!$F$6:$AP$6,0))="Nej","Teknologi ikke tilgængelig",OFFSET(Vehicles!$E$26,0,MATCH($W38,Vehicles!$F$6:$AP$6,0))-OFFSET(Vehicles!$E$27,0,MATCH($W38,Vehicles!$F$6:$AP$6,0)))</f>
        <v>304.66215341115674</v>
      </c>
      <c r="E38" s="145">
        <f ca="1">IF($D38="Teknologi ikke tilgængelig"," ",OFFSET(Vehicles!$E$27,0,MATCH($W38,Vehicles!$F$6:$AP$6,0)))</f>
        <v>662.99059732121952</v>
      </c>
      <c r="F38" s="145">
        <f ca="1">IF($D38="Teknologi ikke tilgængelig"," ",OFFSET(Vehicles!$E$25,0,MATCH($W38,Vehicles!$F$6:$AP$6,0)))</f>
        <v>2761.9193654785481</v>
      </c>
      <c r="G38" s="146">
        <f t="shared" ca="1" si="0"/>
        <v>3729.5721162109244</v>
      </c>
      <c r="H38" s="147"/>
      <c r="I38" s="257">
        <f ca="1">IF($D38="Teknologi ikke tilgængelig"," ",OFFSET(Vehicles!$E$63,0,MATCH($W38,Vehicles!$F$6:$AP$6,0)))</f>
        <v>0.47428587647615433</v>
      </c>
      <c r="J38" s="148"/>
      <c r="K38" s="458">
        <f ca="1">IF($D38="Teknologi ikke tilgængelig"," ",OFFSET(Vehicles!$E$182,0,MATCH($W38,Vehicles!$F$6:$AP$6,0)))</f>
        <v>562257.33999595721</v>
      </c>
      <c r="L38" s="150">
        <f ca="1">IF($D38="Teknologi ikke tilgængelig"," ",OFFSET(Vehicles!$E$183,0,MATCH($W38,Vehicles!$F$6:$AP$6,0)))</f>
        <v>6.1991939644756161E-2</v>
      </c>
      <c r="M38" s="150">
        <f ca="1">IF($D38="Teknologi ikke tilgængelig"," ",OFFSET(Vehicles!$E$184,0,MATCH($W38,Vehicles!$F$6:$AP$6,0)))</f>
        <v>4.8231980662876921E-2</v>
      </c>
      <c r="N38" s="150">
        <f ca="1">IF($D38="Teknologi ikke tilgængelig"," ",OFFSET(Vehicles!$E$185,0,MATCH($W38,Vehicles!$F$6:$AP$6,0)))</f>
        <v>11843.680495361406</v>
      </c>
      <c r="O38" s="150">
        <f ca="1">IF($D38="Teknologi ikke tilgængelig"," ",OFFSET(Vehicles!$E$186,0,MATCH($W38,Vehicles!$F$6:$AP$6,0)))</f>
        <v>3349.5305038809356</v>
      </c>
      <c r="P38" s="170">
        <f ca="1">IF($D38="Teknologi ikke tilgængelig"," ",OFFSET(Vehicles!$E$187,0,MATCH($W38,Vehicles!$F$6:$AP$6,0)))</f>
        <v>1658.6048974244536</v>
      </c>
      <c r="Q38" s="168"/>
      <c r="R38" s="259">
        <f t="shared" ca="1" si="1"/>
        <v>562273.26292468584</v>
      </c>
      <c r="S38" s="381"/>
      <c r="T38" s="384">
        <f ca="1">IF($D38="Teknologi ikke tilgængelig"," ",OFFSET(Vehicles!$E$51,0,MATCH($W38,Vehicles!$F$6:$AP$6,0)))</f>
        <v>26.493146950046679</v>
      </c>
      <c r="V38" s="150"/>
      <c r="W38" s="2467" t="s">
        <v>1647</v>
      </c>
      <c r="AC38" s="345"/>
    </row>
    <row r="39" spans="2:29">
      <c r="B39" s="2522"/>
      <c r="C39" s="7" t="s">
        <v>1648</v>
      </c>
      <c r="D39" s="2515">
        <f ca="1">IF(OFFSET(Vehicles!$E$12,chosenYear,MATCH($W39,Vehicles!$F$6:$AP$6,0))="Nej","Teknologi ikke tilgængelig",OFFSET(Vehicles!$E$26,0,MATCH($W39,Vehicles!$F$6:$AP$6,0))-OFFSET(Vehicles!$E$27,0,MATCH($W39,Vehicles!$F$6:$AP$6,0)))</f>
        <v>304.66215341115674</v>
      </c>
      <c r="E39" s="145">
        <f ca="1">IF($D39="Teknologi ikke tilgængelig"," ",OFFSET(Vehicles!$E$27,0,MATCH($W39,Vehicles!$F$6:$AP$6,0)))</f>
        <v>952.3468358728984</v>
      </c>
      <c r="F39" s="145">
        <f ca="1">IF($D39="Teknologi ikke tilgængelig"," ",OFFSET(Vehicles!$E$25,0,MATCH($W39,Vehicles!$F$6:$AP$6,0)))</f>
        <v>547.38571046645643</v>
      </c>
      <c r="G39" s="146">
        <f t="shared" ca="1" si="0"/>
        <v>1804.3946997505116</v>
      </c>
      <c r="H39" s="147"/>
      <c r="I39" s="257">
        <f ca="1">IF($D39="Teknologi ikke tilgængelig"," ",OFFSET(Vehicles!$E$63,0,MATCH($W39,Vehicles!$F$6:$AP$6,0)))</f>
        <v>0.45146578363252743</v>
      </c>
      <c r="J39" s="148"/>
      <c r="K39" s="458">
        <f ca="1">IF($D39="Teknologi ikke tilgængelig"," ",OFFSET(Vehicles!$E$182,0,MATCH($W39,Vehicles!$F$6:$AP$6,0)))</f>
        <v>542099.10092135763</v>
      </c>
      <c r="L39" s="150">
        <f ca="1">IF($D39="Teknologi ikke tilgængelig"," ",OFFSET(Vehicles!$E$183,0,MATCH($W39,Vehicles!$F$6:$AP$6,0)))</f>
        <v>7.3133469974634685E-2</v>
      </c>
      <c r="M39" s="150">
        <f ca="1">IF($D39="Teknologi ikke tilgængelig"," ",OFFSET(Vehicles!$E$184,0,MATCH($W39,Vehicles!$F$6:$AP$6,0)))</f>
        <v>5.7850892580826187E-2</v>
      </c>
      <c r="N39" s="150">
        <f ca="1">IF($D39="Teknologi ikke tilgængelig"," ",OFFSET(Vehicles!$E$185,0,MATCH($W39,Vehicles!$F$6:$AP$6,0)))</f>
        <v>1200.0246465185232</v>
      </c>
      <c r="O39" s="150">
        <f ca="1">IF($D39="Teknologi ikke tilgængelig"," ",OFFSET(Vehicles!$E$186,0,MATCH($W39,Vehicles!$F$6:$AP$6,0)))</f>
        <v>3421.8975364787179</v>
      </c>
      <c r="P39" s="170">
        <f ca="1">IF($D39="Teknologi ikke tilgængelig"," ",OFFSET(Vehicles!$E$187,0,MATCH($W39,Vehicles!$F$6:$AP$6,0)))</f>
        <v>605.41606446401943</v>
      </c>
      <c r="Q39" s="168"/>
      <c r="R39" s="259">
        <f t="shared" ca="1" si="1"/>
        <v>542118.16882409609</v>
      </c>
      <c r="S39" s="381"/>
      <c r="T39" s="384">
        <f ca="1">IF($D39="Teknologi ikke tilgængelig"," ",OFFSET(Vehicles!$E$51,0,MATCH($W39,Vehicles!$F$6:$AP$6,0)))</f>
        <v>147.80387245815513</v>
      </c>
      <c r="V39" s="150"/>
      <c r="W39" s="2467" t="s">
        <v>1648</v>
      </c>
      <c r="AC39" s="345"/>
    </row>
    <row r="40" spans="2:29">
      <c r="B40" s="2522"/>
      <c r="C40" s="7" t="s">
        <v>2024</v>
      </c>
      <c r="D40" s="2515" t="str">
        <f ca="1">IF(OFFSET(Vehicles!$E$12,chosenYear,MATCH($W40,Vehicles!$F$6:$AP$6,0))="Nej","Teknologi ikke tilgængelig",OFFSET(Vehicles!$E$26,0,MATCH($W40,Vehicles!$F$6:$AP$6,0))-OFFSET(Vehicles!$E$27,0,MATCH($W40,Vehicles!$F$6:$AP$6,0)))</f>
        <v>Teknologi ikke tilgængelig</v>
      </c>
      <c r="E40" s="145" t="str">
        <f ca="1">IF($D40="Teknologi ikke tilgængelig"," ",OFFSET(Vehicles!$E$27,0,MATCH($W40,Vehicles!$F$6:$AP$6,0)))</f>
        <v xml:space="preserve"> </v>
      </c>
      <c r="F40" s="145" t="str">
        <f ca="1">IF($D40="Teknologi ikke tilgængelig"," ",OFFSET(Vehicles!$E$25,0,MATCH($W40,Vehicles!$F$6:$AP$6,0)))</f>
        <v xml:space="preserve"> </v>
      </c>
      <c r="G40" s="146" t="str">
        <f t="shared" ca="1" si="0"/>
        <v xml:space="preserve"> </v>
      </c>
      <c r="H40" s="147"/>
      <c r="I40" s="257" t="str">
        <f ca="1">IF($D40="Teknologi ikke tilgængelig"," ",OFFSET(Vehicles!$E$63,0,MATCH($W40,Vehicles!$F$6:$AP$6,0)))</f>
        <v xml:space="preserve"> </v>
      </c>
      <c r="J40" s="148"/>
      <c r="K40" s="458" t="str">
        <f ca="1">IF($D40="Teknologi ikke tilgængelig"," ",OFFSET(Vehicles!$E$182,0,MATCH($W40,Vehicles!$F$6:$AP$6,0)))</f>
        <v xml:space="preserve"> </v>
      </c>
      <c r="L40" s="150" t="str">
        <f ca="1">IF($D40="Teknologi ikke tilgængelig"," ",OFFSET(Vehicles!$E$183,0,MATCH($W40,Vehicles!$F$6:$AP$6,0)))</f>
        <v xml:space="preserve"> </v>
      </c>
      <c r="M40" s="150" t="str">
        <f ca="1">IF($D40="Teknologi ikke tilgængelig"," ",OFFSET(Vehicles!$E$184,0,MATCH($W40,Vehicles!$F$6:$AP$6,0)))</f>
        <v xml:space="preserve"> </v>
      </c>
      <c r="N40" s="150" t="str">
        <f ca="1">IF($D40="Teknologi ikke tilgængelig"," ",OFFSET(Vehicles!$E$185,0,MATCH($W40,Vehicles!$F$6:$AP$6,0)))</f>
        <v xml:space="preserve"> </v>
      </c>
      <c r="O40" s="150" t="str">
        <f ca="1">IF($D40="Teknologi ikke tilgængelig"," ",OFFSET(Vehicles!$E$186,0,MATCH($W40,Vehicles!$F$6:$AP$6,0)))</f>
        <v xml:space="preserve"> </v>
      </c>
      <c r="P40" s="170" t="str">
        <f ca="1">IF($D40="Teknologi ikke tilgængelig"," ",OFFSET(Vehicles!$E$187,0,MATCH($W40,Vehicles!$F$6:$AP$6,0)))</f>
        <v xml:space="preserve"> </v>
      </c>
      <c r="Q40" s="168"/>
      <c r="R40" s="259" t="str">
        <f t="shared" ca="1" si="1"/>
        <v xml:space="preserve"> </v>
      </c>
      <c r="S40" s="381"/>
      <c r="T40" s="384" t="str">
        <f ca="1">IF($D40="Teknologi ikke tilgængelig"," ",OFFSET(Vehicles!$E$51,0,MATCH($W40,Vehicles!$F$6:$AP$6,0)))</f>
        <v xml:space="preserve"> </v>
      </c>
      <c r="V40" s="150"/>
      <c r="W40" s="2467" t="s">
        <v>2024</v>
      </c>
      <c r="AC40" s="345"/>
    </row>
    <row r="41" spans="2:29">
      <c r="B41" s="2522"/>
      <c r="C41" s="7" t="s">
        <v>2050</v>
      </c>
      <c r="D41" s="2515">
        <f ca="1">IF(OFFSET(Vehicles!$E$12,chosenYear,MATCH($W41,Vehicles!$F$6:$AP$6,0))="Nej","Teknologi ikke tilgængelig",OFFSET(Vehicles!$E$26,0,MATCH($W41,Vehicles!$F$6:$AP$6,0))-OFFSET(Vehicles!$E$27,0,MATCH($W41,Vehicles!$F$6:$AP$6,0)))</f>
        <v>335.43935761739453</v>
      </c>
      <c r="E41" s="145">
        <f ca="1">IF($D41="Teknologi ikke tilgængelig"," ",OFFSET(Vehicles!$E$27,0,MATCH($W41,Vehicles!$F$6:$AP$6,0)))</f>
        <v>522.6753169515506</v>
      </c>
      <c r="F41" s="145">
        <f ca="1">IF($D41="Teknologi ikke tilgængelig"," ",OFFSET(Vehicles!$E$25,0,MATCH($W41,Vehicles!$F$6:$AP$6,0)))</f>
        <v>217.13076133948235</v>
      </c>
      <c r="G41" s="146">
        <f t="shared" ca="1" si="0"/>
        <v>1075.2454359084275</v>
      </c>
      <c r="H41" s="147"/>
      <c r="I41" s="257">
        <f ca="1">IF($D41="Teknologi ikke tilgængelig"," ",OFFSET(Vehicles!$E$63,0,MATCH($W41,Vehicles!$F$6:$AP$6,0)))</f>
        <v>0.40611005021873081</v>
      </c>
      <c r="J41" s="148"/>
      <c r="K41" s="458">
        <f ca="1">IF($D41="Teknologi ikke tilgængelig"," ",OFFSET(Vehicles!$E$182,0,MATCH($W41,Vehicles!$F$6:$AP$6,0)))</f>
        <v>504044.54127951333</v>
      </c>
      <c r="L41" s="150">
        <f ca="1">IF($D41="Teknologi ikke tilgængelig"," ",OFFSET(Vehicles!$E$183,0,MATCH($W41,Vehicles!$F$6:$AP$6,0)))</f>
        <v>981.34355823747285</v>
      </c>
      <c r="M41" s="150">
        <f ca="1">IF($D41="Teknologi ikke tilgængelig"," ",OFFSET(Vehicles!$E$184,0,MATCH($W41,Vehicles!$F$6:$AP$6,0)))</f>
        <v>0.11980012179405718</v>
      </c>
      <c r="N41" s="150">
        <f ca="1">IF($D41="Teknologi ikke tilgængelig"," ",OFFSET(Vehicles!$E$185,0,MATCH($W41,Vehicles!$F$6:$AP$6,0)))</f>
        <v>757.36903877275631</v>
      </c>
      <c r="O41" s="150">
        <f ca="1">IF($D41="Teknologi ikke tilgængelig"," ",OFFSET(Vehicles!$E$186,0,MATCH($W41,Vehicles!$F$6:$AP$6,0)))</f>
        <v>609.69410210855085</v>
      </c>
      <c r="P41" s="170">
        <f ca="1">IF($D41="Teknologi ikke tilgængelig"," ",OFFSET(Vehicles!$E$187,0,MATCH($W41,Vehicles!$F$6:$AP$6,0)))</f>
        <v>91.916719718902712</v>
      </c>
      <c r="Q41" s="168"/>
      <c r="R41" s="259">
        <f t="shared" ca="1" si="1"/>
        <v>528613.83067174477</v>
      </c>
      <c r="S41" s="381"/>
      <c r="T41" s="384">
        <f ca="1">IF($D41="Teknologi ikke tilgængelig"," ",OFFSET(Vehicles!$E$51,0,MATCH($W41,Vehicles!$F$6:$AP$6,0)))</f>
        <v>50.125380364898284</v>
      </c>
      <c r="V41" s="150"/>
      <c r="W41" s="2467" t="s">
        <v>2050</v>
      </c>
      <c r="AC41" s="345"/>
    </row>
    <row r="42" spans="2:29">
      <c r="B42" s="344"/>
      <c r="C42" s="7"/>
      <c r="D42" s="2515"/>
      <c r="E42" s="145"/>
      <c r="F42" s="145"/>
      <c r="G42" s="146"/>
      <c r="H42" s="147"/>
      <c r="I42" s="257"/>
      <c r="J42" s="148"/>
      <c r="K42" s="458"/>
      <c r="L42" s="150"/>
      <c r="M42" s="150"/>
      <c r="N42" s="150"/>
      <c r="O42" s="150"/>
      <c r="P42" s="170"/>
      <c r="Q42" s="168"/>
      <c r="R42" s="259"/>
      <c r="S42" s="381"/>
      <c r="T42" s="384"/>
      <c r="V42" s="150"/>
      <c r="W42" s="2467"/>
      <c r="AC42" s="345"/>
    </row>
    <row r="43" spans="2:29">
      <c r="B43" s="2522" t="s">
        <v>2290</v>
      </c>
      <c r="C43" s="7" t="s">
        <v>2737</v>
      </c>
      <c r="D43" s="2515">
        <f ca="1">IF(OFFSET(Vehicles!$E$12,chosenYear,MATCH($W43,Vehicles!$F$6:$AP$6,0))="Nej","Teknologi ikke tilgængelig",OFFSET(Vehicles!$E$26,0,MATCH($W43,Vehicles!$F$6:$AP$6,0))-OFFSET(Vehicles!$E$27,0,MATCH($W43,Vehicles!$F$6:$AP$6,0)))</f>
        <v>42.743963249923823</v>
      </c>
      <c r="E43" s="145">
        <f ca="1">IF($D43="Teknologi ikke tilgængelig"," ",OFFSET(Vehicles!$E$27,0,MATCH($W43,Vehicles!$F$6:$AP$6,0)))</f>
        <v>5.7354646358041883</v>
      </c>
      <c r="F43" s="145">
        <f ca="1">IF($D43="Teknologi ikke tilgængelig"," ",OFFSET(Vehicles!$E$25,0,MATCH($W43,Vehicles!$F$6:$AP$6,0)))</f>
        <v>3.7570037759796713</v>
      </c>
      <c r="G43" s="146">
        <f t="shared" ca="1" si="0"/>
        <v>52.236431661707684</v>
      </c>
      <c r="H43" s="147"/>
      <c r="I43" s="257">
        <f ca="1">IF($D43="Teknologi ikke tilgængelig"," ",OFFSET(Vehicles!$E$63,0,MATCH($W43,Vehicles!$F$6:$AP$6,0)))</f>
        <v>0.29816004259848461</v>
      </c>
      <c r="J43" s="148"/>
      <c r="K43" s="458">
        <f ca="1">IF($D43="Teknologi ikke tilgængelig"," ",OFFSET(Vehicles!$E$182,0,MATCH($W43,Vehicles!$F$6:$AP$6,0)))</f>
        <v>3264.7666851183294</v>
      </c>
      <c r="L43" s="150">
        <f ca="1">IF($D43="Teknologi ikke tilgængelig"," ",OFFSET(Vehicles!$E$183,0,MATCH($W43,Vehicles!$F$6:$AP$6,0)))</f>
        <v>4.4044292996332871E-4</v>
      </c>
      <c r="M43" s="150">
        <f ca="1">IF($D43="Teknologi ikke tilgængelig"," ",OFFSET(Vehicles!$E$184,0,MATCH($W43,Vehicles!$F$6:$AP$6,0)))</f>
        <v>3.4840431662999536E-4</v>
      </c>
      <c r="N43" s="150">
        <f ca="1">IF($D43="Teknologi ikke tilgængelig"," ",OFFSET(Vehicles!$E$185,0,MATCH($W43,Vehicles!$F$6:$AP$6,0)))</f>
        <v>9.4455802345528E-2</v>
      </c>
      <c r="O43" s="150">
        <f ca="1">IF($D43="Teknologi ikke tilgængelig"," ",OFFSET(Vehicles!$E$186,0,MATCH($W43,Vehicles!$F$6:$AP$6,0)))</f>
        <v>56.886790369009624</v>
      </c>
      <c r="P43" s="170">
        <f ca="1">IF($D43="Teknologi ikke tilgængelig"," ",OFFSET(Vehicles!$E$187,0,MATCH($W43,Vehicles!$F$6:$AP$6,0)))</f>
        <v>1.096454873595899</v>
      </c>
      <c r="Q43" s="168"/>
      <c r="R43" s="259">
        <f t="shared" ca="1" si="1"/>
        <v>3264.8815206779341</v>
      </c>
      <c r="S43" s="381"/>
      <c r="T43" s="384">
        <f ca="1">IF($D43="Teknologi ikke tilgængelig"," ",OFFSET(Vehicles!$E$51,0,MATCH($W43,Vehicles!$F$6:$AP$6,0)))</f>
        <v>0.89014196465687623</v>
      </c>
      <c r="V43" s="150"/>
      <c r="W43" s="2467" t="s">
        <v>1973</v>
      </c>
      <c r="AC43" s="345"/>
    </row>
    <row r="44" spans="2:29">
      <c r="B44" s="2522"/>
      <c r="C44" s="7" t="s">
        <v>2738</v>
      </c>
      <c r="D44" s="2515" t="str">
        <f ca="1">IF(OFFSET(Vehicles!$E$12,chosenYear,MATCH($W44,Vehicles!$F$6:$AP$6,0))="Nej","Teknologi ikke tilgængelig",OFFSET(Vehicles!$E$26,0,MATCH($W44,Vehicles!$F$6:$AP$6,0))-OFFSET(Vehicles!$E$27,0,MATCH($W44,Vehicles!$F$6:$AP$6,0)))</f>
        <v>Teknologi ikke tilgængelig</v>
      </c>
      <c r="E44" s="145" t="str">
        <f ca="1">IF($D44="Teknologi ikke tilgængelig"," ",OFFSET(Vehicles!$E$27,0,MATCH($W44,Vehicles!$F$6:$AP$6,0)))</f>
        <v xml:space="preserve"> </v>
      </c>
      <c r="F44" s="145" t="str">
        <f ca="1">IF($D44="Teknologi ikke tilgængelig"," ",OFFSET(Vehicles!$E$25,0,MATCH($W44,Vehicles!$F$6:$AP$6,0)))</f>
        <v xml:space="preserve"> </v>
      </c>
      <c r="G44" s="146" t="str">
        <f t="shared" ca="1" si="0"/>
        <v xml:space="preserve"> </v>
      </c>
      <c r="H44" s="147"/>
      <c r="I44" s="257" t="str">
        <f ca="1">IF($D44="Teknologi ikke tilgængelig"," ",OFFSET(Vehicles!$E$63,0,MATCH($W44,Vehicles!$F$6:$AP$6,0)))</f>
        <v xml:space="preserve"> </v>
      </c>
      <c r="J44" s="148"/>
      <c r="K44" s="458" t="str">
        <f ca="1">IF($D44="Teknologi ikke tilgængelig"," ",OFFSET(Vehicles!$E$182,0,MATCH($W44,Vehicles!$F$6:$AP$6,0)))</f>
        <v xml:space="preserve"> </v>
      </c>
      <c r="L44" s="150" t="str">
        <f ca="1">IF($D44="Teknologi ikke tilgængelig"," ",OFFSET(Vehicles!$E$183,0,MATCH($W44,Vehicles!$F$6:$AP$6,0)))</f>
        <v xml:space="preserve"> </v>
      </c>
      <c r="M44" s="150" t="str">
        <f ca="1">IF($D44="Teknologi ikke tilgængelig"," ",OFFSET(Vehicles!$E$184,0,MATCH($W44,Vehicles!$F$6:$AP$6,0)))</f>
        <v xml:space="preserve"> </v>
      </c>
      <c r="N44" s="150" t="str">
        <f ca="1">IF($D44="Teknologi ikke tilgængelig"," ",OFFSET(Vehicles!$E$185,0,MATCH($W44,Vehicles!$F$6:$AP$6,0)))</f>
        <v xml:space="preserve"> </v>
      </c>
      <c r="O44" s="150" t="str">
        <f ca="1">IF($D44="Teknologi ikke tilgængelig"," ",OFFSET(Vehicles!$E$186,0,MATCH($W44,Vehicles!$F$6:$AP$6,0)))</f>
        <v xml:space="preserve"> </v>
      </c>
      <c r="P44" s="170" t="str">
        <f ca="1">IF($D44="Teknologi ikke tilgængelig"," ",OFFSET(Vehicles!$E$187,0,MATCH($W44,Vehicles!$F$6:$AP$6,0)))</f>
        <v xml:space="preserve"> </v>
      </c>
      <c r="Q44" s="168"/>
      <c r="R44" s="259" t="str">
        <f t="shared" ca="1" si="1"/>
        <v xml:space="preserve"> </v>
      </c>
      <c r="S44" s="381"/>
      <c r="T44" s="384" t="str">
        <f ca="1">IF($D44="Teknologi ikke tilgængelig"," ",OFFSET(Vehicles!$E$51,0,MATCH($W44,Vehicles!$F$6:$AP$6,0)))</f>
        <v xml:space="preserve"> </v>
      </c>
      <c r="V44" s="150"/>
      <c r="W44" s="2467" t="s">
        <v>1976</v>
      </c>
      <c r="AC44" s="345"/>
    </row>
    <row r="45" spans="2:29">
      <c r="B45" s="2522"/>
      <c r="C45" s="7" t="s">
        <v>2739</v>
      </c>
      <c r="D45" s="2515">
        <f ca="1">IF(OFFSET(Vehicles!$E$12,chosenYear,MATCH($W45,Vehicles!$F$6:$AP$6,0))="Nej","Teknologi ikke tilgængelig",OFFSET(Vehicles!$E$26,0,MATCH($W45,Vehicles!$F$6:$AP$6,0))-OFFSET(Vehicles!$E$27,0,MATCH($W45,Vehicles!$F$6:$AP$6,0)))</f>
        <v>43.090904237018634</v>
      </c>
      <c r="E45" s="145">
        <f ca="1">IF($D45="Teknologi ikke tilgængelig"," ",OFFSET(Vehicles!$E$27,0,MATCH($W45,Vehicles!$F$6:$AP$6,0)))</f>
        <v>9.5941748047471123</v>
      </c>
      <c r="F45" s="145">
        <f ca="1">IF($D45="Teknologi ikke tilgængelig"," ",OFFSET(Vehicles!$E$25,0,MATCH($W45,Vehicles!$F$6:$AP$6,0)))</f>
        <v>9.9115847380816038E-2</v>
      </c>
      <c r="G45" s="146">
        <f t="shared" ca="1" si="0"/>
        <v>52.784194889146562</v>
      </c>
      <c r="H45" s="147"/>
      <c r="I45" s="257">
        <f ca="1">IF($D45="Teknologi ikke tilgængelig"," ",OFFSET(Vehicles!$E$63,0,MATCH($W45,Vehicles!$F$6:$AP$6,0)))</f>
        <v>0.69049021146920753</v>
      </c>
      <c r="J45" s="148"/>
      <c r="K45" s="458">
        <f ca="1">IF($D45="Teknologi ikke tilgængelig"," ",OFFSET(Vehicles!$E$182,0,MATCH($W45,Vehicles!$F$6:$AP$6,0)))</f>
        <v>99.946781011821926</v>
      </c>
      <c r="L45" s="150">
        <f ca="1">IF($D45="Teknologi ikke tilgængelig"," ",OFFSET(Vehicles!$E$183,0,MATCH($W45,Vehicles!$F$6:$AP$6,0)))</f>
        <v>1.9481684210526319E-3</v>
      </c>
      <c r="M45" s="150">
        <f ca="1">IF($D45="Teknologi ikke tilgængelig"," ",OFFSET(Vehicles!$E$184,0,MATCH($W45,Vehicles!$F$6:$AP$6,0)))</f>
        <v>1.9481684210526319E-3</v>
      </c>
      <c r="N45" s="150">
        <f ca="1">IF($D45="Teknologi ikke tilgængelig"," ",OFFSET(Vehicles!$E$185,0,MATCH($W45,Vehicles!$F$6:$AP$6,0)))</f>
        <v>6.4401008452488369E-3</v>
      </c>
      <c r="O45" s="150">
        <f ca="1">IF($D45="Teknologi ikke tilgængelig"," ",OFFSET(Vehicles!$E$186,0,MATCH($W45,Vehicles!$F$6:$AP$6,0)))</f>
        <v>1.9025867068286466</v>
      </c>
      <c r="P45" s="170">
        <f ca="1">IF($D45="Teknologi ikke tilgængelig"," ",OFFSET(Vehicles!$E$187,0,MATCH($W45,Vehicles!$F$6:$AP$6,0)))</f>
        <v>1.9481684210526319E-3</v>
      </c>
      <c r="Q45" s="168"/>
      <c r="R45" s="259">
        <f t="shared" ca="1" si="1"/>
        <v>100.57603941182192</v>
      </c>
      <c r="S45" s="381"/>
      <c r="T45" s="384">
        <f ca="1">IF($D45="Teknologi ikke tilgængelig"," ",OFFSET(Vehicles!$E$51,0,MATCH($W45,Vehicles!$F$6:$AP$6,0)))</f>
        <v>7.5625196017426308</v>
      </c>
      <c r="V45" s="150"/>
      <c r="W45" s="2467" t="s">
        <v>1974</v>
      </c>
      <c r="AC45" s="345"/>
    </row>
    <row r="46" spans="2:29">
      <c r="B46" s="2522"/>
      <c r="C46" s="7" t="s">
        <v>2740</v>
      </c>
      <c r="D46" s="2515">
        <f ca="1">IF(OFFSET(Vehicles!$E$12,chosenYear,MATCH($W46,Vehicles!$F$6:$AP$6,0))="Nej","Teknologi ikke tilgængelig",OFFSET(Vehicles!$E$26,0,MATCH($W46,Vehicles!$F$6:$AP$6,0))-OFFSET(Vehicles!$E$27,0,MATCH($W46,Vehicles!$F$6:$AP$6,0)))</f>
        <v>38.760327639897277</v>
      </c>
      <c r="E46" s="145">
        <f ca="1">IF($D46="Teknologi ikke tilgængelig"," ",OFFSET(Vehicles!$E$27,0,MATCH($W46,Vehicles!$F$6:$AP$6,0)))</f>
        <v>4.6926528838397896</v>
      </c>
      <c r="F46" s="145">
        <f ca="1">IF($D46="Teknologi ikke tilgængelig"," ",OFFSET(Vehicles!$E$25,0,MATCH($W46,Vehicles!$F$6:$AP$6,0)))</f>
        <v>2.6199763050190037</v>
      </c>
      <c r="G46" s="146">
        <f t="shared" ca="1" si="0"/>
        <v>46.07295682875607</v>
      </c>
      <c r="H46" s="147"/>
      <c r="I46" s="257">
        <f ca="1">IF($D46="Teknologi ikke tilgængelig"," ",OFFSET(Vehicles!$E$63,0,MATCH($W46,Vehicles!$F$6:$AP$6,0)))</f>
        <v>0.29816004259848461</v>
      </c>
      <c r="J46" s="148"/>
      <c r="K46" s="458">
        <f ca="1">IF($D46="Teknologi ikke tilgængelig"," ",OFFSET(Vehicles!$E$182,0,MATCH($W46,Vehicles!$F$6:$AP$6,0)))</f>
        <v>2671.1727423695415</v>
      </c>
      <c r="L46" s="150">
        <f ca="1">IF($D46="Teknologi ikke tilgængelig"," ",OFFSET(Vehicles!$E$183,0,MATCH($W46,Vehicles!$F$6:$AP$6,0)))</f>
        <v>3.6036239724272339E-4</v>
      </c>
      <c r="M46" s="150">
        <f ca="1">IF($D46="Teknologi ikke tilgængelig"," ",OFFSET(Vehicles!$E$184,0,MATCH($W46,Vehicles!$F$6:$AP$6,0)))</f>
        <v>2.8505807724272343E-4</v>
      </c>
      <c r="N46" s="150">
        <f ca="1">IF($D46="Teknologi ikke tilgængelig"," ",OFFSET(Vehicles!$E$185,0,MATCH($W46,Vehicles!$F$6:$AP$6,0)))</f>
        <v>7.7282020100886528E-2</v>
      </c>
      <c r="O46" s="150">
        <f ca="1">IF($D46="Teknologi ikke tilgængelig"," ",OFFSET(Vehicles!$E$186,0,MATCH($W46,Vehicles!$F$6:$AP$6,0)))</f>
        <v>44.571481574644231</v>
      </c>
      <c r="P46" s="170">
        <f ca="1">IF($D46="Teknologi ikke tilgængelig"," ",OFFSET(Vehicles!$E$187,0,MATCH($W46,Vehicles!$F$6:$AP$6,0)))</f>
        <v>0.43092984203300794</v>
      </c>
      <c r="Q46" s="168"/>
      <c r="R46" s="259">
        <f t="shared" ca="1" si="1"/>
        <v>2671.266698736491</v>
      </c>
      <c r="S46" s="381"/>
      <c r="T46" s="384">
        <f ca="1">IF($D46="Teknologi ikke tilgængelig"," ",OFFSET(Vehicles!$E$51,0,MATCH($W46,Vehicles!$F$6:$AP$6,0)))</f>
        <v>0.72829797108289873</v>
      </c>
      <c r="V46" s="150"/>
      <c r="W46" s="2467" t="s">
        <v>1975</v>
      </c>
      <c r="AC46" s="345"/>
    </row>
    <row r="47" spans="2:29">
      <c r="B47" s="2522"/>
      <c r="C47" s="7" t="s">
        <v>2741</v>
      </c>
      <c r="D47" s="2515" t="str">
        <f ca="1">IF(OFFSET(Vehicles!$E$12,chosenYear,MATCH($W47,Vehicles!$F$6:$AP$6,0))="Nej","Teknologi ikke tilgængelig",OFFSET(Vehicles!$E$26,0,MATCH($W47,Vehicles!$F$6:$AP$6,0))-OFFSET(Vehicles!$E$27,0,MATCH($W47,Vehicles!$F$6:$AP$6,0)))</f>
        <v>Teknologi ikke tilgængelig</v>
      </c>
      <c r="E47" s="145" t="str">
        <f ca="1">IF($D47="Teknologi ikke tilgængelig"," ",OFFSET(Vehicles!$E$27,0,MATCH($W47,Vehicles!$F$6:$AP$6,0)))</f>
        <v xml:space="preserve"> </v>
      </c>
      <c r="F47" s="145" t="str">
        <f ca="1">IF($D47="Teknologi ikke tilgængelig"," ",OFFSET(Vehicles!$E$25,0,MATCH($W47,Vehicles!$F$6:$AP$6,0)))</f>
        <v xml:space="preserve"> </v>
      </c>
      <c r="G47" s="146" t="str">
        <f t="shared" ca="1" si="0"/>
        <v xml:space="preserve"> </v>
      </c>
      <c r="H47" s="147"/>
      <c r="I47" s="257" t="str">
        <f ca="1">IF($D47="Teknologi ikke tilgængelig"," ",OFFSET(Vehicles!$E$63,0,MATCH($W47,Vehicles!$F$6:$AP$6,0)))</f>
        <v xml:space="preserve"> </v>
      </c>
      <c r="J47" s="148"/>
      <c r="K47" s="458" t="str">
        <f ca="1">IF($D47="Teknologi ikke tilgængelig"," ",OFFSET(Vehicles!$E$182,0,MATCH($W47,Vehicles!$F$6:$AP$6,0)))</f>
        <v xml:space="preserve"> </v>
      </c>
      <c r="L47" s="150" t="str">
        <f ca="1">IF($D47="Teknologi ikke tilgængelig"," ",OFFSET(Vehicles!$E$183,0,MATCH($W47,Vehicles!$F$6:$AP$6,0)))</f>
        <v xml:space="preserve"> </v>
      </c>
      <c r="M47" s="150" t="str">
        <f ca="1">IF($D47="Teknologi ikke tilgængelig"," ",OFFSET(Vehicles!$E$184,0,MATCH($W47,Vehicles!$F$6:$AP$6,0)))</f>
        <v xml:space="preserve"> </v>
      </c>
      <c r="N47" s="150" t="str">
        <f ca="1">IF($D47="Teknologi ikke tilgængelig"," ",OFFSET(Vehicles!$E$185,0,MATCH($W47,Vehicles!$F$6:$AP$6,0)))</f>
        <v xml:space="preserve"> </v>
      </c>
      <c r="O47" s="150" t="str">
        <f ca="1">IF($D47="Teknologi ikke tilgængelig"," ",OFFSET(Vehicles!$E$186,0,MATCH($W47,Vehicles!$F$6:$AP$6,0)))</f>
        <v xml:space="preserve"> </v>
      </c>
      <c r="P47" s="170" t="str">
        <f ca="1">IF($D47="Teknologi ikke tilgængelig"," ",OFFSET(Vehicles!$E$187,0,MATCH($W47,Vehicles!$F$6:$AP$6,0)))</f>
        <v xml:space="preserve"> </v>
      </c>
      <c r="Q47" s="168"/>
      <c r="R47" s="259" t="str">
        <f t="shared" ca="1" si="1"/>
        <v xml:space="preserve"> </v>
      </c>
      <c r="S47" s="381"/>
      <c r="T47" s="384" t="str">
        <f ca="1">IF($D47="Teknologi ikke tilgængelig"," ",OFFSET(Vehicles!$E$51,0,MATCH($W47,Vehicles!$F$6:$AP$6,0)))</f>
        <v xml:space="preserve"> </v>
      </c>
      <c r="V47" s="150"/>
      <c r="W47" s="2467" t="s">
        <v>1977</v>
      </c>
      <c r="AC47" s="345"/>
    </row>
    <row r="48" spans="2:29" ht="13.5" thickBot="1">
      <c r="B48" s="2522"/>
      <c r="C48" s="7" t="s">
        <v>2742</v>
      </c>
      <c r="D48" s="2515">
        <f ca="1">IF(OFFSET(Vehicles!$E$12,chosenYear,MATCH($W48,Vehicles!$F$6:$AP$6,0))="Nej","Teknologi ikke tilgængelig",OFFSET(Vehicles!$E$26,0,MATCH($W48,Vehicles!$F$6:$AP$6,0))-OFFSET(Vehicles!$E$27,0,MATCH($W48,Vehicles!$F$6:$AP$6,0)))</f>
        <v>43.49049145984592</v>
      </c>
      <c r="E48" s="145">
        <f ca="1">IF($D48="Teknologi ikke tilgængelig"," ",OFFSET(Vehicles!$E$27,0,MATCH($W48,Vehicles!$F$6:$AP$6,0)))</f>
        <v>2.5548831361770192</v>
      </c>
      <c r="F48" s="145">
        <f ca="1">IF($D48="Teknologi ikke tilgængelig"," ",OFFSET(Vehicles!$E$25,0,MATCH($W48,Vehicles!$F$6:$AP$6,0)))</f>
        <v>2.5343337815707923</v>
      </c>
      <c r="G48" s="146">
        <f t="shared" ca="1" si="0"/>
        <v>48.579708377593732</v>
      </c>
      <c r="H48" s="147"/>
      <c r="I48" s="257">
        <f ca="1">IF($D48="Teknologi ikke tilgængelig"," ",OFFSET(Vehicles!$E$63,0,MATCH($W48,Vehicles!$F$6:$AP$6,0)))</f>
        <v>0.28718003652181961</v>
      </c>
      <c r="J48" s="148"/>
      <c r="K48" s="458">
        <f ca="1">IF($D48="Teknologi ikke tilgængelig"," ",OFFSET(Vehicles!$E$182,0,MATCH($W48,Vehicles!$F$6:$AP$6,0)))</f>
        <v>2384.9116879863445</v>
      </c>
      <c r="L48" s="150">
        <f ca="1">IF($D48="Teknologi ikke tilgængelig"," ",OFFSET(Vehicles!$E$183,0,MATCH($W48,Vehicles!$F$6:$AP$6,0)))</f>
        <v>5.5948467951036861E-4</v>
      </c>
      <c r="M48" s="150">
        <f ca="1">IF($D48="Teknologi ikke tilgængelig"," ",OFFSET(Vehicles!$E$184,0,MATCH($W48,Vehicles!$F$6:$AP$6,0)))</f>
        <v>5.5195424751036865E-4</v>
      </c>
      <c r="N48" s="150">
        <f ca="1">IF($D48="Teknologi ikke tilgængelig"," ",OFFSET(Vehicles!$E$185,0,MATCH($W48,Vehicles!$F$6:$AP$6,0)))</f>
        <v>9.7300432812454183E-3</v>
      </c>
      <c r="O48" s="150">
        <f ca="1">IF($D48="Teknologi ikke tilgængelig"," ",OFFSET(Vehicles!$E$186,0,MATCH($W48,Vehicles!$F$6:$AP$6,0)))</f>
        <v>43.364471905547262</v>
      </c>
      <c r="P48" s="170">
        <f ca="1">IF($D48="Teknologi ikke tilgængelig"," ",OFFSET(Vehicles!$E$187,0,MATCH($W48,Vehicles!$F$6:$AP$6,0)))</f>
        <v>0.43089579264308681</v>
      </c>
      <c r="Q48" s="168"/>
      <c r="R48" s="259">
        <f t="shared" ca="1" si="1"/>
        <v>2385.0901574690902</v>
      </c>
      <c r="S48" s="381"/>
      <c r="T48" s="384">
        <f ca="1">IF($D48="Teknologi ikke tilgængelig"," ",OFFSET(Vehicles!$E$51,0,MATCH($W48,Vehicles!$F$6:$AP$6,0)))</f>
        <v>0.23590549029712957</v>
      </c>
      <c r="V48" s="150"/>
      <c r="W48" s="2468" t="s">
        <v>1985</v>
      </c>
      <c r="AC48" s="345"/>
    </row>
    <row r="49" spans="2:29">
      <c r="AC49" s="345"/>
    </row>
    <row r="51" spans="2:29">
      <c r="C51" s="87"/>
    </row>
    <row r="52" spans="2:29">
      <c r="D52" s="199"/>
      <c r="E52" s="199"/>
      <c r="F52" s="199"/>
      <c r="G52" s="199"/>
      <c r="H52" s="199"/>
      <c r="I52" s="199"/>
      <c r="J52" s="199"/>
      <c r="K52" s="199"/>
      <c r="L52" s="199"/>
      <c r="M52" s="199"/>
      <c r="N52" s="199"/>
      <c r="O52" s="199"/>
      <c r="P52" s="199"/>
      <c r="R52" s="2514"/>
      <c r="S52" s="199"/>
      <c r="T52" s="199"/>
      <c r="U52" s="199"/>
      <c r="V52" s="199"/>
      <c r="W52" s="204"/>
    </row>
    <row r="53" spans="2:29">
      <c r="D53" s="199"/>
      <c r="E53" s="199"/>
      <c r="F53" s="199"/>
      <c r="G53" s="199"/>
      <c r="H53" s="199"/>
      <c r="I53" s="199"/>
      <c r="J53" s="199"/>
      <c r="K53" s="2514"/>
      <c r="L53" s="199"/>
      <c r="M53" s="199"/>
      <c r="N53" s="199"/>
      <c r="O53" s="199"/>
      <c r="P53" s="199"/>
      <c r="R53" s="199"/>
      <c r="S53" s="199"/>
      <c r="T53" s="199"/>
      <c r="U53" s="199"/>
      <c r="V53" s="199"/>
      <c r="W53" s="149"/>
    </row>
    <row r="54" spans="2:29">
      <c r="D54" s="199"/>
      <c r="E54" s="199"/>
      <c r="F54" s="199"/>
      <c r="G54" s="199"/>
      <c r="H54" s="199"/>
      <c r="I54" s="199"/>
      <c r="J54" s="199"/>
      <c r="K54" s="199"/>
      <c r="L54" s="199"/>
      <c r="M54" s="199"/>
      <c r="N54" s="199"/>
      <c r="O54" s="199"/>
      <c r="P54" s="199"/>
      <c r="R54" s="199"/>
      <c r="S54" s="199"/>
      <c r="T54" s="199"/>
      <c r="U54" s="199"/>
      <c r="V54" s="199"/>
      <c r="W54" s="149"/>
    </row>
    <row r="55" spans="2:29">
      <c r="D55" s="199"/>
      <c r="E55" s="199"/>
      <c r="F55" s="199"/>
      <c r="G55" s="199"/>
      <c r="H55" s="199"/>
      <c r="I55" s="199"/>
      <c r="J55" s="199"/>
      <c r="K55" s="199"/>
      <c r="L55" s="199"/>
      <c r="M55" s="199"/>
      <c r="N55" s="199"/>
      <c r="O55" s="199"/>
      <c r="P55" s="199"/>
      <c r="R55" s="199"/>
      <c r="S55" s="199"/>
      <c r="T55" s="199"/>
      <c r="U55" s="199"/>
      <c r="V55" s="199"/>
      <c r="W55" s="149"/>
    </row>
    <row r="56" spans="2:29">
      <c r="D56" s="254"/>
      <c r="E56" s="254"/>
      <c r="F56" s="254"/>
      <c r="G56" s="254"/>
      <c r="H56" s="254"/>
      <c r="I56" s="254"/>
      <c r="J56" s="254"/>
      <c r="K56" s="254"/>
      <c r="L56" s="254"/>
      <c r="M56" s="254"/>
      <c r="N56" s="254"/>
      <c r="O56" s="254"/>
      <c r="P56" s="254"/>
      <c r="Q56" s="254"/>
      <c r="R56" s="254"/>
      <c r="S56" s="254"/>
      <c r="T56" s="254"/>
      <c r="W56" s="149"/>
    </row>
    <row r="57" spans="2:29">
      <c r="D57" s="254"/>
      <c r="E57" s="254"/>
      <c r="F57" s="254"/>
      <c r="G57" s="254"/>
      <c r="H57" s="254"/>
      <c r="I57" s="254"/>
      <c r="J57" s="254"/>
      <c r="K57" s="254"/>
      <c r="L57" s="254"/>
      <c r="M57" s="254"/>
      <c r="N57" s="254"/>
      <c r="O57" s="254"/>
      <c r="P57" s="254"/>
      <c r="Q57" s="254"/>
      <c r="R57" s="254"/>
      <c r="S57" s="254"/>
      <c r="T57" s="254"/>
      <c r="W57" s="149"/>
    </row>
    <row r="58" spans="2:29">
      <c r="D58" s="254"/>
      <c r="E58" s="254"/>
      <c r="F58" s="254"/>
      <c r="G58" s="254"/>
      <c r="H58" s="254"/>
      <c r="I58" s="254"/>
      <c r="J58" s="254"/>
      <c r="K58" s="254"/>
      <c r="L58" s="254"/>
      <c r="M58" s="254"/>
      <c r="N58" s="254"/>
      <c r="O58" s="254"/>
      <c r="P58" s="254"/>
      <c r="Q58" s="254"/>
      <c r="R58" s="254"/>
      <c r="S58" s="254"/>
      <c r="T58" s="254"/>
    </row>
    <row r="59" spans="2:29">
      <c r="B59" s="65"/>
      <c r="C59" s="65"/>
      <c r="D59" s="269"/>
      <c r="E59" s="269"/>
      <c r="F59" s="269"/>
      <c r="G59" s="269"/>
      <c r="H59" s="269"/>
      <c r="I59" s="269"/>
      <c r="J59" s="269"/>
      <c r="K59" s="269"/>
      <c r="L59" s="269"/>
      <c r="M59" s="269"/>
      <c r="N59" s="269"/>
      <c r="O59" s="269"/>
      <c r="P59" s="269"/>
      <c r="Q59" s="269"/>
      <c r="R59" s="269"/>
      <c r="S59" s="269"/>
      <c r="T59" s="269"/>
    </row>
    <row r="60" spans="2:29">
      <c r="B60" s="65"/>
      <c r="C60" s="270"/>
      <c r="D60" s="270"/>
      <c r="E60" s="118"/>
      <c r="F60" s="118"/>
      <c r="G60" s="118"/>
      <c r="H60" s="118"/>
      <c r="I60" s="118"/>
      <c r="J60" s="118"/>
      <c r="K60" s="65"/>
      <c r="L60" s="118"/>
      <c r="M60" s="118"/>
      <c r="N60" s="118"/>
      <c r="O60" s="118"/>
      <c r="P60" s="118"/>
      <c r="Q60" s="118"/>
      <c r="R60" s="118"/>
      <c r="S60" s="118"/>
      <c r="T60" s="118"/>
    </row>
    <row r="61" spans="2:29">
      <c r="B61" s="65"/>
      <c r="C61" s="118"/>
      <c r="D61" s="2521"/>
      <c r="E61" s="2521"/>
      <c r="F61" s="2521"/>
      <c r="G61" s="2521"/>
      <c r="H61" s="2521"/>
      <c r="I61" s="2521"/>
      <c r="J61" s="2521"/>
      <c r="K61" s="2521"/>
      <c r="L61" s="2521"/>
      <c r="M61" s="2521"/>
      <c r="N61" s="2521"/>
      <c r="O61" s="2521"/>
      <c r="P61" s="2521"/>
      <c r="Q61" s="118"/>
      <c r="R61" s="118"/>
      <c r="S61" s="118"/>
      <c r="T61" s="118"/>
    </row>
    <row r="62" spans="2:29">
      <c r="B62" s="65"/>
      <c r="C62" s="118"/>
      <c r="D62" s="118"/>
      <c r="E62" s="118"/>
      <c r="F62" s="118"/>
      <c r="G62" s="118"/>
      <c r="H62" s="118"/>
      <c r="I62" s="118"/>
      <c r="J62" s="118"/>
      <c r="K62" s="200"/>
      <c r="L62" s="200"/>
      <c r="M62" s="200"/>
      <c r="N62" s="200"/>
      <c r="O62" s="200"/>
      <c r="P62" s="200"/>
      <c r="Q62" s="118"/>
      <c r="R62" s="200"/>
      <c r="S62" s="380"/>
      <c r="T62" s="380"/>
    </row>
    <row r="63" spans="2:29">
      <c r="B63" s="65"/>
      <c r="C63" s="118"/>
      <c r="D63" s="2520"/>
      <c r="E63" s="2520"/>
      <c r="F63" s="2520"/>
      <c r="G63" s="2520"/>
      <c r="H63" s="118"/>
      <c r="I63" s="118"/>
      <c r="J63" s="118"/>
      <c r="K63" s="2520"/>
      <c r="L63" s="2520"/>
      <c r="M63" s="2520"/>
      <c r="N63" s="2520"/>
      <c r="O63" s="2520"/>
      <c r="P63" s="2520"/>
      <c r="Q63" s="118"/>
      <c r="R63" s="200"/>
      <c r="S63" s="380"/>
      <c r="T63" s="380"/>
    </row>
    <row r="64" spans="2:29">
      <c r="B64" s="2523"/>
      <c r="C64" s="118"/>
      <c r="D64" s="255"/>
      <c r="E64" s="255"/>
      <c r="F64" s="255"/>
      <c r="G64" s="255"/>
      <c r="H64" s="271"/>
      <c r="I64" s="257"/>
      <c r="J64" s="271"/>
      <c r="K64" s="145"/>
      <c r="L64" s="150"/>
      <c r="M64" s="150"/>
      <c r="N64" s="150"/>
      <c r="O64" s="150"/>
      <c r="P64" s="150"/>
      <c r="Q64" s="118"/>
      <c r="R64" s="272"/>
      <c r="S64" s="272"/>
      <c r="T64" s="272"/>
    </row>
    <row r="65" spans="2:23">
      <c r="B65" s="2523"/>
      <c r="C65" s="118"/>
      <c r="D65" s="255"/>
      <c r="E65" s="255"/>
      <c r="F65" s="255"/>
      <c r="G65" s="255"/>
      <c r="H65" s="271"/>
      <c r="I65" s="257"/>
      <c r="J65" s="271"/>
      <c r="K65" s="145"/>
      <c r="L65" s="150"/>
      <c r="M65" s="150"/>
      <c r="N65" s="150"/>
      <c r="O65" s="150"/>
      <c r="P65" s="150"/>
      <c r="Q65" s="118"/>
      <c r="R65" s="272"/>
      <c r="S65" s="272"/>
      <c r="T65" s="272"/>
    </row>
    <row r="66" spans="2:23">
      <c r="B66" s="2523"/>
      <c r="C66" s="118"/>
      <c r="D66" s="255"/>
      <c r="E66" s="255"/>
      <c r="F66" s="255"/>
      <c r="G66" s="255"/>
      <c r="H66" s="271"/>
      <c r="I66" s="257"/>
      <c r="J66" s="271"/>
      <c r="K66" s="145"/>
      <c r="L66" s="150"/>
      <c r="M66" s="150"/>
      <c r="N66" s="150"/>
      <c r="O66" s="150"/>
      <c r="P66" s="150"/>
      <c r="Q66" s="118"/>
      <c r="R66" s="272"/>
      <c r="S66" s="272"/>
      <c r="T66" s="272"/>
    </row>
    <row r="67" spans="2:23">
      <c r="B67" s="2523"/>
      <c r="C67" s="118"/>
      <c r="D67" s="256"/>
      <c r="E67" s="256"/>
      <c r="F67" s="256"/>
      <c r="G67" s="256"/>
      <c r="H67" s="273"/>
      <c r="I67" s="258"/>
      <c r="J67" s="273"/>
      <c r="K67" s="206"/>
      <c r="L67" s="205"/>
      <c r="M67" s="205"/>
      <c r="N67" s="205"/>
      <c r="O67" s="205"/>
      <c r="P67" s="205"/>
      <c r="Q67" s="118"/>
      <c r="R67" s="272"/>
      <c r="S67" s="272"/>
      <c r="T67" s="272"/>
    </row>
    <row r="68" spans="2:23">
      <c r="B68" s="2523"/>
      <c r="C68" s="118"/>
      <c r="D68" s="255"/>
      <c r="E68" s="255"/>
      <c r="F68" s="255"/>
      <c r="G68" s="255"/>
      <c r="H68" s="271"/>
      <c r="I68" s="257"/>
      <c r="J68" s="271"/>
      <c r="K68" s="145"/>
      <c r="L68" s="150"/>
      <c r="M68" s="150"/>
      <c r="N68" s="150"/>
      <c r="O68" s="150"/>
      <c r="P68" s="150"/>
      <c r="Q68" s="118"/>
      <c r="R68" s="272"/>
      <c r="S68" s="272"/>
      <c r="T68" s="272"/>
      <c r="W68" s="70"/>
    </row>
    <row r="69" spans="2:23">
      <c r="B69" s="2523"/>
      <c r="C69" s="118"/>
      <c r="D69" s="255"/>
      <c r="E69" s="255"/>
      <c r="F69" s="255"/>
      <c r="G69" s="255"/>
      <c r="H69" s="271"/>
      <c r="I69" s="257"/>
      <c r="J69" s="271"/>
      <c r="K69" s="145"/>
      <c r="L69" s="150"/>
      <c r="M69" s="150"/>
      <c r="N69" s="150"/>
      <c r="O69" s="150"/>
      <c r="P69" s="150"/>
      <c r="Q69" s="65"/>
      <c r="R69" s="272"/>
      <c r="S69" s="272"/>
      <c r="T69" s="272"/>
    </row>
    <row r="70" spans="2:23">
      <c r="B70" s="2523"/>
      <c r="C70" s="118"/>
      <c r="D70" s="255"/>
      <c r="E70" s="255"/>
      <c r="F70" s="255"/>
      <c r="G70" s="255"/>
      <c r="H70" s="271"/>
      <c r="I70" s="257"/>
      <c r="J70" s="271"/>
      <c r="K70" s="145"/>
      <c r="L70" s="150"/>
      <c r="M70" s="150"/>
      <c r="N70" s="150"/>
      <c r="O70" s="150"/>
      <c r="P70" s="150"/>
      <c r="Q70" s="274"/>
      <c r="R70" s="272"/>
      <c r="S70" s="272"/>
      <c r="T70" s="272"/>
    </row>
    <row r="71" spans="2:23">
      <c r="B71" s="2523"/>
      <c r="C71" s="118"/>
      <c r="D71" s="255"/>
      <c r="E71" s="255"/>
      <c r="F71" s="255"/>
      <c r="G71" s="255"/>
      <c r="H71" s="271"/>
      <c r="I71" s="257"/>
      <c r="J71" s="271"/>
      <c r="K71" s="145"/>
      <c r="L71" s="150"/>
      <c r="M71" s="150"/>
      <c r="N71" s="150"/>
      <c r="O71" s="150"/>
      <c r="P71" s="150"/>
      <c r="Q71" s="118"/>
      <c r="R71" s="272"/>
      <c r="S71" s="272"/>
      <c r="T71" s="272"/>
    </row>
    <row r="72" spans="2:23">
      <c r="B72" s="2523"/>
      <c r="C72" s="118"/>
      <c r="D72" s="255"/>
      <c r="E72" s="255"/>
      <c r="F72" s="255"/>
      <c r="G72" s="255"/>
      <c r="H72" s="271"/>
      <c r="I72" s="257"/>
      <c r="J72" s="271"/>
      <c r="K72" s="145"/>
      <c r="L72" s="150"/>
      <c r="M72" s="150"/>
      <c r="N72" s="150"/>
      <c r="O72" s="150"/>
      <c r="P72" s="150"/>
      <c r="Q72" s="118"/>
      <c r="R72" s="272"/>
      <c r="S72" s="272"/>
      <c r="T72" s="272"/>
    </row>
    <row r="73" spans="2:23">
      <c r="B73" s="2523"/>
      <c r="C73" s="118"/>
      <c r="D73" s="255"/>
      <c r="E73" s="255"/>
      <c r="F73" s="255"/>
      <c r="G73" s="255"/>
      <c r="H73" s="271"/>
      <c r="I73" s="257"/>
      <c r="J73" s="271"/>
      <c r="K73" s="145"/>
      <c r="L73" s="150"/>
      <c r="M73" s="150"/>
      <c r="N73" s="150"/>
      <c r="O73" s="150"/>
      <c r="P73" s="150"/>
      <c r="Q73" s="118"/>
      <c r="R73" s="272"/>
      <c r="S73" s="272"/>
      <c r="T73" s="272"/>
    </row>
    <row r="74" spans="2:23">
      <c r="B74" s="2523"/>
      <c r="C74" s="118"/>
      <c r="D74" s="255"/>
      <c r="E74" s="255"/>
      <c r="F74" s="255"/>
      <c r="G74" s="255"/>
      <c r="H74" s="271"/>
      <c r="I74" s="257"/>
      <c r="J74" s="271"/>
      <c r="K74" s="145"/>
      <c r="L74" s="150"/>
      <c r="M74" s="150"/>
      <c r="N74" s="150"/>
      <c r="O74" s="150"/>
      <c r="P74" s="150"/>
      <c r="Q74" s="118"/>
      <c r="R74" s="272"/>
      <c r="S74" s="272"/>
      <c r="T74" s="272"/>
    </row>
    <row r="75" spans="2:23">
      <c r="B75" s="2523"/>
      <c r="C75" s="118"/>
      <c r="D75" s="255"/>
      <c r="E75" s="255"/>
      <c r="F75" s="255"/>
      <c r="G75" s="255"/>
      <c r="H75" s="271"/>
      <c r="I75" s="257"/>
      <c r="J75" s="271"/>
      <c r="K75" s="145"/>
      <c r="L75" s="150"/>
      <c r="M75" s="150"/>
      <c r="N75" s="150"/>
      <c r="O75" s="150"/>
      <c r="P75" s="150"/>
      <c r="Q75" s="118"/>
      <c r="R75" s="272"/>
      <c r="S75" s="272"/>
      <c r="T75" s="272"/>
    </row>
    <row r="76" spans="2:23">
      <c r="B76" s="2523"/>
      <c r="C76" s="118"/>
      <c r="D76" s="255"/>
      <c r="E76" s="255"/>
      <c r="F76" s="255"/>
      <c r="G76" s="255"/>
      <c r="H76" s="271"/>
      <c r="I76" s="257"/>
      <c r="J76" s="271"/>
      <c r="K76" s="145"/>
      <c r="L76" s="150"/>
      <c r="M76" s="150"/>
      <c r="N76" s="150"/>
      <c r="O76" s="150"/>
      <c r="P76" s="150"/>
      <c r="Q76" s="274"/>
      <c r="R76" s="272"/>
      <c r="S76" s="272"/>
      <c r="T76" s="272"/>
    </row>
    <row r="77" spans="2:23">
      <c r="B77" s="65"/>
      <c r="C77" s="118"/>
      <c r="D77" s="255"/>
      <c r="E77" s="255"/>
      <c r="F77" s="255"/>
      <c r="G77" s="255"/>
      <c r="H77" s="271"/>
      <c r="I77" s="257"/>
      <c r="J77" s="271"/>
      <c r="K77" s="145"/>
      <c r="L77" s="150"/>
      <c r="M77" s="150"/>
      <c r="N77" s="150"/>
      <c r="O77" s="150"/>
      <c r="P77" s="150"/>
      <c r="Q77" s="118"/>
      <c r="R77" s="272"/>
      <c r="S77" s="272"/>
      <c r="T77" s="272"/>
    </row>
    <row r="78" spans="2:23">
      <c r="B78" s="65"/>
      <c r="C78" s="118"/>
      <c r="D78" s="255"/>
      <c r="E78" s="255"/>
      <c r="F78" s="255"/>
      <c r="G78" s="255"/>
      <c r="H78" s="271"/>
      <c r="I78" s="257"/>
      <c r="J78" s="271"/>
      <c r="K78" s="145"/>
      <c r="L78" s="150"/>
      <c r="M78" s="150"/>
      <c r="N78" s="150"/>
      <c r="O78" s="150"/>
      <c r="P78" s="150"/>
      <c r="Q78" s="118"/>
      <c r="R78" s="272"/>
      <c r="S78" s="272"/>
      <c r="T78" s="272"/>
    </row>
    <row r="79" spans="2:23">
      <c r="B79" s="2519"/>
      <c r="C79" s="118"/>
      <c r="D79" s="255"/>
      <c r="E79" s="255"/>
      <c r="F79" s="255"/>
      <c r="G79" s="255"/>
      <c r="H79" s="271"/>
      <c r="I79" s="257"/>
      <c r="J79" s="271"/>
      <c r="K79" s="145"/>
      <c r="L79" s="150"/>
      <c r="M79" s="150"/>
      <c r="N79" s="150"/>
      <c r="O79" s="150"/>
      <c r="P79" s="150"/>
      <c r="Q79" s="274"/>
      <c r="R79" s="272"/>
      <c r="S79" s="272"/>
      <c r="T79" s="272"/>
    </row>
    <row r="80" spans="2:23">
      <c r="B80" s="2519"/>
      <c r="C80" s="118"/>
      <c r="D80" s="255"/>
      <c r="E80" s="255"/>
      <c r="F80" s="255"/>
      <c r="G80" s="255"/>
      <c r="H80" s="271"/>
      <c r="I80" s="257"/>
      <c r="J80" s="271"/>
      <c r="K80" s="145"/>
      <c r="L80" s="150"/>
      <c r="M80" s="150"/>
      <c r="N80" s="150"/>
      <c r="O80" s="150"/>
      <c r="P80" s="150"/>
      <c r="Q80" s="118"/>
      <c r="R80" s="272"/>
      <c r="S80" s="272"/>
      <c r="T80" s="272"/>
    </row>
    <row r="81" spans="2:20">
      <c r="B81" s="2519"/>
      <c r="C81" s="118"/>
      <c r="D81" s="255"/>
      <c r="E81" s="255"/>
      <c r="F81" s="255"/>
      <c r="G81" s="255"/>
      <c r="H81" s="271"/>
      <c r="I81" s="257"/>
      <c r="J81" s="271"/>
      <c r="K81" s="145"/>
      <c r="L81" s="150"/>
      <c r="M81" s="150"/>
      <c r="N81" s="150"/>
      <c r="O81" s="150"/>
      <c r="P81" s="150"/>
      <c r="Q81" s="118"/>
      <c r="R81" s="272"/>
      <c r="S81" s="272"/>
      <c r="T81" s="272"/>
    </row>
    <row r="82" spans="2:20">
      <c r="B82" s="2519"/>
      <c r="C82" s="118"/>
      <c r="D82" s="255"/>
      <c r="E82" s="255"/>
      <c r="F82" s="255"/>
      <c r="G82" s="255"/>
      <c r="H82" s="271"/>
      <c r="I82" s="257"/>
      <c r="J82" s="271"/>
      <c r="K82" s="145"/>
      <c r="L82" s="150"/>
      <c r="M82" s="150"/>
      <c r="N82" s="150"/>
      <c r="O82" s="150"/>
      <c r="P82" s="150"/>
      <c r="Q82" s="118"/>
      <c r="R82" s="272"/>
      <c r="S82" s="272"/>
      <c r="T82" s="272"/>
    </row>
    <row r="83" spans="2:20">
      <c r="B83" s="2519"/>
      <c r="C83" s="118"/>
      <c r="D83" s="255"/>
      <c r="E83" s="255"/>
      <c r="F83" s="255"/>
      <c r="G83" s="255"/>
      <c r="H83" s="271"/>
      <c r="I83" s="257"/>
      <c r="J83" s="271"/>
      <c r="K83" s="145"/>
      <c r="L83" s="150"/>
      <c r="M83" s="150"/>
      <c r="N83" s="150"/>
      <c r="O83" s="150"/>
      <c r="P83" s="150"/>
      <c r="Q83" s="118"/>
      <c r="R83" s="272"/>
      <c r="S83" s="272"/>
      <c r="T83" s="272"/>
    </row>
    <row r="84" spans="2:20">
      <c r="B84" s="65"/>
      <c r="C84" s="118"/>
      <c r="D84" s="255"/>
      <c r="E84" s="255"/>
      <c r="F84" s="255"/>
      <c r="G84" s="255"/>
      <c r="H84" s="271"/>
      <c r="I84" s="257"/>
      <c r="J84" s="271"/>
      <c r="K84" s="145"/>
      <c r="L84" s="150"/>
      <c r="M84" s="150"/>
      <c r="N84" s="150"/>
      <c r="O84" s="150"/>
      <c r="P84" s="150"/>
      <c r="Q84" s="118"/>
      <c r="R84" s="272"/>
      <c r="S84" s="272"/>
      <c r="T84" s="272"/>
    </row>
    <row r="85" spans="2:20">
      <c r="B85" s="2519"/>
      <c r="C85" s="118"/>
      <c r="D85" s="255"/>
      <c r="E85" s="255"/>
      <c r="F85" s="255"/>
      <c r="G85" s="255"/>
      <c r="H85" s="271"/>
      <c r="I85" s="257"/>
      <c r="J85" s="271"/>
      <c r="K85" s="145"/>
      <c r="L85" s="150"/>
      <c r="M85" s="150"/>
      <c r="N85" s="150"/>
      <c r="O85" s="150"/>
      <c r="P85" s="150"/>
      <c r="Q85" s="118"/>
      <c r="R85" s="272"/>
      <c r="S85" s="272"/>
      <c r="T85" s="272"/>
    </row>
    <row r="86" spans="2:20">
      <c r="B86" s="2519"/>
      <c r="C86" s="118"/>
      <c r="D86" s="255"/>
      <c r="E86" s="255"/>
      <c r="F86" s="255"/>
      <c r="G86" s="255"/>
      <c r="H86" s="271"/>
      <c r="I86" s="257"/>
      <c r="J86" s="271"/>
      <c r="K86" s="145"/>
      <c r="L86" s="150"/>
      <c r="M86" s="150"/>
      <c r="N86" s="150"/>
      <c r="O86" s="150"/>
      <c r="P86" s="150"/>
      <c r="Q86" s="118"/>
      <c r="R86" s="272"/>
      <c r="S86" s="272"/>
      <c r="T86" s="272"/>
    </row>
    <row r="87" spans="2:20">
      <c r="B87" s="2519"/>
      <c r="C87" s="118"/>
      <c r="D87" s="255"/>
      <c r="E87" s="255"/>
      <c r="F87" s="255"/>
      <c r="G87" s="255"/>
      <c r="H87" s="271"/>
      <c r="I87" s="257"/>
      <c r="J87" s="271"/>
      <c r="K87" s="145"/>
      <c r="L87" s="150"/>
      <c r="M87" s="150"/>
      <c r="N87" s="150"/>
      <c r="O87" s="150"/>
      <c r="P87" s="150"/>
      <c r="Q87" s="118"/>
      <c r="R87" s="272"/>
      <c r="S87" s="272"/>
      <c r="T87" s="272"/>
    </row>
    <row r="88" spans="2:20">
      <c r="B88" s="2519"/>
      <c r="C88" s="118"/>
      <c r="D88" s="255"/>
      <c r="E88" s="255"/>
      <c r="F88" s="255"/>
      <c r="G88" s="255"/>
      <c r="H88" s="271"/>
      <c r="I88" s="257"/>
      <c r="J88" s="271"/>
      <c r="K88" s="145"/>
      <c r="L88" s="150"/>
      <c r="M88" s="150"/>
      <c r="N88" s="150"/>
      <c r="O88" s="150"/>
      <c r="P88" s="150"/>
      <c r="Q88" s="118"/>
      <c r="R88" s="272"/>
      <c r="S88" s="272"/>
      <c r="T88" s="272"/>
    </row>
    <row r="89" spans="2:20">
      <c r="B89" s="275"/>
      <c r="C89" s="118"/>
      <c r="D89" s="255"/>
      <c r="E89" s="255"/>
      <c r="F89" s="255"/>
      <c r="G89" s="255"/>
      <c r="H89" s="271"/>
      <c r="I89" s="257"/>
      <c r="J89" s="271"/>
      <c r="K89" s="145"/>
      <c r="L89" s="150"/>
      <c r="M89" s="150"/>
      <c r="N89" s="150"/>
      <c r="O89" s="150"/>
      <c r="P89" s="150"/>
      <c r="Q89" s="118"/>
      <c r="R89" s="272"/>
      <c r="S89" s="272"/>
      <c r="T89" s="272"/>
    </row>
    <row r="90" spans="2:20">
      <c r="B90" s="275"/>
      <c r="C90" s="118"/>
      <c r="D90" s="255"/>
      <c r="E90" s="255"/>
      <c r="F90" s="255"/>
      <c r="G90" s="255"/>
      <c r="H90" s="271"/>
      <c r="I90" s="257"/>
      <c r="J90" s="271"/>
      <c r="K90" s="145"/>
      <c r="L90" s="150"/>
      <c r="M90" s="150"/>
      <c r="N90" s="150"/>
      <c r="O90" s="150"/>
      <c r="P90" s="150"/>
      <c r="Q90" s="118"/>
      <c r="R90" s="272"/>
      <c r="S90" s="272"/>
      <c r="T90" s="272"/>
    </row>
    <row r="91" spans="2:20">
      <c r="B91" s="276"/>
      <c r="C91" s="118"/>
      <c r="D91" s="255"/>
      <c r="E91" s="255"/>
      <c r="F91" s="255"/>
      <c r="G91" s="255"/>
      <c r="H91" s="271"/>
      <c r="I91" s="257"/>
      <c r="J91" s="271"/>
      <c r="K91" s="145"/>
      <c r="L91" s="150"/>
      <c r="M91" s="150"/>
      <c r="N91" s="150"/>
      <c r="O91" s="150"/>
      <c r="P91" s="150"/>
      <c r="Q91" s="118"/>
      <c r="R91" s="272"/>
      <c r="S91" s="272"/>
      <c r="T91" s="272"/>
    </row>
    <row r="92" spans="2:20">
      <c r="B92" s="2519"/>
      <c r="C92" s="118"/>
      <c r="D92" s="255"/>
      <c r="E92" s="255"/>
      <c r="F92" s="255"/>
      <c r="G92" s="255"/>
      <c r="H92" s="271"/>
      <c r="I92" s="257"/>
      <c r="J92" s="271"/>
      <c r="K92" s="145"/>
      <c r="L92" s="150"/>
      <c r="M92" s="150"/>
      <c r="N92" s="150"/>
      <c r="O92" s="150"/>
      <c r="P92" s="150"/>
      <c r="Q92" s="118"/>
      <c r="R92" s="272"/>
      <c r="S92" s="272"/>
      <c r="T92" s="272"/>
    </row>
    <row r="93" spans="2:20">
      <c r="B93" s="2519"/>
      <c r="C93" s="118"/>
      <c r="D93" s="145"/>
      <c r="E93" s="145"/>
      <c r="F93" s="145"/>
      <c r="G93" s="145"/>
      <c r="H93" s="271"/>
      <c r="I93" s="169"/>
      <c r="J93" s="271"/>
      <c r="K93" s="145"/>
      <c r="L93" s="150"/>
      <c r="M93" s="150"/>
      <c r="N93" s="150"/>
      <c r="O93" s="150"/>
      <c r="P93" s="150"/>
      <c r="Q93" s="118"/>
      <c r="R93" s="272"/>
      <c r="S93" s="272"/>
      <c r="T93" s="272"/>
    </row>
    <row r="94" spans="2:20">
      <c r="B94" s="2519"/>
      <c r="C94" s="118"/>
      <c r="D94" s="145"/>
      <c r="E94" s="145"/>
      <c r="F94" s="145"/>
      <c r="G94" s="145"/>
      <c r="H94" s="271"/>
      <c r="I94" s="169"/>
      <c r="J94" s="271"/>
      <c r="K94" s="145"/>
      <c r="L94" s="150"/>
      <c r="M94" s="150"/>
      <c r="N94" s="150"/>
      <c r="O94" s="150"/>
      <c r="P94" s="150"/>
      <c r="Q94" s="118"/>
      <c r="R94" s="272"/>
      <c r="S94" s="272"/>
      <c r="T94" s="272"/>
    </row>
    <row r="95" spans="2:20">
      <c r="B95" s="2519"/>
      <c r="C95" s="118"/>
      <c r="D95" s="145"/>
      <c r="E95" s="145"/>
      <c r="F95" s="145"/>
      <c r="G95" s="145"/>
      <c r="H95" s="271"/>
      <c r="I95" s="169"/>
      <c r="J95" s="271"/>
      <c r="K95" s="145"/>
      <c r="L95" s="150"/>
      <c r="M95" s="150"/>
      <c r="N95" s="150"/>
      <c r="O95" s="150"/>
      <c r="P95" s="150"/>
      <c r="Q95" s="118"/>
      <c r="R95" s="272"/>
      <c r="S95" s="272"/>
      <c r="T95" s="272"/>
    </row>
    <row r="96" spans="2:20">
      <c r="B96" s="275"/>
      <c r="C96" s="118"/>
      <c r="D96" s="145"/>
      <c r="E96" s="145"/>
      <c r="F96" s="145"/>
      <c r="G96" s="145"/>
      <c r="H96" s="271"/>
      <c r="I96" s="169"/>
      <c r="J96" s="271"/>
      <c r="K96" s="145"/>
      <c r="L96" s="150"/>
      <c r="M96" s="150"/>
      <c r="N96" s="150"/>
      <c r="O96" s="150"/>
      <c r="P96" s="150"/>
      <c r="Q96" s="118"/>
      <c r="R96" s="272"/>
      <c r="S96" s="272"/>
      <c r="T96" s="272"/>
    </row>
  </sheetData>
  <mergeCells count="14">
    <mergeCell ref="B43:B48"/>
    <mergeCell ref="B64:B76"/>
    <mergeCell ref="H61:J61"/>
    <mergeCell ref="K61:P61"/>
    <mergeCell ref="B8:B22"/>
    <mergeCell ref="B24:B31"/>
    <mergeCell ref="B33:B34"/>
    <mergeCell ref="B36:B41"/>
    <mergeCell ref="B79:B83"/>
    <mergeCell ref="B85:B88"/>
    <mergeCell ref="B92:B95"/>
    <mergeCell ref="K63:P63"/>
    <mergeCell ref="D61:G61"/>
    <mergeCell ref="D63:G63"/>
  </mergeCells>
  <phoneticPr fontId="9" type="noConversion"/>
  <conditionalFormatting sqref="D67:P67">
    <cfRule type="expression" dxfId="93" priority="2">
      <formula>$E$4=2006</formula>
    </cfRule>
  </conditionalFormatting>
  <pageMargins left="0.74803149606299213" right="0.74803149606299213" top="0.98425196850393704" bottom="0.98425196850393704" header="0.51181102362204722" footer="0.51181102362204722"/>
  <pageSetup paperSize="9" scale="7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3" r:id="rId4" name="Drop Down 3">
              <controlPr defaultSize="0" autoLine="0" autoPict="0">
                <anchor moveWithCells="1">
                  <from>
                    <xdr:col>3</xdr:col>
                    <xdr:colOff>0</xdr:colOff>
                    <xdr:row>0</xdr:row>
                    <xdr:rowOff>38100</xdr:rowOff>
                  </from>
                  <to>
                    <xdr:col>4</xdr:col>
                    <xdr:colOff>247650</xdr:colOff>
                    <xdr:row>0</xdr:row>
                    <xdr:rowOff>238125</xdr:rowOff>
                  </to>
                </anchor>
              </controlPr>
            </control>
          </mc:Choice>
        </mc:AlternateContent>
        <mc:AlternateContent xmlns:mc="http://schemas.openxmlformats.org/markup-compatibility/2006">
          <mc:Choice Requires="x14">
            <control shapeId="20484" r:id="rId5" name="Button 4">
              <controlPr defaultSize="0" print="0" autoFill="0" autoPict="0" macro="[0]!GtOver">
                <anchor>
                  <from>
                    <xdr:col>9</xdr:col>
                    <xdr:colOff>133350</xdr:colOff>
                    <xdr:row>0</xdr:row>
                    <xdr:rowOff>38100</xdr:rowOff>
                  </from>
                  <to>
                    <xdr:col>11</xdr:col>
                    <xdr:colOff>257175</xdr:colOff>
                    <xdr:row>0</xdr:row>
                    <xdr:rowOff>238125</xdr:rowOff>
                  </to>
                </anchor>
              </controlPr>
            </control>
          </mc:Choice>
        </mc:AlternateContent>
        <mc:AlternateContent xmlns:mc="http://schemas.openxmlformats.org/markup-compatibility/2006">
          <mc:Choice Requires="x14">
            <control shapeId="20485" r:id="rId6" name="Button 5">
              <controlPr defaultSize="0" print="0" autoFill="0" autoPict="0" macro="[0]!GtRes">
                <anchor>
                  <from>
                    <xdr:col>11</xdr:col>
                    <xdr:colOff>409575</xdr:colOff>
                    <xdr:row>0</xdr:row>
                    <xdr:rowOff>38100</xdr:rowOff>
                  </from>
                  <to>
                    <xdr:col>13</xdr:col>
                    <xdr:colOff>323850</xdr:colOff>
                    <xdr:row>0</xdr:row>
                    <xdr:rowOff>238125</xdr:rowOff>
                  </to>
                </anchor>
              </controlPr>
            </control>
          </mc:Choice>
        </mc:AlternateContent>
        <mc:AlternateContent xmlns:mc="http://schemas.openxmlformats.org/markup-compatibility/2006">
          <mc:Choice Requires="x14">
            <control shapeId="20486" r:id="rId7" name="Drop Down 6">
              <controlPr defaultSize="0" autoLine="0" autoPict="0">
                <anchor>
                  <from>
                    <xdr:col>5</xdr:col>
                    <xdr:colOff>276225</xdr:colOff>
                    <xdr:row>0</xdr:row>
                    <xdr:rowOff>28575</xdr:rowOff>
                  </from>
                  <to>
                    <xdr:col>8</xdr:col>
                    <xdr:colOff>257175</xdr:colOff>
                    <xdr:row>0</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0">
    <tabColor rgb="FF00B050"/>
    <outlinePr summaryBelow="0" summaryRight="0"/>
  </sheetPr>
  <dimension ref="A1:AF82"/>
  <sheetViews>
    <sheetView topLeftCell="A11" zoomScale="70" zoomScaleNormal="70" workbookViewId="0">
      <selection activeCell="C24" sqref="C24"/>
    </sheetView>
  </sheetViews>
  <sheetFormatPr defaultRowHeight="12.75"/>
  <cols>
    <col min="1" max="1" width="2.85546875" style="523" customWidth="1"/>
    <col min="2" max="2" width="43.85546875" style="523" customWidth="1"/>
    <col min="3" max="3" width="6" style="523" customWidth="1"/>
    <col min="4" max="4" width="4.42578125" style="523" customWidth="1"/>
    <col min="5" max="5" width="9.140625" style="523"/>
    <col min="6" max="6" width="3.28515625" style="841" customWidth="1"/>
    <col min="7" max="7" width="7" style="523" customWidth="1"/>
    <col min="8" max="8" width="3.28515625" style="523" customWidth="1"/>
    <col min="9" max="9" width="7.5703125" style="523" customWidth="1"/>
    <col min="10" max="10" width="26.7109375" style="523" customWidth="1"/>
    <col min="11" max="11" width="9.140625" style="523"/>
    <col min="12" max="12" width="20.85546875" style="523" customWidth="1"/>
    <col min="13" max="15" width="7.140625" style="523" customWidth="1"/>
    <col min="16" max="16" width="9.140625" style="523"/>
    <col min="17" max="17" width="8.28515625" style="523" customWidth="1"/>
    <col min="18" max="21" width="9.140625" style="523"/>
    <col min="22" max="22" width="20" style="523" customWidth="1"/>
    <col min="23" max="16384" width="9.140625" style="523"/>
  </cols>
  <sheetData>
    <row r="1" spans="1:6" s="465" customFormat="1" ht="21">
      <c r="A1" s="465" t="s">
        <v>2109</v>
      </c>
      <c r="F1" s="840"/>
    </row>
    <row r="3" spans="1:6">
      <c r="B3" s="557" t="s">
        <v>2100</v>
      </c>
    </row>
    <row r="4" spans="1:6">
      <c r="B4" s="1684" t="s">
        <v>2101</v>
      </c>
      <c r="C4" s="1685"/>
      <c r="D4" s="1686"/>
    </row>
    <row r="5" spans="1:6">
      <c r="B5" s="1687" t="s">
        <v>2110</v>
      </c>
      <c r="C5" s="1688"/>
      <c r="D5" s="1689"/>
    </row>
    <row r="6" spans="1:6">
      <c r="B6" s="1690" t="s">
        <v>2111</v>
      </c>
      <c r="C6" s="1683"/>
      <c r="D6" s="1691"/>
    </row>
    <row r="8" spans="1:6">
      <c r="B8" s="557" t="s">
        <v>2112</v>
      </c>
    </row>
    <row r="9" spans="1:6">
      <c r="B9" s="1695">
        <v>4</v>
      </c>
    </row>
    <row r="11" spans="1:6">
      <c r="B11" s="523" t="s">
        <v>2102</v>
      </c>
    </row>
    <row r="12" spans="1:6">
      <c r="B12" s="1692" t="s">
        <v>2103</v>
      </c>
      <c r="C12" s="1692" t="s">
        <v>2104</v>
      </c>
    </row>
    <row r="13" spans="1:6">
      <c r="B13" s="1693" t="s">
        <v>222</v>
      </c>
      <c r="C13" s="1694" t="s">
        <v>919</v>
      </c>
    </row>
    <row r="14" spans="1:6">
      <c r="B14" s="1693" t="s">
        <v>2539</v>
      </c>
      <c r="C14" s="1694" t="s">
        <v>920</v>
      </c>
    </row>
    <row r="15" spans="1:6">
      <c r="B15" s="1693" t="s">
        <v>1681</v>
      </c>
      <c r="C15" s="1694" t="s">
        <v>2105</v>
      </c>
    </row>
    <row r="16" spans="1:6">
      <c r="B16" s="1693" t="s">
        <v>2106</v>
      </c>
      <c r="C16" s="1694" t="s">
        <v>2107</v>
      </c>
    </row>
    <row r="17" spans="2:4">
      <c r="B17" s="1693" t="s">
        <v>1682</v>
      </c>
      <c r="C17" s="1694" t="s">
        <v>2108</v>
      </c>
    </row>
    <row r="18" spans="2:4">
      <c r="B18" s="1693" t="s">
        <v>2203</v>
      </c>
      <c r="C18" s="1694" t="s">
        <v>2202</v>
      </c>
    </row>
    <row r="19" spans="2:4">
      <c r="B19" s="1240"/>
      <c r="C19" s="1240"/>
      <c r="D19" s="1240"/>
    </row>
    <row r="20" spans="2:4" ht="15">
      <c r="B20" s="454" t="s">
        <v>989</v>
      </c>
    </row>
    <row r="21" spans="2:4">
      <c r="B21" s="595" t="str">
        <f ca="1">OFFSET(Vehicles!$E$6,0,ROW(A9)-ROW($A$8))</f>
        <v>Conv. diesel</v>
      </c>
      <c r="C21" s="1694" t="s">
        <v>2538</v>
      </c>
      <c r="D21" s="816" t="str">
        <f>IF(C21&lt;&gt;"",C21&amp;COUNTIF(C$21:C21,C21),"")</f>
        <v>a1</v>
      </c>
    </row>
    <row r="22" spans="2:4">
      <c r="B22" s="595" t="str">
        <f ca="1">OFFSET(Vehicles!$E$6,0,ROW(A10)-ROW($A$8))</f>
        <v>Conv. gasoline</v>
      </c>
      <c r="C22" s="1694" t="s">
        <v>2538</v>
      </c>
      <c r="D22" s="816" t="str">
        <f>IF(C22&lt;&gt;"",C22&amp;COUNTIF(C$21:C22,C22),"")</f>
        <v>a2</v>
      </c>
    </row>
    <row r="23" spans="2:4">
      <c r="B23" s="595" t="str">
        <f ca="1">OFFSET(Vehicles!$E$6,0,ROW(A11)-ROW($A$8))</f>
        <v>E85-1g</v>
      </c>
      <c r="C23" s="1694" t="s">
        <v>2646</v>
      </c>
      <c r="D23" s="816" t="str">
        <f>IF(C23&lt;&gt;"",C23&amp;COUNTIF(C$21:C23,C23),"")</f>
        <v>f1</v>
      </c>
    </row>
    <row r="24" spans="2:4">
      <c r="B24" s="595" t="str">
        <f ca="1">OFFSET(Vehicles!$E$6,0,ROW(A12)-ROW($A$8))</f>
        <v>E85-1g Sugarb.</v>
      </c>
      <c r="C24" s="1694" t="s">
        <v>2646</v>
      </c>
      <c r="D24" s="816" t="str">
        <f>IF(C24&lt;&gt;"",C24&amp;COUNTIF(C$21:C24,C24),"")</f>
        <v>f2</v>
      </c>
    </row>
    <row r="25" spans="2:4">
      <c r="B25" s="595" t="str">
        <f ca="1">OFFSET(Vehicles!$E$6,0,ROW(A13)-ROW($A$8))</f>
        <v>E85-2g</v>
      </c>
      <c r="C25" s="1694" t="s">
        <v>2646</v>
      </c>
      <c r="D25" s="816" t="str">
        <f>IF(C25&lt;&gt;"",C25&amp;COUNTIF(C$21:C25,C25),"")</f>
        <v>f3</v>
      </c>
    </row>
    <row r="26" spans="2:4">
      <c r="B26" s="595" t="str">
        <f ca="1">OFFSET(Vehicles!$E$6,0,ROW(A14)-ROW($A$8))</f>
        <v>Biodiesel-1g RME</v>
      </c>
      <c r="C26" s="1694" t="s">
        <v>2646</v>
      </c>
      <c r="D26" s="816" t="str">
        <f>IF(C26&lt;&gt;"",C26&amp;COUNTIF(C$21:C26,C26),"")</f>
        <v>f4</v>
      </c>
    </row>
    <row r="27" spans="2:4">
      <c r="B27" s="595" t="str">
        <f ca="1">OFFSET(Vehicles!$E$6,0,ROW(A15)-ROW($A$8))</f>
        <v>Biodiesel-2g</v>
      </c>
      <c r="C27" s="1694" t="s">
        <v>2646</v>
      </c>
      <c r="D27" s="816" t="str">
        <f>IF(C27&lt;&gt;"",C27&amp;COUNTIF(C$21:C27,C27),"")</f>
        <v>f5</v>
      </c>
    </row>
    <row r="28" spans="2:4">
      <c r="B28" s="595" t="str">
        <f ca="1">OFFSET(Vehicles!$E$6,0,ROW(A16)-ROW($A$8))</f>
        <v>DME</v>
      </c>
      <c r="C28" s="1694" t="s">
        <v>2646</v>
      </c>
      <c r="D28" s="816" t="str">
        <f>IF(C28&lt;&gt;"",C28&amp;COUNTIF(C$21:C28,C28),"")</f>
        <v>f6</v>
      </c>
    </row>
    <row r="29" spans="2:4">
      <c r="B29" s="595" t="str">
        <f ca="1">OFFSET(Vehicles!$E$6,0,ROW(A17)-ROW($A$8))</f>
        <v>B-Naturgas</v>
      </c>
      <c r="C29" s="1694" t="s">
        <v>919</v>
      </c>
      <c r="D29" s="816" t="str">
        <f>IF(C29&lt;&gt;"",C29&amp;COUNTIF(C$21:C29,C29),"")</f>
        <v>A3</v>
      </c>
    </row>
    <row r="30" spans="2:4">
      <c r="B30" s="595" t="str">
        <f ca="1">OFFSET(Vehicles!$E$6,0,ROW(A18)-ROW($A$8))</f>
        <v>Biogas</v>
      </c>
      <c r="C30" s="1694" t="s">
        <v>2538</v>
      </c>
      <c r="D30" s="816" t="str">
        <f>IF(C30&lt;&gt;"",C30&amp;COUNTIF(C$21:C30,C30),"")</f>
        <v>a4</v>
      </c>
    </row>
    <row r="31" spans="2:4">
      <c r="B31" s="595" t="str">
        <f ca="1">OFFSET(Vehicles!$E$6,0,ROW(A19)-ROW($A$8))</f>
        <v>MeOH</v>
      </c>
      <c r="C31" s="1694" t="s">
        <v>2538</v>
      </c>
      <c r="D31" s="816" t="str">
        <f>IF(C31&lt;&gt;"",C31&amp;COUNTIF(C$21:C31,C31),"")</f>
        <v>a5</v>
      </c>
    </row>
    <row r="32" spans="2:4">
      <c r="B32" s="595" t="str">
        <f ca="1">OFFSET(Vehicles!$E$6,0,ROW(A20)-ROW($A$8))</f>
        <v>B-Brint</v>
      </c>
      <c r="C32" s="1694" t="s">
        <v>2538</v>
      </c>
      <c r="D32" s="816" t="str">
        <f>IF(C32&lt;&gt;"",C32&amp;COUNTIF(C$21:C32,C32),"")</f>
        <v>a6</v>
      </c>
    </row>
    <row r="33" spans="2:19">
      <c r="B33" s="595" t="str">
        <f ca="1">OFFSET(Vehicles!$E$6,0,ROW(A21)-ROW($A$8))</f>
        <v>Elbil</v>
      </c>
      <c r="C33" s="1694" t="s">
        <v>2538</v>
      </c>
      <c r="D33" s="816" t="str">
        <f>IF(C33&lt;&gt;"",C33&amp;COUNTIF(C$21:C33,C33),"")</f>
        <v>a7</v>
      </c>
    </row>
    <row r="34" spans="2:19">
      <c r="B34" s="595" t="str">
        <f ca="1">OFFSET(Vehicles!$E$6,0,ROW(A22)-ROW($A$8))</f>
        <v>Plugin Hybrid</v>
      </c>
      <c r="C34" s="1694" t="s">
        <v>2538</v>
      </c>
      <c r="D34" s="816" t="str">
        <f>IF(C34&lt;&gt;"",C34&amp;COUNTIF(C$21:C34,C34),"")</f>
        <v>a8</v>
      </c>
    </row>
    <row r="35" spans="2:19">
      <c r="B35" s="595" t="str">
        <f ca="1">OFFSET(Vehicles!$E$6,0,ROW(A23)-ROW($A$8))</f>
        <v>Fast Ferry</v>
      </c>
      <c r="C35" s="1694" t="s">
        <v>2648</v>
      </c>
      <c r="D35" s="816" t="str">
        <f>IF(C35&lt;&gt;"",C35&amp;COUNTIF(C$21:C35,C35),"")</f>
        <v>d1</v>
      </c>
    </row>
    <row r="36" spans="2:19">
      <c r="B36" s="595" t="str">
        <f ca="1">OFFSET(Vehicles!$E$6,0,ROW(A24)-ROW($A$8))</f>
        <v>Aircraft Fossil</v>
      </c>
      <c r="C36" s="1694" t="s">
        <v>2649</v>
      </c>
      <c r="D36" s="816" t="str">
        <f>IF(C36&lt;&gt;"",C36&amp;COUNTIF(C$21:C36,C36),"")</f>
        <v>e1</v>
      </c>
    </row>
    <row r="37" spans="2:19">
      <c r="B37" s="595" t="str">
        <f ca="1">OFFSET(Vehicles!$E$6,0,ROW(A25)-ROW($A$8))</f>
        <v>Aircraft Biofuel</v>
      </c>
      <c r="C37" s="1694" t="s">
        <v>2649</v>
      </c>
      <c r="D37" s="816" t="str">
        <f>IF(C37&lt;&gt;"",C37&amp;COUNTIF(C$21:C37,C37),"")</f>
        <v>e2</v>
      </c>
    </row>
    <row r="38" spans="2:19">
      <c r="B38" s="595" t="str">
        <f ca="1">OFFSET(Vehicles!$E$6,0,ROW(A26)-ROW($A$8))</f>
        <v>9000TEU HFO</v>
      </c>
      <c r="C38" s="1694" t="s">
        <v>2648</v>
      </c>
      <c r="D38" s="816" t="str">
        <f>IF(C38&lt;&gt;"",C38&amp;COUNTIF(C$21:C38,C38),"")</f>
        <v>d2</v>
      </c>
    </row>
    <row r="39" spans="2:19">
      <c r="B39" s="595" t="str">
        <f ca="1">OFFSET(Vehicles!$E$6,0,ROW(A27)-ROW($A$8))</f>
        <v>9000TEU Diesel</v>
      </c>
      <c r="C39" s="1694" t="s">
        <v>2648</v>
      </c>
      <c r="D39" s="816" t="str">
        <f>IF(C39&lt;&gt;"",C39&amp;COUNTIF(C$21:C39,C39),"")</f>
        <v>d3</v>
      </c>
    </row>
    <row r="40" spans="2:19">
      <c r="B40" s="595" t="str">
        <f ca="1">OFFSET(Vehicles!$E$6,0,ROW(A28)-ROW($A$8))</f>
        <v>9000TEU BioDiesel</v>
      </c>
      <c r="C40" s="1694" t="s">
        <v>2648</v>
      </c>
      <c r="D40" s="816" t="str">
        <f>IF(C40&lt;&gt;"",C40&amp;COUNTIF(C$21:C40,C40),"")</f>
        <v>d4</v>
      </c>
    </row>
    <row r="41" spans="2:19">
      <c r="B41" s="595" t="str">
        <f ca="1">OFFSET(Vehicles!$E$6,0,ROW(A29)-ROW($A$8))</f>
        <v>9000TEU LNG</v>
      </c>
      <c r="C41" s="1694" t="s">
        <v>2648</v>
      </c>
      <c r="D41" s="816" t="str">
        <f>IF(C41&lt;&gt;"",C41&amp;COUNTIF(C$21:C41,C41),"")</f>
        <v>d5</v>
      </c>
    </row>
    <row r="42" spans="2:19">
      <c r="B42" s="595" t="str">
        <f ca="1">OFFSET(Vehicles!$E$6,0,ROW(A30)-ROW($A$8))</f>
        <v>IC Tog Diesel</v>
      </c>
      <c r="C42" s="1694" t="s">
        <v>2540</v>
      </c>
      <c r="D42" s="816" t="str">
        <f>IF(C42&lt;&gt;"",C42&amp;COUNTIF(C$21:C42,C42),"")</f>
        <v>b1</v>
      </c>
    </row>
    <row r="43" spans="2:19">
      <c r="B43" s="595" t="str">
        <f ca="1">OFFSET(Vehicles!$E$6,0,ROW(A31)-ROW($A$8))</f>
        <v>IC Tog Biodiesel</v>
      </c>
      <c r="C43" s="1694" t="s">
        <v>2540</v>
      </c>
      <c r="D43" s="816" t="str">
        <f>IF(C43&lt;&gt;"",C43&amp;COUNTIF(C$21:C43,C43),"")</f>
        <v>b2</v>
      </c>
    </row>
    <row r="44" spans="2:19">
      <c r="B44" s="595" t="str">
        <f ca="1">OFFSET(Vehicles!$E$6,0,ROW(A32)-ROW($A$8))</f>
        <v>IC Tog El</v>
      </c>
      <c r="C44" s="1694" t="s">
        <v>2540</v>
      </c>
      <c r="D44" s="816" t="str">
        <f>IF(C44&lt;&gt;"",C44&amp;COUNTIF(C$21:C44,C44),"")</f>
        <v>b3</v>
      </c>
    </row>
    <row r="45" spans="2:19">
      <c r="B45" s="595" t="str">
        <f ca="1">OFFSET(Vehicles!$E$6,0,ROW(A33)-ROW($A$8))</f>
        <v>Lokaltog Diesel</v>
      </c>
      <c r="C45" s="1694" t="s">
        <v>2540</v>
      </c>
      <c r="D45" s="816" t="str">
        <f>IF(C45&lt;&gt;"",C45&amp;COUNTIF(C$21:C45,C45),"")</f>
        <v>b4</v>
      </c>
    </row>
    <row r="46" spans="2:19">
      <c r="B46" s="595" t="str">
        <f ca="1">OFFSET(Vehicles!$E$6,0,ROW(A34)-ROW($A$8))</f>
        <v>Lokaltog biodiesel</v>
      </c>
      <c r="C46" s="1694" t="s">
        <v>2540</v>
      </c>
      <c r="D46" s="816" t="str">
        <f>IF(C46&lt;&gt;"",C46&amp;COUNTIF(C$21:C46,C46),"")</f>
        <v>b5</v>
      </c>
      <c r="F46" s="523"/>
      <c r="K46" s="557" t="s">
        <v>988</v>
      </c>
    </row>
    <row r="47" spans="2:19">
      <c r="B47" s="595" t="str">
        <f ca="1">OFFSET(Vehicles!$E$6,0,ROW(A35)-ROW($A$8))</f>
        <v>Lokaltog Gas</v>
      </c>
      <c r="C47" s="1694" t="s">
        <v>2540</v>
      </c>
      <c r="D47" s="816" t="str">
        <f>IF(C47&lt;&gt;"",C47&amp;COUNTIF(C$21:C47,C47),"")</f>
        <v>b6</v>
      </c>
      <c r="F47" s="523"/>
      <c r="K47" s="595"/>
      <c r="L47" s="844" t="s">
        <v>958</v>
      </c>
      <c r="M47" s="844" t="s">
        <v>926</v>
      </c>
      <c r="N47" s="844" t="s">
        <v>959</v>
      </c>
      <c r="O47" s="844" t="s">
        <v>960</v>
      </c>
      <c r="P47" s="844" t="s">
        <v>2200</v>
      </c>
      <c r="Q47" s="844" t="s">
        <v>885</v>
      </c>
      <c r="R47" s="844" t="s">
        <v>25</v>
      </c>
      <c r="S47" s="845" t="s">
        <v>991</v>
      </c>
    </row>
    <row r="48" spans="2:19">
      <c r="B48" s="595" t="str">
        <f ca="1">OFFSET(Vehicles!$E$6,0,ROW(A36)-ROW($A$8))</f>
        <v>L-Diesel</v>
      </c>
      <c r="C48" s="1694" t="s">
        <v>2541</v>
      </c>
      <c r="D48" s="816" t="str">
        <f>IF(C48&lt;&gt;"",C48&amp;COUNTIF(C$21:C48,C48),"")</f>
        <v>c1</v>
      </c>
      <c r="F48" s="523"/>
      <c r="K48" s="595"/>
      <c r="L48" s="852" t="str">
        <f ca="1">IF(ISNUMBER(TrEcPathwayNo),IF(OFFSET(Vehicles!E12,chosenYear,TrEcPathwayNo)="Nej","Teknologi ikke tilgængelig",OFFSET(Vehicles!$E$25,0,TrEcPathwayNo)),"")</f>
        <v/>
      </c>
      <c r="M48" s="853" t="str">
        <f ca="1">IF(ISNUMBER(TrEcPathwayNo),IF(OFFSET(Vehicles!E12,chosenYear,TrEcPathwayNo)="Nej","",OFFSET(Vehicles!$E$27,0,TrEcPathwayNo)),"")</f>
        <v/>
      </c>
      <c r="N48" s="853" t="str">
        <f ca="1">IF(ISNUMBER(TrEcPathwayNo),IF(OFFSET(Vehicles!E12,chosenYear,TrEcPathwayNo)="Nej","",OFFSET(Vehicles!$E$28,0,TrEcPathwayNo)),"")</f>
        <v/>
      </c>
      <c r="O48" s="853" t="str">
        <f ca="1">IF(ISNUMBER(TrEcPathwayNo),IF(OFFSET(Vehicles!E12,chosenYear,TrEcPathwayNo)="Nej","",OFFSET(Vehicles!$E$29,0,TrEcPathwayNo)),"")</f>
        <v/>
      </c>
      <c r="P48" s="853" t="str">
        <f ca="1">IF(ISNUMBER(TrEcPathwayNo),IF(OFFSET(Vehicles!E12,chosenYear,TrEcPathwayNo)="Nej","",OFFSET(Vehicles!$E$188,0,TrEcPathwayNo)),"")</f>
        <v/>
      </c>
      <c r="Q48" s="853" t="str">
        <f ca="1">IF(ISNUMBER(TrEcPathwayNo),IF(OFFSET(Vehicles!E12,chosenYear,TrEcPathwayNo)="Nej","",OFFSET(Vehicles!$E$185,0,TrEcPathwayNo)),"")</f>
        <v/>
      </c>
      <c r="R48" s="853" t="str">
        <f ca="1">IF(ISNUMBER(TrEcPathwayNo),IF(OFFSET(Vehicles!E12,chosenYear,TrEcPathwayNo)="Nej","",OFFSET(Vehicles!$E$186,0,TrEcPathwayNo)),"")</f>
        <v/>
      </c>
      <c r="S48" s="854" t="str">
        <f ca="1">IF(ISNUMBER(TrEcPathwayNo),IF(OFFSET(Vehicles!E12,chosenYear,TrEcPathwayNo)="Nej","",OFFSET(Vehicles!$E$187,0,TrEcPathwayNo)),"")</f>
        <v/>
      </c>
    </row>
    <row r="49" spans="2:32" ht="15">
      <c r="B49" s="595" t="str">
        <f ca="1">OFFSET(Vehicles!$E$6,0,ROW(A37)-ROW($A$8))</f>
        <v>L-BioDiesel</v>
      </c>
      <c r="C49" s="1694" t="s">
        <v>2541</v>
      </c>
      <c r="D49" s="816" t="str">
        <f>IF(C49&lt;&gt;"",C49&amp;COUNTIF(C$21:C49,C49),"")</f>
        <v>c2</v>
      </c>
      <c r="F49" s="454" t="s">
        <v>987</v>
      </c>
      <c r="J49" s="454" t="s">
        <v>993</v>
      </c>
      <c r="V49" s="454" t="str">
        <f ca="1">"Development in socio-economic cost by pathway, "&amp;LOWER(OFFSET($B$12,$B$9,0))</f>
        <v>Development in socio-economic cost by pathway, ships</v>
      </c>
      <c r="AD49" s="454" t="str">
        <f ca="1">"Development in greenhouse gas emissions by pathway, "&amp;LOWER(OFFSET($B$12,$B$9,0))</f>
        <v>Development in greenhouse gas emissions by pathway, ships</v>
      </c>
    </row>
    <row r="50" spans="2:32">
      <c r="B50" s="595" t="str">
        <f ca="1">OFFSET(Vehicles!$E$6,0,ROW(A38)-ROW($A$8))</f>
        <v>L-CNG</v>
      </c>
      <c r="C50" s="1694" t="s">
        <v>2541</v>
      </c>
      <c r="D50" s="816" t="str">
        <f>IF(C50&lt;&gt;"",C50&amp;COUNTIF(C$21:C50,C50),"")</f>
        <v>c3</v>
      </c>
      <c r="F50" s="842" t="str">
        <f ca="1">OFFSET($C$12,B9,0)</f>
        <v>D</v>
      </c>
      <c r="G50" s="342"/>
      <c r="H50" s="403"/>
      <c r="J50" s="846"/>
      <c r="K50" s="403"/>
      <c r="L50" s="844" t="s">
        <v>958</v>
      </c>
      <c r="M50" s="844" t="s">
        <v>926</v>
      </c>
      <c r="N50" s="844" t="s">
        <v>959</v>
      </c>
      <c r="O50" s="844" t="s">
        <v>2208</v>
      </c>
      <c r="P50" s="342" t="s">
        <v>990</v>
      </c>
      <c r="Q50" s="342" t="s">
        <v>885</v>
      </c>
      <c r="R50" s="342" t="s">
        <v>25</v>
      </c>
      <c r="S50" s="403" t="s">
        <v>991</v>
      </c>
      <c r="T50" s="845"/>
      <c r="V50" s="846"/>
      <c r="W50" s="403"/>
      <c r="X50" s="844" t="str">
        <f>N50</f>
        <v>O&amp;M</v>
      </c>
      <c r="Y50" s="844" t="str">
        <f>O50</f>
        <v>Vehicle</v>
      </c>
      <c r="Z50" s="844" t="str">
        <f>L50</f>
        <v>Externalities</v>
      </c>
      <c r="AA50" s="844" t="str">
        <f>M50</f>
        <v>Fuel</v>
      </c>
      <c r="AB50" s="845"/>
      <c r="AD50" s="846"/>
      <c r="AE50" s="403"/>
      <c r="AF50" s="403" t="s">
        <v>2201</v>
      </c>
    </row>
    <row r="51" spans="2:32">
      <c r="B51" s="595" t="str">
        <f ca="1">OFFSET(Vehicles!$E$6,0,ROW(A39)-ROW($A$8))</f>
        <v>L-DME</v>
      </c>
      <c r="C51" s="1694" t="s">
        <v>2541</v>
      </c>
      <c r="D51" s="816" t="str">
        <f>IF(C51&lt;&gt;"",C51&amp;COUNTIF(C$21:C51,C51),"")</f>
        <v>c4</v>
      </c>
      <c r="F51" s="842" t="str">
        <f ca="1">F50&amp;"1"</f>
        <v>D1</v>
      </c>
      <c r="G51" s="498">
        <f ca="1">IFERROR(MATCH(F51,$D$21:$D$60,0),"")</f>
        <v>15</v>
      </c>
      <c r="H51" s="92">
        <v>1</v>
      </c>
      <c r="J51" s="842" t="str">
        <f ca="1">IF(ISNUMBER(G51),OFFSET($B$20,G51,0)," ")</f>
        <v>Fast Ferry</v>
      </c>
      <c r="K51" s="92">
        <f>Supplementary!$L$7</f>
        <v>2015</v>
      </c>
      <c r="L51" s="663">
        <v>353.70232470206804</v>
      </c>
      <c r="M51" s="663">
        <v>615.37464959371619</v>
      </c>
      <c r="N51" s="663">
        <v>0</v>
      </c>
      <c r="O51" s="663">
        <v>0</v>
      </c>
      <c r="P51" s="1984">
        <v>350298.61560125841</v>
      </c>
      <c r="Q51" s="1984">
        <v>775.4157608748709</v>
      </c>
      <c r="R51" s="1984">
        <v>2211.1156546512934</v>
      </c>
      <c r="S51" s="1985">
        <v>391.19959713676701</v>
      </c>
      <c r="T51" s="1985">
        <f t="shared" ref="T51:T54" si="0">IF(ISNUMBER(K51),SUM(L51:S51),"")</f>
        <v>354645.42358821712</v>
      </c>
      <c r="V51" s="842" t="str">
        <f ca="1">$J51</f>
        <v>Fast Ferry</v>
      </c>
      <c r="W51" s="92">
        <f>K51</f>
        <v>2015</v>
      </c>
      <c r="X51" s="663">
        <f t="shared" ref="X51:Y82" si="1">N51</f>
        <v>0</v>
      </c>
      <c r="Y51" s="663">
        <f t="shared" si="1"/>
        <v>0</v>
      </c>
      <c r="Z51" s="663">
        <f t="shared" ref="Z51:AA82" si="2">L51</f>
        <v>353.70232470206804</v>
      </c>
      <c r="AA51" s="663">
        <f t="shared" si="2"/>
        <v>615.37464959371619</v>
      </c>
      <c r="AB51" s="843">
        <f>SUM(X51:AA51)</f>
        <v>969.07697429578423</v>
      </c>
      <c r="AD51" s="842" t="str">
        <f ca="1">$J51</f>
        <v>Fast Ferry</v>
      </c>
      <c r="AE51" s="92">
        <f t="shared" ref="AE51:AE54" si="3">$K51</f>
        <v>2015</v>
      </c>
      <c r="AF51" s="92">
        <f t="shared" ref="AF51:AF82" si="4">P51</f>
        <v>350298.61560125841</v>
      </c>
    </row>
    <row r="52" spans="2:32">
      <c r="B52" s="595" t="str">
        <f ca="1">OFFSET(Vehicles!$E$6,0,ROW(A40)-ROW($A$8))</f>
        <v>B-Diesel</v>
      </c>
      <c r="C52" s="1694" t="s">
        <v>2541</v>
      </c>
      <c r="D52" s="816" t="str">
        <f>IF(C52&lt;&gt;"",C52&amp;COUNTIF(C$21:C52,C52),"")</f>
        <v>c5</v>
      </c>
      <c r="F52" s="848" t="str">
        <f t="shared" ref="F52:G54" ca="1" si="5">F51</f>
        <v>D1</v>
      </c>
      <c r="G52" s="555">
        <f t="shared" ca="1" si="5"/>
        <v>15</v>
      </c>
      <c r="H52" s="849">
        <v>2</v>
      </c>
      <c r="J52" s="95"/>
      <c r="K52" s="241">
        <f>Supplementary!$L$8</f>
        <v>2020</v>
      </c>
      <c r="L52" s="480">
        <v>395.58739853415977</v>
      </c>
      <c r="M52" s="480">
        <v>630.20469493604458</v>
      </c>
      <c r="N52" s="480">
        <v>0</v>
      </c>
      <c r="O52" s="480">
        <v>0</v>
      </c>
      <c r="P52" s="464">
        <v>350382.78401405021</v>
      </c>
      <c r="Q52" s="464">
        <v>774.83726846985041</v>
      </c>
      <c r="R52" s="464">
        <v>2193.5714130745323</v>
      </c>
      <c r="S52" s="1986">
        <v>390.16206289833588</v>
      </c>
      <c r="T52" s="1986">
        <f t="shared" si="0"/>
        <v>354767.14685196313</v>
      </c>
      <c r="V52" s="95"/>
      <c r="W52" s="241">
        <f t="shared" ref="W52:W54" si="6">K52</f>
        <v>2020</v>
      </c>
      <c r="X52" s="480">
        <f t="shared" si="1"/>
        <v>0</v>
      </c>
      <c r="Y52" s="480">
        <f t="shared" si="1"/>
        <v>0</v>
      </c>
      <c r="Z52" s="480">
        <f t="shared" si="2"/>
        <v>395.58739853415977</v>
      </c>
      <c r="AA52" s="480">
        <f t="shared" si="2"/>
        <v>630.20469493604458</v>
      </c>
      <c r="AB52" s="855">
        <f t="shared" ref="AB52:AB82" si="7">SUM(X52:AA52)</f>
        <v>1025.7920934702042</v>
      </c>
      <c r="AD52" s="95"/>
      <c r="AE52" s="241">
        <f t="shared" si="3"/>
        <v>2020</v>
      </c>
      <c r="AF52" s="241">
        <f t="shared" si="4"/>
        <v>350382.78401405021</v>
      </c>
    </row>
    <row r="53" spans="2:32">
      <c r="B53" s="595" t="str">
        <f ca="1">OFFSET(Vehicles!$E$6,0,ROW(A41)-ROW($A$8))</f>
        <v>B-Biodiesel</v>
      </c>
      <c r="C53" s="1694" t="s">
        <v>2541</v>
      </c>
      <c r="D53" s="816" t="str">
        <f>IF(C53&lt;&gt;"",C53&amp;COUNTIF(C$21:C53,C53),"")</f>
        <v>c6</v>
      </c>
      <c r="F53" s="848" t="str">
        <f t="shared" ca="1" si="5"/>
        <v>D1</v>
      </c>
      <c r="G53" s="555">
        <f t="shared" ca="1" si="5"/>
        <v>15</v>
      </c>
      <c r="H53" s="849">
        <v>3</v>
      </c>
      <c r="J53" s="95"/>
      <c r="K53" s="241">
        <f>Supplementary!$L$9</f>
        <v>2035</v>
      </c>
      <c r="L53" s="480">
        <v>424.10617131024247</v>
      </c>
      <c r="M53" s="480">
        <v>669.37603717755076</v>
      </c>
      <c r="N53" s="480">
        <v>0</v>
      </c>
      <c r="O53" s="480">
        <v>0</v>
      </c>
      <c r="P53" s="464">
        <v>350344.2173708409</v>
      </c>
      <c r="Q53" s="464">
        <v>773.66446765744115</v>
      </c>
      <c r="R53" s="464">
        <v>2169.593890511409</v>
      </c>
      <c r="S53" s="1986">
        <v>388.51738113497231</v>
      </c>
      <c r="T53" s="1986">
        <f t="shared" si="0"/>
        <v>354769.47531863255</v>
      </c>
      <c r="V53" s="95"/>
      <c r="W53" s="241">
        <f t="shared" si="6"/>
        <v>2035</v>
      </c>
      <c r="X53" s="480">
        <f t="shared" si="1"/>
        <v>0</v>
      </c>
      <c r="Y53" s="480">
        <f t="shared" si="1"/>
        <v>0</v>
      </c>
      <c r="Z53" s="480">
        <f t="shared" si="2"/>
        <v>424.10617131024247</v>
      </c>
      <c r="AA53" s="480">
        <f t="shared" si="2"/>
        <v>669.37603717755076</v>
      </c>
      <c r="AB53" s="855">
        <f t="shared" si="7"/>
        <v>1093.4822084877933</v>
      </c>
      <c r="AD53" s="95"/>
      <c r="AE53" s="241">
        <f t="shared" si="3"/>
        <v>2035</v>
      </c>
      <c r="AF53" s="241">
        <f t="shared" si="4"/>
        <v>350344.2173708409</v>
      </c>
    </row>
    <row r="54" spans="2:32">
      <c r="B54" s="595" t="str">
        <f ca="1">OFFSET(Vehicles!$E$6,0,ROW(A42)-ROW($A$8))</f>
        <v>B-CNG</v>
      </c>
      <c r="C54" s="1694" t="s">
        <v>2541</v>
      </c>
      <c r="D54" s="816" t="str">
        <f>IF(C54&lt;&gt;"",C54&amp;COUNTIF(C$21:C54,C54),"")</f>
        <v>c7</v>
      </c>
      <c r="F54" s="850" t="str">
        <f t="shared" ca="1" si="5"/>
        <v>D1</v>
      </c>
      <c r="G54" s="556">
        <f t="shared" ca="1" si="5"/>
        <v>15</v>
      </c>
      <c r="H54" s="851">
        <v>4</v>
      </c>
      <c r="J54" s="847"/>
      <c r="K54" s="444">
        <f>Supplementary!$L$10</f>
        <v>2050</v>
      </c>
      <c r="L54" s="662">
        <v>424.04105545528768</v>
      </c>
      <c r="M54" s="662">
        <v>669.44240614955595</v>
      </c>
      <c r="N54" s="662">
        <v>0</v>
      </c>
      <c r="O54" s="662">
        <v>0</v>
      </c>
      <c r="P54" s="1987">
        <v>350126.22064869007</v>
      </c>
      <c r="Q54" s="1987">
        <v>773.6633230905926</v>
      </c>
      <c r="R54" s="1987">
        <v>2169.421753784688</v>
      </c>
      <c r="S54" s="1988">
        <v>388.51718561347451</v>
      </c>
      <c r="T54" s="1988">
        <f t="shared" si="0"/>
        <v>354551.30637278367</v>
      </c>
      <c r="V54" s="847"/>
      <c r="W54" s="444">
        <f t="shared" si="6"/>
        <v>2050</v>
      </c>
      <c r="X54" s="662">
        <f t="shared" si="1"/>
        <v>0</v>
      </c>
      <c r="Y54" s="662">
        <f t="shared" si="1"/>
        <v>0</v>
      </c>
      <c r="Z54" s="662">
        <f t="shared" si="2"/>
        <v>424.04105545528768</v>
      </c>
      <c r="AA54" s="662">
        <f t="shared" si="2"/>
        <v>669.44240614955595</v>
      </c>
      <c r="AB54" s="856">
        <f t="shared" si="7"/>
        <v>1093.4834616048436</v>
      </c>
      <c r="AD54" s="847"/>
      <c r="AE54" s="444">
        <f t="shared" si="3"/>
        <v>2050</v>
      </c>
      <c r="AF54" s="444">
        <f t="shared" si="4"/>
        <v>350126.22064869007</v>
      </c>
    </row>
    <row r="55" spans="2:32">
      <c r="B55" s="595" t="str">
        <f ca="1">OFFSET(Vehicles!$E$6,0,ROW(A43)-ROW($A$8))</f>
        <v>B-Hybrid</v>
      </c>
      <c r="C55" s="1694" t="s">
        <v>2541</v>
      </c>
      <c r="D55" s="816" t="str">
        <f>IF(C55&lt;&gt;"",C55&amp;COUNTIF(C$21:C55,C55),"")</f>
        <v>c8</v>
      </c>
      <c r="F55" s="842" t="str">
        <f ca="1">F50&amp;"2"</f>
        <v>D2</v>
      </c>
      <c r="G55" s="498">
        <f ca="1">IFERROR(MATCH(F55,$D$21:$D$60,0),"")</f>
        <v>18</v>
      </c>
      <c r="H55" s="92">
        <f>H51</f>
        <v>1</v>
      </c>
      <c r="J55" s="842" t="str">
        <f ca="1">IF(ISNUMBER(G55),OFFSET($B$20,G55,0)," ")</f>
        <v>9000TEU HFO</v>
      </c>
      <c r="K55" s="92">
        <f ca="1">IF(J55&lt;&gt;" ",K51," ")</f>
        <v>2015</v>
      </c>
      <c r="L55" s="663">
        <v>2761.9193654785481</v>
      </c>
      <c r="M55" s="663">
        <v>662.99059732121952</v>
      </c>
      <c r="N55" s="663">
        <v>99.480792036237858</v>
      </c>
      <c r="O55" s="663">
        <v>205.18136137491888</v>
      </c>
      <c r="P55" s="1984">
        <v>562273.26292468584</v>
      </c>
      <c r="Q55" s="1984">
        <v>11843.680495361406</v>
      </c>
      <c r="R55" s="1984">
        <v>3349.5305038809356</v>
      </c>
      <c r="S55" s="1985">
        <v>1658.6048974244536</v>
      </c>
      <c r="T55" s="1985">
        <f t="shared" ref="T55:T82" ca="1" si="8">IF(ISNUMBER(K55),SUM(L55:S55),"")</f>
        <v>582854.65093756362</v>
      </c>
      <c r="V55" s="842" t="str">
        <f ca="1">$J55</f>
        <v>9000TEU HFO</v>
      </c>
      <c r="W55" s="92">
        <f t="shared" ref="W55:W82" ca="1" si="9">K55</f>
        <v>2015</v>
      </c>
      <c r="X55" s="663">
        <f t="shared" si="1"/>
        <v>99.480792036237858</v>
      </c>
      <c r="Y55" s="663">
        <f t="shared" si="1"/>
        <v>205.18136137491888</v>
      </c>
      <c r="Z55" s="663">
        <f t="shared" si="2"/>
        <v>2761.9193654785481</v>
      </c>
      <c r="AA55" s="663">
        <f t="shared" si="2"/>
        <v>662.99059732121952</v>
      </c>
      <c r="AB55" s="843">
        <f t="shared" si="7"/>
        <v>3729.5721162109244</v>
      </c>
      <c r="AD55" s="842" t="str">
        <f ca="1">$J55</f>
        <v>9000TEU HFO</v>
      </c>
      <c r="AE55" s="92">
        <f t="shared" ref="AE55:AE82" ca="1" si="10">$K55</f>
        <v>2015</v>
      </c>
      <c r="AF55" s="92">
        <f t="shared" si="4"/>
        <v>562273.26292468584</v>
      </c>
    </row>
    <row r="56" spans="2:32">
      <c r="B56" s="595" t="str">
        <f ca="1">OFFSET(Vehicles!$E$6,0,ROW(A44)-ROW($A$8))</f>
        <v>Fast Ferry - Biodiesel</v>
      </c>
      <c r="C56" s="1694" t="s">
        <v>2648</v>
      </c>
      <c r="D56" s="816" t="str">
        <f>IF(C56&lt;&gt;"",C56&amp;COUNTIF(C$21:C56,C56),"")</f>
        <v>d6</v>
      </c>
      <c r="F56" s="848" t="str">
        <f t="shared" ref="F56:G58" ca="1" si="11">F55</f>
        <v>D2</v>
      </c>
      <c r="G56" s="555">
        <f t="shared" ca="1" si="11"/>
        <v>18</v>
      </c>
      <c r="H56" s="849">
        <f t="shared" ref="H56:H82" si="12">H52</f>
        <v>2</v>
      </c>
      <c r="J56" s="95"/>
      <c r="K56" s="241">
        <f ca="1">IF(J55&lt;&gt;" ",K52," ")</f>
        <v>2020</v>
      </c>
      <c r="L56" s="480">
        <v>2336.1167835174729</v>
      </c>
      <c r="M56" s="480">
        <v>562.91913750133494</v>
      </c>
      <c r="N56" s="480">
        <v>109.42887123986168</v>
      </c>
      <c r="O56" s="480">
        <v>225.69949751241074</v>
      </c>
      <c r="P56" s="464">
        <v>465120.11859830568</v>
      </c>
      <c r="Q56" s="464">
        <v>9778.9287155548027</v>
      </c>
      <c r="R56" s="464">
        <v>2746.0054648761607</v>
      </c>
      <c r="S56" s="1986">
        <v>1366.8496280911102</v>
      </c>
      <c r="T56" s="1986">
        <f t="shared" ca="1" si="8"/>
        <v>482246.06669659883</v>
      </c>
      <c r="V56" s="95"/>
      <c r="W56" s="241">
        <f t="shared" ca="1" si="9"/>
        <v>2020</v>
      </c>
      <c r="X56" s="480">
        <f t="shared" si="1"/>
        <v>109.42887123986168</v>
      </c>
      <c r="Y56" s="480">
        <f t="shared" si="1"/>
        <v>225.69949751241074</v>
      </c>
      <c r="Z56" s="480">
        <f t="shared" si="2"/>
        <v>2336.1167835174729</v>
      </c>
      <c r="AA56" s="480">
        <f t="shared" si="2"/>
        <v>562.91913750133494</v>
      </c>
      <c r="AB56" s="855">
        <f t="shared" si="7"/>
        <v>3234.1642897710799</v>
      </c>
      <c r="AD56" s="95"/>
      <c r="AE56" s="241">
        <f t="shared" ca="1" si="10"/>
        <v>2020</v>
      </c>
      <c r="AF56" s="241">
        <f t="shared" si="4"/>
        <v>465120.11859830568</v>
      </c>
    </row>
    <row r="57" spans="2:32">
      <c r="B57" s="595" t="str">
        <f ca="1">OFFSET(Vehicles!$E$6,0,ROW(A45)-ROW($A$8))</f>
        <v>Ren brint</v>
      </c>
      <c r="C57" s="1694" t="s">
        <v>2648</v>
      </c>
      <c r="D57" s="816" t="str">
        <f>IF(C57&lt;&gt;"",C57&amp;COUNTIF(C$21:C57,C57),"")</f>
        <v>d7</v>
      </c>
      <c r="F57" s="848" t="str">
        <f t="shared" ca="1" si="11"/>
        <v>D2</v>
      </c>
      <c r="G57" s="555">
        <f t="shared" ca="1" si="11"/>
        <v>18</v>
      </c>
      <c r="H57" s="849">
        <f t="shared" si="12"/>
        <v>3</v>
      </c>
      <c r="J57" s="95"/>
      <c r="K57" s="241">
        <f ca="1">IF(J55&lt;&gt;" ",K53," ")</f>
        <v>2035</v>
      </c>
      <c r="L57" s="480">
        <v>1951.7496179513564</v>
      </c>
      <c r="M57" s="480">
        <v>500.65667360480688</v>
      </c>
      <c r="N57" s="480">
        <v>121.58763471095742</v>
      </c>
      <c r="O57" s="480">
        <v>250.77721945823416</v>
      </c>
      <c r="P57" s="464">
        <v>383153.50256660447</v>
      </c>
      <c r="Q57" s="464">
        <v>8037.6143135689499</v>
      </c>
      <c r="R57" s="464">
        <v>2237.0988859462714</v>
      </c>
      <c r="S57" s="1986">
        <v>1120.4389731346837</v>
      </c>
      <c r="T57" s="1986">
        <f t="shared" ca="1" si="8"/>
        <v>397373.42588497972</v>
      </c>
      <c r="V57" s="95"/>
      <c r="W57" s="241">
        <f t="shared" ca="1" si="9"/>
        <v>2035</v>
      </c>
      <c r="X57" s="480">
        <f t="shared" si="1"/>
        <v>121.58763471095742</v>
      </c>
      <c r="Y57" s="480">
        <f t="shared" si="1"/>
        <v>250.77721945823416</v>
      </c>
      <c r="Z57" s="480">
        <f t="shared" si="2"/>
        <v>1951.7496179513564</v>
      </c>
      <c r="AA57" s="480">
        <f t="shared" si="2"/>
        <v>500.65667360480688</v>
      </c>
      <c r="AB57" s="855">
        <f t="shared" si="7"/>
        <v>2824.7711457253545</v>
      </c>
      <c r="AD57" s="95"/>
      <c r="AE57" s="241">
        <f t="shared" ca="1" si="10"/>
        <v>2035</v>
      </c>
      <c r="AF57" s="241">
        <f t="shared" si="4"/>
        <v>383153.50256660447</v>
      </c>
    </row>
    <row r="58" spans="2:32">
      <c r="B58" s="595"/>
      <c r="C58" s="1694"/>
      <c r="D58" s="816" t="str">
        <f>IF(C58&lt;&gt;"",C58&amp;COUNTIF(C$21:C58,C58),"")</f>
        <v/>
      </c>
      <c r="F58" s="850" t="str">
        <f t="shared" ca="1" si="11"/>
        <v>D2</v>
      </c>
      <c r="G58" s="556">
        <f t="shared" ca="1" si="11"/>
        <v>18</v>
      </c>
      <c r="H58" s="851">
        <f t="shared" si="12"/>
        <v>4</v>
      </c>
      <c r="J58" s="847"/>
      <c r="K58" s="444">
        <f ca="1">IF(J55&lt;&gt;" ",K54," ")</f>
        <v>2050</v>
      </c>
      <c r="L58" s="662">
        <v>1951.6048772489753</v>
      </c>
      <c r="M58" s="662">
        <v>501.25223307215731</v>
      </c>
      <c r="N58" s="662">
        <v>121.58763471095742</v>
      </c>
      <c r="O58" s="662">
        <v>250.77721945823416</v>
      </c>
      <c r="P58" s="1987">
        <v>382645.72866345476</v>
      </c>
      <c r="Q58" s="1987">
        <v>8037.6116626334569</v>
      </c>
      <c r="R58" s="1987">
        <v>2236.8424398333073</v>
      </c>
      <c r="S58" s="1988">
        <v>1120.4385080584491</v>
      </c>
      <c r="T58" s="1988">
        <f t="shared" ca="1" si="8"/>
        <v>396865.84323847032</v>
      </c>
      <c r="V58" s="847"/>
      <c r="W58" s="444">
        <f t="shared" ca="1" si="9"/>
        <v>2050</v>
      </c>
      <c r="X58" s="662">
        <f t="shared" si="1"/>
        <v>121.58763471095742</v>
      </c>
      <c r="Y58" s="662">
        <f t="shared" si="1"/>
        <v>250.77721945823416</v>
      </c>
      <c r="Z58" s="662">
        <f t="shared" si="2"/>
        <v>1951.6048772489753</v>
      </c>
      <c r="AA58" s="662">
        <f t="shared" si="2"/>
        <v>501.25223307215731</v>
      </c>
      <c r="AB58" s="856">
        <f t="shared" si="7"/>
        <v>2825.2219644903239</v>
      </c>
      <c r="AD58" s="847"/>
      <c r="AE58" s="444">
        <f t="shared" ca="1" si="10"/>
        <v>2050</v>
      </c>
      <c r="AF58" s="444">
        <f t="shared" si="4"/>
        <v>382645.72866345476</v>
      </c>
    </row>
    <row r="59" spans="2:32">
      <c r="B59" s="595"/>
      <c r="C59" s="1694"/>
      <c r="D59" s="816" t="str">
        <f>IF(C59&lt;&gt;"",C59&amp;COUNTIF(C$21:C59,C59),"")</f>
        <v/>
      </c>
      <c r="F59" s="842" t="str">
        <f ca="1">F50&amp;"3"</f>
        <v>D3</v>
      </c>
      <c r="G59" s="498">
        <f ca="1">IFERROR(MATCH(F59,$D$21:$D$60,0),"")</f>
        <v>19</v>
      </c>
      <c r="H59" s="92">
        <f t="shared" si="12"/>
        <v>1</v>
      </c>
      <c r="J59" s="842" t="str">
        <f ca="1">IF(ISNUMBER(G59),OFFSET($B$20,G59,0)," ")</f>
        <v>9000TEU Diesel</v>
      </c>
      <c r="K59" s="92">
        <f ca="1">IF(J59&lt;&gt;" ",K55," ")</f>
        <v>2015</v>
      </c>
      <c r="L59" s="663">
        <v>547.38571046645643</v>
      </c>
      <c r="M59" s="663">
        <v>952.3468358728984</v>
      </c>
      <c r="N59" s="663">
        <v>99.480792036237872</v>
      </c>
      <c r="O59" s="663">
        <v>205.18136137491891</v>
      </c>
      <c r="P59" s="1984">
        <v>542118.16882409609</v>
      </c>
      <c r="Q59" s="1984">
        <v>1200.0246465185232</v>
      </c>
      <c r="R59" s="1984">
        <v>3421.8975364787179</v>
      </c>
      <c r="S59" s="1985">
        <v>605.41606446401943</v>
      </c>
      <c r="T59" s="1985">
        <f t="shared" ca="1" si="8"/>
        <v>549149.90177130781</v>
      </c>
      <c r="V59" s="842" t="str">
        <f ca="1">$J59</f>
        <v>9000TEU Diesel</v>
      </c>
      <c r="W59" s="92">
        <f t="shared" ca="1" si="9"/>
        <v>2015</v>
      </c>
      <c r="X59" s="663">
        <f t="shared" si="1"/>
        <v>99.480792036237872</v>
      </c>
      <c r="Y59" s="663">
        <f t="shared" si="1"/>
        <v>205.18136137491891</v>
      </c>
      <c r="Z59" s="663">
        <f t="shared" si="2"/>
        <v>547.38571046645643</v>
      </c>
      <c r="AA59" s="663">
        <f t="shared" si="2"/>
        <v>952.3468358728984</v>
      </c>
      <c r="AB59" s="843">
        <f t="shared" si="7"/>
        <v>1804.3946997505118</v>
      </c>
      <c r="AD59" s="842" t="str">
        <f ca="1">$J59</f>
        <v>9000TEU Diesel</v>
      </c>
      <c r="AE59" s="92">
        <f t="shared" ca="1" si="10"/>
        <v>2015</v>
      </c>
      <c r="AF59" s="92">
        <f t="shared" si="4"/>
        <v>542118.16882409609</v>
      </c>
    </row>
    <row r="60" spans="2:32">
      <c r="B60" s="595"/>
      <c r="C60" s="1694"/>
      <c r="D60" s="816" t="str">
        <f>IF(C60&lt;&gt;"",C60&amp;COUNTIF(C$21:C60,C60),"")</f>
        <v/>
      </c>
      <c r="F60" s="848" t="str">
        <f t="shared" ref="F60:G62" ca="1" si="13">F59</f>
        <v>D3</v>
      </c>
      <c r="G60" s="555">
        <f t="shared" ca="1" si="13"/>
        <v>19</v>
      </c>
      <c r="H60" s="849">
        <f t="shared" si="12"/>
        <v>2</v>
      </c>
      <c r="J60" s="95"/>
      <c r="K60" s="241">
        <f ca="1">IF(J59&lt;&gt;" ",K56," ")</f>
        <v>2020</v>
      </c>
      <c r="L60" s="480">
        <v>505.85628106943761</v>
      </c>
      <c r="M60" s="480">
        <v>805.8724935984493</v>
      </c>
      <c r="N60" s="480">
        <v>109.42887123986165</v>
      </c>
      <c r="O60" s="480">
        <v>225.69949751241072</v>
      </c>
      <c r="P60" s="464">
        <v>448051.00650039566</v>
      </c>
      <c r="Q60" s="464">
        <v>990.82099307143062</v>
      </c>
      <c r="R60" s="464">
        <v>2805.0233182094016</v>
      </c>
      <c r="S60" s="1986">
        <v>498.91864827713721</v>
      </c>
      <c r="T60" s="1986">
        <f t="shared" ca="1" si="8"/>
        <v>453992.62660337373</v>
      </c>
      <c r="V60" s="95"/>
      <c r="W60" s="241">
        <f t="shared" ca="1" si="9"/>
        <v>2020</v>
      </c>
      <c r="X60" s="480">
        <f t="shared" si="1"/>
        <v>109.42887123986165</v>
      </c>
      <c r="Y60" s="480">
        <f t="shared" si="1"/>
        <v>225.69949751241072</v>
      </c>
      <c r="Z60" s="480">
        <f t="shared" si="2"/>
        <v>505.85628106943761</v>
      </c>
      <c r="AA60" s="480">
        <f t="shared" si="2"/>
        <v>805.8724935984493</v>
      </c>
      <c r="AB60" s="855">
        <f t="shared" si="7"/>
        <v>1646.8571434201594</v>
      </c>
      <c r="AD60" s="95"/>
      <c r="AE60" s="241">
        <f t="shared" ca="1" si="10"/>
        <v>2020</v>
      </c>
      <c r="AF60" s="241">
        <f t="shared" si="4"/>
        <v>448051.00650039566</v>
      </c>
    </row>
    <row r="61" spans="2:32">
      <c r="F61" s="848" t="str">
        <f t="shared" ca="1" si="13"/>
        <v>D3</v>
      </c>
      <c r="G61" s="555">
        <f t="shared" ca="1" si="13"/>
        <v>19</v>
      </c>
      <c r="H61" s="849">
        <f t="shared" si="12"/>
        <v>3</v>
      </c>
      <c r="J61" s="95"/>
      <c r="K61" s="241">
        <f ca="1">IF(J59&lt;&gt;" ",K57," ")</f>
        <v>2035</v>
      </c>
      <c r="L61" s="480">
        <v>446.43837134304027</v>
      </c>
      <c r="M61" s="480">
        <v>704.62343646256454</v>
      </c>
      <c r="N61" s="480">
        <v>121.58763471095739</v>
      </c>
      <c r="O61" s="480">
        <v>250.77721945823416</v>
      </c>
      <c r="P61" s="464">
        <v>368792.32699982385</v>
      </c>
      <c r="Q61" s="464">
        <v>814.40339299921629</v>
      </c>
      <c r="R61" s="464">
        <v>2283.8384076405714</v>
      </c>
      <c r="S61" s="1986">
        <v>408.97557877194555</v>
      </c>
      <c r="T61" s="1986">
        <f t="shared" ca="1" si="8"/>
        <v>373822.9710412104</v>
      </c>
      <c r="V61" s="95"/>
      <c r="W61" s="241">
        <f t="shared" ca="1" si="9"/>
        <v>2035</v>
      </c>
      <c r="X61" s="480">
        <f t="shared" si="1"/>
        <v>121.58763471095739</v>
      </c>
      <c r="Y61" s="480">
        <f t="shared" si="1"/>
        <v>250.77721945823416</v>
      </c>
      <c r="Z61" s="480">
        <f t="shared" si="2"/>
        <v>446.43837134304027</v>
      </c>
      <c r="AA61" s="480">
        <f t="shared" si="2"/>
        <v>704.62343646256454</v>
      </c>
      <c r="AB61" s="855">
        <f t="shared" si="7"/>
        <v>1523.4266619747964</v>
      </c>
      <c r="AD61" s="95"/>
      <c r="AE61" s="241">
        <f t="shared" ca="1" si="10"/>
        <v>2035</v>
      </c>
      <c r="AF61" s="241">
        <f t="shared" si="4"/>
        <v>368792.32699982385</v>
      </c>
    </row>
    <row r="62" spans="2:32">
      <c r="B62" s="523" t="s">
        <v>986</v>
      </c>
      <c r="F62" s="850" t="str">
        <f t="shared" ca="1" si="13"/>
        <v>D3</v>
      </c>
      <c r="G62" s="556">
        <f t="shared" ca="1" si="13"/>
        <v>19</v>
      </c>
      <c r="H62" s="851">
        <f t="shared" si="12"/>
        <v>4</v>
      </c>
      <c r="J62" s="847"/>
      <c r="K62" s="444">
        <f ca="1">IF(J59&lt;&gt;" ",K58," ")</f>
        <v>2050</v>
      </c>
      <c r="L62" s="662">
        <v>446.36982667615928</v>
      </c>
      <c r="M62" s="662">
        <v>704.69330023200268</v>
      </c>
      <c r="N62" s="662">
        <v>121.58763471095739</v>
      </c>
      <c r="O62" s="662">
        <v>250.77721945823416</v>
      </c>
      <c r="P62" s="1987">
        <v>368562.85120300995</v>
      </c>
      <c r="Q62" s="1987">
        <v>814.40218816279946</v>
      </c>
      <c r="R62" s="1987">
        <v>2283.6572066934409</v>
      </c>
      <c r="S62" s="1988">
        <v>408.97537295485319</v>
      </c>
      <c r="T62" s="1988">
        <f t="shared" ca="1" si="8"/>
        <v>373593.31395189837</v>
      </c>
      <c r="V62" s="847"/>
      <c r="W62" s="444">
        <f t="shared" ca="1" si="9"/>
        <v>2050</v>
      </c>
      <c r="X62" s="662">
        <f t="shared" si="1"/>
        <v>121.58763471095739</v>
      </c>
      <c r="Y62" s="662">
        <f t="shared" si="1"/>
        <v>250.77721945823416</v>
      </c>
      <c r="Z62" s="662">
        <f t="shared" si="2"/>
        <v>446.36982667615928</v>
      </c>
      <c r="AA62" s="662">
        <f t="shared" si="2"/>
        <v>704.69330023200268</v>
      </c>
      <c r="AB62" s="856">
        <f t="shared" si="7"/>
        <v>1523.4279810773535</v>
      </c>
      <c r="AD62" s="847"/>
      <c r="AE62" s="444">
        <f t="shared" ca="1" si="10"/>
        <v>2050</v>
      </c>
      <c r="AF62" s="444">
        <f t="shared" si="4"/>
        <v>368562.85120300995</v>
      </c>
    </row>
    <row r="63" spans="2:32">
      <c r="F63" s="842" t="str">
        <f ca="1">F50&amp;"4"</f>
        <v>D4</v>
      </c>
      <c r="G63" s="498">
        <f ca="1">IFERROR(MATCH(F63,$D$21:$D$60,0),"")</f>
        <v>20</v>
      </c>
      <c r="H63" s="92">
        <f t="shared" si="12"/>
        <v>1</v>
      </c>
      <c r="J63" s="842" t="str">
        <f ca="1">IF(ISNUMBER(G63),OFFSET($B$20,G63,0)," ")</f>
        <v>9000TEU BioDiesel</v>
      </c>
      <c r="K63" s="92">
        <f ca="1">IF(J63&lt;&gt;" ",K59," ")</f>
        <v>2015</v>
      </c>
      <c r="L63" s="663" t="s">
        <v>2689</v>
      </c>
      <c r="M63" s="663" t="s">
        <v>2647</v>
      </c>
      <c r="N63" s="663" t="s">
        <v>2647</v>
      </c>
      <c r="O63" s="663" t="s">
        <v>2647</v>
      </c>
      <c r="P63" s="1984" t="s">
        <v>2647</v>
      </c>
      <c r="Q63" s="1984" t="s">
        <v>2647</v>
      </c>
      <c r="R63" s="1984" t="s">
        <v>2647</v>
      </c>
      <c r="S63" s="1985" t="s">
        <v>2647</v>
      </c>
      <c r="T63" s="1985">
        <f t="shared" ca="1" si="8"/>
        <v>0</v>
      </c>
      <c r="V63" s="842" t="str">
        <f ca="1">$J63</f>
        <v>9000TEU BioDiesel</v>
      </c>
      <c r="W63" s="92">
        <f t="shared" ca="1" si="9"/>
        <v>2015</v>
      </c>
      <c r="X63" s="663" t="str">
        <f t="shared" si="1"/>
        <v/>
      </c>
      <c r="Y63" s="663" t="str">
        <f t="shared" si="1"/>
        <v/>
      </c>
      <c r="Z63" s="663" t="str">
        <f t="shared" si="2"/>
        <v>Teknologi ikke tilgængelig</v>
      </c>
      <c r="AA63" s="663" t="str">
        <f t="shared" si="2"/>
        <v/>
      </c>
      <c r="AB63" s="843">
        <f t="shared" si="7"/>
        <v>0</v>
      </c>
      <c r="AD63" s="842" t="str">
        <f ca="1">$J63</f>
        <v>9000TEU BioDiesel</v>
      </c>
      <c r="AE63" s="92">
        <f t="shared" ca="1" si="10"/>
        <v>2015</v>
      </c>
      <c r="AF63" s="92" t="str">
        <f t="shared" si="4"/>
        <v/>
      </c>
    </row>
    <row r="64" spans="2:32">
      <c r="F64" s="848" t="str">
        <f t="shared" ref="F64:G66" ca="1" si="14">F63</f>
        <v>D4</v>
      </c>
      <c r="G64" s="555">
        <f t="shared" ca="1" si="14"/>
        <v>20</v>
      </c>
      <c r="H64" s="849">
        <f t="shared" si="12"/>
        <v>2</v>
      </c>
      <c r="J64" s="95"/>
      <c r="K64" s="241">
        <f ca="1">IF(J63&lt;&gt;" ",K60," ")</f>
        <v>2020</v>
      </c>
      <c r="L64" s="480">
        <v>400.13097217797036</v>
      </c>
      <c r="M64" s="480">
        <v>1073.4402731525056</v>
      </c>
      <c r="N64" s="480">
        <v>109.42887123986165</v>
      </c>
      <c r="O64" s="480">
        <v>225.69949751241072</v>
      </c>
      <c r="P64" s="464">
        <v>-57066.649569985879</v>
      </c>
      <c r="Q64" s="464">
        <v>917.55074387719071</v>
      </c>
      <c r="R64" s="464">
        <v>2812.8804983838595</v>
      </c>
      <c r="S64" s="1986">
        <v>493.13592600303656</v>
      </c>
      <c r="T64" s="1986">
        <f t="shared" ca="1" si="8"/>
        <v>-51034.38278763905</v>
      </c>
      <c r="V64" s="95"/>
      <c r="W64" s="241">
        <f t="shared" ca="1" si="9"/>
        <v>2020</v>
      </c>
      <c r="X64" s="480">
        <f t="shared" si="1"/>
        <v>109.42887123986165</v>
      </c>
      <c r="Y64" s="480">
        <f t="shared" si="1"/>
        <v>225.69949751241072</v>
      </c>
      <c r="Z64" s="480">
        <f t="shared" si="2"/>
        <v>400.13097217797036</v>
      </c>
      <c r="AA64" s="480">
        <f t="shared" si="2"/>
        <v>1073.4402731525056</v>
      </c>
      <c r="AB64" s="855">
        <f t="shared" si="7"/>
        <v>1808.6996140827482</v>
      </c>
      <c r="AD64" s="95"/>
      <c r="AE64" s="241">
        <f t="shared" ca="1" si="10"/>
        <v>2020</v>
      </c>
      <c r="AF64" s="241">
        <f t="shared" si="4"/>
        <v>-57066.649569985879</v>
      </c>
    </row>
    <row r="65" spans="6:32">
      <c r="F65" s="848" t="str">
        <f t="shared" ca="1" si="14"/>
        <v>D4</v>
      </c>
      <c r="G65" s="555">
        <f t="shared" ca="1" si="14"/>
        <v>20</v>
      </c>
      <c r="H65" s="849">
        <f t="shared" si="12"/>
        <v>3</v>
      </c>
      <c r="J65" s="95"/>
      <c r="K65" s="241">
        <f ca="1">IF(J63&lt;&gt;" ",K61," ")</f>
        <v>2035</v>
      </c>
      <c r="L65" s="480">
        <v>340.39819855374799</v>
      </c>
      <c r="M65" s="480">
        <v>896.18399010180076</v>
      </c>
      <c r="N65" s="480">
        <v>121.58763471095739</v>
      </c>
      <c r="O65" s="480">
        <v>250.77721945823416</v>
      </c>
      <c r="P65" s="464">
        <v>-25240.852417206785</v>
      </c>
      <c r="Q65" s="464">
        <v>787.33492785025544</v>
      </c>
      <c r="R65" s="464">
        <v>2336.5043652534255</v>
      </c>
      <c r="S65" s="1986">
        <v>407.37362185677875</v>
      </c>
      <c r="T65" s="1986">
        <f t="shared" ca="1" si="8"/>
        <v>-20100.692459421585</v>
      </c>
      <c r="V65" s="95"/>
      <c r="W65" s="241">
        <f t="shared" ca="1" si="9"/>
        <v>2035</v>
      </c>
      <c r="X65" s="480">
        <f t="shared" si="1"/>
        <v>121.58763471095739</v>
      </c>
      <c r="Y65" s="480">
        <f t="shared" si="1"/>
        <v>250.77721945823416</v>
      </c>
      <c r="Z65" s="480">
        <f t="shared" si="2"/>
        <v>340.39819855374799</v>
      </c>
      <c r="AA65" s="480">
        <f t="shared" si="2"/>
        <v>896.18399010180076</v>
      </c>
      <c r="AB65" s="855">
        <f t="shared" si="7"/>
        <v>1608.9470428247403</v>
      </c>
      <c r="AD65" s="95"/>
      <c r="AE65" s="241">
        <f t="shared" ca="1" si="10"/>
        <v>2035</v>
      </c>
      <c r="AF65" s="241">
        <f t="shared" si="4"/>
        <v>-25240.852417206785</v>
      </c>
    </row>
    <row r="66" spans="6:32">
      <c r="F66" s="850" t="str">
        <f t="shared" ca="1" si="14"/>
        <v>D4</v>
      </c>
      <c r="G66" s="556">
        <f t="shared" ca="1" si="14"/>
        <v>20</v>
      </c>
      <c r="H66" s="851">
        <f t="shared" si="12"/>
        <v>4</v>
      </c>
      <c r="J66" s="847"/>
      <c r="K66" s="444">
        <f ca="1">IF(J63&lt;&gt;" ",K62," ")</f>
        <v>2050</v>
      </c>
      <c r="L66" s="662">
        <v>349.35059377305481</v>
      </c>
      <c r="M66" s="662">
        <v>955.92929725021099</v>
      </c>
      <c r="N66" s="662">
        <v>121.58763471095739</v>
      </c>
      <c r="O66" s="662">
        <v>250.77721945823416</v>
      </c>
      <c r="P66" s="1987">
        <v>-12666.722540876313</v>
      </c>
      <c r="Q66" s="1987">
        <v>803.96736117994499</v>
      </c>
      <c r="R66" s="1987">
        <v>2360.9162765919282</v>
      </c>
      <c r="S66" s="1988">
        <v>408.95430790348507</v>
      </c>
      <c r="T66" s="1988">
        <f t="shared" ca="1" si="8"/>
        <v>-7415.2398500084983</v>
      </c>
      <c r="V66" s="847"/>
      <c r="W66" s="444">
        <f t="shared" ca="1" si="9"/>
        <v>2050</v>
      </c>
      <c r="X66" s="662">
        <f t="shared" si="1"/>
        <v>121.58763471095739</v>
      </c>
      <c r="Y66" s="662">
        <f t="shared" si="1"/>
        <v>250.77721945823416</v>
      </c>
      <c r="Z66" s="662">
        <f t="shared" si="2"/>
        <v>349.35059377305481</v>
      </c>
      <c r="AA66" s="662">
        <f t="shared" si="2"/>
        <v>955.92929725021099</v>
      </c>
      <c r="AB66" s="856">
        <f t="shared" si="7"/>
        <v>1677.6447451924573</v>
      </c>
      <c r="AD66" s="847"/>
      <c r="AE66" s="444">
        <f t="shared" ca="1" si="10"/>
        <v>2050</v>
      </c>
      <c r="AF66" s="444">
        <f t="shared" si="4"/>
        <v>-12666.722540876313</v>
      </c>
    </row>
    <row r="67" spans="6:32">
      <c r="F67" s="842" t="str">
        <f ca="1">F50&amp;"5"</f>
        <v>D5</v>
      </c>
      <c r="G67" s="498">
        <f ca="1">IFERROR(MATCH(F67,$D$21:$D$60,0),"")</f>
        <v>21</v>
      </c>
      <c r="H67" s="92">
        <f t="shared" si="12"/>
        <v>1</v>
      </c>
      <c r="J67" s="842" t="str">
        <f ca="1">IF(ISNUMBER(G67),OFFSET($B$20,G67,0)," ")</f>
        <v>9000TEU LNG</v>
      </c>
      <c r="K67" s="92">
        <f ca="1">IF(J67&lt;&gt;" ",K63," ")</f>
        <v>2015</v>
      </c>
      <c r="L67" s="663">
        <v>217.13076133948235</v>
      </c>
      <c r="M67" s="663">
        <v>522.6753169515506</v>
      </c>
      <c r="N67" s="663">
        <v>99.480792036237858</v>
      </c>
      <c r="O67" s="663">
        <v>235.95856558115668</v>
      </c>
      <c r="P67" s="1984">
        <v>528613.83067174477</v>
      </c>
      <c r="Q67" s="1984">
        <v>757.36903877275631</v>
      </c>
      <c r="R67" s="1984">
        <v>609.69410210855085</v>
      </c>
      <c r="S67" s="1985">
        <v>91.916719718902712</v>
      </c>
      <c r="T67" s="1985">
        <f t="shared" ca="1" si="8"/>
        <v>531148.05596825352</v>
      </c>
      <c r="V67" s="842" t="str">
        <f ca="1">$J67</f>
        <v>9000TEU LNG</v>
      </c>
      <c r="W67" s="92">
        <f t="shared" ca="1" si="9"/>
        <v>2015</v>
      </c>
      <c r="X67" s="663">
        <f t="shared" si="1"/>
        <v>99.480792036237858</v>
      </c>
      <c r="Y67" s="663">
        <f t="shared" si="1"/>
        <v>235.95856558115668</v>
      </c>
      <c r="Z67" s="663">
        <f t="shared" si="2"/>
        <v>217.13076133948235</v>
      </c>
      <c r="AA67" s="663">
        <f t="shared" si="2"/>
        <v>522.6753169515506</v>
      </c>
      <c r="AB67" s="843">
        <f t="shared" si="7"/>
        <v>1075.2454359084275</v>
      </c>
      <c r="AD67" s="842" t="str">
        <f ca="1">$J67</f>
        <v>9000TEU LNG</v>
      </c>
      <c r="AE67" s="92">
        <f t="shared" ca="1" si="10"/>
        <v>2015</v>
      </c>
      <c r="AF67" s="92">
        <f t="shared" si="4"/>
        <v>528613.83067174477</v>
      </c>
    </row>
    <row r="68" spans="6:32">
      <c r="F68" s="848" t="str">
        <f t="shared" ref="F68:G70" ca="1" si="15">F67</f>
        <v>D5</v>
      </c>
      <c r="G68" s="555">
        <f t="shared" ca="1" si="15"/>
        <v>21</v>
      </c>
      <c r="H68" s="849">
        <f t="shared" si="12"/>
        <v>2</v>
      </c>
      <c r="J68" s="95"/>
      <c r="K68" s="241">
        <f ca="1">IF(J67&lt;&gt;" ",K64," ")</f>
        <v>2020</v>
      </c>
      <c r="L68" s="480">
        <v>234.56971246271371</v>
      </c>
      <c r="M68" s="480">
        <v>447.54633097519542</v>
      </c>
      <c r="N68" s="480">
        <v>109.42887123986164</v>
      </c>
      <c r="O68" s="480">
        <v>259.55442213927233</v>
      </c>
      <c r="P68" s="464">
        <v>436019.78009934188</v>
      </c>
      <c r="Q68" s="464">
        <v>635.55573637935242</v>
      </c>
      <c r="R68" s="464">
        <v>500.07783134194472</v>
      </c>
      <c r="S68" s="1986">
        <v>75.812496515109913</v>
      </c>
      <c r="T68" s="1986">
        <f t="shared" ca="1" si="8"/>
        <v>438282.32550039532</v>
      </c>
      <c r="V68" s="95"/>
      <c r="W68" s="241">
        <f t="shared" ca="1" si="9"/>
        <v>2020</v>
      </c>
      <c r="X68" s="480">
        <f t="shared" si="1"/>
        <v>109.42887123986164</v>
      </c>
      <c r="Y68" s="480">
        <f t="shared" si="1"/>
        <v>259.55442213927233</v>
      </c>
      <c r="Z68" s="480">
        <f t="shared" si="2"/>
        <v>234.56971246271371</v>
      </c>
      <c r="AA68" s="480">
        <f t="shared" si="2"/>
        <v>447.54633097519542</v>
      </c>
      <c r="AB68" s="855">
        <f t="shared" si="7"/>
        <v>1051.099336817043</v>
      </c>
      <c r="AD68" s="95"/>
      <c r="AE68" s="241">
        <f t="shared" ca="1" si="10"/>
        <v>2020</v>
      </c>
      <c r="AF68" s="241">
        <f t="shared" si="4"/>
        <v>436019.78009934188</v>
      </c>
    </row>
    <row r="69" spans="6:32">
      <c r="F69" s="848" t="str">
        <f t="shared" ca="1" si="15"/>
        <v>D5</v>
      </c>
      <c r="G69" s="555">
        <f t="shared" ca="1" si="15"/>
        <v>21</v>
      </c>
      <c r="H69" s="849">
        <f t="shared" si="12"/>
        <v>3</v>
      </c>
      <c r="J69" s="95"/>
      <c r="K69" s="241">
        <f ca="1">IF(J67&lt;&gt;" ",K65," ")</f>
        <v>2035</v>
      </c>
      <c r="L69" s="480">
        <v>230.06081785784934</v>
      </c>
      <c r="M69" s="480">
        <v>418.15367482020366</v>
      </c>
      <c r="N69" s="480">
        <v>121.5876347109574</v>
      </c>
      <c r="O69" s="480">
        <v>288.39380237696923</v>
      </c>
      <c r="P69" s="464">
        <v>384509.62807252159</v>
      </c>
      <c r="Q69" s="464">
        <v>521.0809941211503</v>
      </c>
      <c r="R69" s="464">
        <v>407.31534443591028</v>
      </c>
      <c r="S69" s="1986">
        <v>62.145415595891926</v>
      </c>
      <c r="T69" s="1986">
        <f t="shared" ca="1" si="8"/>
        <v>386558.36575644056</v>
      </c>
      <c r="V69" s="95"/>
      <c r="W69" s="241">
        <f t="shared" ca="1" si="9"/>
        <v>2035</v>
      </c>
      <c r="X69" s="480">
        <f t="shared" si="1"/>
        <v>121.5876347109574</v>
      </c>
      <c r="Y69" s="480">
        <f t="shared" si="1"/>
        <v>288.39380237696923</v>
      </c>
      <c r="Z69" s="480">
        <f t="shared" si="2"/>
        <v>230.06081785784934</v>
      </c>
      <c r="AA69" s="480">
        <f t="shared" si="2"/>
        <v>418.15367482020366</v>
      </c>
      <c r="AB69" s="855">
        <f t="shared" si="7"/>
        <v>1058.1959297659796</v>
      </c>
      <c r="AD69" s="95"/>
      <c r="AE69" s="241">
        <f t="shared" ca="1" si="10"/>
        <v>2035</v>
      </c>
      <c r="AF69" s="241">
        <f t="shared" si="4"/>
        <v>384509.62807252159</v>
      </c>
    </row>
    <row r="70" spans="6:32">
      <c r="F70" s="850" t="str">
        <f t="shared" ca="1" si="15"/>
        <v>D5</v>
      </c>
      <c r="G70" s="556">
        <f t="shared" ca="1" si="15"/>
        <v>21</v>
      </c>
      <c r="H70" s="851">
        <f t="shared" si="12"/>
        <v>4</v>
      </c>
      <c r="J70" s="847"/>
      <c r="K70" s="444">
        <f ca="1">IF(J67&lt;&gt;" ",K66," ")</f>
        <v>2050</v>
      </c>
      <c r="L70" s="662">
        <v>230.05653021391859</v>
      </c>
      <c r="M70" s="662">
        <v>418.15804497736752</v>
      </c>
      <c r="N70" s="662">
        <v>121.5876347109574</v>
      </c>
      <c r="O70" s="662">
        <v>288.39380237696923</v>
      </c>
      <c r="P70" s="1987">
        <v>384495.27377550275</v>
      </c>
      <c r="Q70" s="1987">
        <v>521.08091875555613</v>
      </c>
      <c r="R70" s="1987">
        <v>407.30400985400092</v>
      </c>
      <c r="S70" s="1988">
        <v>62.145402721507281</v>
      </c>
      <c r="T70" s="1988">
        <f t="shared" ca="1" si="8"/>
        <v>386544.00011911296</v>
      </c>
      <c r="V70" s="847"/>
      <c r="W70" s="444">
        <f t="shared" ca="1" si="9"/>
        <v>2050</v>
      </c>
      <c r="X70" s="662">
        <f t="shared" si="1"/>
        <v>121.5876347109574</v>
      </c>
      <c r="Y70" s="662">
        <f t="shared" si="1"/>
        <v>288.39380237696923</v>
      </c>
      <c r="Z70" s="662">
        <f t="shared" si="2"/>
        <v>230.05653021391859</v>
      </c>
      <c r="AA70" s="662">
        <f t="shared" si="2"/>
        <v>418.15804497736752</v>
      </c>
      <c r="AB70" s="856">
        <f t="shared" si="7"/>
        <v>1058.1960122792127</v>
      </c>
      <c r="AD70" s="847"/>
      <c r="AE70" s="444">
        <f t="shared" ca="1" si="10"/>
        <v>2050</v>
      </c>
      <c r="AF70" s="444">
        <f t="shared" si="4"/>
        <v>384495.27377550275</v>
      </c>
    </row>
    <row r="71" spans="6:32">
      <c r="F71" s="842" t="str">
        <f ca="1">F50&amp;"6"</f>
        <v>D6</v>
      </c>
      <c r="G71" s="498">
        <f ca="1">IFERROR(MATCH(F71,$D$21:$D$60,0),"")</f>
        <v>36</v>
      </c>
      <c r="H71" s="92">
        <f t="shared" si="12"/>
        <v>1</v>
      </c>
      <c r="J71" s="842" t="str">
        <f ca="1">IF(ISNUMBER(G71),OFFSET($B$20,G71,0)," ")</f>
        <v>Fast Ferry - Biodiesel</v>
      </c>
      <c r="K71" s="92">
        <f ca="1">IF(J71&lt;&gt;" ",K67," ")</f>
        <v>2015</v>
      </c>
      <c r="L71" s="663" t="s">
        <v>2689</v>
      </c>
      <c r="M71" s="663" t="s">
        <v>2647</v>
      </c>
      <c r="N71" s="663" t="s">
        <v>2647</v>
      </c>
      <c r="O71" s="663" t="s">
        <v>2647</v>
      </c>
      <c r="P71" s="1984" t="s">
        <v>2647</v>
      </c>
      <c r="Q71" s="1984" t="s">
        <v>2647</v>
      </c>
      <c r="R71" s="1984" t="s">
        <v>2647</v>
      </c>
      <c r="S71" s="1985" t="s">
        <v>2647</v>
      </c>
      <c r="T71" s="1985">
        <f t="shared" ca="1" si="8"/>
        <v>0</v>
      </c>
      <c r="V71" s="842" t="str">
        <f ca="1">$J71</f>
        <v>Fast Ferry - Biodiesel</v>
      </c>
      <c r="W71" s="92">
        <f t="shared" ca="1" si="9"/>
        <v>2015</v>
      </c>
      <c r="X71" s="663" t="str">
        <f t="shared" si="1"/>
        <v/>
      </c>
      <c r="Y71" s="663" t="str">
        <f t="shared" si="1"/>
        <v/>
      </c>
      <c r="Z71" s="663" t="str">
        <f t="shared" si="2"/>
        <v>Teknologi ikke tilgængelig</v>
      </c>
      <c r="AA71" s="663" t="str">
        <f t="shared" si="2"/>
        <v/>
      </c>
      <c r="AB71" s="843">
        <f t="shared" si="7"/>
        <v>0</v>
      </c>
      <c r="AD71" s="842" t="str">
        <f ca="1">$J71</f>
        <v>Fast Ferry - Biodiesel</v>
      </c>
      <c r="AE71" s="92">
        <f t="shared" ca="1" si="10"/>
        <v>2015</v>
      </c>
      <c r="AF71" s="92" t="str">
        <f t="shared" si="4"/>
        <v/>
      </c>
    </row>
    <row r="72" spans="6:32">
      <c r="F72" s="848" t="str">
        <f t="shared" ref="F72:G74" ca="1" si="16">F71</f>
        <v>D6</v>
      </c>
      <c r="G72" s="555">
        <f t="shared" ca="1" si="16"/>
        <v>36</v>
      </c>
      <c r="H72" s="849">
        <f t="shared" si="12"/>
        <v>2</v>
      </c>
      <c r="J72" s="95"/>
      <c r="K72" s="241">
        <f ca="1">IF(J71&lt;&gt;" ",K68," ")</f>
        <v>2020</v>
      </c>
      <c r="L72" s="480">
        <v>312.9085795320982</v>
      </c>
      <c r="M72" s="480">
        <v>839.44681726687588</v>
      </c>
      <c r="N72" s="480">
        <v>0</v>
      </c>
      <c r="O72" s="480">
        <v>0</v>
      </c>
      <c r="P72" s="464">
        <v>-44626.998401058612</v>
      </c>
      <c r="Q72" s="464">
        <v>717.53880573766526</v>
      </c>
      <c r="R72" s="464">
        <v>2199.7158489179637</v>
      </c>
      <c r="S72" s="1986">
        <v>385.63988506549202</v>
      </c>
      <c r="T72" s="1986">
        <f t="shared" ca="1" si="8"/>
        <v>-40171.748464538519</v>
      </c>
      <c r="V72" s="95"/>
      <c r="W72" s="241">
        <f t="shared" ca="1" si="9"/>
        <v>2020</v>
      </c>
      <c r="X72" s="480">
        <f t="shared" si="1"/>
        <v>0</v>
      </c>
      <c r="Y72" s="480">
        <f t="shared" si="1"/>
        <v>0</v>
      </c>
      <c r="Z72" s="480">
        <f t="shared" si="2"/>
        <v>312.9085795320982</v>
      </c>
      <c r="AA72" s="480">
        <f t="shared" si="2"/>
        <v>839.44681726687588</v>
      </c>
      <c r="AB72" s="855">
        <f t="shared" si="7"/>
        <v>1152.3553967989742</v>
      </c>
      <c r="AD72" s="95"/>
      <c r="AE72" s="241">
        <f t="shared" ca="1" si="10"/>
        <v>2020</v>
      </c>
      <c r="AF72" s="241">
        <f t="shared" si="4"/>
        <v>-44626.998401058612</v>
      </c>
    </row>
    <row r="73" spans="6:32">
      <c r="F73" s="848" t="str">
        <f t="shared" ca="1" si="16"/>
        <v>D6</v>
      </c>
      <c r="G73" s="555">
        <f t="shared" ca="1" si="16"/>
        <v>36</v>
      </c>
      <c r="H73" s="849">
        <f t="shared" si="12"/>
        <v>3</v>
      </c>
      <c r="J73" s="95"/>
      <c r="K73" s="241">
        <f ca="1">IF(J71&lt;&gt;" ",K69," ")</f>
        <v>2035</v>
      </c>
      <c r="L73" s="480">
        <v>323.37044926320795</v>
      </c>
      <c r="M73" s="480">
        <v>851.35415149958556</v>
      </c>
      <c r="N73" s="480">
        <v>0</v>
      </c>
      <c r="O73" s="480">
        <v>0</v>
      </c>
      <c r="P73" s="464">
        <v>-23978.228500083274</v>
      </c>
      <c r="Q73" s="464">
        <v>747.95004915207164</v>
      </c>
      <c r="R73" s="464">
        <v>2219.6253373478012</v>
      </c>
      <c r="S73" s="1986">
        <v>386.99555895859555</v>
      </c>
      <c r="T73" s="1986">
        <f t="shared" ca="1" si="8"/>
        <v>-19448.932953862015</v>
      </c>
      <c r="V73" s="95"/>
      <c r="W73" s="241">
        <f t="shared" ca="1" si="9"/>
        <v>2035</v>
      </c>
      <c r="X73" s="480">
        <f t="shared" si="1"/>
        <v>0</v>
      </c>
      <c r="Y73" s="480">
        <f t="shared" si="1"/>
        <v>0</v>
      </c>
      <c r="Z73" s="480">
        <f t="shared" si="2"/>
        <v>323.37044926320795</v>
      </c>
      <c r="AA73" s="480">
        <f t="shared" si="2"/>
        <v>851.35415149958556</v>
      </c>
      <c r="AB73" s="855">
        <f t="shared" si="7"/>
        <v>1174.7246007627934</v>
      </c>
      <c r="AD73" s="95"/>
      <c r="AE73" s="241">
        <f t="shared" ca="1" si="10"/>
        <v>2035</v>
      </c>
      <c r="AF73" s="241">
        <f t="shared" si="4"/>
        <v>-23978.228500083274</v>
      </c>
    </row>
    <row r="74" spans="6:32">
      <c r="F74" s="850" t="str">
        <f t="shared" ca="1" si="16"/>
        <v>D6</v>
      </c>
      <c r="G74" s="556">
        <f t="shared" ca="1" si="16"/>
        <v>36</v>
      </c>
      <c r="H74" s="851">
        <f t="shared" si="12"/>
        <v>4</v>
      </c>
      <c r="J74" s="847"/>
      <c r="K74" s="444">
        <f ca="1">IF(J71&lt;&gt;" ",K70," ")</f>
        <v>2050</v>
      </c>
      <c r="L74" s="662">
        <v>331.87501854808886</v>
      </c>
      <c r="M74" s="662">
        <v>908.1108173574961</v>
      </c>
      <c r="N74" s="662">
        <v>0</v>
      </c>
      <c r="O74" s="662">
        <v>0</v>
      </c>
      <c r="P74" s="1987">
        <v>-12033.09469949742</v>
      </c>
      <c r="Q74" s="1987">
        <v>763.75047777071131</v>
      </c>
      <c r="R74" s="1987">
        <v>2242.81609091361</v>
      </c>
      <c r="S74" s="1988">
        <v>388.49717429980245</v>
      </c>
      <c r="T74" s="1988">
        <f t="shared" ca="1" si="8"/>
        <v>-7398.0451206077123</v>
      </c>
      <c r="V74" s="847"/>
      <c r="W74" s="444">
        <f t="shared" ca="1" si="9"/>
        <v>2050</v>
      </c>
      <c r="X74" s="662">
        <f t="shared" si="1"/>
        <v>0</v>
      </c>
      <c r="Y74" s="662">
        <f t="shared" si="1"/>
        <v>0</v>
      </c>
      <c r="Z74" s="662">
        <f t="shared" si="2"/>
        <v>331.87501854808886</v>
      </c>
      <c r="AA74" s="662">
        <f t="shared" si="2"/>
        <v>908.1108173574961</v>
      </c>
      <c r="AB74" s="856">
        <f t="shared" si="7"/>
        <v>1239.985835905585</v>
      </c>
      <c r="AD74" s="847"/>
      <c r="AE74" s="444">
        <f t="shared" ca="1" si="10"/>
        <v>2050</v>
      </c>
      <c r="AF74" s="444">
        <f t="shared" si="4"/>
        <v>-12033.09469949742</v>
      </c>
    </row>
    <row r="75" spans="6:32">
      <c r="F75" s="842" t="str">
        <f ca="1">F50&amp;"7"</f>
        <v>D7</v>
      </c>
      <c r="G75" s="498">
        <f ca="1">IFERROR(MATCH(F75,$D$21:$D$60,0),"")</f>
        <v>37</v>
      </c>
      <c r="H75" s="92">
        <f t="shared" si="12"/>
        <v>1</v>
      </c>
      <c r="J75" s="842" t="str">
        <f ca="1">IF(ISNUMBER(G75),OFFSET($B$20,G75,0)," ")</f>
        <v>Ren brint</v>
      </c>
      <c r="K75" s="92">
        <f ca="1">IF(J75&lt;&gt;" ",K71," ")</f>
        <v>2015</v>
      </c>
      <c r="L75" s="663">
        <v>2.5254270495223559E-2</v>
      </c>
      <c r="M75" s="663">
        <v>0.34233440587495356</v>
      </c>
      <c r="N75" s="663">
        <v>0.16449999999999998</v>
      </c>
      <c r="O75" s="663">
        <v>1.5429047938560752</v>
      </c>
      <c r="P75" s="1984">
        <v>7.4868508085085361</v>
      </c>
      <c r="Q75" s="1984">
        <v>4.7939921378988351E-4</v>
      </c>
      <c r="R75" s="1984">
        <v>0.14162799517241018</v>
      </c>
      <c r="S75" s="1985">
        <v>1.4502108458005426E-4</v>
      </c>
      <c r="T75" s="1985">
        <f t="shared" ca="1" si="8"/>
        <v>9.7040966942055675</v>
      </c>
      <c r="V75" s="842" t="str">
        <f ca="1">$J75</f>
        <v>Ren brint</v>
      </c>
      <c r="W75" s="92">
        <f t="shared" ca="1" si="9"/>
        <v>2015</v>
      </c>
      <c r="X75" s="663">
        <f t="shared" si="1"/>
        <v>0.16449999999999998</v>
      </c>
      <c r="Y75" s="663">
        <f t="shared" si="1"/>
        <v>1.5429047938560752</v>
      </c>
      <c r="Z75" s="663">
        <f t="shared" si="2"/>
        <v>2.5254270495223559E-2</v>
      </c>
      <c r="AA75" s="663">
        <f t="shared" si="2"/>
        <v>0.34233440587495356</v>
      </c>
      <c r="AB75" s="843">
        <f t="shared" si="7"/>
        <v>2.0749934702262522</v>
      </c>
      <c r="AD75" s="842" t="str">
        <f ca="1">$J75</f>
        <v>Ren brint</v>
      </c>
      <c r="AE75" s="92">
        <f t="shared" ca="1" si="10"/>
        <v>2015</v>
      </c>
      <c r="AF75" s="92">
        <f t="shared" si="4"/>
        <v>7.4868508085085361</v>
      </c>
    </row>
    <row r="76" spans="6:32">
      <c r="F76" s="848" t="str">
        <f t="shared" ref="F76:G78" ca="1" si="17">F75</f>
        <v>D7</v>
      </c>
      <c r="G76" s="555">
        <f t="shared" ca="1" si="17"/>
        <v>37</v>
      </c>
      <c r="H76" s="849">
        <f t="shared" si="12"/>
        <v>2</v>
      </c>
      <c r="J76" s="95"/>
      <c r="K76" s="241">
        <f ca="1">IF(J75&lt;&gt;" ",K72," ")</f>
        <v>2020</v>
      </c>
      <c r="L76" s="480">
        <v>2.0472489259561376E-2</v>
      </c>
      <c r="M76" s="480">
        <v>0.18482779395377422</v>
      </c>
      <c r="N76" s="480">
        <v>0.16449999999999998</v>
      </c>
      <c r="O76" s="480">
        <v>1.0347372679417728</v>
      </c>
      <c r="P76" s="464">
        <v>3.9952086258341941</v>
      </c>
      <c r="Q76" s="464">
        <v>4.5847223754459212E-5</v>
      </c>
      <c r="R76" s="464">
        <v>3.9471958075930916E-2</v>
      </c>
      <c r="S76" s="1986">
        <v>3.3718260091282576E-6</v>
      </c>
      <c r="T76" s="1986">
        <f t="shared" ca="1" si="8"/>
        <v>5.4392673541149978</v>
      </c>
      <c r="V76" s="95"/>
      <c r="W76" s="241">
        <f t="shared" ca="1" si="9"/>
        <v>2020</v>
      </c>
      <c r="X76" s="480">
        <f t="shared" si="1"/>
        <v>0.16449999999999998</v>
      </c>
      <c r="Y76" s="480">
        <f t="shared" si="1"/>
        <v>1.0347372679417728</v>
      </c>
      <c r="Z76" s="480">
        <f t="shared" si="2"/>
        <v>2.0472489259561376E-2</v>
      </c>
      <c r="AA76" s="480">
        <f t="shared" si="2"/>
        <v>0.18482779395377422</v>
      </c>
      <c r="AB76" s="855">
        <f t="shared" si="7"/>
        <v>1.4045375511551084</v>
      </c>
      <c r="AD76" s="95"/>
      <c r="AE76" s="241">
        <f t="shared" ca="1" si="10"/>
        <v>2020</v>
      </c>
      <c r="AF76" s="241">
        <f t="shared" si="4"/>
        <v>3.9952086258341941</v>
      </c>
    </row>
    <row r="77" spans="6:32">
      <c r="F77" s="848" t="str">
        <f t="shared" ca="1" si="17"/>
        <v>D7</v>
      </c>
      <c r="G77" s="555">
        <f t="shared" ca="1" si="17"/>
        <v>37</v>
      </c>
      <c r="H77" s="849">
        <f t="shared" si="12"/>
        <v>3</v>
      </c>
      <c r="J77" s="95"/>
      <c r="K77" s="241">
        <f ca="1">IF(J75&lt;&gt;" ",K73," ")</f>
        <v>2035</v>
      </c>
      <c r="L77" s="480">
        <v>2.0449822298244508E-2</v>
      </c>
      <c r="M77" s="480">
        <v>0.20926954875090861</v>
      </c>
      <c r="N77" s="480">
        <v>0.16449999999999998</v>
      </c>
      <c r="O77" s="480">
        <v>0.87979709006213147</v>
      </c>
      <c r="P77" s="464">
        <v>3.4958075476049197</v>
      </c>
      <c r="Q77" s="464">
        <v>4.0116320785151806E-5</v>
      </c>
      <c r="R77" s="464">
        <v>3.4537963316439553E-2</v>
      </c>
      <c r="S77" s="1986">
        <v>2.9503477579872252E-6</v>
      </c>
      <c r="T77" s="1986">
        <f t="shared" ca="1" si="8"/>
        <v>4.8044050387011872</v>
      </c>
      <c r="V77" s="95"/>
      <c r="W77" s="241">
        <f t="shared" ca="1" si="9"/>
        <v>2035</v>
      </c>
      <c r="X77" s="480">
        <f t="shared" si="1"/>
        <v>0.16449999999999998</v>
      </c>
      <c r="Y77" s="480">
        <f t="shared" si="1"/>
        <v>0.87979709006213147</v>
      </c>
      <c r="Z77" s="480">
        <f t="shared" si="2"/>
        <v>2.0449822298244508E-2</v>
      </c>
      <c r="AA77" s="480">
        <f t="shared" si="2"/>
        <v>0.20926954875090861</v>
      </c>
      <c r="AB77" s="855">
        <f t="shared" si="7"/>
        <v>1.2740164611112845</v>
      </c>
      <c r="AD77" s="95"/>
      <c r="AE77" s="241">
        <f t="shared" ca="1" si="10"/>
        <v>2035</v>
      </c>
      <c r="AF77" s="241">
        <f t="shared" si="4"/>
        <v>3.4958075476049197</v>
      </c>
    </row>
    <row r="78" spans="6:32">
      <c r="F78" s="850" t="str">
        <f t="shared" ca="1" si="17"/>
        <v>D7</v>
      </c>
      <c r="G78" s="556">
        <f t="shared" ca="1" si="17"/>
        <v>37</v>
      </c>
      <c r="H78" s="851">
        <f t="shared" si="12"/>
        <v>4</v>
      </c>
      <c r="J78" s="847"/>
      <c r="K78" s="444">
        <f ca="1">IF(J75&lt;&gt;" ",K74," ")</f>
        <v>2050</v>
      </c>
      <c r="L78" s="662">
        <v>1.9405174634230186E-2</v>
      </c>
      <c r="M78" s="662">
        <v>0.21011990325520039</v>
      </c>
      <c r="N78" s="662">
        <v>0.16449999999999998</v>
      </c>
      <c r="O78" s="662">
        <v>0.87979709006213147</v>
      </c>
      <c r="P78" s="1987">
        <v>0</v>
      </c>
      <c r="Q78" s="1987">
        <v>2.2761333973462242E-5</v>
      </c>
      <c r="R78" s="1987">
        <v>3.1761165426569218E-2</v>
      </c>
      <c r="S78" s="1988">
        <v>0</v>
      </c>
      <c r="T78" s="1988">
        <f t="shared" ca="1" si="8"/>
        <v>1.3056060947121046</v>
      </c>
      <c r="V78" s="847"/>
      <c r="W78" s="444">
        <f t="shared" ca="1" si="9"/>
        <v>2050</v>
      </c>
      <c r="X78" s="662">
        <f t="shared" si="1"/>
        <v>0.16449999999999998</v>
      </c>
      <c r="Y78" s="662">
        <f t="shared" si="1"/>
        <v>0.87979709006213147</v>
      </c>
      <c r="Z78" s="662">
        <f t="shared" si="2"/>
        <v>1.9405174634230186E-2</v>
      </c>
      <c r="AA78" s="662">
        <f t="shared" si="2"/>
        <v>0.21011990325520039</v>
      </c>
      <c r="AB78" s="856">
        <f t="shared" si="7"/>
        <v>1.2738221679515618</v>
      </c>
      <c r="AD78" s="847"/>
      <c r="AE78" s="444">
        <f t="shared" ca="1" si="10"/>
        <v>2050</v>
      </c>
      <c r="AF78" s="444">
        <f t="shared" si="4"/>
        <v>0</v>
      </c>
    </row>
    <row r="79" spans="6:32">
      <c r="F79" s="842" t="str">
        <f ca="1">F50&amp;"8"</f>
        <v>D8</v>
      </c>
      <c r="G79" s="498" t="str">
        <f ca="1">IFERROR(MATCH(F79,$D$21:$D$60,0),"")</f>
        <v/>
      </c>
      <c r="H79" s="92">
        <f t="shared" si="12"/>
        <v>1</v>
      </c>
      <c r="J79" s="842" t="str">
        <f ca="1">IF(ISNUMBER(G79),OFFSET($B$20,G79,0)," ")</f>
        <v xml:space="preserve"> </v>
      </c>
      <c r="K79" s="92" t="str">
        <f ca="1">IF(J79&lt;&gt;" ",K75," ")</f>
        <v xml:space="preserve"> </v>
      </c>
      <c r="L79" s="663" t="s">
        <v>2647</v>
      </c>
      <c r="M79" s="663" t="s">
        <v>2647</v>
      </c>
      <c r="N79" s="663" t="s">
        <v>2647</v>
      </c>
      <c r="O79" s="663" t="s">
        <v>2647</v>
      </c>
      <c r="P79" s="1984" t="s">
        <v>2647</v>
      </c>
      <c r="Q79" s="1984" t="s">
        <v>2647</v>
      </c>
      <c r="R79" s="1984" t="s">
        <v>2647</v>
      </c>
      <c r="S79" s="1985" t="s">
        <v>2647</v>
      </c>
      <c r="T79" s="1985" t="str">
        <f t="shared" ca="1" si="8"/>
        <v/>
      </c>
      <c r="V79" s="842" t="str">
        <f ca="1">$J79</f>
        <v xml:space="preserve"> </v>
      </c>
      <c r="W79" s="92" t="str">
        <f t="shared" ca="1" si="9"/>
        <v xml:space="preserve"> </v>
      </c>
      <c r="X79" s="663" t="str">
        <f t="shared" si="1"/>
        <v/>
      </c>
      <c r="Y79" s="663" t="str">
        <f t="shared" si="1"/>
        <v/>
      </c>
      <c r="Z79" s="663" t="str">
        <f t="shared" si="2"/>
        <v/>
      </c>
      <c r="AA79" s="663" t="str">
        <f t="shared" si="2"/>
        <v/>
      </c>
      <c r="AB79" s="843">
        <f t="shared" si="7"/>
        <v>0</v>
      </c>
      <c r="AD79" s="842" t="str">
        <f ca="1">$J79</f>
        <v xml:space="preserve"> </v>
      </c>
      <c r="AE79" s="92" t="str">
        <f t="shared" ca="1" si="10"/>
        <v xml:space="preserve"> </v>
      </c>
      <c r="AF79" s="92" t="str">
        <f t="shared" si="4"/>
        <v/>
      </c>
    </row>
    <row r="80" spans="6:32">
      <c r="F80" s="848" t="str">
        <f t="shared" ref="F80:G82" ca="1" si="18">F79</f>
        <v>D8</v>
      </c>
      <c r="G80" s="555" t="str">
        <f t="shared" ca="1" si="18"/>
        <v/>
      </c>
      <c r="H80" s="849">
        <f t="shared" si="12"/>
        <v>2</v>
      </c>
      <c r="J80" s="95"/>
      <c r="K80" s="241" t="str">
        <f ca="1">IF(J79&lt;&gt;" ",K76," ")</f>
        <v xml:space="preserve"> </v>
      </c>
      <c r="L80" s="480" t="s">
        <v>2647</v>
      </c>
      <c r="M80" s="480" t="s">
        <v>2647</v>
      </c>
      <c r="N80" s="480" t="s">
        <v>2647</v>
      </c>
      <c r="O80" s="480" t="s">
        <v>2647</v>
      </c>
      <c r="P80" s="464" t="s">
        <v>2647</v>
      </c>
      <c r="Q80" s="464" t="s">
        <v>2647</v>
      </c>
      <c r="R80" s="464" t="s">
        <v>2647</v>
      </c>
      <c r="S80" s="1986" t="s">
        <v>2647</v>
      </c>
      <c r="T80" s="1986" t="str">
        <f t="shared" ca="1" si="8"/>
        <v/>
      </c>
      <c r="V80" s="95"/>
      <c r="W80" s="241" t="str">
        <f t="shared" ca="1" si="9"/>
        <v xml:space="preserve"> </v>
      </c>
      <c r="X80" s="480" t="str">
        <f t="shared" si="1"/>
        <v/>
      </c>
      <c r="Y80" s="480" t="str">
        <f t="shared" si="1"/>
        <v/>
      </c>
      <c r="Z80" s="480" t="str">
        <f t="shared" si="2"/>
        <v/>
      </c>
      <c r="AA80" s="480" t="str">
        <f t="shared" si="2"/>
        <v/>
      </c>
      <c r="AB80" s="855">
        <f t="shared" si="7"/>
        <v>0</v>
      </c>
      <c r="AD80" s="95"/>
      <c r="AE80" s="241" t="str">
        <f t="shared" ca="1" si="10"/>
        <v xml:space="preserve"> </v>
      </c>
      <c r="AF80" s="241" t="str">
        <f t="shared" si="4"/>
        <v/>
      </c>
    </row>
    <row r="81" spans="6:32">
      <c r="F81" s="848" t="str">
        <f t="shared" ca="1" si="18"/>
        <v>D8</v>
      </c>
      <c r="G81" s="555" t="str">
        <f t="shared" ca="1" si="18"/>
        <v/>
      </c>
      <c r="H81" s="849">
        <f t="shared" si="12"/>
        <v>3</v>
      </c>
      <c r="J81" s="95"/>
      <c r="K81" s="241" t="str">
        <f ca="1">IF(J79&lt;&gt;" ",K77," ")</f>
        <v xml:space="preserve"> </v>
      </c>
      <c r="L81" s="480" t="s">
        <v>2647</v>
      </c>
      <c r="M81" s="480" t="s">
        <v>2647</v>
      </c>
      <c r="N81" s="480" t="s">
        <v>2647</v>
      </c>
      <c r="O81" s="480" t="s">
        <v>2647</v>
      </c>
      <c r="P81" s="464" t="s">
        <v>2647</v>
      </c>
      <c r="Q81" s="464" t="s">
        <v>2647</v>
      </c>
      <c r="R81" s="464" t="s">
        <v>2647</v>
      </c>
      <c r="S81" s="1986" t="s">
        <v>2647</v>
      </c>
      <c r="T81" s="1986" t="str">
        <f t="shared" ca="1" si="8"/>
        <v/>
      </c>
      <c r="V81" s="95"/>
      <c r="W81" s="241" t="str">
        <f t="shared" ca="1" si="9"/>
        <v xml:space="preserve"> </v>
      </c>
      <c r="X81" s="480" t="str">
        <f t="shared" si="1"/>
        <v/>
      </c>
      <c r="Y81" s="480" t="str">
        <f t="shared" si="1"/>
        <v/>
      </c>
      <c r="Z81" s="480" t="str">
        <f t="shared" si="2"/>
        <v/>
      </c>
      <c r="AA81" s="480" t="str">
        <f t="shared" si="2"/>
        <v/>
      </c>
      <c r="AB81" s="855">
        <f t="shared" si="7"/>
        <v>0</v>
      </c>
      <c r="AD81" s="95"/>
      <c r="AE81" s="241" t="str">
        <f t="shared" ca="1" si="10"/>
        <v xml:space="preserve"> </v>
      </c>
      <c r="AF81" s="241" t="str">
        <f t="shared" si="4"/>
        <v/>
      </c>
    </row>
    <row r="82" spans="6:32">
      <c r="F82" s="850" t="str">
        <f t="shared" ca="1" si="18"/>
        <v>D8</v>
      </c>
      <c r="G82" s="556" t="str">
        <f t="shared" ca="1" si="18"/>
        <v/>
      </c>
      <c r="H82" s="851">
        <f t="shared" si="12"/>
        <v>4</v>
      </c>
      <c r="J82" s="847"/>
      <c r="K82" s="444" t="str">
        <f ca="1">IF(J79&lt;&gt;" ",K78," ")</f>
        <v xml:space="preserve"> </v>
      </c>
      <c r="L82" s="662" t="s">
        <v>2647</v>
      </c>
      <c r="M82" s="662" t="s">
        <v>2647</v>
      </c>
      <c r="N82" s="662" t="s">
        <v>2647</v>
      </c>
      <c r="O82" s="662" t="s">
        <v>2647</v>
      </c>
      <c r="P82" s="1987" t="s">
        <v>2647</v>
      </c>
      <c r="Q82" s="1987" t="s">
        <v>2647</v>
      </c>
      <c r="R82" s="1987" t="s">
        <v>2647</v>
      </c>
      <c r="S82" s="1988" t="s">
        <v>2647</v>
      </c>
      <c r="T82" s="1988" t="str">
        <f t="shared" ca="1" si="8"/>
        <v/>
      </c>
      <c r="V82" s="847"/>
      <c r="W82" s="444" t="str">
        <f t="shared" ca="1" si="9"/>
        <v xml:space="preserve"> </v>
      </c>
      <c r="X82" s="662" t="str">
        <f t="shared" si="1"/>
        <v/>
      </c>
      <c r="Y82" s="662" t="str">
        <f t="shared" si="1"/>
        <v/>
      </c>
      <c r="Z82" s="662" t="str">
        <f t="shared" si="2"/>
        <v/>
      </c>
      <c r="AA82" s="662" t="str">
        <f t="shared" si="2"/>
        <v/>
      </c>
      <c r="AB82" s="856">
        <f t="shared" si="7"/>
        <v>0</v>
      </c>
      <c r="AD82" s="847"/>
      <c r="AE82" s="444" t="str">
        <f t="shared" ca="1" si="10"/>
        <v xml:space="preserve"> </v>
      </c>
      <c r="AF82" s="444" t="str">
        <f t="shared" si="4"/>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4625" r:id="rId4" name="Button 1">
              <controlPr defaultSize="0" print="0" autoFill="0" autoPict="0" macro="[0]!PopulateResultsAllYearsTables">
                <anchor moveWithCells="1" sizeWithCells="1">
                  <from>
                    <xdr:col>1</xdr:col>
                    <xdr:colOff>2019300</xdr:colOff>
                    <xdr:row>7</xdr:row>
                    <xdr:rowOff>47625</xdr:rowOff>
                  </from>
                  <to>
                    <xdr:col>3</xdr:col>
                    <xdr:colOff>57150</xdr:colOff>
                    <xdr:row>9</xdr:row>
                    <xdr:rowOff>95250</xdr:rowOff>
                  </to>
                </anchor>
              </controlPr>
            </control>
          </mc:Choice>
        </mc:AlternateContent>
        <mc:AlternateContent xmlns:mc="http://schemas.openxmlformats.org/markup-compatibility/2006">
          <mc:Choice Requires="x14">
            <control shapeId="1434626" r:id="rId5" name="Drop Down 2">
              <controlPr defaultSize="0" autoLine="0" autoPict="0">
                <anchor moveWithCells="1">
                  <from>
                    <xdr:col>1</xdr:col>
                    <xdr:colOff>9525</xdr:colOff>
                    <xdr:row>8</xdr:row>
                    <xdr:rowOff>28575</xdr:rowOff>
                  </from>
                  <to>
                    <xdr:col>1</xdr:col>
                    <xdr:colOff>1609725</xdr:colOff>
                    <xdr:row>9</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00B050"/>
    <pageSetUpPr fitToPage="1"/>
  </sheetPr>
  <dimension ref="C1:AG117"/>
  <sheetViews>
    <sheetView view="pageBreakPreview" topLeftCell="F1" zoomScale="80" zoomScaleNormal="100" zoomScaleSheetLayoutView="80" workbookViewId="0">
      <selection activeCell="F9" sqref="F9"/>
    </sheetView>
  </sheetViews>
  <sheetFormatPr defaultRowHeight="12.75"/>
  <cols>
    <col min="1" max="1" width="3.85546875" style="167" customWidth="1"/>
    <col min="2" max="2" width="4.140625" style="167" customWidth="1"/>
    <col min="3" max="3" width="1.7109375" style="167" customWidth="1"/>
    <col min="4" max="4" width="70" style="167" customWidth="1"/>
    <col min="5" max="5" width="34.42578125" style="167" customWidth="1"/>
    <col min="6" max="11" width="10.42578125" style="167" customWidth="1"/>
    <col min="12" max="12" width="10.42578125" style="523" customWidth="1"/>
    <col min="13" max="13" width="3.7109375" style="167" customWidth="1"/>
    <col min="14" max="15" width="9.140625" style="167"/>
    <col min="16" max="16" width="10.28515625" style="167" customWidth="1"/>
    <col min="17" max="17" width="9.140625" style="167"/>
    <col min="18" max="18" width="11.42578125" style="167" customWidth="1"/>
    <col min="19" max="21" width="9.140625" style="167"/>
    <col min="22" max="22" width="17" style="167" customWidth="1"/>
    <col min="23" max="29" width="12.5703125" style="167" customWidth="1"/>
    <col min="30" max="31" width="9.140625" style="167"/>
    <col min="32" max="32" width="15.5703125" style="167" customWidth="1"/>
    <col min="33" max="16384" width="9.140625" style="167"/>
  </cols>
  <sheetData>
    <row r="1" spans="3:33" s="57" customFormat="1" ht="20.25">
      <c r="C1" s="57" t="s">
        <v>2494</v>
      </c>
    </row>
    <row r="3" spans="3:33">
      <c r="O3" s="228"/>
    </row>
    <row r="4" spans="3:33">
      <c r="D4" s="1277" t="str">
        <f ca="1">"Primært drivmiddel: "&amp;AA8</f>
        <v>Primært drivmiddel: Diesel</v>
      </c>
      <c r="E4" s="1277" t="s">
        <v>1729</v>
      </c>
      <c r="F4" s="1278" t="s">
        <v>1701</v>
      </c>
      <c r="G4" s="1278" t="s">
        <v>1701</v>
      </c>
      <c r="H4" s="1278" t="s">
        <v>1701</v>
      </c>
      <c r="I4" s="1278" t="s">
        <v>1701</v>
      </c>
      <c r="J4" s="1278" t="s">
        <v>1726</v>
      </c>
      <c r="K4" s="1278" t="s">
        <v>1725</v>
      </c>
      <c r="L4" s="1278" t="s">
        <v>1704</v>
      </c>
      <c r="O4" s="513"/>
      <c r="R4" s="1177" t="str">
        <f ca="1">OFFSET($V$49,$X$7,$X$8)</f>
        <v>Baseline</v>
      </c>
    </row>
    <row r="5" spans="3:33" ht="20.25">
      <c r="D5" s="516" t="str">
        <f ca="1">"Køretøj: "&amp;AA11</f>
        <v>Køretøj: Conv. diesel</v>
      </c>
      <c r="E5" s="516" t="s">
        <v>305</v>
      </c>
      <c r="F5" s="516">
        <v>2015</v>
      </c>
      <c r="G5" s="516">
        <v>2020</v>
      </c>
      <c r="H5" s="516">
        <v>2035</v>
      </c>
      <c r="I5" s="516">
        <v>2050</v>
      </c>
      <c r="J5" s="516">
        <v>2050</v>
      </c>
      <c r="K5" s="516">
        <v>2050</v>
      </c>
      <c r="L5" s="516">
        <v>2050</v>
      </c>
      <c r="O5" s="513"/>
      <c r="R5" s="167">
        <f ca="1">OFFSET($V$14,$X$7,$X$8)</f>
        <v>2015</v>
      </c>
      <c r="V5" s="557" t="s">
        <v>1722</v>
      </c>
      <c r="W5" s="57"/>
      <c r="X5" s="57"/>
      <c r="Z5" s="557" t="s">
        <v>1735</v>
      </c>
      <c r="AC5" s="557" t="s">
        <v>2285</v>
      </c>
    </row>
    <row r="6" spans="3:33">
      <c r="J6" s="523"/>
      <c r="K6" s="523"/>
      <c r="O6" s="513"/>
      <c r="S6" s="511"/>
      <c r="V6" s="342"/>
      <c r="W6" s="844" t="s">
        <v>983</v>
      </c>
      <c r="X6" s="844" t="s">
        <v>1728</v>
      </c>
      <c r="Z6" s="342" t="s">
        <v>1734</v>
      </c>
      <c r="AA6" s="342">
        <f ca="1">MATCH($R$5,Supplementary!$L$7:$L$10,0)</f>
        <v>1</v>
      </c>
      <c r="AC6" s="1257" t="s">
        <v>2286</v>
      </c>
      <c r="AD6" s="1257" t="str">
        <f ca="1">OFFSET($V$14,A4rowActive,0)</f>
        <v>Conv. diesel</v>
      </c>
    </row>
    <row r="7" spans="3:33">
      <c r="D7" s="515" t="s">
        <v>47</v>
      </c>
      <c r="E7" s="515"/>
      <c r="F7" s="515"/>
      <c r="G7" s="515"/>
      <c r="H7" s="515"/>
      <c r="I7" s="515"/>
      <c r="J7" s="515"/>
      <c r="K7" s="515"/>
      <c r="L7" s="515"/>
      <c r="O7" s="513"/>
      <c r="S7" s="511"/>
      <c r="V7" s="455" t="s">
        <v>1727</v>
      </c>
      <c r="W7" s="455">
        <f>COUNT($W$15:$W$46)</f>
        <v>32</v>
      </c>
      <c r="X7" s="167">
        <v>1</v>
      </c>
      <c r="Y7" s="523"/>
      <c r="Z7" s="342" t="s">
        <v>1730</v>
      </c>
      <c r="AA7" s="844">
        <f ca="1">VLOOKUP($R$4,Sensitivity!$B$12:$C$31,2,0)</f>
        <v>1</v>
      </c>
      <c r="AB7" s="523"/>
      <c r="AC7" s="1471" t="s">
        <v>2283</v>
      </c>
      <c r="AD7" s="1471">
        <f ca="1">MATCH(AD6,Vehicles!$F$6:$AN$6,0)</f>
        <v>1</v>
      </c>
      <c r="AE7" s="523"/>
    </row>
    <row r="8" spans="3:33">
      <c r="D8" s="512" t="str">
        <f>Vehicles!D23</f>
        <v>Kørselsomkostninger</v>
      </c>
      <c r="E8" s="226"/>
      <c r="F8" s="517"/>
      <c r="G8" s="226"/>
      <c r="H8" s="226"/>
      <c r="I8" s="226"/>
      <c r="J8" s="226"/>
      <c r="K8" s="226"/>
      <c r="L8" s="226"/>
      <c r="O8" s="513"/>
      <c r="S8" s="511"/>
      <c r="V8" s="226" t="s">
        <v>1721</v>
      </c>
      <c r="W8" s="226">
        <f>COUNT($W$15:$AC$15)</f>
        <v>7</v>
      </c>
      <c r="X8" s="226">
        <v>1</v>
      </c>
      <c r="Y8" s="523"/>
      <c r="Z8" s="498" t="s">
        <v>1731</v>
      </c>
      <c r="AA8" s="1177" t="str">
        <f ca="1">OFFSET(Vehicles!E7,0,$AD$7)</f>
        <v>Diesel</v>
      </c>
      <c r="AB8" s="523"/>
      <c r="AC8" s="1464" t="s">
        <v>2284</v>
      </c>
      <c r="AD8" s="1464">
        <f ca="1">MATCH(AA8,Fuels!$F$6:$AL$6,0)</f>
        <v>1</v>
      </c>
      <c r="AE8" s="523"/>
    </row>
    <row r="9" spans="3:33">
      <c r="D9" s="538" t="str">
        <f ca="1">OFFSET(Vehicles!E24,0,-1)</f>
        <v>AD SØK kørselsomkostninger</v>
      </c>
      <c r="E9" s="538" t="str">
        <f ca="1">OFFSET(Vehicles!E24,0,0)</f>
        <v>DKK / km</v>
      </c>
      <c r="F9" s="539">
        <v>1.4745527520751238</v>
      </c>
      <c r="G9" s="539">
        <v>1.4745527520751238</v>
      </c>
      <c r="H9" s="539">
        <v>1.3870054169748067</v>
      </c>
      <c r="I9" s="539">
        <v>1.3948684786083703</v>
      </c>
      <c r="J9" s="539">
        <v>1.3935919993703987</v>
      </c>
      <c r="K9" s="539">
        <v>1.4040435670466236</v>
      </c>
      <c r="L9" s="539">
        <v>1.4548262473641747</v>
      </c>
      <c r="O9" s="513"/>
      <c r="R9" s="539">
        <f ca="1">OFFSET(Vehicles!E24,0,$AD$7)</f>
        <v>1.470725339012354</v>
      </c>
      <c r="S9" s="511"/>
      <c r="V9" s="523"/>
      <c r="W9" s="523"/>
      <c r="X9" s="523"/>
      <c r="Y9" s="523"/>
      <c r="Z9" s="226" t="s">
        <v>1732</v>
      </c>
      <c r="AA9" s="226">
        <f ca="1">OFFSET(Vehicles!E8,0,$AD$7)</f>
        <v>0</v>
      </c>
      <c r="AB9" s="523"/>
      <c r="AC9" s="523"/>
      <c r="AD9" s="523"/>
      <c r="AE9" s="523"/>
    </row>
    <row r="10" spans="3:33">
      <c r="D10" s="167" t="str">
        <f ca="1">OFFSET(Vehicles!E25,0,-1)</f>
        <v>Eksternaliteter</v>
      </c>
      <c r="E10" s="167" t="str">
        <f ca="1">OFFSET(Vehicles!E25,0,0)</f>
        <v>DKK / km</v>
      </c>
      <c r="F10" s="296">
        <v>7.5999330263048337E-2</v>
      </c>
      <c r="G10" s="296">
        <v>7.5999330263048337E-2</v>
      </c>
      <c r="H10" s="296">
        <v>7.8365784414641926E-2</v>
      </c>
      <c r="I10" s="296">
        <v>8.2465545813583646E-2</v>
      </c>
      <c r="J10" s="296">
        <v>8.1189066575611979E-2</v>
      </c>
      <c r="K10" s="296">
        <v>8.1189123053992784E-2</v>
      </c>
      <c r="L10" s="296">
        <v>8.1189123053992784E-2</v>
      </c>
      <c r="O10" s="513"/>
      <c r="R10" s="527">
        <f ca="1">OFFSET(Vehicles!E25,0,$AD$7)</f>
        <v>7.107049790144282E-2</v>
      </c>
      <c r="S10" s="511"/>
      <c r="V10" s="557" t="s">
        <v>2138</v>
      </c>
      <c r="W10" s="523"/>
      <c r="X10" s="523"/>
      <c r="Y10" s="523"/>
      <c r="Z10" s="342" t="s">
        <v>1733</v>
      </c>
      <c r="AA10" s="844" t="str">
        <f ca="1">AA8&amp;IF(AA9&lt;&gt;0," / "&amp;AA9,"")</f>
        <v>Diesel</v>
      </c>
      <c r="AB10" s="523"/>
      <c r="AC10" s="523"/>
      <c r="AD10" s="523"/>
      <c r="AE10" s="523"/>
    </row>
    <row r="11" spans="3:33">
      <c r="D11" s="167" t="str">
        <f ca="1">OFFSET(Vehicles!E27,0,-1)</f>
        <v>Brændstof</v>
      </c>
      <c r="E11" s="167" t="str">
        <f ca="1">OFFSET(Vehicles!E27,0,0)</f>
        <v>DKK / km</v>
      </c>
      <c r="F11" s="296">
        <v>0.31063164513537134</v>
      </c>
      <c r="G11" s="296">
        <v>0.31063164513537134</v>
      </c>
      <c r="H11" s="296">
        <v>0.22071785588346066</v>
      </c>
      <c r="I11" s="296">
        <v>0.22448115611808253</v>
      </c>
      <c r="J11" s="296">
        <v>0.22448115611808253</v>
      </c>
      <c r="K11" s="296">
        <v>0.23493266731592677</v>
      </c>
      <c r="L11" s="296">
        <v>0.28571534763347789</v>
      </c>
      <c r="O11" s="513"/>
      <c r="R11" s="527">
        <f ca="1">OFFSET(Vehicles!E27,0,$AD$7)</f>
        <v>0.23628094002963623</v>
      </c>
      <c r="S11" s="511"/>
      <c r="V11" s="846" t="s">
        <v>2139</v>
      </c>
      <c r="W11" s="342"/>
      <c r="X11" s="403"/>
      <c r="Y11" s="523"/>
      <c r="Z11" s="1245" t="s">
        <v>2208</v>
      </c>
      <c r="AA11" s="844" t="str">
        <f ca="1">OFFSET($V$14,A4rowActive,0)</f>
        <v>Conv. diesel</v>
      </c>
      <c r="AB11" s="523"/>
      <c r="AC11" s="523"/>
      <c r="AD11" s="523"/>
      <c r="AE11" s="523"/>
    </row>
    <row r="12" spans="3:33">
      <c r="D12" s="167" t="str">
        <f ca="1">OFFSET(Vehicles!E28,0,-1)</f>
        <v>Reparationer, slid</v>
      </c>
      <c r="E12" s="167" t="str">
        <f ca="1">OFFSET(Vehicles!E28,0,0)</f>
        <v>DKK / km</v>
      </c>
      <c r="F12" s="296">
        <v>0.35</v>
      </c>
      <c r="G12" s="296">
        <v>0.35</v>
      </c>
      <c r="H12" s="296">
        <v>0.35</v>
      </c>
      <c r="I12" s="296">
        <v>0.35</v>
      </c>
      <c r="J12" s="296">
        <v>0.35</v>
      </c>
      <c r="K12" s="296">
        <v>0.35</v>
      </c>
      <c r="L12" s="296">
        <v>0.35</v>
      </c>
      <c r="O12" s="513"/>
      <c r="R12" s="527">
        <f ca="1">OFFSET(Vehicles!E28,0,$AD$7)</f>
        <v>0.35</v>
      </c>
      <c r="S12" s="511"/>
      <c r="V12" s="523"/>
      <c r="W12" s="523"/>
      <c r="X12" s="523"/>
      <c r="Y12" s="523"/>
      <c r="Z12" s="523"/>
      <c r="AA12" s="523"/>
      <c r="AB12" s="523"/>
      <c r="AC12" s="523"/>
      <c r="AD12" s="523"/>
      <c r="AE12" s="523"/>
    </row>
    <row r="13" spans="3:33">
      <c r="D13" s="226" t="str">
        <f ca="1">OFFSET(Vehicles!E29,0,-1)</f>
        <v>Afskrivninger</v>
      </c>
      <c r="E13" s="226" t="str">
        <f ca="1">OFFSET(Vehicles!E29,0,0)</f>
        <v>DKK / km</v>
      </c>
      <c r="F13" s="662">
        <v>0.73792177667670411</v>
      </c>
      <c r="G13" s="662">
        <v>0.73792177667670411</v>
      </c>
      <c r="H13" s="662">
        <v>0.73792177667670411</v>
      </c>
      <c r="I13" s="662">
        <v>0.73792177667670411</v>
      </c>
      <c r="J13" s="662">
        <v>0.73792177667670411</v>
      </c>
      <c r="K13" s="662">
        <v>0.73792177667670411</v>
      </c>
      <c r="L13" s="662">
        <v>0.73792177667670411</v>
      </c>
      <c r="O13" s="513"/>
      <c r="R13" s="535">
        <f ca="1">OFFSET(Vehicles!E29,0,$AD$7)</f>
        <v>0.81337390108127505</v>
      </c>
      <c r="S13" s="511"/>
      <c r="V13" s="557" t="s">
        <v>1713</v>
      </c>
    </row>
    <row r="14" spans="3:33">
      <c r="D14" s="541" t="str">
        <f>Vehicles!D50</f>
        <v>Infrastrukturomkostninger ved levering af drivmiddel</v>
      </c>
      <c r="E14" s="541" t="str">
        <f ca="1">OFFSET(Vehicles!E51,0,0)</f>
        <v>DKK/km</v>
      </c>
      <c r="F14" s="1279">
        <v>8.9663683400190611E-2</v>
      </c>
      <c r="G14" s="1279">
        <v>8.9663683400190611E-2</v>
      </c>
      <c r="H14" s="1279">
        <v>6.3693889627868483E-2</v>
      </c>
      <c r="I14" s="1279">
        <v>6.4235623185917815E-2</v>
      </c>
      <c r="J14" s="1279">
        <v>6.4235623185917815E-2</v>
      </c>
      <c r="K14" s="1279">
        <v>6.4235623185917815E-2</v>
      </c>
      <c r="L14" s="1279">
        <v>6.4235623185917815E-2</v>
      </c>
      <c r="O14" s="513"/>
      <c r="R14" s="542">
        <f ca="1">OFFSET(Vehicles!E51,0,$AD$7)</f>
        <v>3.6670713451180371E-2</v>
      </c>
      <c r="S14" s="511"/>
      <c r="V14" s="342"/>
      <c r="W14" s="844" t="s">
        <v>1714</v>
      </c>
      <c r="X14" s="844" t="s">
        <v>1715</v>
      </c>
      <c r="Y14" s="844" t="s">
        <v>1716</v>
      </c>
      <c r="Z14" s="844" t="s">
        <v>1717</v>
      </c>
      <c r="AA14" s="844" t="s">
        <v>1718</v>
      </c>
      <c r="AB14" s="844" t="s">
        <v>1719</v>
      </c>
      <c r="AC14" s="844" t="s">
        <v>1720</v>
      </c>
    </row>
    <row r="15" spans="3:33">
      <c r="F15" s="523"/>
      <c r="J15" s="523"/>
      <c r="K15" s="523"/>
      <c r="O15" s="513"/>
      <c r="R15" s="527"/>
      <c r="S15" s="511"/>
      <c r="V15" s="498" t="s">
        <v>961</v>
      </c>
      <c r="W15" s="1710">
        <v>2015</v>
      </c>
      <c r="X15" s="1710">
        <v>2020</v>
      </c>
      <c r="Y15" s="1710">
        <v>2035</v>
      </c>
      <c r="Z15" s="1710">
        <v>2050</v>
      </c>
      <c r="AA15" s="1710">
        <v>2050</v>
      </c>
      <c r="AB15" s="1710">
        <v>2050</v>
      </c>
      <c r="AC15" s="1710">
        <v>2050</v>
      </c>
      <c r="AF15" s="167" t="s">
        <v>961</v>
      </c>
    </row>
    <row r="16" spans="3:33">
      <c r="D16" s="512" t="s">
        <v>930</v>
      </c>
      <c r="E16" s="512"/>
      <c r="F16" s="512"/>
      <c r="G16" s="512"/>
      <c r="H16" s="512"/>
      <c r="I16" s="512"/>
      <c r="J16" s="512"/>
      <c r="K16" s="512"/>
      <c r="L16" s="512"/>
      <c r="N16" s="296"/>
      <c r="O16" s="513"/>
      <c r="R16" s="535"/>
      <c r="S16" s="511"/>
      <c r="V16" s="455" t="s">
        <v>962</v>
      </c>
      <c r="W16" s="1711">
        <v>2015</v>
      </c>
      <c r="X16" s="1711">
        <v>2020</v>
      </c>
      <c r="Y16" s="1711">
        <v>2035</v>
      </c>
      <c r="Z16" s="1711">
        <v>2050</v>
      </c>
      <c r="AA16" s="1711">
        <v>2050</v>
      </c>
      <c r="AB16" s="1711">
        <v>2050</v>
      </c>
      <c r="AC16" s="1711">
        <v>2050</v>
      </c>
      <c r="AE16" s="1240"/>
      <c r="AF16" s="1240" t="s">
        <v>962</v>
      </c>
      <c r="AG16" s="1240"/>
    </row>
    <row r="17" spans="4:33">
      <c r="D17" s="167" t="str">
        <f ca="1">OFFSET(Vehicles!E32,0,-1)</f>
        <v>Investeringsomkostninger exkl. afg</v>
      </c>
      <c r="E17" s="167" t="str">
        <f ca="1">OFFSET(Vehicles!E32,0,0)</f>
        <v>DKK</v>
      </c>
      <c r="F17" s="1280">
        <v>145722</v>
      </c>
      <c r="G17" s="1280">
        <v>145722</v>
      </c>
      <c r="H17" s="1280">
        <v>145722</v>
      </c>
      <c r="I17" s="1280">
        <v>145722</v>
      </c>
      <c r="J17" s="1280">
        <v>145722</v>
      </c>
      <c r="K17" s="1280">
        <v>145722</v>
      </c>
      <c r="L17" s="1280">
        <v>145722</v>
      </c>
      <c r="O17" s="513"/>
      <c r="R17" s="526">
        <f ca="1">OFFSET(Vehicles!E32,0,$AD$7)</f>
        <v>160622</v>
      </c>
      <c r="S17" s="511"/>
      <c r="V17" s="455" t="s">
        <v>84</v>
      </c>
      <c r="W17" s="1711">
        <v>2015</v>
      </c>
      <c r="X17" s="1711">
        <v>2020</v>
      </c>
      <c r="Y17" s="1711">
        <v>2035</v>
      </c>
      <c r="Z17" s="1711">
        <v>2050</v>
      </c>
      <c r="AA17" s="1711">
        <v>2050</v>
      </c>
      <c r="AB17" s="1711">
        <v>2050</v>
      </c>
      <c r="AC17" s="1711">
        <v>2050</v>
      </c>
      <c r="AE17" s="1240"/>
      <c r="AF17" s="1240" t="s">
        <v>84</v>
      </c>
      <c r="AG17" s="1240"/>
    </row>
    <row r="18" spans="4:33">
      <c r="D18" s="167" t="str">
        <f ca="1">OFFSET(Vehicles!E41,0,-1)</f>
        <v>Energiforbrug</v>
      </c>
      <c r="E18" s="167" t="str">
        <f ca="1">OFFSET(Vehicles!E41,0,0)</f>
        <v>km/l benzin-ækv.</v>
      </c>
      <c r="F18" s="296">
        <v>15.546616185518218</v>
      </c>
      <c r="G18" s="296">
        <v>15.546616185518218</v>
      </c>
      <c r="H18" s="296">
        <v>21.885409726848767</v>
      </c>
      <c r="I18" s="296">
        <v>21.700838296034149</v>
      </c>
      <c r="J18" s="296">
        <v>21.700838296034149</v>
      </c>
      <c r="K18" s="296">
        <v>21.700838296034149</v>
      </c>
      <c r="L18" s="296">
        <v>21.700838296034149</v>
      </c>
      <c r="P18" s="296"/>
      <c r="R18" s="527">
        <f ca="1">OFFSET(Vehicles!E41,0,$AD$7)</f>
        <v>20.215384615384611</v>
      </c>
      <c r="S18" s="511"/>
      <c r="V18" s="455" t="s">
        <v>2083</v>
      </c>
      <c r="W18" s="1711">
        <v>2015</v>
      </c>
      <c r="X18" s="1711">
        <v>2020</v>
      </c>
      <c r="Y18" s="1711">
        <v>2035</v>
      </c>
      <c r="Z18" s="1711">
        <v>2050</v>
      </c>
      <c r="AA18" s="1711">
        <v>2050</v>
      </c>
      <c r="AB18" s="1711">
        <v>2050</v>
      </c>
      <c r="AC18" s="1711">
        <v>2050</v>
      </c>
      <c r="AE18" s="1240"/>
      <c r="AF18" s="1240" t="s">
        <v>2083</v>
      </c>
      <c r="AG18" s="1240"/>
    </row>
    <row r="19" spans="4:33">
      <c r="D19" s="226" t="str">
        <f ca="1">OFFSET(Vehicles!E40,0,-1)</f>
        <v>Virkningsgrad</v>
      </c>
      <c r="E19" s="226" t="str">
        <f ca="1">OFFSET(Vehicles!E40,0,0)</f>
        <v>MJ mek/MJ drivm.</v>
      </c>
      <c r="F19" s="2122">
        <v>0.18</v>
      </c>
      <c r="G19" s="2122">
        <v>0.18</v>
      </c>
      <c r="H19" s="2122">
        <v>0.2323596135909394</v>
      </c>
      <c r="I19" s="2122">
        <v>0.23039999999999999</v>
      </c>
      <c r="J19" s="2122">
        <v>0.23039999999999999</v>
      </c>
      <c r="K19" s="2122">
        <v>0.23039999999999999</v>
      </c>
      <c r="L19" s="2122">
        <v>0.23039999999999999</v>
      </c>
      <c r="O19" s="513"/>
      <c r="R19" s="540">
        <f ca="1">OFFSET(Vehicles!E40,0,$AD$7)</f>
        <v>0.24477547856723428</v>
      </c>
      <c r="S19" s="511"/>
      <c r="V19" s="455" t="s">
        <v>1597</v>
      </c>
      <c r="W19" s="1711">
        <v>2015</v>
      </c>
      <c r="X19" s="1711">
        <v>2020</v>
      </c>
      <c r="Y19" s="1711">
        <v>2035</v>
      </c>
      <c r="Z19" s="1711">
        <v>2050</v>
      </c>
      <c r="AA19" s="1711">
        <v>2050</v>
      </c>
      <c r="AB19" s="1711">
        <v>2050</v>
      </c>
      <c r="AC19" s="1711">
        <v>2050</v>
      </c>
      <c r="AE19" s="1240"/>
      <c r="AF19" s="1240" t="s">
        <v>1597</v>
      </c>
      <c r="AG19" s="1240"/>
    </row>
    <row r="20" spans="4:33">
      <c r="F20" s="523"/>
      <c r="J20" s="523"/>
      <c r="K20" s="523"/>
      <c r="O20" s="513"/>
      <c r="R20" s="528"/>
      <c r="S20" s="511"/>
      <c r="V20" s="455" t="s">
        <v>2086</v>
      </c>
      <c r="W20" s="1711">
        <v>2015</v>
      </c>
      <c r="X20" s="1711">
        <v>2020</v>
      </c>
      <c r="Y20" s="1711">
        <v>2035</v>
      </c>
      <c r="Z20" s="1711">
        <v>2050</v>
      </c>
      <c r="AA20" s="1711">
        <v>2050</v>
      </c>
      <c r="AB20" s="1711">
        <v>2050</v>
      </c>
      <c r="AC20" s="1711">
        <v>2050</v>
      </c>
      <c r="AE20" s="1240"/>
      <c r="AF20" s="1240" t="s">
        <v>2086</v>
      </c>
      <c r="AG20" s="1240"/>
    </row>
    <row r="21" spans="4:33">
      <c r="D21" s="512" t="str">
        <f>Vehicles!D44</f>
        <v>Drivmiddel</v>
      </c>
      <c r="E21" s="512"/>
      <c r="F21" s="512"/>
      <c r="G21" s="512"/>
      <c r="H21" s="512"/>
      <c r="I21" s="512"/>
      <c r="J21" s="512"/>
      <c r="K21" s="512"/>
      <c r="L21" s="512"/>
      <c r="O21" s="513"/>
      <c r="R21" s="525"/>
      <c r="S21" s="511"/>
      <c r="V21" s="455" t="s">
        <v>1598</v>
      </c>
      <c r="W21" s="1711">
        <v>2015</v>
      </c>
      <c r="X21" s="1711">
        <v>2020</v>
      </c>
      <c r="Y21" s="1711">
        <v>2035</v>
      </c>
      <c r="Z21" s="1711">
        <v>2050</v>
      </c>
      <c r="AA21" s="1711">
        <v>2050</v>
      </c>
      <c r="AB21" s="1711">
        <v>2050</v>
      </c>
      <c r="AC21" s="1711">
        <v>2050</v>
      </c>
      <c r="AE21" s="1240"/>
      <c r="AF21" s="1240" t="s">
        <v>1598</v>
      </c>
      <c r="AG21" s="1240"/>
    </row>
    <row r="22" spans="4:33">
      <c r="D22" s="167" t="str">
        <f ca="1">OFFSET(Vehicles!E45,0,-1)</f>
        <v>Drivmiddelpris i alt</v>
      </c>
      <c r="E22" s="167" t="str">
        <f ca="1">OFFSET(Vehicles!E45,0,0)</f>
        <v>DKK / GJd</v>
      </c>
      <c r="F22" s="523">
        <v>147.0097705325941</v>
      </c>
      <c r="G22" s="167">
        <v>147.0097705325941</v>
      </c>
      <c r="H22" s="167">
        <v>147.04720578511703</v>
      </c>
      <c r="I22" s="167">
        <v>148.29312844521482</v>
      </c>
      <c r="J22" s="523">
        <v>148.29312844521482</v>
      </c>
      <c r="K22" s="523">
        <v>155.19743756100198</v>
      </c>
      <c r="L22" s="523">
        <v>188.74467451108947</v>
      </c>
      <c r="O22" s="513"/>
      <c r="R22" s="529">
        <f ca="1">OFFSET(Vehicles!E45,0,$AD$7)</f>
        <v>145.40365540285308</v>
      </c>
      <c r="S22" s="511"/>
      <c r="V22" s="455" t="s">
        <v>11</v>
      </c>
      <c r="W22" s="1711">
        <v>2015</v>
      </c>
      <c r="X22" s="1711">
        <v>2020</v>
      </c>
      <c r="Y22" s="1711">
        <v>2035</v>
      </c>
      <c r="Z22" s="1711">
        <v>2050</v>
      </c>
      <c r="AA22" s="1711">
        <v>2050</v>
      </c>
      <c r="AB22" s="1711">
        <v>2050</v>
      </c>
      <c r="AC22" s="1711">
        <v>2050</v>
      </c>
      <c r="AE22" s="1240"/>
      <c r="AF22" s="1240" t="s">
        <v>11</v>
      </c>
      <c r="AG22" s="1240"/>
    </row>
    <row r="23" spans="4:33">
      <c r="D23" s="167" t="str">
        <f ca="1">OFFSET(Vehicles!E46,0,-1)</f>
        <v>Primært drivmiddel</v>
      </c>
      <c r="E23" s="167" t="str">
        <f ca="1">OFFSET(Vehicles!E46,0,0)</f>
        <v>DKK / GJd</v>
      </c>
      <c r="F23" s="523">
        <v>146.31965068238111</v>
      </c>
      <c r="G23" s="167">
        <v>146.31965068238111</v>
      </c>
      <c r="H23" s="167">
        <v>146.40108343885009</v>
      </c>
      <c r="I23" s="167">
        <v>145.6684856235147</v>
      </c>
      <c r="J23" s="523">
        <v>145.6684856235147</v>
      </c>
      <c r="K23" s="523">
        <v>144.15267437767568</v>
      </c>
      <c r="L23" s="523">
        <v>186.61753127652059</v>
      </c>
      <c r="O23" s="513"/>
      <c r="R23" s="529">
        <f ca="1">OFFSET(Vehicles!E46,0,$AD$7)</f>
        <v>145.40365540285308</v>
      </c>
      <c r="S23" s="511"/>
      <c r="V23" s="455" t="s">
        <v>30</v>
      </c>
      <c r="W23" s="1711">
        <v>2015</v>
      </c>
      <c r="X23" s="1711">
        <v>2020</v>
      </c>
      <c r="Y23" s="1711">
        <v>2035</v>
      </c>
      <c r="Z23" s="1711">
        <v>2050</v>
      </c>
      <c r="AA23" s="1711">
        <v>2050</v>
      </c>
      <c r="AB23" s="1711">
        <v>2050</v>
      </c>
      <c r="AC23" s="1711">
        <v>2050</v>
      </c>
      <c r="AE23" s="1240"/>
      <c r="AF23" s="1240" t="s">
        <v>30</v>
      </c>
      <c r="AG23" s="1240"/>
    </row>
    <row r="24" spans="4:33">
      <c r="D24" s="226" t="str">
        <f ca="1">OFFSET(Vehicles!E47,0,-1)</f>
        <v>Sekundært brændstof</v>
      </c>
      <c r="E24" s="226" t="str">
        <f ca="1">OFFSET(Vehicles!E47,0,0)</f>
        <v>DKK / GJd</v>
      </c>
      <c r="F24" s="226">
        <v>149.60593568339533</v>
      </c>
      <c r="G24" s="226">
        <v>149.60593568339533</v>
      </c>
      <c r="H24" s="226">
        <v>149.4778565163117</v>
      </c>
      <c r="I24" s="226">
        <v>158.1667847744676</v>
      </c>
      <c r="J24" s="226">
        <v>158.1667847744676</v>
      </c>
      <c r="K24" s="226">
        <v>196.74678477446756</v>
      </c>
      <c r="L24" s="226">
        <v>196.74678477446756</v>
      </c>
      <c r="O24" s="513"/>
      <c r="R24" s="543">
        <f ca="1">OFFSET(Vehicles!E47,0,$AD$7)</f>
        <v>0</v>
      </c>
      <c r="S24" s="511"/>
      <c r="V24" s="455" t="s">
        <v>4</v>
      </c>
      <c r="W24" s="1711">
        <v>2015</v>
      </c>
      <c r="X24" s="1711">
        <v>2020</v>
      </c>
      <c r="Y24" s="1711">
        <v>2035</v>
      </c>
      <c r="Z24" s="1711">
        <v>2050</v>
      </c>
      <c r="AA24" s="1711">
        <v>2050</v>
      </c>
      <c r="AB24" s="1711">
        <v>2050</v>
      </c>
      <c r="AC24" s="1711">
        <v>2050</v>
      </c>
      <c r="AE24" s="1240"/>
      <c r="AF24" s="1240" t="s">
        <v>4</v>
      </c>
      <c r="AG24" s="1240"/>
    </row>
    <row r="25" spans="4:33">
      <c r="E25" s="510"/>
      <c r="F25" s="510"/>
      <c r="G25" s="510"/>
      <c r="H25" s="510"/>
      <c r="I25" s="510"/>
      <c r="J25" s="510"/>
      <c r="K25" s="510"/>
      <c r="L25" s="510"/>
      <c r="O25" s="513"/>
      <c r="R25" s="531"/>
      <c r="S25" s="511"/>
      <c r="V25" s="455" t="s">
        <v>82</v>
      </c>
      <c r="W25" s="1711">
        <v>2015</v>
      </c>
      <c r="X25" s="1711">
        <v>2020</v>
      </c>
      <c r="Y25" s="1711">
        <v>2035</v>
      </c>
      <c r="Z25" s="1711">
        <v>2050</v>
      </c>
      <c r="AA25" s="1711">
        <v>2050</v>
      </c>
      <c r="AB25" s="1711">
        <v>2050</v>
      </c>
      <c r="AC25" s="1711">
        <v>2050</v>
      </c>
      <c r="AE25" s="1240"/>
      <c r="AF25" s="1240" t="s">
        <v>82</v>
      </c>
      <c r="AG25" s="1240"/>
    </row>
    <row r="26" spans="4:33">
      <c r="D26" s="512" t="str">
        <f>Fuels!D17</f>
        <v>Konvertering af mellemprodukt til brændstof - efter distribution an tank</v>
      </c>
      <c r="E26" s="226"/>
      <c r="F26" s="226"/>
      <c r="G26" s="226"/>
      <c r="H26" s="226"/>
      <c r="I26" s="226"/>
      <c r="J26" s="226"/>
      <c r="K26" s="226"/>
      <c r="L26" s="226"/>
      <c r="O26" s="513"/>
      <c r="R26" s="525"/>
      <c r="S26" s="511"/>
      <c r="V26" s="455" t="s">
        <v>96</v>
      </c>
      <c r="W26" s="1711">
        <v>2015</v>
      </c>
      <c r="X26" s="1711">
        <v>2020</v>
      </c>
      <c r="Y26" s="1711">
        <v>2035</v>
      </c>
      <c r="Z26" s="1711">
        <v>2050</v>
      </c>
      <c r="AA26" s="1711">
        <v>2050</v>
      </c>
      <c r="AB26" s="1711">
        <v>2050</v>
      </c>
      <c r="AC26" s="1711">
        <v>2050</v>
      </c>
      <c r="AE26" s="1240"/>
      <c r="AF26" s="1240" t="s">
        <v>96</v>
      </c>
      <c r="AG26" s="1240"/>
    </row>
    <row r="27" spans="4:33">
      <c r="D27" s="167" t="str">
        <f ca="1">OFFSET(Fuels!$E19,0,-1)</f>
        <v>- levering an tank</v>
      </c>
      <c r="E27" s="167" t="str">
        <f ca="1">OFFSET(Fuels!$E19,0,0)</f>
        <v>DKK / GJ drivmiddel</v>
      </c>
      <c r="F27" s="455">
        <v>42.434303549545959</v>
      </c>
      <c r="G27" s="228">
        <v>42.434303549545959</v>
      </c>
      <c r="H27" s="228">
        <v>42.434303549545959</v>
      </c>
      <c r="I27" s="228">
        <v>42.434303549545959</v>
      </c>
      <c r="J27" s="455">
        <v>42.434303549545959</v>
      </c>
      <c r="K27" s="455">
        <v>42.434303549545959</v>
      </c>
      <c r="L27" s="455">
        <v>42.434303549545959</v>
      </c>
      <c r="O27" s="513"/>
      <c r="R27" s="2125">
        <f ca="1">OFFSET(Fuels!$E19,0,$AD$8)</f>
        <v>22.566592893034073</v>
      </c>
      <c r="S27" s="511"/>
      <c r="V27" s="455" t="s">
        <v>19</v>
      </c>
      <c r="W27" s="1711">
        <v>2015</v>
      </c>
      <c r="X27" s="1711">
        <v>2020</v>
      </c>
      <c r="Y27" s="1711">
        <v>2035</v>
      </c>
      <c r="Z27" s="1711">
        <v>2050</v>
      </c>
      <c r="AA27" s="1711">
        <v>2050</v>
      </c>
      <c r="AB27" s="1711">
        <v>2050</v>
      </c>
      <c r="AC27" s="1711">
        <v>2050</v>
      </c>
      <c r="AE27" s="1240"/>
      <c r="AF27" s="1240" t="s">
        <v>19</v>
      </c>
      <c r="AG27" s="1240"/>
    </row>
    <row r="28" spans="4:33">
      <c r="D28" s="167" t="str">
        <f ca="1">OFFSET(Fuels!$E20,0,-1)</f>
        <v>- korrektion for CO₂ kvoter</v>
      </c>
      <c r="E28" s="167" t="str">
        <f ca="1">OFFSET(Fuels!$E20,0,0)</f>
        <v>DKK / GJ drivmiddel</v>
      </c>
      <c r="F28" s="523">
        <v>0</v>
      </c>
      <c r="G28" s="167">
        <v>0</v>
      </c>
      <c r="H28" s="167">
        <v>0</v>
      </c>
      <c r="I28" s="167">
        <v>0</v>
      </c>
      <c r="J28" s="523">
        <v>0</v>
      </c>
      <c r="K28" s="523">
        <v>0</v>
      </c>
      <c r="L28" s="523">
        <v>0</v>
      </c>
      <c r="O28" s="513"/>
      <c r="R28" s="2125">
        <f ca="1">OFFSET(Fuels!$E20,0,$AD$8)</f>
        <v>0</v>
      </c>
      <c r="S28" s="511"/>
      <c r="V28" s="455" t="s">
        <v>667</v>
      </c>
      <c r="W28" s="1711">
        <v>2015</v>
      </c>
      <c r="X28" s="1711">
        <v>2020</v>
      </c>
      <c r="Y28" s="1711">
        <v>2035</v>
      </c>
      <c r="Z28" s="1711">
        <v>2050</v>
      </c>
      <c r="AA28" s="1711">
        <v>2050</v>
      </c>
      <c r="AB28" s="1711">
        <v>2050</v>
      </c>
      <c r="AC28" s="1711">
        <v>2050</v>
      </c>
      <c r="AE28" s="1240"/>
      <c r="AF28" s="1240" t="s">
        <v>667</v>
      </c>
      <c r="AG28" s="1240"/>
    </row>
    <row r="29" spans="4:33">
      <c r="D29" s="167" t="str">
        <f ca="1">OFFSET(Fuels!$E22,0,-1)</f>
        <v>- øvrige variable</v>
      </c>
      <c r="E29" s="167" t="str">
        <f ca="1">OFFSET(Fuels!$E22,0,0)</f>
        <v>DKK / GJ drivmiddel</v>
      </c>
      <c r="F29" s="523">
        <v>0</v>
      </c>
      <c r="G29" s="167">
        <v>0</v>
      </c>
      <c r="H29" s="167">
        <v>0</v>
      </c>
      <c r="I29" s="167">
        <v>0</v>
      </c>
      <c r="J29" s="523">
        <v>0</v>
      </c>
      <c r="K29" s="523">
        <v>0</v>
      </c>
      <c r="L29" s="523">
        <v>0</v>
      </c>
      <c r="O29" s="513"/>
      <c r="R29" s="2125">
        <f ca="1">OFFSET(Fuels!$E22,0,$AD$8)</f>
        <v>0</v>
      </c>
      <c r="S29" s="511"/>
      <c r="V29" s="455" t="s">
        <v>2092</v>
      </c>
      <c r="W29" s="1711">
        <v>2015</v>
      </c>
      <c r="X29" s="1711">
        <v>2020</v>
      </c>
      <c r="Y29" s="1711">
        <v>2035</v>
      </c>
      <c r="Z29" s="1711">
        <v>2050</v>
      </c>
      <c r="AA29" s="1711">
        <v>2050</v>
      </c>
      <c r="AB29" s="1711">
        <v>2050</v>
      </c>
      <c r="AC29" s="1711">
        <v>2050</v>
      </c>
      <c r="AE29" s="1240"/>
      <c r="AF29" s="1240" t="s">
        <v>2092</v>
      </c>
      <c r="AG29" s="1240"/>
    </row>
    <row r="30" spans="4:33">
      <c r="D30" s="167" t="str">
        <f ca="1">OFFSET(Fuels!$E23,0,-1)</f>
        <v>- øvrige faste</v>
      </c>
      <c r="E30" s="167" t="str">
        <f ca="1">OFFSET(Fuels!$E23,0,0)</f>
        <v>DKK / GJ drivmiddel</v>
      </c>
      <c r="F30" s="523">
        <v>0</v>
      </c>
      <c r="G30" s="167">
        <v>0</v>
      </c>
      <c r="H30" s="167">
        <v>0</v>
      </c>
      <c r="I30" s="167">
        <v>0</v>
      </c>
      <c r="J30" s="523">
        <v>0</v>
      </c>
      <c r="K30" s="523">
        <v>0</v>
      </c>
      <c r="L30" s="523">
        <v>0</v>
      </c>
      <c r="O30" s="513"/>
      <c r="R30" s="2125">
        <f ca="1">OFFSET(Fuels!$E23,0,$AD$8)</f>
        <v>0</v>
      </c>
      <c r="S30" s="511"/>
      <c r="V30" s="455" t="s">
        <v>1656</v>
      </c>
      <c r="W30" s="1711">
        <v>2015</v>
      </c>
      <c r="X30" s="1711">
        <v>2020</v>
      </c>
      <c r="Y30" s="1711">
        <v>2035</v>
      </c>
      <c r="Z30" s="1711">
        <v>2050</v>
      </c>
      <c r="AA30" s="1711">
        <v>2050</v>
      </c>
      <c r="AB30" s="1711">
        <v>2050</v>
      </c>
      <c r="AC30" s="1711">
        <v>2050</v>
      </c>
      <c r="AE30" s="1240"/>
      <c r="AF30" s="1240" t="s">
        <v>1656</v>
      </c>
      <c r="AG30" s="1240"/>
    </row>
    <row r="31" spans="4:33">
      <c r="D31" s="167" t="str">
        <f ca="1">OFFSET(Fuels!$E24,0,-1)</f>
        <v>- biprodukt indtægter</v>
      </c>
      <c r="E31" s="167" t="str">
        <f ca="1">OFFSET(Fuels!$E24,0,0)</f>
        <v>DKK / GJ drivmiddel</v>
      </c>
      <c r="F31" s="523">
        <v>0</v>
      </c>
      <c r="G31" s="167">
        <v>0</v>
      </c>
      <c r="H31" s="167">
        <v>0</v>
      </c>
      <c r="I31" s="167">
        <v>0</v>
      </c>
      <c r="J31" s="523">
        <v>0</v>
      </c>
      <c r="K31" s="523">
        <v>0</v>
      </c>
      <c r="L31" s="523">
        <v>0</v>
      </c>
      <c r="O31" s="513"/>
      <c r="R31" s="2125">
        <f ca="1">OFFSET(Fuels!$E24,0,$AD$8)</f>
        <v>0</v>
      </c>
      <c r="S31" s="511"/>
      <c r="V31" s="455" t="s">
        <v>2080</v>
      </c>
      <c r="W31" s="1711">
        <v>2015</v>
      </c>
      <c r="X31" s="1711">
        <v>2020</v>
      </c>
      <c r="Y31" s="1711">
        <v>2035</v>
      </c>
      <c r="Z31" s="1711">
        <v>2050</v>
      </c>
      <c r="AA31" s="1711">
        <v>2050</v>
      </c>
      <c r="AB31" s="1711">
        <v>2050</v>
      </c>
      <c r="AC31" s="1711">
        <v>2050</v>
      </c>
      <c r="AE31" s="1240"/>
      <c r="AF31" s="1240" t="s">
        <v>2080</v>
      </c>
      <c r="AG31" s="1240"/>
    </row>
    <row r="32" spans="4:33">
      <c r="D32" s="167" t="str">
        <f ca="1">OFFSET(Fuels!$E25,0,-1)</f>
        <v>- afskrivninger</v>
      </c>
      <c r="E32" s="167" t="str">
        <f ca="1">OFFSET(Fuels!$E25,0,0)</f>
        <v>DKK / GJ drivmiddel</v>
      </c>
      <c r="F32" s="523">
        <v>0</v>
      </c>
      <c r="G32" s="167">
        <v>0</v>
      </c>
      <c r="H32" s="167">
        <v>0</v>
      </c>
      <c r="I32" s="167">
        <v>0</v>
      </c>
      <c r="J32" s="523">
        <v>0</v>
      </c>
      <c r="K32" s="523">
        <v>0</v>
      </c>
      <c r="L32" s="523">
        <v>0</v>
      </c>
      <c r="O32" s="513"/>
      <c r="R32" s="2125">
        <f ca="1">OFFSET(Fuels!$E25,0,$AD$8)</f>
        <v>0</v>
      </c>
      <c r="S32" s="511"/>
      <c r="V32" s="455" t="s">
        <v>1647</v>
      </c>
      <c r="W32" s="1711">
        <v>2015</v>
      </c>
      <c r="X32" s="1711">
        <v>2020</v>
      </c>
      <c r="Y32" s="1711">
        <v>2035</v>
      </c>
      <c r="Z32" s="1711">
        <v>2050</v>
      </c>
      <c r="AA32" s="1711">
        <v>2050</v>
      </c>
      <c r="AB32" s="1711">
        <v>2050</v>
      </c>
      <c r="AC32" s="1711">
        <v>2050</v>
      </c>
      <c r="AE32" s="1240"/>
      <c r="AF32" s="1240" t="s">
        <v>1647</v>
      </c>
      <c r="AG32" s="1240"/>
    </row>
    <row r="33" spans="4:33">
      <c r="D33" s="226" t="str">
        <f ca="1">OFFSET(Fuels!$E26,0,-1)</f>
        <v>- mellemprodukt / råvare</v>
      </c>
      <c r="E33" s="226" t="str">
        <f ca="1">OFFSET(Fuels!$E26,0,0)</f>
        <v>DKK / GJ drivmiddel</v>
      </c>
      <c r="F33" s="226">
        <v>103.88534713283516</v>
      </c>
      <c r="G33" s="226">
        <v>103.88534713283516</v>
      </c>
      <c r="H33" s="226">
        <v>103.96677988930415</v>
      </c>
      <c r="I33" s="226">
        <v>103.23418207396873</v>
      </c>
      <c r="J33" s="226">
        <v>103.23418207396873</v>
      </c>
      <c r="K33" s="226">
        <v>101.71837082812971</v>
      </c>
      <c r="L33" s="226">
        <v>144.18322772697462</v>
      </c>
      <c r="O33" s="513"/>
      <c r="R33" s="2126">
        <f ca="1">OFFSET(Fuels!$E26,0,$AD$8)</f>
        <v>122.83706250981901</v>
      </c>
      <c r="S33" s="511"/>
      <c r="V33" s="455" t="s">
        <v>1648</v>
      </c>
      <c r="W33" s="1711">
        <v>2015</v>
      </c>
      <c r="X33" s="1711">
        <v>2020</v>
      </c>
      <c r="Y33" s="1711">
        <v>2035</v>
      </c>
      <c r="Z33" s="1711">
        <v>2050</v>
      </c>
      <c r="AA33" s="1711">
        <v>2050</v>
      </c>
      <c r="AB33" s="1711">
        <v>2050</v>
      </c>
      <c r="AC33" s="1711">
        <v>2050</v>
      </c>
      <c r="AE33" s="1240"/>
      <c r="AF33" s="1240" t="s">
        <v>1648</v>
      </c>
      <c r="AG33" s="1240"/>
    </row>
    <row r="34" spans="4:33">
      <c r="F34" s="523"/>
      <c r="J34" s="523"/>
      <c r="K34" s="523"/>
      <c r="O34" s="513"/>
      <c r="R34" s="2125"/>
      <c r="S34" s="511"/>
      <c r="V34" s="455" t="s">
        <v>2024</v>
      </c>
      <c r="W34" s="1711">
        <v>2015</v>
      </c>
      <c r="X34" s="1711">
        <v>2020</v>
      </c>
      <c r="Y34" s="1711">
        <v>2035</v>
      </c>
      <c r="Z34" s="1711">
        <v>2050</v>
      </c>
      <c r="AA34" s="1711">
        <v>2050</v>
      </c>
      <c r="AB34" s="1711">
        <v>2050</v>
      </c>
      <c r="AC34" s="1711">
        <v>2050</v>
      </c>
      <c r="AE34" s="1240"/>
      <c r="AF34" s="1240" t="s">
        <v>2024</v>
      </c>
      <c r="AG34" s="1240"/>
    </row>
    <row r="35" spans="4:33">
      <c r="D35" s="512" t="str">
        <f>Fuels!D37</f>
        <v>Konvertering af råstof - primært brændstof - før distribution ab anlæg</v>
      </c>
      <c r="E35" s="512"/>
      <c r="F35" s="512"/>
      <c r="G35" s="512"/>
      <c r="H35" s="512"/>
      <c r="I35" s="512"/>
      <c r="J35" s="512"/>
      <c r="K35" s="512"/>
      <c r="L35" s="512"/>
      <c r="O35" s="513"/>
      <c r="R35" s="2127"/>
      <c r="S35" s="511"/>
      <c r="V35" s="455" t="s">
        <v>2050</v>
      </c>
      <c r="W35" s="1711">
        <v>2015</v>
      </c>
      <c r="X35" s="1711">
        <v>2020</v>
      </c>
      <c r="Y35" s="1711">
        <v>2035</v>
      </c>
      <c r="Z35" s="1711">
        <v>2050</v>
      </c>
      <c r="AA35" s="1711">
        <v>2050</v>
      </c>
      <c r="AB35" s="1711">
        <v>2050</v>
      </c>
      <c r="AC35" s="1711">
        <v>2050</v>
      </c>
      <c r="AE35" s="1240"/>
      <c r="AF35" s="1240" t="s">
        <v>2050</v>
      </c>
      <c r="AG35" s="1240"/>
    </row>
    <row r="36" spans="4:33">
      <c r="D36" s="167" t="str">
        <f ca="1">OFFSET(Fuels!$E39,0,-1)</f>
        <v>- levering an mellemprodukt</v>
      </c>
      <c r="E36" s="167" t="str">
        <f ca="1">OFFSET(Fuels!$E39,0,0)</f>
        <v>DKK / GJ mellemprod</v>
      </c>
      <c r="F36" s="510">
        <v>0</v>
      </c>
      <c r="G36" s="510">
        <v>0</v>
      </c>
      <c r="H36" s="510">
        <v>0</v>
      </c>
      <c r="I36" s="510">
        <v>0</v>
      </c>
      <c r="J36" s="510">
        <v>0</v>
      </c>
      <c r="K36" s="510">
        <v>0</v>
      </c>
      <c r="L36" s="510">
        <v>0</v>
      </c>
      <c r="O36" s="513"/>
      <c r="R36" s="2125">
        <f ca="1">OFFSET(Fuels!$E39,0,$AD$8)</f>
        <v>0</v>
      </c>
      <c r="S36" s="511"/>
      <c r="V36" s="1471" t="s">
        <v>1973</v>
      </c>
      <c r="W36" s="1711">
        <v>2015</v>
      </c>
      <c r="X36" s="1711">
        <v>2020</v>
      </c>
      <c r="Y36" s="1711">
        <v>2035</v>
      </c>
      <c r="Z36" s="1711">
        <v>2050</v>
      </c>
      <c r="AA36" s="1711">
        <v>2050</v>
      </c>
      <c r="AB36" s="1711">
        <v>2050</v>
      </c>
      <c r="AC36" s="1711">
        <v>2050</v>
      </c>
      <c r="AE36" s="1240"/>
      <c r="AF36" s="1240" t="s">
        <v>1973</v>
      </c>
      <c r="AG36" s="1240"/>
    </row>
    <row r="37" spans="4:33">
      <c r="D37" s="167" t="str">
        <f ca="1">OFFSET(Fuels!$E40,0,-1)</f>
        <v>- råvare</v>
      </c>
      <c r="E37" s="167" t="str">
        <f ca="1">OFFSET(Fuels!$E40,0,0)</f>
        <v>DKK / GJ mellemprod</v>
      </c>
      <c r="F37" s="523">
        <v>141.54952299614979</v>
      </c>
      <c r="G37" s="167">
        <v>141.54952299614979</v>
      </c>
      <c r="H37" s="167">
        <v>141.54952299614979</v>
      </c>
      <c r="I37" s="167">
        <v>141.54952299614979</v>
      </c>
      <c r="J37" s="523">
        <v>141.54952299614979</v>
      </c>
      <c r="K37" s="523">
        <v>141.54952299614979</v>
      </c>
      <c r="L37" s="523">
        <v>184.01437989499473</v>
      </c>
      <c r="O37" s="513"/>
      <c r="R37" s="2125">
        <f ca="1">OFFSET(Fuels!$E40,0,$AD$8)</f>
        <v>229.40099032241051</v>
      </c>
      <c r="S37" s="511"/>
      <c r="V37" s="1471" t="s">
        <v>1976</v>
      </c>
      <c r="W37" s="1711">
        <v>2015</v>
      </c>
      <c r="X37" s="1711">
        <v>2020</v>
      </c>
      <c r="Y37" s="1711">
        <v>2035</v>
      </c>
      <c r="Z37" s="1711">
        <v>2050</v>
      </c>
      <c r="AA37" s="1711">
        <v>2050</v>
      </c>
      <c r="AB37" s="1711">
        <v>2050</v>
      </c>
      <c r="AC37" s="1711">
        <v>2050</v>
      </c>
      <c r="AF37" s="167" t="s">
        <v>1976</v>
      </c>
    </row>
    <row r="38" spans="4:33">
      <c r="D38" s="167" t="str">
        <f ca="1">OFFSET(Fuels!$E41,0,-1)</f>
        <v>- korrektion for CO₂ kvoter</v>
      </c>
      <c r="E38" s="167" t="str">
        <f ca="1">OFFSET(Fuels!$E41,0,0)</f>
        <v>DKK / GJ mellemprod</v>
      </c>
      <c r="F38" s="523">
        <v>0</v>
      </c>
      <c r="G38" s="167">
        <v>0</v>
      </c>
      <c r="H38" s="167">
        <v>0</v>
      </c>
      <c r="I38" s="167">
        <v>0</v>
      </c>
      <c r="J38" s="523">
        <v>0</v>
      </c>
      <c r="K38" s="523">
        <v>0</v>
      </c>
      <c r="L38" s="523">
        <v>0</v>
      </c>
      <c r="O38" s="513"/>
      <c r="R38" s="2125">
        <f ca="1">OFFSET(Fuels!$E41,0,$AD$8)</f>
        <v>-1.8440871683725268E-3</v>
      </c>
      <c r="S38" s="511"/>
      <c r="V38" s="1471" t="s">
        <v>1974</v>
      </c>
      <c r="W38" s="1711">
        <v>2015</v>
      </c>
      <c r="X38" s="1711">
        <v>2020</v>
      </c>
      <c r="Y38" s="1711">
        <v>2035</v>
      </c>
      <c r="Z38" s="1711">
        <v>2050</v>
      </c>
      <c r="AA38" s="1711">
        <v>2050</v>
      </c>
      <c r="AB38" s="1711">
        <v>2050</v>
      </c>
      <c r="AC38" s="1711">
        <v>2050</v>
      </c>
      <c r="AF38" s="167" t="s">
        <v>1974</v>
      </c>
    </row>
    <row r="39" spans="4:33">
      <c r="D39" s="167" t="str">
        <f ca="1">OFFSET(Fuels!$E43,0,-1)</f>
        <v>- øvrige variable</v>
      </c>
      <c r="E39" s="167" t="str">
        <f ca="1">OFFSET(Fuels!$E43,0,0)</f>
        <v>DKK / GJ mellemprod</v>
      </c>
      <c r="F39" s="523">
        <v>0</v>
      </c>
      <c r="G39" s="167">
        <v>0</v>
      </c>
      <c r="H39" s="167">
        <v>0</v>
      </c>
      <c r="I39" s="167">
        <v>0</v>
      </c>
      <c r="J39" s="523">
        <v>0</v>
      </c>
      <c r="K39" s="523">
        <v>0</v>
      </c>
      <c r="L39" s="523">
        <v>0</v>
      </c>
      <c r="O39" s="513"/>
      <c r="R39" s="2125">
        <f ca="1">OFFSET(Fuels!$E43,0,$AD$8)</f>
        <v>0</v>
      </c>
      <c r="S39" s="511"/>
      <c r="V39" s="1471" t="s">
        <v>1975</v>
      </c>
      <c r="W39" s="1711">
        <v>2015</v>
      </c>
      <c r="X39" s="1711">
        <v>2020</v>
      </c>
      <c r="Y39" s="1711">
        <v>2035</v>
      </c>
      <c r="Z39" s="1711">
        <v>2050</v>
      </c>
      <c r="AA39" s="1711">
        <v>2050</v>
      </c>
      <c r="AB39" s="1711">
        <v>2050</v>
      </c>
      <c r="AC39" s="1711">
        <v>2050</v>
      </c>
      <c r="AF39" s="167" t="s">
        <v>1975</v>
      </c>
    </row>
    <row r="40" spans="4:33">
      <c r="D40" s="167" t="str">
        <f ca="1">OFFSET(Fuels!$E44,0,-1)</f>
        <v>- øvrige faste</v>
      </c>
      <c r="E40" s="167" t="str">
        <f ca="1">OFFSET(Fuels!$E44,0,0)</f>
        <v>DKK / GJ mellemprod</v>
      </c>
      <c r="F40" s="523">
        <v>15.272499999999999</v>
      </c>
      <c r="G40" s="167">
        <v>15.272499999999999</v>
      </c>
      <c r="H40" s="167">
        <v>15.272499999999999</v>
      </c>
      <c r="I40" s="167">
        <v>15.272499999999999</v>
      </c>
      <c r="J40" s="523">
        <v>15.272499999999999</v>
      </c>
      <c r="K40" s="523">
        <v>15.272499999999999</v>
      </c>
      <c r="L40" s="523">
        <v>15.272499999999999</v>
      </c>
      <c r="O40" s="513"/>
      <c r="R40" s="2125">
        <f ca="1">OFFSET(Fuels!$E44,0,$AD$8)</f>
        <v>0</v>
      </c>
      <c r="S40" s="511"/>
      <c r="V40" s="1471" t="s">
        <v>1977</v>
      </c>
      <c r="W40" s="1711">
        <v>2015</v>
      </c>
      <c r="X40" s="1711">
        <v>2020</v>
      </c>
      <c r="Y40" s="1711">
        <v>2035</v>
      </c>
      <c r="Z40" s="1711">
        <v>2050</v>
      </c>
      <c r="AA40" s="1711">
        <v>2050</v>
      </c>
      <c r="AB40" s="1711">
        <v>2050</v>
      </c>
      <c r="AC40" s="1711">
        <v>2050</v>
      </c>
      <c r="AF40" s="167" t="s">
        <v>1977</v>
      </c>
    </row>
    <row r="41" spans="4:33">
      <c r="D41" s="167" t="str">
        <f ca="1">OFFSET(Fuels!$E45,0,-1)</f>
        <v>- biprodukt indtægter</v>
      </c>
      <c r="E41" s="167" t="str">
        <f ca="1">OFFSET(Fuels!$E45,0,0)</f>
        <v>DKK / GJ mellemprod</v>
      </c>
      <c r="F41" s="523">
        <v>-64.055891170328735</v>
      </c>
      <c r="G41" s="167">
        <v>-64.055891170328735</v>
      </c>
      <c r="H41" s="167">
        <v>-63.97445841385975</v>
      </c>
      <c r="I41" s="167">
        <v>-64.707056229195175</v>
      </c>
      <c r="J41" s="523">
        <v>-64.707056229195175</v>
      </c>
      <c r="K41" s="523">
        <v>-66.222867475034192</v>
      </c>
      <c r="L41" s="523">
        <v>-66.222867475034192</v>
      </c>
      <c r="O41" s="513"/>
      <c r="R41" s="2125">
        <f ca="1">OFFSET(Fuels!$E45,0,$AD$8)</f>
        <v>-127.20102701339356</v>
      </c>
      <c r="S41" s="511"/>
      <c r="V41" s="1471" t="s">
        <v>1985</v>
      </c>
      <c r="W41" s="1711">
        <v>2015</v>
      </c>
      <c r="X41" s="1711">
        <v>2020</v>
      </c>
      <c r="Y41" s="1711">
        <v>2035</v>
      </c>
      <c r="Z41" s="1711">
        <v>2050</v>
      </c>
      <c r="AA41" s="1711">
        <v>2050</v>
      </c>
      <c r="AB41" s="1711">
        <v>2050</v>
      </c>
      <c r="AC41" s="1711">
        <v>2050</v>
      </c>
      <c r="AF41" s="167" t="s">
        <v>1985</v>
      </c>
    </row>
    <row r="42" spans="4:33">
      <c r="D42" s="228" t="str">
        <f ca="1">OFFSET(Fuels!$E46,0,-1)</f>
        <v>- afskrivninger</v>
      </c>
      <c r="E42" s="228" t="str">
        <f ca="1">OFFSET(Fuels!$E46,0,0)</f>
        <v>DKK / GJ mellemprod</v>
      </c>
      <c r="F42" s="455">
        <v>11.119215307014098</v>
      </c>
      <c r="G42" s="228">
        <v>11.119215307014098</v>
      </c>
      <c r="H42" s="228">
        <v>11.119215307014098</v>
      </c>
      <c r="I42" s="228">
        <v>11.119215307014098</v>
      </c>
      <c r="J42" s="455">
        <v>11.119215307014098</v>
      </c>
      <c r="K42" s="455">
        <v>11.119215307014098</v>
      </c>
      <c r="L42" s="455">
        <v>11.119215307014098</v>
      </c>
      <c r="O42" s="513"/>
      <c r="R42" s="2128">
        <f ca="1">OFFSET(Fuels!$E46,0,$AD$8)</f>
        <v>20.63894328797042</v>
      </c>
      <c r="S42" s="511"/>
      <c r="V42" s="1471" t="s">
        <v>604</v>
      </c>
      <c r="W42" s="1711">
        <v>2015</v>
      </c>
      <c r="X42" s="1711">
        <v>2020</v>
      </c>
      <c r="Y42" s="1711">
        <v>2035</v>
      </c>
      <c r="Z42" s="1711">
        <v>2050</v>
      </c>
      <c r="AA42" s="1711">
        <v>2050</v>
      </c>
      <c r="AB42" s="1711">
        <v>2050</v>
      </c>
      <c r="AC42" s="1711">
        <v>2050</v>
      </c>
      <c r="AF42" s="167" t="s">
        <v>604</v>
      </c>
    </row>
    <row r="43" spans="4:33">
      <c r="D43" s="226" t="str">
        <f ca="1">OFFSET(Fuels!$E47,0,-1)</f>
        <v>Råstofpris</v>
      </c>
      <c r="E43" s="226" t="str">
        <f ca="1">OFFSET(Fuels!$E47,0,0)</f>
        <v>DKK / GJ råstof</v>
      </c>
      <c r="F43" s="226">
        <v>81.350300572499876</v>
      </c>
      <c r="G43" s="226">
        <v>81.350300572499876</v>
      </c>
      <c r="H43" s="226">
        <v>81.350300572499876</v>
      </c>
      <c r="I43" s="226">
        <v>81.350300572499876</v>
      </c>
      <c r="J43" s="226">
        <v>81.350300572499876</v>
      </c>
      <c r="K43" s="226">
        <v>81.350300572499876</v>
      </c>
      <c r="L43" s="226">
        <v>105.75539074424984</v>
      </c>
      <c r="O43" s="513"/>
      <c r="R43" s="2126">
        <f ca="1">OFFSET(Fuels!$E47,0,$AD$8)</f>
        <v>107.82999339926188</v>
      </c>
      <c r="S43" s="511"/>
      <c r="V43" s="1471" t="s">
        <v>632</v>
      </c>
      <c r="W43" s="1711">
        <v>2015</v>
      </c>
      <c r="X43" s="1711">
        <v>2020</v>
      </c>
      <c r="Y43" s="1711">
        <v>2035</v>
      </c>
      <c r="Z43" s="1711">
        <v>2050</v>
      </c>
      <c r="AA43" s="1711">
        <v>2050</v>
      </c>
      <c r="AB43" s="1711">
        <v>2050</v>
      </c>
      <c r="AC43" s="1711">
        <v>2050</v>
      </c>
      <c r="AF43" s="167" t="s">
        <v>632</v>
      </c>
    </row>
    <row r="44" spans="4:33">
      <c r="D44" s="228"/>
      <c r="E44" s="228"/>
      <c r="F44" s="455"/>
      <c r="G44" s="228"/>
      <c r="H44" s="228"/>
      <c r="I44" s="228"/>
      <c r="J44" s="455"/>
      <c r="K44" s="455"/>
      <c r="L44" s="455"/>
      <c r="O44" s="513"/>
      <c r="R44" s="531"/>
      <c r="S44" s="511"/>
      <c r="V44" s="1471" t="s">
        <v>671</v>
      </c>
      <c r="W44" s="1711">
        <v>2015</v>
      </c>
      <c r="X44" s="1711">
        <v>2020</v>
      </c>
      <c r="Y44" s="1711">
        <v>2035</v>
      </c>
      <c r="Z44" s="1711">
        <v>2050</v>
      </c>
      <c r="AA44" s="1711">
        <v>2050</v>
      </c>
      <c r="AB44" s="1711">
        <v>2050</v>
      </c>
      <c r="AC44" s="1711">
        <v>2050</v>
      </c>
      <c r="AF44" s="167" t="s">
        <v>671</v>
      </c>
    </row>
    <row r="45" spans="4:33">
      <c r="D45" s="515" t="s">
        <v>344</v>
      </c>
      <c r="E45" s="515"/>
      <c r="F45" s="515"/>
      <c r="G45" s="515"/>
      <c r="H45" s="515"/>
      <c r="I45" s="515"/>
      <c r="J45" s="515"/>
      <c r="K45" s="515"/>
      <c r="L45" s="515"/>
      <c r="O45" s="513"/>
      <c r="R45" s="532"/>
      <c r="S45" s="511"/>
      <c r="V45" s="1471" t="s">
        <v>672</v>
      </c>
      <c r="W45" s="1711">
        <v>2015</v>
      </c>
      <c r="X45" s="1711">
        <v>2020</v>
      </c>
      <c r="Y45" s="1711">
        <v>2035</v>
      </c>
      <c r="Z45" s="1711">
        <v>2050</v>
      </c>
      <c r="AA45" s="1711">
        <v>2050</v>
      </c>
      <c r="AB45" s="1711">
        <v>2050</v>
      </c>
      <c r="AC45" s="1711">
        <v>2050</v>
      </c>
      <c r="AF45" s="167" t="s">
        <v>672</v>
      </c>
    </row>
    <row r="46" spans="4:33">
      <c r="D46" s="512" t="str">
        <f>Vehicles!D62</f>
        <v>Vægtet virkningsgrad, 2 drivmidler</v>
      </c>
      <c r="E46" s="512"/>
      <c r="F46" s="512"/>
      <c r="G46" s="512"/>
      <c r="H46" s="512"/>
      <c r="I46" s="512"/>
      <c r="J46" s="512"/>
      <c r="K46" s="512"/>
      <c r="L46" s="512"/>
      <c r="O46" s="513"/>
      <c r="R46" s="525"/>
      <c r="S46" s="511"/>
      <c r="V46" s="226" t="s">
        <v>673</v>
      </c>
      <c r="W46" s="1712">
        <v>2015</v>
      </c>
      <c r="X46" s="1712">
        <v>2020</v>
      </c>
      <c r="Y46" s="1712">
        <v>2035</v>
      </c>
      <c r="Z46" s="1712">
        <v>2050</v>
      </c>
      <c r="AA46" s="1712">
        <v>2050</v>
      </c>
      <c r="AB46" s="1712">
        <v>2050</v>
      </c>
      <c r="AC46" s="1712">
        <v>2050</v>
      </c>
      <c r="AF46" s="167" t="s">
        <v>673</v>
      </c>
    </row>
    <row r="47" spans="4:33">
      <c r="D47" s="167" t="str">
        <f ca="1">OFFSET(Vehicles!E63,0,-1)</f>
        <v>Systemvirkningsgrad, 2 drivmidler</v>
      </c>
      <c r="E47" s="167" t="str">
        <f ca="1">OFFSET(Vehicles!E63,0,0)</f>
        <v>%</v>
      </c>
      <c r="F47" s="545">
        <v>0.13923731496982597</v>
      </c>
      <c r="G47" s="545">
        <v>0.13923731496982597</v>
      </c>
      <c r="H47" s="545">
        <v>0.17973960391015936</v>
      </c>
      <c r="I47" s="545">
        <v>0.17822376316137725</v>
      </c>
      <c r="J47" s="545">
        <v>0.17822376316137725</v>
      </c>
      <c r="K47" s="545">
        <v>0.17822376316137725</v>
      </c>
      <c r="L47" s="545">
        <v>0.17822376316137725</v>
      </c>
      <c r="O47" s="513"/>
      <c r="R47" s="533">
        <f ca="1">OFFSET(Vehicles!E63,0,$AD$7)</f>
        <v>0.23759628394566742</v>
      </c>
      <c r="S47" s="511"/>
    </row>
    <row r="48" spans="4:33">
      <c r="D48" s="512" t="str">
        <f>Vehicles!D65</f>
        <v>Virkningsgrader, primært drivmiddel</v>
      </c>
      <c r="E48" s="512"/>
      <c r="F48" s="512"/>
      <c r="G48" s="512"/>
      <c r="H48" s="512"/>
      <c r="I48" s="512"/>
      <c r="J48" s="512"/>
      <c r="K48" s="512"/>
      <c r="L48" s="512"/>
      <c r="O48" s="513"/>
      <c r="R48" s="525"/>
      <c r="S48" s="511"/>
      <c r="V48" s="167" t="s">
        <v>1723</v>
      </c>
    </row>
    <row r="49" spans="4:29">
      <c r="D49" s="167" t="str">
        <f ca="1">OFFSET(Vehicles!E67,0,-1)</f>
        <v>Råstofudvinding - energieffektivitet</v>
      </c>
      <c r="E49" s="167" t="str">
        <f ca="1">OFFSET(Vehicles!E67,0,0)</f>
        <v>%</v>
      </c>
      <c r="F49" s="545">
        <v>0.90434658027676951</v>
      </c>
      <c r="G49" s="545">
        <v>0.90434658027676951</v>
      </c>
      <c r="H49" s="545">
        <v>0.90434658027676951</v>
      </c>
      <c r="I49" s="545">
        <v>0.90434658027676951</v>
      </c>
      <c r="J49" s="545">
        <v>0.90434658027676951</v>
      </c>
      <c r="K49" s="545">
        <v>0.90434658027676951</v>
      </c>
      <c r="L49" s="545">
        <v>0.90434658027676951</v>
      </c>
      <c r="O49" s="513"/>
      <c r="R49" s="528">
        <f ca="1">OFFSET(Vehicles!E67,0,$AD$7)</f>
        <v>0.93559617058311573</v>
      </c>
      <c r="S49" s="511"/>
      <c r="V49" s="342"/>
      <c r="W49" s="844" t="s">
        <v>1714</v>
      </c>
      <c r="X49" s="844" t="s">
        <v>1715</v>
      </c>
      <c r="Y49" s="844" t="s">
        <v>1716</v>
      </c>
      <c r="Z49" s="844" t="s">
        <v>1717</v>
      </c>
      <c r="AA49" s="844" t="s">
        <v>1718</v>
      </c>
      <c r="AB49" s="844" t="s">
        <v>1719</v>
      </c>
      <c r="AC49" s="844" t="s">
        <v>1720</v>
      </c>
    </row>
    <row r="50" spans="4:29">
      <c r="D50" s="167" t="str">
        <f ca="1">OFFSET(Vehicles!E68,0,-1)</f>
        <v>Råstofkonvertering - energieffektivitet</v>
      </c>
      <c r="E50" s="167" t="str">
        <f ca="1">OFFSET(Vehicles!E68,0,0)</f>
        <v>%</v>
      </c>
      <c r="F50" s="545">
        <v>0.81028941390277143</v>
      </c>
      <c r="G50" s="545">
        <v>0.81028941390277143</v>
      </c>
      <c r="H50" s="545">
        <v>0.81028941390277143</v>
      </c>
      <c r="I50" s="545">
        <v>0.81028941390277143</v>
      </c>
      <c r="J50" s="545">
        <v>0.81028941390277143</v>
      </c>
      <c r="K50" s="545">
        <v>0.81028941390277143</v>
      </c>
      <c r="L50" s="545">
        <v>0.81028941390277143</v>
      </c>
      <c r="O50" s="513"/>
      <c r="R50" s="528">
        <f ca="1">OFFSET(Vehicles!E68,0,$AD$7)</f>
        <v>0.99699575562027976</v>
      </c>
      <c r="S50" s="511"/>
      <c r="V50" s="1257" t="s">
        <v>961</v>
      </c>
      <c r="W50" s="1274" t="s">
        <v>1701</v>
      </c>
      <c r="X50" s="1274" t="s">
        <v>1701</v>
      </c>
      <c r="Y50" s="1274" t="s">
        <v>1701</v>
      </c>
      <c r="Z50" s="1274" t="s">
        <v>1701</v>
      </c>
      <c r="AA50" s="1274" t="s">
        <v>1726</v>
      </c>
      <c r="AB50" s="1274" t="s">
        <v>1725</v>
      </c>
      <c r="AC50" s="1274" t="s">
        <v>1704</v>
      </c>
    </row>
    <row r="51" spans="4:29">
      <c r="D51" s="167" t="str">
        <f ca="1">OFFSET(Vehicles!E69,0,-1)</f>
        <v>Distributioneffektivitet - råstofkonv -&gt; mellemkonv.</v>
      </c>
      <c r="E51" s="167" t="str">
        <f ca="1">OFFSET(Vehicles!E69,0,0)</f>
        <v>%</v>
      </c>
      <c r="F51" s="545">
        <v>1</v>
      </c>
      <c r="G51" s="545">
        <v>1</v>
      </c>
      <c r="H51" s="545">
        <v>1</v>
      </c>
      <c r="I51" s="545">
        <v>1</v>
      </c>
      <c r="J51" s="545">
        <v>1</v>
      </c>
      <c r="K51" s="545">
        <v>1</v>
      </c>
      <c r="L51" s="545">
        <v>1</v>
      </c>
      <c r="O51" s="513"/>
      <c r="R51" s="528">
        <f ca="1">OFFSET(Vehicles!E69,0,$AD$7)</f>
        <v>1</v>
      </c>
      <c r="S51" s="511"/>
      <c r="V51" s="1471" t="s">
        <v>962</v>
      </c>
      <c r="W51" s="1275" t="s">
        <v>1701</v>
      </c>
      <c r="X51" s="1275" t="s">
        <v>1701</v>
      </c>
      <c r="Y51" s="1275" t="s">
        <v>1701</v>
      </c>
      <c r="Z51" s="1275" t="s">
        <v>1701</v>
      </c>
      <c r="AA51" s="1275" t="s">
        <v>1726</v>
      </c>
      <c r="AB51" s="1275" t="s">
        <v>1725</v>
      </c>
      <c r="AC51" s="1275" t="s">
        <v>1704</v>
      </c>
    </row>
    <row r="52" spans="4:29">
      <c r="D52" s="167" t="str">
        <f ca="1">OFFSET(Vehicles!E70,0,-1)</f>
        <v>Mellemkonvertering - energieffektivitet</v>
      </c>
      <c r="E52" s="167" t="str">
        <f ca="1">OFFSET(Vehicles!E70,0,0)</f>
        <v>%</v>
      </c>
      <c r="F52" s="545">
        <v>1</v>
      </c>
      <c r="G52" s="545">
        <v>1</v>
      </c>
      <c r="H52" s="545">
        <v>1</v>
      </c>
      <c r="I52" s="545">
        <v>1</v>
      </c>
      <c r="J52" s="545">
        <v>1</v>
      </c>
      <c r="K52" s="545">
        <v>1</v>
      </c>
      <c r="L52" s="545">
        <v>1</v>
      </c>
      <c r="O52" s="513"/>
      <c r="R52" s="528">
        <f ca="1">OFFSET(Vehicles!E70,0,$AD$7)</f>
        <v>1</v>
      </c>
      <c r="S52" s="511"/>
      <c r="V52" s="1471" t="s">
        <v>84</v>
      </c>
      <c r="W52" s="1275" t="s">
        <v>1701</v>
      </c>
      <c r="X52" s="1275" t="s">
        <v>1701</v>
      </c>
      <c r="Y52" s="1275" t="s">
        <v>1701</v>
      </c>
      <c r="Z52" s="1275" t="s">
        <v>1701</v>
      </c>
      <c r="AA52" s="1275" t="s">
        <v>1726</v>
      </c>
      <c r="AB52" s="1275" t="s">
        <v>1725</v>
      </c>
      <c r="AC52" s="1275" t="s">
        <v>1704</v>
      </c>
    </row>
    <row r="53" spans="4:29">
      <c r="D53" s="167" t="str">
        <f ca="1">OFFSET(Vehicles!E71,0,-1)</f>
        <v>Distributionseffektivitet, transport</v>
      </c>
      <c r="E53" s="167" t="str">
        <f ca="1">OFFSET(Vehicles!E71,0,0)</f>
        <v>%</v>
      </c>
      <c r="F53" s="545">
        <v>0.9982637991374177</v>
      </c>
      <c r="G53" s="545">
        <v>0.9982637991374177</v>
      </c>
      <c r="H53" s="545">
        <v>0.9982637991374177</v>
      </c>
      <c r="I53" s="545">
        <v>0.9982637991374177</v>
      </c>
      <c r="J53" s="545">
        <v>0.9982637991374177</v>
      </c>
      <c r="K53" s="545">
        <v>0.9982637991374177</v>
      </c>
      <c r="L53" s="545">
        <v>0.9982637991374177</v>
      </c>
      <c r="O53" s="513"/>
      <c r="R53" s="528">
        <f ca="1">OFFSET(Vehicles!E71,0,$AD$7)</f>
        <v>0.99889012208657058</v>
      </c>
      <c r="S53" s="511"/>
      <c r="V53" s="1471" t="s">
        <v>2083</v>
      </c>
      <c r="W53" s="1275" t="s">
        <v>1701</v>
      </c>
      <c r="X53" s="1275" t="s">
        <v>1701</v>
      </c>
      <c r="Y53" s="1275" t="s">
        <v>1701</v>
      </c>
      <c r="Z53" s="1275" t="s">
        <v>1701</v>
      </c>
      <c r="AA53" s="1275" t="s">
        <v>1726</v>
      </c>
      <c r="AB53" s="1275" t="s">
        <v>1725</v>
      </c>
      <c r="AC53" s="1275" t="s">
        <v>1704</v>
      </c>
    </row>
    <row r="54" spans="4:29">
      <c r="D54" s="228" t="str">
        <f ca="1">OFFSET(Vehicles!E72,0,-1)</f>
        <v>Virkningsgrad primær motor</v>
      </c>
      <c r="E54" s="228" t="str">
        <f ca="1">OFFSET(Vehicles!E72,0,0)</f>
        <v>MJ mek/MJ drivm.</v>
      </c>
      <c r="F54" s="298">
        <v>0.18</v>
      </c>
      <c r="G54" s="298">
        <v>0.18</v>
      </c>
      <c r="H54" s="298">
        <v>0.2323596135909394</v>
      </c>
      <c r="I54" s="298">
        <v>0.23039999999999999</v>
      </c>
      <c r="J54" s="298">
        <v>0.23039999999999999</v>
      </c>
      <c r="K54" s="298">
        <v>0.23039999999999999</v>
      </c>
      <c r="L54" s="298">
        <v>0.23039999999999999</v>
      </c>
      <c r="O54" s="513"/>
      <c r="R54" s="544">
        <f ca="1">OFFSET(Vehicles!E72,0,$AD$7)</f>
        <v>0.255</v>
      </c>
      <c r="S54" s="511"/>
      <c r="V54" s="1471" t="s">
        <v>1597</v>
      </c>
      <c r="W54" s="1275" t="s">
        <v>1701</v>
      </c>
      <c r="X54" s="1275" t="s">
        <v>1701</v>
      </c>
      <c r="Y54" s="1275" t="s">
        <v>1701</v>
      </c>
      <c r="Z54" s="1275" t="s">
        <v>1701</v>
      </c>
      <c r="AA54" s="1275" t="s">
        <v>1726</v>
      </c>
      <c r="AB54" s="1275" t="s">
        <v>1725</v>
      </c>
      <c r="AC54" s="1275" t="s">
        <v>1704</v>
      </c>
    </row>
    <row r="55" spans="4:29">
      <c r="D55" s="226" t="str">
        <f ca="1">OFFSET(Vehicles!E73,0,-1)</f>
        <v>Systemvirkningsgrad, primært drivmiddel</v>
      </c>
      <c r="E55" s="226" t="str">
        <f ca="1">OFFSET(Vehicles!E73,0,0)</f>
        <v>GJ mek/GJ primær energi</v>
      </c>
      <c r="F55" s="1281">
        <v>0.13167183653233891</v>
      </c>
      <c r="G55" s="1281">
        <v>0.13167183653233891</v>
      </c>
      <c r="H55" s="1281">
        <v>0.16997342809702004</v>
      </c>
      <c r="I55" s="1281">
        <v>0.1685399507613938</v>
      </c>
      <c r="J55" s="1281">
        <v>0.1685399507613938</v>
      </c>
      <c r="K55" s="1281">
        <v>0.1685399507613938</v>
      </c>
      <c r="L55" s="1281">
        <v>0.1685399507613938</v>
      </c>
      <c r="O55" s="513"/>
      <c r="R55" s="540">
        <f ca="1">OFFSET(Vehicles!E73,0,$AD$7)</f>
        <v>0.23759628394566742</v>
      </c>
      <c r="S55" s="511"/>
      <c r="V55" s="1471" t="s">
        <v>2086</v>
      </c>
      <c r="W55" s="1275" t="s">
        <v>1701</v>
      </c>
      <c r="X55" s="1275" t="s">
        <v>1701</v>
      </c>
      <c r="Y55" s="1275" t="s">
        <v>1701</v>
      </c>
      <c r="Z55" s="1275" t="s">
        <v>1701</v>
      </c>
      <c r="AA55" s="1275" t="s">
        <v>1726</v>
      </c>
      <c r="AB55" s="1275" t="s">
        <v>1725</v>
      </c>
      <c r="AC55" s="1275" t="s">
        <v>1704</v>
      </c>
    </row>
    <row r="56" spans="4:29">
      <c r="D56" s="228"/>
      <c r="E56" s="228"/>
      <c r="F56" s="455"/>
      <c r="G56" s="228"/>
      <c r="H56" s="228"/>
      <c r="I56" s="228"/>
      <c r="J56" s="455"/>
      <c r="K56" s="455"/>
      <c r="L56" s="455"/>
      <c r="O56" s="513"/>
      <c r="R56" s="534"/>
      <c r="S56" s="511"/>
      <c r="V56" s="1471" t="s">
        <v>1598</v>
      </c>
      <c r="W56" s="1275" t="s">
        <v>1701</v>
      </c>
      <c r="X56" s="1275" t="s">
        <v>1701</v>
      </c>
      <c r="Y56" s="1275" t="s">
        <v>1701</v>
      </c>
      <c r="Z56" s="1275" t="s">
        <v>1701</v>
      </c>
      <c r="AA56" s="1275" t="s">
        <v>1726</v>
      </c>
      <c r="AB56" s="1275" t="s">
        <v>1725</v>
      </c>
      <c r="AC56" s="1275" t="s">
        <v>1704</v>
      </c>
    </row>
    <row r="57" spans="4:29">
      <c r="D57" s="512" t="str">
        <f>Fuels!D78</f>
        <v xml:space="preserve">Opstrøms- og råstofkonverterings procesenergiforbrug </v>
      </c>
      <c r="E57" s="226"/>
      <c r="F57" s="226"/>
      <c r="G57" s="226"/>
      <c r="H57" s="226"/>
      <c r="I57" s="226"/>
      <c r="J57" s="226"/>
      <c r="K57" s="226"/>
      <c r="L57" s="226"/>
      <c r="O57" s="513"/>
      <c r="R57" s="525"/>
      <c r="S57" s="511"/>
      <c r="V57" s="1471" t="s">
        <v>11</v>
      </c>
      <c r="W57" s="1275" t="s">
        <v>1701</v>
      </c>
      <c r="X57" s="1275" t="s">
        <v>1701</v>
      </c>
      <c r="Y57" s="1275" t="s">
        <v>1701</v>
      </c>
      <c r="Z57" s="1275" t="s">
        <v>1701</v>
      </c>
      <c r="AA57" s="1275" t="s">
        <v>1726</v>
      </c>
      <c r="AB57" s="1275" t="s">
        <v>1725</v>
      </c>
      <c r="AC57" s="1275" t="s">
        <v>1704</v>
      </c>
    </row>
    <row r="58" spans="4:29">
      <c r="D58" s="167" t="str">
        <f ca="1">OFFSET(Fuels!$E79,0,-1)</f>
        <v>Råstof konverteringsfaktor</v>
      </c>
      <c r="E58" s="167" t="str">
        <f ca="1">OFFSET(Fuels!$E79,0,0)</f>
        <v>GJ mellemprodukt/GJ råstof</v>
      </c>
      <c r="F58" s="303">
        <v>0.57471264367816088</v>
      </c>
      <c r="G58" s="303">
        <v>0.57471264367816088</v>
      </c>
      <c r="H58" s="303">
        <v>0.57471264367816088</v>
      </c>
      <c r="I58" s="303">
        <v>0.57471264367816088</v>
      </c>
      <c r="J58" s="303">
        <v>0.57471264367816088</v>
      </c>
      <c r="K58" s="303">
        <v>0.57471264367816088</v>
      </c>
      <c r="L58" s="303">
        <v>0.57471264367816088</v>
      </c>
      <c r="O58" s="513"/>
      <c r="R58" s="2123">
        <f ca="1">OFFSET(Fuels!$E79,0,$AD$8)</f>
        <v>0.47005025238867859</v>
      </c>
      <c r="S58" s="511"/>
      <c r="V58" s="1471" t="s">
        <v>30</v>
      </c>
      <c r="W58" s="1275" t="s">
        <v>1701</v>
      </c>
      <c r="X58" s="1275" t="s">
        <v>1701</v>
      </c>
      <c r="Y58" s="1275" t="s">
        <v>1701</v>
      </c>
      <c r="Z58" s="1275" t="s">
        <v>1701</v>
      </c>
      <c r="AA58" s="1275" t="s">
        <v>1726</v>
      </c>
      <c r="AB58" s="1275" t="s">
        <v>1725</v>
      </c>
      <c r="AC58" s="1275" t="s">
        <v>1704</v>
      </c>
    </row>
    <row r="59" spans="4:29">
      <c r="D59" s="226" t="str">
        <f ca="1">OFFSET(Fuels!$E191,0,-1)</f>
        <v>Distributionstab råstofkonv. -&gt; mellemkonv.</v>
      </c>
      <c r="E59" s="226" t="str">
        <f ca="1">OFFSET(Fuels!$E191,0,0)</f>
        <v>GJ råstof / GJ råstof</v>
      </c>
      <c r="F59" s="857">
        <v>0</v>
      </c>
      <c r="G59" s="857">
        <v>0</v>
      </c>
      <c r="H59" s="857">
        <v>0</v>
      </c>
      <c r="I59" s="857">
        <v>0</v>
      </c>
      <c r="J59" s="857">
        <v>0</v>
      </c>
      <c r="K59" s="857">
        <v>0</v>
      </c>
      <c r="L59" s="857">
        <v>0</v>
      </c>
      <c r="O59" s="513"/>
      <c r="R59" s="2124">
        <f ca="1">OFFSET(Fuels!$E191,0,$AD$8)</f>
        <v>0</v>
      </c>
      <c r="S59" s="511"/>
      <c r="V59" s="1471" t="s">
        <v>4</v>
      </c>
      <c r="W59" s="1275" t="s">
        <v>1701</v>
      </c>
      <c r="X59" s="1275" t="s">
        <v>1701</v>
      </c>
      <c r="Y59" s="1275" t="s">
        <v>1701</v>
      </c>
      <c r="Z59" s="1275" t="s">
        <v>1701</v>
      </c>
      <c r="AA59" s="1275" t="s">
        <v>1726</v>
      </c>
      <c r="AB59" s="1275" t="s">
        <v>1725</v>
      </c>
      <c r="AC59" s="1275" t="s">
        <v>1704</v>
      </c>
    </row>
    <row r="60" spans="4:29">
      <c r="D60" s="228"/>
      <c r="E60" s="228"/>
      <c r="F60" s="455"/>
      <c r="G60" s="228"/>
      <c r="H60" s="228"/>
      <c r="I60" s="228"/>
      <c r="J60" s="455"/>
      <c r="K60" s="455"/>
      <c r="L60" s="455"/>
      <c r="O60" s="513"/>
      <c r="R60" s="298"/>
      <c r="S60" s="511"/>
      <c r="V60" s="1471" t="s">
        <v>82</v>
      </c>
      <c r="W60" s="1275" t="s">
        <v>1701</v>
      </c>
      <c r="X60" s="1275" t="s">
        <v>1701</v>
      </c>
      <c r="Y60" s="1275" t="s">
        <v>1701</v>
      </c>
      <c r="Z60" s="1275" t="s">
        <v>1701</v>
      </c>
      <c r="AA60" s="1275" t="s">
        <v>1726</v>
      </c>
      <c r="AB60" s="1275" t="s">
        <v>1725</v>
      </c>
      <c r="AC60" s="1275" t="s">
        <v>1704</v>
      </c>
    </row>
    <row r="61" spans="4:29">
      <c r="D61" s="512" t="str">
        <f>Fuels!D82</f>
        <v>Korrektion for produktion af biprodukter</v>
      </c>
      <c r="E61" s="226"/>
      <c r="F61" s="226"/>
      <c r="G61" s="226"/>
      <c r="H61" s="226"/>
      <c r="I61" s="226"/>
      <c r="J61" s="226"/>
      <c r="K61" s="226"/>
      <c r="L61" s="226"/>
      <c r="O61" s="513"/>
      <c r="R61" s="525"/>
      <c r="S61" s="511"/>
      <c r="V61" s="1471" t="s">
        <v>96</v>
      </c>
      <c r="W61" s="1275" t="s">
        <v>1701</v>
      </c>
      <c r="X61" s="1275" t="s">
        <v>1701</v>
      </c>
      <c r="Y61" s="1275" t="s">
        <v>1701</v>
      </c>
      <c r="Z61" s="1275" t="s">
        <v>1701</v>
      </c>
      <c r="AA61" s="1275" t="s">
        <v>1726</v>
      </c>
      <c r="AB61" s="1275" t="s">
        <v>1725</v>
      </c>
      <c r="AC61" s="1275" t="s">
        <v>1704</v>
      </c>
    </row>
    <row r="62" spans="4:29">
      <c r="D62" s="1245" t="str">
        <f ca="1">OFFSET(Fuels!$E86,0,-1)</f>
        <v>Omkostningsandel drivm./biprod.</v>
      </c>
      <c r="E62" s="1245"/>
      <c r="F62" s="1283">
        <v>1.0214062719760478E-2</v>
      </c>
      <c r="G62" s="1283">
        <v>1.0214062719760478E-2</v>
      </c>
      <c r="H62" s="1283">
        <v>1.0481076292233245E-2</v>
      </c>
      <c r="I62" s="1283">
        <v>1.040582895889865E-2</v>
      </c>
      <c r="J62" s="1283">
        <v>1.040582895889865E-2</v>
      </c>
      <c r="K62" s="1283">
        <v>1.0414287885255037E-2</v>
      </c>
      <c r="L62" s="1283">
        <v>1.0414287885255037E-2</v>
      </c>
      <c r="O62" s="513"/>
      <c r="R62" s="2132">
        <f ca="1">OFFSET(Fuels!$E86,0,$AD$7)</f>
        <v>0.49127340056089852</v>
      </c>
      <c r="S62" s="511"/>
      <c r="V62" s="1471" t="s">
        <v>19</v>
      </c>
      <c r="W62" s="1275" t="s">
        <v>1701</v>
      </c>
      <c r="X62" s="1275" t="s">
        <v>1701</v>
      </c>
      <c r="Y62" s="1275" t="s">
        <v>1701</v>
      </c>
      <c r="Z62" s="1275" t="s">
        <v>1701</v>
      </c>
      <c r="AA62" s="1275" t="s">
        <v>1726</v>
      </c>
      <c r="AB62" s="1275" t="s">
        <v>1725</v>
      </c>
      <c r="AC62" s="1275" t="s">
        <v>1704</v>
      </c>
    </row>
    <row r="63" spans="4:29">
      <c r="F63" s="523"/>
      <c r="J63" s="523"/>
      <c r="K63" s="523"/>
      <c r="O63" s="513"/>
      <c r="R63" s="527"/>
      <c r="S63" s="511"/>
      <c r="V63" s="1471" t="s">
        <v>667</v>
      </c>
      <c r="W63" s="1275" t="s">
        <v>1701</v>
      </c>
      <c r="X63" s="1275" t="s">
        <v>1701</v>
      </c>
      <c r="Y63" s="1275" t="s">
        <v>1701</v>
      </c>
      <c r="Z63" s="1275" t="s">
        <v>1701</v>
      </c>
      <c r="AA63" s="1275" t="s">
        <v>1726</v>
      </c>
      <c r="AB63" s="1275" t="s">
        <v>1725</v>
      </c>
      <c r="AC63" s="1275" t="s">
        <v>1704</v>
      </c>
    </row>
    <row r="64" spans="4:29">
      <c r="F64" s="523"/>
      <c r="J64" s="523"/>
      <c r="K64" s="523"/>
      <c r="O64" s="513"/>
      <c r="R64" s="530"/>
      <c r="S64" s="511"/>
      <c r="V64" s="1471" t="s">
        <v>2092</v>
      </c>
      <c r="W64" s="1275" t="s">
        <v>1701</v>
      </c>
      <c r="X64" s="1275" t="s">
        <v>1701</v>
      </c>
      <c r="Y64" s="1275" t="s">
        <v>1701</v>
      </c>
      <c r="Z64" s="1275" t="s">
        <v>1701</v>
      </c>
      <c r="AA64" s="1275" t="s">
        <v>1726</v>
      </c>
      <c r="AB64" s="1275" t="s">
        <v>1725</v>
      </c>
      <c r="AC64" s="1275" t="s">
        <v>1704</v>
      </c>
    </row>
    <row r="65" spans="4:29" ht="15.75">
      <c r="D65" s="515" t="s">
        <v>49</v>
      </c>
      <c r="E65" s="408"/>
      <c r="F65" s="408"/>
      <c r="G65" s="408"/>
      <c r="H65" s="408"/>
      <c r="I65" s="408"/>
      <c r="J65" s="408"/>
      <c r="K65" s="408"/>
      <c r="L65" s="408"/>
      <c r="O65" s="513"/>
      <c r="R65" s="532"/>
      <c r="S65" s="511"/>
      <c r="V65" s="1471" t="s">
        <v>1656</v>
      </c>
      <c r="W65" s="1275" t="s">
        <v>1701</v>
      </c>
      <c r="X65" s="1275" t="s">
        <v>1701</v>
      </c>
      <c r="Y65" s="1275" t="s">
        <v>1701</v>
      </c>
      <c r="Z65" s="1275" t="s">
        <v>1701</v>
      </c>
      <c r="AA65" s="1275" t="s">
        <v>1726</v>
      </c>
      <c r="AB65" s="1275" t="s">
        <v>1725</v>
      </c>
      <c r="AC65" s="1275" t="s">
        <v>1704</v>
      </c>
    </row>
    <row r="66" spans="4:29">
      <c r="D66" s="512" t="s">
        <v>929</v>
      </c>
      <c r="E66" s="226"/>
      <c r="F66" s="226"/>
      <c r="G66" s="226"/>
      <c r="H66" s="226"/>
      <c r="I66" s="226"/>
      <c r="J66" s="226"/>
      <c r="K66" s="226"/>
      <c r="L66" s="226"/>
      <c r="R66" s="535"/>
      <c r="S66" s="511"/>
      <c r="V66" s="1471" t="s">
        <v>2080</v>
      </c>
      <c r="W66" s="1275" t="s">
        <v>1701</v>
      </c>
      <c r="X66" s="1275" t="s">
        <v>1701</v>
      </c>
      <c r="Y66" s="1275" t="s">
        <v>1701</v>
      </c>
      <c r="Z66" s="1275" t="s">
        <v>1701</v>
      </c>
      <c r="AA66" s="1275" t="s">
        <v>1726</v>
      </c>
      <c r="AB66" s="1275" t="s">
        <v>1725</v>
      </c>
      <c r="AC66" s="1275" t="s">
        <v>1704</v>
      </c>
    </row>
    <row r="67" spans="4:29">
      <c r="D67" s="518" t="str">
        <f>Fuels!D90</f>
        <v>Opstrømsemissioner fra råenergiprodukter (feedstocks):</v>
      </c>
      <c r="E67" s="520" t="str">
        <f ca="1">OFFSET(Fuels!$E91,0,0)</f>
        <v>kg/GJ råstof</v>
      </c>
      <c r="F67" s="456">
        <v>37.962398375726337</v>
      </c>
      <c r="G67" s="456">
        <v>37.962398375726337</v>
      </c>
      <c r="H67" s="456">
        <v>37.962398375726337</v>
      </c>
      <c r="I67" s="456">
        <v>37.962398375726337</v>
      </c>
      <c r="J67" s="456">
        <v>37.962398375726337</v>
      </c>
      <c r="K67" s="456">
        <v>37.962398375726337</v>
      </c>
      <c r="L67" s="456">
        <v>37.962398375726337</v>
      </c>
      <c r="R67" s="2131">
        <f ca="1">OFFSET(Fuels!$E91,0,$AD$8)</f>
        <v>5.71</v>
      </c>
      <c r="S67" s="511"/>
      <c r="V67" s="1471" t="s">
        <v>1647</v>
      </c>
      <c r="W67" s="1275" t="s">
        <v>1701</v>
      </c>
      <c r="X67" s="1275" t="s">
        <v>1701</v>
      </c>
      <c r="Y67" s="1275" t="s">
        <v>1701</v>
      </c>
      <c r="Z67" s="1275" t="s">
        <v>1701</v>
      </c>
      <c r="AA67" s="1275" t="s">
        <v>1726</v>
      </c>
      <c r="AB67" s="1275" t="s">
        <v>1725</v>
      </c>
      <c r="AC67" s="1275" t="s">
        <v>1704</v>
      </c>
    </row>
    <row r="68" spans="4:29" ht="14.25" customHeight="1">
      <c r="D68" s="518" t="str">
        <f>Fuels!D122</f>
        <v>Proces energiemissioner, råstofkonvertering:</v>
      </c>
      <c r="E68" s="520" t="str">
        <f ca="1">OFFSET(Fuels!$E123,0,0)</f>
        <v>kg/GJ råstof</v>
      </c>
      <c r="F68" s="456">
        <v>6.3402395795146562</v>
      </c>
      <c r="G68" s="456">
        <v>6.3402395795146562</v>
      </c>
      <c r="H68" s="456">
        <v>2.7112364470044974</v>
      </c>
      <c r="I68" s="456">
        <v>0.96501124339369693</v>
      </c>
      <c r="J68" s="456">
        <v>9.1898641588296762E-2</v>
      </c>
      <c r="K68" s="456">
        <v>9.1898641588296762E-2</v>
      </c>
      <c r="L68" s="456">
        <v>9.1898641588296762E-2</v>
      </c>
      <c r="R68" s="2131">
        <f ca="1">OFFSET(Fuels!$E123,0,$AD$8)</f>
        <v>2.5998946551256696</v>
      </c>
      <c r="V68" s="1471" t="s">
        <v>1648</v>
      </c>
      <c r="W68" s="1275" t="s">
        <v>1701</v>
      </c>
      <c r="X68" s="1275" t="s">
        <v>1701</v>
      </c>
      <c r="Y68" s="1275" t="s">
        <v>1701</v>
      </c>
      <c r="Z68" s="1275" t="s">
        <v>1701</v>
      </c>
      <c r="AA68" s="1275" t="s">
        <v>1726</v>
      </c>
      <c r="AB68" s="1275" t="s">
        <v>1725</v>
      </c>
      <c r="AC68" s="1275" t="s">
        <v>1704</v>
      </c>
    </row>
    <row r="69" spans="4:29">
      <c r="D69" s="518" t="str">
        <f>Fuels!D161</f>
        <v>Øvrige proces emissioner, råstofkonvertering:</v>
      </c>
      <c r="E69" s="520" t="str">
        <f ca="1">OFFSET(Fuels!$E162,0,0)</f>
        <v>kg/GJ råstof</v>
      </c>
      <c r="F69" s="456">
        <v>0</v>
      </c>
      <c r="G69" s="456">
        <v>0</v>
      </c>
      <c r="H69" s="456">
        <v>0</v>
      </c>
      <c r="I69" s="456">
        <v>0</v>
      </c>
      <c r="J69" s="456">
        <v>0</v>
      </c>
      <c r="K69" s="456">
        <v>0</v>
      </c>
      <c r="L69" s="456">
        <v>0</v>
      </c>
      <c r="R69" s="2131">
        <f ca="1">OFFSET(Fuels!$E162,0,$AD$8)</f>
        <v>0</v>
      </c>
      <c r="V69" s="1471" t="s">
        <v>2024</v>
      </c>
      <c r="W69" s="1275" t="s">
        <v>1701</v>
      </c>
      <c r="X69" s="1275" t="s">
        <v>1701</v>
      </c>
      <c r="Y69" s="1275" t="s">
        <v>1701</v>
      </c>
      <c r="Z69" s="1275" t="s">
        <v>1701</v>
      </c>
      <c r="AA69" s="1275" t="s">
        <v>1726</v>
      </c>
      <c r="AB69" s="1275" t="s">
        <v>1725</v>
      </c>
      <c r="AC69" s="1275" t="s">
        <v>1704</v>
      </c>
    </row>
    <row r="70" spans="4:29" ht="25.5">
      <c r="D70" s="518" t="str">
        <f>Fuels!D170</f>
        <v xml:space="preserve">Emissioner i alt ab råstofkonvertering (proces + opstrøm emissioner fra råstof + korrektion for biprodukter)  </v>
      </c>
      <c r="E70" s="520" t="str">
        <f ca="1">OFFSET(Fuels!$E171,0,0)</f>
        <v>kg/GJ råstof</v>
      </c>
      <c r="F70" s="456">
        <v>28.768631014015931</v>
      </c>
      <c r="G70" s="456">
        <v>28.768631014015931</v>
      </c>
      <c r="H70" s="456">
        <v>25.20760932806715</v>
      </c>
      <c r="I70" s="456">
        <v>23.881481237567808</v>
      </c>
      <c r="J70" s="456">
        <v>23.218417192318135</v>
      </c>
      <c r="K70" s="456">
        <v>23.218417192318135</v>
      </c>
      <c r="L70" s="456">
        <v>23.218417192318135</v>
      </c>
      <c r="R70" s="2131">
        <f ca="1">OFFSET(Fuels!$E171,0,$AD$8)</f>
        <v>4.0824302055264221</v>
      </c>
      <c r="V70" s="1471" t="s">
        <v>2050</v>
      </c>
      <c r="W70" s="1275" t="s">
        <v>1701</v>
      </c>
      <c r="X70" s="1275" t="s">
        <v>1701</v>
      </c>
      <c r="Y70" s="1275" t="s">
        <v>1701</v>
      </c>
      <c r="Z70" s="1275" t="s">
        <v>1701</v>
      </c>
      <c r="AA70" s="1275" t="s">
        <v>1726</v>
      </c>
      <c r="AB70" s="1275" t="s">
        <v>1725</v>
      </c>
      <c r="AC70" s="1275" t="s">
        <v>1704</v>
      </c>
    </row>
    <row r="71" spans="4:29" ht="25.5">
      <c r="D71" s="519" t="str">
        <f>Fuels!D178</f>
        <v xml:space="preserve">Emissioner i alt ab råstofkonvertering (proces + opstrøm emissioner fra råstof + korrektion for biprodukter)  </v>
      </c>
      <c r="E71" s="521" t="str">
        <f ca="1">OFFSET(Fuels!$E179,0,0)</f>
        <v>kg/GJ mellemprodukt</v>
      </c>
      <c r="F71" s="857">
        <v>50.057417964387724</v>
      </c>
      <c r="G71" s="857">
        <v>50.057417964387724</v>
      </c>
      <c r="H71" s="857">
        <v>43.861240230836842</v>
      </c>
      <c r="I71" s="857">
        <v>41.553777353367991</v>
      </c>
      <c r="J71" s="857">
        <v>40.400045914633559</v>
      </c>
      <c r="K71" s="857">
        <v>40.400045914633559</v>
      </c>
      <c r="L71" s="857">
        <v>40.400045914633559</v>
      </c>
      <c r="R71" s="2130">
        <f ca="1">OFFSET(Fuels!$E179,0,$AD$8)</f>
        <v>8.6850931039405381</v>
      </c>
      <c r="V71" s="1471" t="s">
        <v>1973</v>
      </c>
      <c r="W71" s="1275" t="s">
        <v>1701</v>
      </c>
      <c r="X71" s="1275" t="s">
        <v>1701</v>
      </c>
      <c r="Y71" s="1275" t="s">
        <v>1701</v>
      </c>
      <c r="Z71" s="1275" t="s">
        <v>1701</v>
      </c>
      <c r="AA71" s="1275" t="s">
        <v>1726</v>
      </c>
      <c r="AB71" s="1275" t="s">
        <v>1725</v>
      </c>
      <c r="AC71" s="1275" t="s">
        <v>1704</v>
      </c>
    </row>
    <row r="72" spans="4:29">
      <c r="D72" s="518" t="str">
        <f>Fuels!D194</f>
        <v>Distributionstab i transport fra råstofkonvertering til mellemprodukt</v>
      </c>
      <c r="E72" s="520" t="str">
        <f ca="1">OFFSET(Fuels!$E195,0,0)</f>
        <v>kg/GJ mellemprodukt</v>
      </c>
      <c r="F72" s="456">
        <v>0</v>
      </c>
      <c r="G72" s="456">
        <v>0</v>
      </c>
      <c r="H72" s="456">
        <v>0</v>
      </c>
      <c r="I72" s="456">
        <v>0</v>
      </c>
      <c r="J72" s="456">
        <v>0</v>
      </c>
      <c r="K72" s="456">
        <v>0</v>
      </c>
      <c r="L72" s="456">
        <v>0</v>
      </c>
      <c r="R72" s="2131">
        <f ca="1">OFFSET(Fuels!$E195,0,$AD$8)</f>
        <v>0</v>
      </c>
      <c r="V72" s="1471" t="s">
        <v>1976</v>
      </c>
      <c r="W72" s="1275" t="s">
        <v>1701</v>
      </c>
      <c r="X72" s="1275" t="s">
        <v>1701</v>
      </c>
      <c r="Y72" s="1275" t="s">
        <v>1701</v>
      </c>
      <c r="Z72" s="1275" t="s">
        <v>1701</v>
      </c>
      <c r="AA72" s="1275" t="s">
        <v>1726</v>
      </c>
      <c r="AB72" s="1275" t="s">
        <v>1725</v>
      </c>
      <c r="AC72" s="1275" t="s">
        <v>1704</v>
      </c>
    </row>
    <row r="73" spans="4:29" ht="25.5">
      <c r="D73" s="518" t="str">
        <f>Fuels!D203</f>
        <v>Proces energiemissioner, transport af mellemprodukt fra råstofkonvertering til mellemkonvertering</v>
      </c>
      <c r="E73" s="520" t="str">
        <f ca="1">OFFSET(Fuels!$E204,0,0)</f>
        <v>kg/GJ mellemprodukt</v>
      </c>
      <c r="F73" s="456">
        <v>0</v>
      </c>
      <c r="G73" s="456">
        <v>0</v>
      </c>
      <c r="H73" s="456">
        <v>0</v>
      </c>
      <c r="I73" s="456">
        <v>0</v>
      </c>
      <c r="J73" s="456">
        <v>0</v>
      </c>
      <c r="K73" s="456">
        <v>0</v>
      </c>
      <c r="L73" s="456">
        <v>0</v>
      </c>
      <c r="R73" s="2131">
        <f ca="1">OFFSET(Fuels!$E204,0,$AD$8)</f>
        <v>0</v>
      </c>
      <c r="V73" s="1471" t="s">
        <v>1974</v>
      </c>
      <c r="W73" s="1275" t="s">
        <v>1701</v>
      </c>
      <c r="X73" s="1275" t="s">
        <v>1701</v>
      </c>
      <c r="Y73" s="1275" t="s">
        <v>1701</v>
      </c>
      <c r="Z73" s="1275" t="s">
        <v>1701</v>
      </c>
      <c r="AA73" s="1275" t="s">
        <v>1726</v>
      </c>
      <c r="AB73" s="1275" t="s">
        <v>1725</v>
      </c>
      <c r="AC73" s="1275" t="s">
        <v>1704</v>
      </c>
    </row>
    <row r="74" spans="4:29" ht="25.5">
      <c r="D74" s="519" t="str">
        <f>Fuels!D212</f>
        <v xml:space="preserve">Emissioner i alt an mellemkonvertering (emissioner ab råstofkonvertering + tab + procesenergi til distribution råstofkonv-&gt;mellemkonv.)  </v>
      </c>
      <c r="E74" s="521" t="str">
        <f ca="1">OFFSET(Fuels!$E213,0,0)</f>
        <v>kg/GJ mellemprodukt</v>
      </c>
      <c r="F74" s="857">
        <v>50.057417964387724</v>
      </c>
      <c r="G74" s="857">
        <v>50.057417964387724</v>
      </c>
      <c r="H74" s="857">
        <v>43.861240230836842</v>
      </c>
      <c r="I74" s="857">
        <v>41.553777353367991</v>
      </c>
      <c r="J74" s="857">
        <v>40.400045914633559</v>
      </c>
      <c r="K74" s="857">
        <v>40.400045914633559</v>
      </c>
      <c r="L74" s="857">
        <v>40.400045914633559</v>
      </c>
      <c r="R74" s="2130">
        <f ca="1">OFFSET(Fuels!$E213,0,$AD$8)</f>
        <v>8.6850931039405381</v>
      </c>
      <c r="V74" s="1471" t="s">
        <v>1975</v>
      </c>
      <c r="W74" s="1275" t="s">
        <v>1701</v>
      </c>
      <c r="X74" s="1275" t="s">
        <v>1701</v>
      </c>
      <c r="Y74" s="1275" t="s">
        <v>1701</v>
      </c>
      <c r="Z74" s="1275" t="s">
        <v>1701</v>
      </c>
      <c r="AA74" s="1275" t="s">
        <v>1726</v>
      </c>
      <c r="AB74" s="1275" t="s">
        <v>1725</v>
      </c>
      <c r="AC74" s="1275" t="s">
        <v>1704</v>
      </c>
    </row>
    <row r="75" spans="4:29">
      <c r="D75" s="518" t="str">
        <f>Fuels!D287</f>
        <v>Emissioner ved distribution af drivmiddel fra mellemkonvertering til tank</v>
      </c>
      <c r="E75" s="520" t="str">
        <f ca="1">OFFSET(Fuels!$E288,0,0)</f>
        <v>kg/GJ drivmiddel</v>
      </c>
      <c r="F75" s="456">
        <v>0.12870231690471123</v>
      </c>
      <c r="G75" s="456">
        <v>0.12870231690471123</v>
      </c>
      <c r="H75" s="456">
        <v>0.12870231690471123</v>
      </c>
      <c r="I75" s="456">
        <v>0.12870231690471123</v>
      </c>
      <c r="J75" s="456">
        <v>0.12870231690471123</v>
      </c>
      <c r="K75" s="456">
        <v>0.12870231690471123</v>
      </c>
      <c r="L75" s="456">
        <v>0.12870231690471123</v>
      </c>
      <c r="R75" s="2131">
        <f ca="1">OFFSET(Fuels!$E288,0,$AD$8)</f>
        <v>8.2222222222222224E-2</v>
      </c>
      <c r="V75" s="1471" t="s">
        <v>1977</v>
      </c>
      <c r="W75" s="1275" t="s">
        <v>1701</v>
      </c>
      <c r="X75" s="1275" t="s">
        <v>1701</v>
      </c>
      <c r="Y75" s="1275" t="s">
        <v>1701</v>
      </c>
      <c r="Z75" s="1275" t="s">
        <v>1701</v>
      </c>
      <c r="AA75" s="1275" t="s">
        <v>1726</v>
      </c>
      <c r="AB75" s="1275" t="s">
        <v>1725</v>
      </c>
      <c r="AC75" s="1275" t="s">
        <v>1704</v>
      </c>
    </row>
    <row r="76" spans="4:29">
      <c r="D76" s="518" t="str">
        <f>Fuels!D296</f>
        <v>Samlede emissioner an tank (opstrøm, råstof- og mellemkonvertering og distribution)</v>
      </c>
      <c r="E76" s="520" t="str">
        <f ca="1">OFFSET(Fuels!$E297,0,0)</f>
        <v>kg/GJ drivmiddel</v>
      </c>
      <c r="F76" s="456">
        <v>50.186120281292439</v>
      </c>
      <c r="G76" s="456">
        <v>50.186120281292439</v>
      </c>
      <c r="H76" s="456">
        <v>43.989942547741556</v>
      </c>
      <c r="I76" s="456">
        <v>41.682479670272706</v>
      </c>
      <c r="J76" s="456">
        <v>40.528748231538273</v>
      </c>
      <c r="K76" s="456">
        <v>40.528748231538273</v>
      </c>
      <c r="L76" s="456">
        <v>40.528748231538273</v>
      </c>
      <c r="R76" s="2131">
        <f ca="1">OFFSET(Fuels!$E297,0,$AD$8)</f>
        <v>8.7673153261627608</v>
      </c>
      <c r="V76" s="1471" t="s">
        <v>1985</v>
      </c>
      <c r="W76" s="1275" t="s">
        <v>1701</v>
      </c>
      <c r="X76" s="1275" t="s">
        <v>1701</v>
      </c>
      <c r="Y76" s="1275" t="s">
        <v>1701</v>
      </c>
      <c r="Z76" s="1275" t="s">
        <v>1701</v>
      </c>
      <c r="AA76" s="1275" t="s">
        <v>1726</v>
      </c>
      <c r="AB76" s="1275" t="s">
        <v>1725</v>
      </c>
      <c r="AC76" s="1275" t="s">
        <v>1704</v>
      </c>
    </row>
    <row r="77" spans="4:29" ht="38.25">
      <c r="D77" s="519" t="str">
        <f>Fuels!D304</f>
        <v>Drivmiddelspecifikke emissioner tank-&gt;hjul (ekskl. motorspecifikke emissioner [typisk partikler, CH4, N2O og NOx], disse er håndteret i røde motor-ark ud fra EURO normer)</v>
      </c>
      <c r="E77" s="521" t="str">
        <f ca="1">OFFSET(Fuels!$E305,0,0)</f>
        <v>kg/GJ drivmiddel</v>
      </c>
      <c r="F77" s="857">
        <v>0</v>
      </c>
      <c r="G77" s="857">
        <v>0</v>
      </c>
      <c r="H77" s="857">
        <v>0</v>
      </c>
      <c r="I77" s="857">
        <v>0</v>
      </c>
      <c r="J77" s="857">
        <v>0</v>
      </c>
      <c r="K77" s="857">
        <v>0</v>
      </c>
      <c r="L77" s="857">
        <v>0</v>
      </c>
      <c r="R77" s="2130">
        <f ca="1">OFFSET(Fuels!$E305,0,$AD$8)</f>
        <v>74</v>
      </c>
      <c r="V77" s="1471" t="s">
        <v>604</v>
      </c>
      <c r="W77" s="1275" t="s">
        <v>1701</v>
      </c>
      <c r="X77" s="1275" t="s">
        <v>1701</v>
      </c>
      <c r="Y77" s="1275" t="s">
        <v>1701</v>
      </c>
      <c r="Z77" s="1275" t="s">
        <v>1701</v>
      </c>
      <c r="AA77" s="1275" t="s">
        <v>1726</v>
      </c>
      <c r="AB77" s="1275" t="s">
        <v>1725</v>
      </c>
      <c r="AC77" s="1275" t="s">
        <v>1704</v>
      </c>
    </row>
    <row r="78" spans="4:29">
      <c r="D78" s="517" t="str">
        <f>Vehicles!D181</f>
        <v>Samlede emissioner per trafikarbejde</v>
      </c>
      <c r="E78" s="522" t="str">
        <f ca="1">OFFSET(Vehicles!E182,0,0)</f>
        <v>g/km</v>
      </c>
      <c r="F78" s="1282">
        <v>120.55646821976717</v>
      </c>
      <c r="G78" s="1282">
        <v>120.55646821976717</v>
      </c>
      <c r="H78" s="1282">
        <v>77.920663143514588</v>
      </c>
      <c r="I78" s="1282">
        <v>75.819024162613843</v>
      </c>
      <c r="J78" s="1282">
        <v>74.439305046519209</v>
      </c>
      <c r="K78" s="1282">
        <v>74.439411203765061</v>
      </c>
      <c r="L78" s="1282">
        <v>74.439411203765061</v>
      </c>
      <c r="R78" s="536">
        <f ca="1">OFFSET(Vehicles!E182,0,$AD$7)</f>
        <v>129.10407835437584</v>
      </c>
      <c r="V78" s="1471" t="s">
        <v>632</v>
      </c>
      <c r="W78" s="1275" t="s">
        <v>1701</v>
      </c>
      <c r="X78" s="1275" t="s">
        <v>1701</v>
      </c>
      <c r="Y78" s="1275" t="s">
        <v>1701</v>
      </c>
      <c r="Z78" s="1275" t="s">
        <v>1701</v>
      </c>
      <c r="AA78" s="1275" t="s">
        <v>1726</v>
      </c>
      <c r="AB78" s="1275" t="s">
        <v>1725</v>
      </c>
      <c r="AC78" s="1275" t="s">
        <v>1704</v>
      </c>
    </row>
    <row r="79" spans="4:29">
      <c r="D79" s="514"/>
      <c r="E79" s="228"/>
      <c r="F79" s="455"/>
      <c r="G79" s="228"/>
      <c r="H79" s="228"/>
      <c r="I79" s="228"/>
      <c r="J79" s="455"/>
      <c r="K79" s="455"/>
      <c r="L79" s="455"/>
      <c r="R79" s="537"/>
      <c r="V79" s="1471" t="s">
        <v>671</v>
      </c>
      <c r="W79" s="1275" t="s">
        <v>1701</v>
      </c>
      <c r="X79" s="1275" t="s">
        <v>1701</v>
      </c>
      <c r="Y79" s="1275" t="s">
        <v>1701</v>
      </c>
      <c r="Z79" s="1275" t="s">
        <v>1701</v>
      </c>
      <c r="AA79" s="1275" t="s">
        <v>1726</v>
      </c>
      <c r="AB79" s="1275" t="s">
        <v>1725</v>
      </c>
      <c r="AC79" s="1275" t="s">
        <v>1704</v>
      </c>
    </row>
    <row r="80" spans="4:29">
      <c r="D80" s="512" t="str">
        <f>Fuels!D223</f>
        <v>Fordeling af emissioner i mellemkonvertering ud fra værdien af hovedprodukt og biprodukt</v>
      </c>
      <c r="E80" s="226"/>
      <c r="F80" s="226"/>
      <c r="G80" s="226"/>
      <c r="H80" s="226"/>
      <c r="I80" s="226"/>
      <c r="J80" s="226"/>
      <c r="K80" s="226"/>
      <c r="L80" s="226"/>
      <c r="R80" s="535"/>
      <c r="V80" s="1471" t="s">
        <v>672</v>
      </c>
      <c r="W80" s="1275" t="s">
        <v>1701</v>
      </c>
      <c r="X80" s="1275" t="s">
        <v>1701</v>
      </c>
      <c r="Y80" s="1275" t="s">
        <v>1701</v>
      </c>
      <c r="Z80" s="1275" t="s">
        <v>1701</v>
      </c>
      <c r="AA80" s="1275" t="s">
        <v>1726</v>
      </c>
      <c r="AB80" s="1275" t="s">
        <v>1725</v>
      </c>
      <c r="AC80" s="1275" t="s">
        <v>1704</v>
      </c>
    </row>
    <row r="81" spans="4:29">
      <c r="D81" s="342" t="str">
        <f ca="1">OFFSET(Fuels!$E227,0,-1)</f>
        <v>Drivmiddelandel af proces energiforbrug</v>
      </c>
      <c r="E81" s="342" t="str">
        <f ca="1">OFFSET(Fuels!$E227,0,0)</f>
        <v>%</v>
      </c>
      <c r="F81" s="1283">
        <v>1</v>
      </c>
      <c r="G81" s="1283">
        <v>1</v>
      </c>
      <c r="H81" s="1283">
        <v>1</v>
      </c>
      <c r="I81" s="1283">
        <v>1</v>
      </c>
      <c r="J81" s="1283">
        <v>1</v>
      </c>
      <c r="K81" s="1283">
        <v>1</v>
      </c>
      <c r="L81" s="1283">
        <v>1</v>
      </c>
      <c r="R81" s="2129">
        <f ca="1">OFFSET(Fuels!$E227,0,$X$7)</f>
        <v>1</v>
      </c>
      <c r="V81" s="1464" t="s">
        <v>673</v>
      </c>
      <c r="W81" s="1276" t="s">
        <v>1701</v>
      </c>
      <c r="X81" s="1276" t="s">
        <v>1701</v>
      </c>
      <c r="Y81" s="1276" t="s">
        <v>1701</v>
      </c>
      <c r="Z81" s="1276" t="s">
        <v>1701</v>
      </c>
      <c r="AA81" s="1276" t="s">
        <v>1726</v>
      </c>
      <c r="AB81" s="1276" t="s">
        <v>1725</v>
      </c>
      <c r="AC81" s="1276" t="s">
        <v>1704</v>
      </c>
    </row>
    <row r="82" spans="4:29">
      <c r="F82" s="523"/>
    </row>
    <row r="83" spans="4:29">
      <c r="F83" s="523"/>
    </row>
    <row r="84" spans="4:29">
      <c r="F84" s="523"/>
    </row>
    <row r="85" spans="4:29">
      <c r="E85" s="2135" t="str">
        <f>"Appendix - page A"&amp;A4rowActive</f>
        <v>Appendix - page A1</v>
      </c>
      <c r="F85" s="523"/>
    </row>
    <row r="86" spans="4:29">
      <c r="F86" s="523"/>
    </row>
    <row r="87" spans="4:29">
      <c r="F87" s="523"/>
    </row>
    <row r="88" spans="4:29">
      <c r="F88" s="523"/>
    </row>
    <row r="89" spans="4:29">
      <c r="F89" s="523"/>
    </row>
    <row r="90" spans="4:29">
      <c r="F90" s="523"/>
    </row>
    <row r="91" spans="4:29">
      <c r="F91" s="523"/>
    </row>
    <row r="92" spans="4:29">
      <c r="F92" s="523"/>
    </row>
    <row r="93" spans="4:29">
      <c r="F93" s="523"/>
    </row>
    <row r="94" spans="4:29">
      <c r="F94" s="523"/>
    </row>
    <row r="95" spans="4:29">
      <c r="F95" s="523"/>
    </row>
    <row r="96" spans="4:29">
      <c r="F96" s="523"/>
    </row>
    <row r="97" spans="6:6">
      <c r="F97" s="523"/>
    </row>
    <row r="98" spans="6:6">
      <c r="F98" s="523"/>
    </row>
    <row r="99" spans="6:6">
      <c r="F99" s="523"/>
    </row>
    <row r="100" spans="6:6">
      <c r="F100" s="523"/>
    </row>
    <row r="101" spans="6:6">
      <c r="F101" s="523"/>
    </row>
    <row r="102" spans="6:6">
      <c r="F102" s="523"/>
    </row>
    <row r="103" spans="6:6">
      <c r="F103" s="523"/>
    </row>
    <row r="104" spans="6:6">
      <c r="F104" s="523"/>
    </row>
    <row r="105" spans="6:6">
      <c r="F105" s="523"/>
    </row>
    <row r="106" spans="6:6">
      <c r="F106" s="523"/>
    </row>
    <row r="107" spans="6:6">
      <c r="F107" s="523"/>
    </row>
    <row r="108" spans="6:6">
      <c r="F108" s="523"/>
    </row>
    <row r="109" spans="6:6">
      <c r="F109" s="523"/>
    </row>
    <row r="110" spans="6:6">
      <c r="F110" s="523"/>
    </row>
    <row r="111" spans="6:6">
      <c r="F111" s="523"/>
    </row>
    <row r="112" spans="6:6">
      <c r="F112" s="523"/>
    </row>
    <row r="113" spans="6:6">
      <c r="F113" s="523"/>
    </row>
    <row r="114" spans="6:6">
      <c r="F114" s="523"/>
    </row>
    <row r="115" spans="6:6">
      <c r="F115" s="523"/>
    </row>
    <row r="116" spans="6:6">
      <c r="F116" s="523"/>
    </row>
    <row r="117" spans="6:6">
      <c r="F117" s="523"/>
    </row>
  </sheetData>
  <pageMargins left="0.70866141732283472" right="0.70866141732283472" top="0.74803149606299213" bottom="0.74803149606299213" header="0.31496062992125984" footer="0.31496062992125984"/>
  <pageSetup paperSize="9" scale="5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82" r:id="rId4" name="Drop Down 2">
              <controlPr defaultSize="0" autoLine="0" autoPict="0">
                <anchor moveWithCells="1">
                  <from>
                    <xdr:col>20</xdr:col>
                    <xdr:colOff>581025</xdr:colOff>
                    <xdr:row>0</xdr:row>
                    <xdr:rowOff>57150</xdr:rowOff>
                  </from>
                  <to>
                    <xdr:col>23</xdr:col>
                    <xdr:colOff>38100</xdr:colOff>
                    <xdr:row>0</xdr:row>
                    <xdr:rowOff>238125</xdr:rowOff>
                  </to>
                </anchor>
              </controlPr>
            </control>
          </mc:Choice>
        </mc:AlternateContent>
        <mc:AlternateContent xmlns:mc="http://schemas.openxmlformats.org/markup-compatibility/2006">
          <mc:Choice Requires="x14">
            <control shapeId="686138" r:id="rId5" name="Button 58">
              <controlPr defaultSize="0" print="0" autoFill="0" autoPict="0" macro="[0]!PopulateA4results">
                <anchor moveWithCells="1" sizeWithCells="1">
                  <from>
                    <xdr:col>20</xdr:col>
                    <xdr:colOff>552450</xdr:colOff>
                    <xdr:row>1</xdr:row>
                    <xdr:rowOff>57150</xdr:rowOff>
                  </from>
                  <to>
                    <xdr:col>23</xdr:col>
                    <xdr:colOff>47625</xdr:colOff>
                    <xdr:row>3</xdr:row>
                    <xdr:rowOff>142875</xdr:rowOff>
                  </to>
                </anchor>
              </controlPr>
            </control>
          </mc:Choice>
        </mc:AlternateContent>
        <mc:AlternateContent xmlns:mc="http://schemas.openxmlformats.org/markup-compatibility/2006">
          <mc:Choice Requires="x14">
            <control shapeId="686139" r:id="rId6" name="Button 59">
              <controlPr defaultSize="0" print="0" autoFill="0" autoPict="0" macro="[0]!printA4pdfFiles">
                <anchor moveWithCells="1" sizeWithCells="1">
                  <from>
                    <xdr:col>24</xdr:col>
                    <xdr:colOff>552450</xdr:colOff>
                    <xdr:row>1</xdr:row>
                    <xdr:rowOff>57150</xdr:rowOff>
                  </from>
                  <to>
                    <xdr:col>27</xdr:col>
                    <xdr:colOff>114300</xdr:colOff>
                    <xdr:row>3</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1"/>
    <outlinePr summaryBelow="0" summaryRight="0"/>
    <pageSetUpPr fitToPage="1"/>
  </sheetPr>
  <dimension ref="A1:AY268"/>
  <sheetViews>
    <sheetView showGridLines="0" zoomScale="80" zoomScaleNormal="80" zoomScaleSheetLayoutView="85" workbookViewId="0">
      <pane xSplit="5" ySplit="12" topLeftCell="AE13" activePane="bottomRight" state="frozen"/>
      <selection activeCell="O6" sqref="O6"/>
      <selection pane="topRight" activeCell="O6" sqref="O6"/>
      <selection pane="bottomLeft" activeCell="O6" sqref="O6"/>
      <selection pane="bottomRight" activeCell="AO6" sqref="AO6"/>
    </sheetView>
  </sheetViews>
  <sheetFormatPr defaultRowHeight="11.25" outlineLevelRow="1"/>
  <cols>
    <col min="1" max="1" width="3.28515625" style="698" customWidth="1"/>
    <col min="2" max="2" width="3.42578125" style="698" customWidth="1"/>
    <col min="3" max="3" width="2" style="698" customWidth="1"/>
    <col min="4" max="4" width="27.42578125" style="719" customWidth="1"/>
    <col min="5" max="5" width="20.28515625" style="720" customWidth="1"/>
    <col min="6" max="6" width="10" style="698" customWidth="1"/>
    <col min="7" max="9" width="8.42578125" style="698" customWidth="1"/>
    <col min="10" max="10" width="9" style="698" customWidth="1"/>
    <col min="11" max="11" width="10.85546875" style="698" bestFit="1" customWidth="1"/>
    <col min="12" max="12" width="10.5703125" style="698" bestFit="1" customWidth="1"/>
    <col min="13" max="13" width="9.140625" style="698" customWidth="1"/>
    <col min="14" max="14" width="8.42578125" style="698" customWidth="1"/>
    <col min="15" max="15" width="10.28515625" style="698" customWidth="1"/>
    <col min="16" max="16" width="9.140625" style="698" customWidth="1"/>
    <col min="17" max="17" width="9.85546875" style="698" customWidth="1"/>
    <col min="18" max="18" width="9.5703125" style="698" customWidth="1"/>
    <col min="19" max="19" width="8.42578125" style="698" customWidth="1"/>
    <col min="20" max="20" width="11" style="698" customWidth="1"/>
    <col min="21" max="22" width="8.42578125" style="698" customWidth="1"/>
    <col min="23" max="23" width="11.85546875" style="698" bestFit="1" customWidth="1"/>
    <col min="24" max="24" width="12.140625" style="698" bestFit="1" customWidth="1"/>
    <col min="25" max="25" width="11.28515625" style="698" bestFit="1" customWidth="1"/>
    <col min="26" max="27" width="12.42578125" style="698" bestFit="1" customWidth="1"/>
    <col min="28" max="28" width="11" style="698" bestFit="1" customWidth="1"/>
    <col min="29" max="29" width="11.28515625" style="698" bestFit="1" customWidth="1"/>
    <col min="30" max="30" width="11.85546875" style="698" bestFit="1" customWidth="1"/>
    <col min="31" max="42" width="9.140625" style="698" customWidth="1"/>
    <col min="43" max="43" width="8.42578125" style="698" customWidth="1"/>
    <col min="44" max="46" width="9.140625" style="698"/>
    <col min="47" max="47" width="9.140625" style="698" customWidth="1"/>
    <col min="48" max="48" width="9.140625" style="698"/>
    <col min="49" max="49" width="8.42578125" style="698" customWidth="1"/>
    <col min="50" max="50" width="9.140625" style="698"/>
    <col min="51" max="51" width="9.140625" style="698" customWidth="1"/>
    <col min="52" max="52" width="10" style="698" customWidth="1"/>
    <col min="53" max="55" width="9.140625" style="698"/>
    <col min="56" max="56" width="10" style="698" customWidth="1"/>
    <col min="57" max="57" width="9.85546875" style="698" customWidth="1"/>
    <col min="58" max="58" width="9.140625" style="698"/>
    <col min="59" max="59" width="10" style="698" customWidth="1"/>
    <col min="60" max="16384" width="9.140625" style="698"/>
  </cols>
  <sheetData>
    <row r="1" spans="3:51" s="465" customFormat="1" ht="21">
      <c r="D1" s="2401" t="s">
        <v>298</v>
      </c>
      <c r="E1" s="466"/>
      <c r="Q1" s="465">
        <f ca="1">'Log2015'!M1</f>
        <v>-8.0112614142160741</v>
      </c>
      <c r="R1" s="467">
        <f ca="1">'Log2015'!N1</f>
        <v>-160807.124977848</v>
      </c>
      <c r="S1" s="468"/>
      <c r="W1" s="2400"/>
      <c r="X1" s="2400"/>
      <c r="Y1" s="2400"/>
      <c r="Z1" s="2400"/>
      <c r="AA1" s="2400"/>
      <c r="AB1" s="2400"/>
      <c r="AC1" s="2400"/>
      <c r="AD1" s="2400"/>
      <c r="AE1" s="2400"/>
      <c r="AV1" s="2402"/>
      <c r="AY1" s="2402"/>
    </row>
    <row r="2" spans="3:51" s="664" customFormat="1">
      <c r="C2" s="665"/>
      <c r="D2" s="666" t="s">
        <v>478</v>
      </c>
      <c r="E2" s="667"/>
    </row>
    <row r="3" spans="3:51" s="664" customFormat="1">
      <c r="D3" s="666"/>
      <c r="E3" s="667"/>
    </row>
    <row r="4" spans="3:51" s="664" customFormat="1">
      <c r="D4" s="666"/>
      <c r="E4" s="667"/>
    </row>
    <row r="5" spans="3:51" s="664" customFormat="1">
      <c r="D5" s="668" t="s">
        <v>835</v>
      </c>
      <c r="E5" s="667"/>
      <c r="F5" s="669" t="s">
        <v>448</v>
      </c>
      <c r="AF5" s="669" t="s">
        <v>686</v>
      </c>
    </row>
    <row r="6" spans="3:51" s="664" customFormat="1" ht="22.5">
      <c r="D6" s="670" t="s">
        <v>336</v>
      </c>
      <c r="E6" s="671"/>
      <c r="F6" s="672" t="s">
        <v>961</v>
      </c>
      <c r="G6" s="672" t="s">
        <v>962</v>
      </c>
      <c r="H6" s="672" t="s">
        <v>84</v>
      </c>
      <c r="I6" s="672" t="s">
        <v>2083</v>
      </c>
      <c r="J6" s="672" t="s">
        <v>1597</v>
      </c>
      <c r="K6" s="672" t="s">
        <v>2086</v>
      </c>
      <c r="L6" s="673" t="s">
        <v>1598</v>
      </c>
      <c r="M6" s="672" t="s">
        <v>11</v>
      </c>
      <c r="N6" s="672" t="s">
        <v>30</v>
      </c>
      <c r="O6" s="672" t="s">
        <v>4</v>
      </c>
      <c r="P6" s="672" t="s">
        <v>82</v>
      </c>
      <c r="Q6" s="672" t="s">
        <v>96</v>
      </c>
      <c r="R6" s="672" t="s">
        <v>19</v>
      </c>
      <c r="S6" s="672" t="s">
        <v>667</v>
      </c>
      <c r="T6" s="672" t="s">
        <v>2092</v>
      </c>
      <c r="U6" s="672" t="s">
        <v>1656</v>
      </c>
      <c r="V6" s="672" t="s">
        <v>2080</v>
      </c>
      <c r="W6" s="672" t="s">
        <v>1647</v>
      </c>
      <c r="X6" s="672" t="s">
        <v>1648</v>
      </c>
      <c r="Y6" s="672" t="s">
        <v>2024</v>
      </c>
      <c r="Z6" s="672" t="s">
        <v>2050</v>
      </c>
      <c r="AA6" s="672" t="s">
        <v>1973</v>
      </c>
      <c r="AB6" s="672" t="s">
        <v>1976</v>
      </c>
      <c r="AC6" s="672" t="s">
        <v>1974</v>
      </c>
      <c r="AD6" s="672" t="s">
        <v>1975</v>
      </c>
      <c r="AE6" s="672" t="s">
        <v>1977</v>
      </c>
      <c r="AF6" s="672" t="s">
        <v>1985</v>
      </c>
      <c r="AG6" s="674" t="s">
        <v>604</v>
      </c>
      <c r="AH6" s="674" t="s">
        <v>2578</v>
      </c>
      <c r="AI6" s="674" t="s">
        <v>632</v>
      </c>
      <c r="AJ6" s="674" t="s">
        <v>2577</v>
      </c>
      <c r="AK6" s="674" t="s">
        <v>671</v>
      </c>
      <c r="AL6" s="674" t="s">
        <v>2717</v>
      </c>
      <c r="AM6" s="674" t="s">
        <v>672</v>
      </c>
      <c r="AN6" s="674" t="s">
        <v>673</v>
      </c>
      <c r="AO6" s="674" t="s">
        <v>2650</v>
      </c>
      <c r="AP6" s="674" t="s">
        <v>2714</v>
      </c>
    </row>
    <row r="7" spans="3:51" s="664" customFormat="1" ht="22.5">
      <c r="D7" s="675" t="s">
        <v>0</v>
      </c>
      <c r="E7" s="676"/>
      <c r="F7" s="681" t="s">
        <v>2</v>
      </c>
      <c r="G7" s="681" t="s">
        <v>1</v>
      </c>
      <c r="H7" s="681" t="s">
        <v>798</v>
      </c>
      <c r="I7" s="681" t="s">
        <v>2068</v>
      </c>
      <c r="J7" s="681" t="s">
        <v>799</v>
      </c>
      <c r="K7" s="681" t="s">
        <v>10</v>
      </c>
      <c r="L7" s="681" t="s">
        <v>1572</v>
      </c>
      <c r="M7" s="681" t="s">
        <v>11</v>
      </c>
      <c r="N7" s="681" t="s">
        <v>794</v>
      </c>
      <c r="O7" s="681" t="s">
        <v>1573</v>
      </c>
      <c r="P7" s="681" t="s">
        <v>838</v>
      </c>
      <c r="Q7" s="681" t="s">
        <v>12</v>
      </c>
      <c r="R7" s="681" t="s">
        <v>3</v>
      </c>
      <c r="S7" s="681" t="s">
        <v>1</v>
      </c>
      <c r="T7" s="681" t="s">
        <v>2</v>
      </c>
      <c r="U7" s="681" t="s">
        <v>1484</v>
      </c>
      <c r="V7" s="681" t="s">
        <v>2061</v>
      </c>
      <c r="W7" s="681" t="s">
        <v>1486</v>
      </c>
      <c r="X7" s="681" t="s">
        <v>2</v>
      </c>
      <c r="Y7" s="681" t="s">
        <v>1572</v>
      </c>
      <c r="Z7" s="681" t="s">
        <v>1913</v>
      </c>
      <c r="AA7" s="681" t="s">
        <v>2</v>
      </c>
      <c r="AB7" s="681" t="s">
        <v>1572</v>
      </c>
      <c r="AC7" s="681" t="s">
        <v>1990</v>
      </c>
      <c r="AD7" s="681" t="s">
        <v>2</v>
      </c>
      <c r="AE7" s="681" t="s">
        <v>1572</v>
      </c>
      <c r="AF7" s="681" t="s">
        <v>1913</v>
      </c>
      <c r="AG7" s="681" t="s">
        <v>2</v>
      </c>
      <c r="AH7" s="681" t="s">
        <v>10</v>
      </c>
      <c r="AI7" s="681" t="s">
        <v>794</v>
      </c>
      <c r="AJ7" s="681" t="s">
        <v>11</v>
      </c>
      <c r="AK7" s="681" t="s">
        <v>2</v>
      </c>
      <c r="AL7" s="681" t="s">
        <v>10</v>
      </c>
      <c r="AM7" s="681" t="s">
        <v>794</v>
      </c>
      <c r="AN7" s="681" t="s">
        <v>2</v>
      </c>
      <c r="AO7" s="681" t="s">
        <v>1572</v>
      </c>
      <c r="AP7" s="681" t="s">
        <v>12</v>
      </c>
    </row>
    <row r="8" spans="3:51" s="664" customFormat="1">
      <c r="D8" s="677" t="s">
        <v>20</v>
      </c>
      <c r="E8" s="678"/>
      <c r="F8" s="681"/>
      <c r="G8" s="681"/>
      <c r="H8" s="681" t="s">
        <v>1</v>
      </c>
      <c r="I8" s="681" t="s">
        <v>1</v>
      </c>
      <c r="J8" s="681" t="s">
        <v>1</v>
      </c>
      <c r="K8" s="681"/>
      <c r="L8" s="681"/>
      <c r="M8" s="681"/>
      <c r="N8" s="681"/>
      <c r="O8" s="681"/>
      <c r="P8" s="681" t="s">
        <v>797</v>
      </c>
      <c r="Q8" s="681" t="s">
        <v>797</v>
      </c>
      <c r="R8" s="681"/>
      <c r="S8" s="681" t="s">
        <v>797</v>
      </c>
      <c r="T8" s="681"/>
      <c r="U8" s="681"/>
      <c r="V8" s="681"/>
      <c r="W8" s="681"/>
      <c r="X8" s="681"/>
      <c r="Y8" s="681"/>
      <c r="Z8" s="681" t="s">
        <v>2</v>
      </c>
      <c r="AA8" s="681"/>
      <c r="AB8" s="681"/>
      <c r="AC8" s="681"/>
      <c r="AD8" s="681"/>
      <c r="AE8" s="681"/>
      <c r="AF8" s="681" t="s">
        <v>2</v>
      </c>
      <c r="AG8" s="681"/>
      <c r="AH8" s="681"/>
      <c r="AI8" s="681"/>
      <c r="AJ8" s="681"/>
      <c r="AK8" s="681"/>
      <c r="AL8" s="681"/>
      <c r="AM8" s="681"/>
      <c r="AN8" s="681"/>
      <c r="AO8" s="681"/>
      <c r="AP8" s="681"/>
    </row>
    <row r="9" spans="3:51" s="664" customFormat="1" ht="45">
      <c r="D9" s="679" t="s">
        <v>378</v>
      </c>
      <c r="E9" s="680"/>
      <c r="F9" s="681" t="s">
        <v>86</v>
      </c>
      <c r="G9" s="681" t="s">
        <v>290</v>
      </c>
      <c r="H9" s="681" t="s">
        <v>290</v>
      </c>
      <c r="I9" s="681" t="s">
        <v>290</v>
      </c>
      <c r="J9" s="681" t="s">
        <v>290</v>
      </c>
      <c r="K9" s="681" t="s">
        <v>86</v>
      </c>
      <c r="L9" s="681" t="s">
        <v>86</v>
      </c>
      <c r="M9" s="681" t="s">
        <v>294</v>
      </c>
      <c r="N9" s="681" t="s">
        <v>295</v>
      </c>
      <c r="O9" s="681" t="s">
        <v>295</v>
      </c>
      <c r="P9" s="681" t="s">
        <v>2709</v>
      </c>
      <c r="Q9" s="681" t="s">
        <v>2708</v>
      </c>
      <c r="R9" s="681" t="s">
        <v>276</v>
      </c>
      <c r="S9" s="681" t="s">
        <v>667</v>
      </c>
      <c r="T9" s="681" t="s">
        <v>2093</v>
      </c>
      <c r="U9" s="681" t="s">
        <v>1606</v>
      </c>
      <c r="V9" s="681" t="s">
        <v>1606</v>
      </c>
      <c r="W9" s="681" t="s">
        <v>1646</v>
      </c>
      <c r="X9" s="681" t="s">
        <v>1649</v>
      </c>
      <c r="Y9" s="681" t="s">
        <v>1649</v>
      </c>
      <c r="Z9" s="681" t="s">
        <v>1982</v>
      </c>
      <c r="AA9" s="681" t="s">
        <v>1978</v>
      </c>
      <c r="AB9" s="681" t="s">
        <v>1978</v>
      </c>
      <c r="AC9" s="681" t="s">
        <v>1981</v>
      </c>
      <c r="AD9" s="681" t="s">
        <v>1979</v>
      </c>
      <c r="AE9" s="681" t="s">
        <v>1979</v>
      </c>
      <c r="AF9" s="681" t="s">
        <v>1980</v>
      </c>
      <c r="AG9" s="681" t="s">
        <v>72</v>
      </c>
      <c r="AH9" s="681" t="s">
        <v>605</v>
      </c>
      <c r="AI9" s="681" t="s">
        <v>642</v>
      </c>
      <c r="AJ9" s="681" t="s">
        <v>466</v>
      </c>
      <c r="AK9" s="681" t="s">
        <v>656</v>
      </c>
      <c r="AL9" s="681" t="s">
        <v>656</v>
      </c>
      <c r="AM9" s="681" t="s">
        <v>639</v>
      </c>
      <c r="AN9" s="681" t="s">
        <v>640</v>
      </c>
      <c r="AO9" s="681" t="s">
        <v>2093</v>
      </c>
      <c r="AP9" s="681" t="s">
        <v>2715</v>
      </c>
    </row>
    <row r="10" spans="3:51" s="664" customFormat="1">
      <c r="D10" s="679" t="s">
        <v>2615</v>
      </c>
      <c r="E10" s="680"/>
      <c r="F10" s="681" t="s">
        <v>2617</v>
      </c>
      <c r="G10" s="681" t="s">
        <v>2617</v>
      </c>
      <c r="H10" s="681" t="s">
        <v>2617</v>
      </c>
      <c r="I10" s="681" t="s">
        <v>2617</v>
      </c>
      <c r="J10" s="681" t="s">
        <v>2617</v>
      </c>
      <c r="K10" s="681" t="s">
        <v>2617</v>
      </c>
      <c r="L10" s="681" t="s">
        <v>2617</v>
      </c>
      <c r="M10" s="681" t="s">
        <v>2617</v>
      </c>
      <c r="N10" s="681" t="s">
        <v>2617</v>
      </c>
      <c r="O10" s="681" t="s">
        <v>2617</v>
      </c>
      <c r="P10" s="681" t="s">
        <v>2617</v>
      </c>
      <c r="Q10" s="681" t="s">
        <v>2617</v>
      </c>
      <c r="R10" s="681" t="s">
        <v>77</v>
      </c>
      <c r="S10" s="681" t="s">
        <v>2617</v>
      </c>
      <c r="T10" s="681" t="s">
        <v>77</v>
      </c>
      <c r="U10" s="681" t="s">
        <v>77</v>
      </c>
      <c r="V10" s="681" t="s">
        <v>77</v>
      </c>
      <c r="W10" s="681" t="s">
        <v>77</v>
      </c>
      <c r="X10" s="681" t="s">
        <v>77</v>
      </c>
      <c r="Y10" s="681" t="s">
        <v>77</v>
      </c>
      <c r="Z10" s="681" t="s">
        <v>77</v>
      </c>
      <c r="AA10" s="681" t="s">
        <v>2617</v>
      </c>
      <c r="AB10" s="681" t="s">
        <v>2617</v>
      </c>
      <c r="AC10" s="681" t="s">
        <v>77</v>
      </c>
      <c r="AD10" s="681" t="s">
        <v>2617</v>
      </c>
      <c r="AE10" s="681" t="s">
        <v>2617</v>
      </c>
      <c r="AF10" s="681" t="s">
        <v>2617</v>
      </c>
      <c r="AG10" s="681" t="s">
        <v>2617</v>
      </c>
      <c r="AH10" s="681" t="s">
        <v>2617</v>
      </c>
      <c r="AI10" s="681" t="s">
        <v>2617</v>
      </c>
      <c r="AJ10" s="681" t="s">
        <v>2617</v>
      </c>
      <c r="AK10" s="681" t="s">
        <v>2617</v>
      </c>
      <c r="AL10" s="681" t="s">
        <v>2617</v>
      </c>
      <c r="AM10" s="681" t="s">
        <v>2617</v>
      </c>
      <c r="AN10" s="681" t="s">
        <v>2617</v>
      </c>
      <c r="AO10" s="681" t="s">
        <v>77</v>
      </c>
      <c r="AP10" s="681" t="s">
        <v>2617</v>
      </c>
    </row>
    <row r="11" spans="3:51" s="664" customFormat="1">
      <c r="D11" s="682" t="s">
        <v>100</v>
      </c>
      <c r="E11" s="680"/>
      <c r="F11" s="2518">
        <v>1</v>
      </c>
      <c r="G11" s="2518">
        <v>1</v>
      </c>
      <c r="H11" s="2518">
        <v>0.79</v>
      </c>
      <c r="I11" s="2518">
        <v>0.79</v>
      </c>
      <c r="J11" s="2518">
        <v>0.79</v>
      </c>
      <c r="K11" s="2518">
        <v>1</v>
      </c>
      <c r="L11" s="2518">
        <v>1</v>
      </c>
      <c r="M11" s="2518">
        <v>1</v>
      </c>
      <c r="N11" s="2518">
        <v>1</v>
      </c>
      <c r="O11" s="2518">
        <v>1</v>
      </c>
      <c r="P11" s="2518">
        <v>0.31</v>
      </c>
      <c r="Q11" s="2518">
        <v>0.31</v>
      </c>
      <c r="R11" s="2518">
        <v>1</v>
      </c>
      <c r="S11" s="2518">
        <v>0.66</v>
      </c>
      <c r="T11" s="2518">
        <v>1</v>
      </c>
      <c r="U11" s="2518">
        <v>1</v>
      </c>
      <c r="V11" s="2518">
        <v>1</v>
      </c>
      <c r="W11" s="2518">
        <v>1</v>
      </c>
      <c r="X11" s="2518">
        <v>1</v>
      </c>
      <c r="Y11" s="2518">
        <v>1</v>
      </c>
      <c r="Z11" s="2518">
        <v>0.94</v>
      </c>
      <c r="AA11" s="2518">
        <v>1</v>
      </c>
      <c r="AB11" s="2518">
        <v>1</v>
      </c>
      <c r="AC11" s="2518">
        <v>1</v>
      </c>
      <c r="AD11" s="2518">
        <v>1</v>
      </c>
      <c r="AE11" s="2518">
        <v>1</v>
      </c>
      <c r="AF11" s="2518">
        <v>0.9</v>
      </c>
      <c r="AG11" s="2518">
        <v>1</v>
      </c>
      <c r="AH11" s="2518">
        <v>1</v>
      </c>
      <c r="AI11" s="2518">
        <v>1</v>
      </c>
      <c r="AJ11" s="2518">
        <v>1</v>
      </c>
      <c r="AK11" s="2518">
        <v>1</v>
      </c>
      <c r="AL11" s="2518">
        <v>1</v>
      </c>
      <c r="AM11" s="2518">
        <v>1</v>
      </c>
      <c r="AN11" s="2518">
        <v>1</v>
      </c>
      <c r="AO11" s="2518">
        <v>1</v>
      </c>
      <c r="AP11" s="2518">
        <v>1</v>
      </c>
    </row>
    <row r="12" spans="3:51" s="664" customFormat="1">
      <c r="D12" s="683" t="s">
        <v>99</v>
      </c>
      <c r="E12" s="684"/>
      <c r="F12" s="2518"/>
      <c r="G12" s="2518"/>
      <c r="H12" s="2518">
        <v>0.21</v>
      </c>
      <c r="I12" s="2518">
        <v>0.21</v>
      </c>
      <c r="J12" s="2518">
        <v>0.21</v>
      </c>
      <c r="K12" s="2518"/>
      <c r="L12" s="2518"/>
      <c r="M12" s="2518"/>
      <c r="N12" s="2518"/>
      <c r="O12" s="2518"/>
      <c r="P12" s="2518">
        <v>0.69</v>
      </c>
      <c r="Q12" s="2518">
        <v>0.69</v>
      </c>
      <c r="R12" s="2518"/>
      <c r="S12" s="2518">
        <v>0.34</v>
      </c>
      <c r="T12" s="2518"/>
      <c r="U12" s="2518"/>
      <c r="V12" s="2518"/>
      <c r="W12" s="2518"/>
      <c r="X12" s="2518"/>
      <c r="Y12" s="2518"/>
      <c r="Z12" s="2518">
        <v>0.06</v>
      </c>
      <c r="AA12" s="2518"/>
      <c r="AB12" s="2518"/>
      <c r="AC12" s="2518"/>
      <c r="AD12" s="2518"/>
      <c r="AE12" s="2518"/>
      <c r="AF12" s="2518">
        <v>0.1</v>
      </c>
      <c r="AG12" s="2518"/>
      <c r="AH12" s="2518"/>
      <c r="AI12" s="2518"/>
      <c r="AJ12" s="2518"/>
      <c r="AK12" s="2518"/>
      <c r="AL12" s="2518"/>
      <c r="AM12" s="2518"/>
      <c r="AN12" s="2518"/>
      <c r="AO12" s="2518"/>
      <c r="AP12" s="2518"/>
    </row>
    <row r="13" spans="3:51" s="664" customFormat="1">
      <c r="D13" s="682" t="s">
        <v>2682</v>
      </c>
      <c r="E13" s="694">
        <f>Supplementary!L7</f>
        <v>2015</v>
      </c>
      <c r="F13" s="681" t="s">
        <v>2684</v>
      </c>
      <c r="G13" s="681" t="s">
        <v>2684</v>
      </c>
      <c r="H13" s="681" t="s">
        <v>2684</v>
      </c>
      <c r="I13" s="681" t="s">
        <v>2684</v>
      </c>
      <c r="J13" s="681" t="s">
        <v>2685</v>
      </c>
      <c r="K13" s="681" t="s">
        <v>2684</v>
      </c>
      <c r="L13" s="681" t="s">
        <v>2685</v>
      </c>
      <c r="M13" s="681" t="s">
        <v>2685</v>
      </c>
      <c r="N13" s="681" t="s">
        <v>2684</v>
      </c>
      <c r="O13" s="681" t="s">
        <v>2684</v>
      </c>
      <c r="P13" s="681" t="s">
        <v>2685</v>
      </c>
      <c r="Q13" s="681" t="s">
        <v>2685</v>
      </c>
      <c r="R13" s="681" t="s">
        <v>2684</v>
      </c>
      <c r="S13" s="681" t="s">
        <v>2684</v>
      </c>
      <c r="T13" s="681" t="s">
        <v>2684</v>
      </c>
      <c r="U13" s="681" t="s">
        <v>2684</v>
      </c>
      <c r="V13" s="681" t="s">
        <v>2685</v>
      </c>
      <c r="W13" s="681" t="s">
        <v>2684</v>
      </c>
      <c r="X13" s="681" t="s">
        <v>2684</v>
      </c>
      <c r="Y13" s="681" t="s">
        <v>2685</v>
      </c>
      <c r="Z13" s="681" t="s">
        <v>2684</v>
      </c>
      <c r="AA13" s="681" t="s">
        <v>2684</v>
      </c>
      <c r="AB13" s="681" t="s">
        <v>2685</v>
      </c>
      <c r="AC13" s="681" t="s">
        <v>2684</v>
      </c>
      <c r="AD13" s="681" t="s">
        <v>2684</v>
      </c>
      <c r="AE13" s="681" t="s">
        <v>2685</v>
      </c>
      <c r="AF13" s="681" t="s">
        <v>2684</v>
      </c>
      <c r="AG13" s="681" t="s">
        <v>2684</v>
      </c>
      <c r="AH13" s="681" t="s">
        <v>2684</v>
      </c>
      <c r="AI13" s="681" t="s">
        <v>2684</v>
      </c>
      <c r="AJ13" s="681" t="s">
        <v>2685</v>
      </c>
      <c r="AK13" s="681" t="s">
        <v>2684</v>
      </c>
      <c r="AL13" s="681" t="s">
        <v>2684</v>
      </c>
      <c r="AM13" s="681" t="s">
        <v>2684</v>
      </c>
      <c r="AN13" s="681" t="s">
        <v>2684</v>
      </c>
      <c r="AO13" s="681" t="s">
        <v>2685</v>
      </c>
      <c r="AP13" s="681" t="s">
        <v>2686</v>
      </c>
    </row>
    <row r="14" spans="3:51" s="664" customFormat="1">
      <c r="D14" s="682"/>
      <c r="E14" s="694">
        <f>Supplementary!L8</f>
        <v>2020</v>
      </c>
      <c r="F14" s="681" t="s">
        <v>2684</v>
      </c>
      <c r="G14" s="681" t="s">
        <v>2684</v>
      </c>
      <c r="H14" s="681" t="s">
        <v>2684</v>
      </c>
      <c r="I14" s="681" t="s">
        <v>2684</v>
      </c>
      <c r="J14" s="681" t="s">
        <v>2686</v>
      </c>
      <c r="K14" s="681" t="s">
        <v>2684</v>
      </c>
      <c r="L14" s="681" t="s">
        <v>2686</v>
      </c>
      <c r="M14" s="681" t="s">
        <v>2686</v>
      </c>
      <c r="N14" s="681" t="s">
        <v>2684</v>
      </c>
      <c r="O14" s="681" t="s">
        <v>2684</v>
      </c>
      <c r="P14" s="681" t="s">
        <v>2686</v>
      </c>
      <c r="Q14" s="681" t="s">
        <v>2686</v>
      </c>
      <c r="R14" s="681" t="s">
        <v>2684</v>
      </c>
      <c r="S14" s="681" t="s">
        <v>2684</v>
      </c>
      <c r="T14" s="681" t="s">
        <v>2684</v>
      </c>
      <c r="U14" s="681" t="s">
        <v>2684</v>
      </c>
      <c r="V14" s="681" t="s">
        <v>2684</v>
      </c>
      <c r="W14" s="681" t="s">
        <v>2684</v>
      </c>
      <c r="X14" s="681" t="s">
        <v>2684</v>
      </c>
      <c r="Y14" s="681" t="s">
        <v>2684</v>
      </c>
      <c r="Z14" s="681" t="s">
        <v>2684</v>
      </c>
      <c r="AA14" s="681" t="s">
        <v>2684</v>
      </c>
      <c r="AB14" s="681" t="s">
        <v>2684</v>
      </c>
      <c r="AC14" s="681" t="s">
        <v>2684</v>
      </c>
      <c r="AD14" s="681" t="s">
        <v>2684</v>
      </c>
      <c r="AE14" s="681" t="s">
        <v>2684</v>
      </c>
      <c r="AF14" s="681" t="s">
        <v>2684</v>
      </c>
      <c r="AG14" s="681" t="s">
        <v>2684</v>
      </c>
      <c r="AH14" s="681" t="s">
        <v>2684</v>
      </c>
      <c r="AI14" s="681" t="s">
        <v>2684</v>
      </c>
      <c r="AJ14" s="681" t="s">
        <v>2684</v>
      </c>
      <c r="AK14" s="681" t="s">
        <v>2684</v>
      </c>
      <c r="AL14" s="681" t="s">
        <v>2684</v>
      </c>
      <c r="AM14" s="681" t="s">
        <v>2684</v>
      </c>
      <c r="AN14" s="681" t="s">
        <v>2684</v>
      </c>
      <c r="AO14" s="681" t="s">
        <v>2684</v>
      </c>
      <c r="AP14" s="681" t="s">
        <v>2684</v>
      </c>
    </row>
    <row r="15" spans="3:51" s="664" customFormat="1">
      <c r="D15" s="682"/>
      <c r="E15" s="694">
        <f>Supplementary!L9</f>
        <v>2035</v>
      </c>
      <c r="F15" s="681" t="s">
        <v>2684</v>
      </c>
      <c r="G15" s="681" t="s">
        <v>2684</v>
      </c>
      <c r="H15" s="681" t="s">
        <v>2684</v>
      </c>
      <c r="I15" s="681" t="s">
        <v>2684</v>
      </c>
      <c r="J15" s="681" t="s">
        <v>2686</v>
      </c>
      <c r="K15" s="681" t="s">
        <v>2684</v>
      </c>
      <c r="L15" s="681" t="s">
        <v>2686</v>
      </c>
      <c r="M15" s="681" t="s">
        <v>2686</v>
      </c>
      <c r="N15" s="681" t="s">
        <v>2684</v>
      </c>
      <c r="O15" s="681" t="s">
        <v>2684</v>
      </c>
      <c r="P15" s="681" t="s">
        <v>2686</v>
      </c>
      <c r="Q15" s="681" t="s">
        <v>2686</v>
      </c>
      <c r="R15" s="681" t="s">
        <v>2684</v>
      </c>
      <c r="S15" s="681" t="s">
        <v>2684</v>
      </c>
      <c r="T15" s="681" t="s">
        <v>2684</v>
      </c>
      <c r="U15" s="681" t="s">
        <v>2684</v>
      </c>
      <c r="V15" s="681" t="s">
        <v>2684</v>
      </c>
      <c r="W15" s="681" t="s">
        <v>2684</v>
      </c>
      <c r="X15" s="681" t="s">
        <v>2684</v>
      </c>
      <c r="Y15" s="681" t="s">
        <v>2684</v>
      </c>
      <c r="Z15" s="681" t="s">
        <v>2684</v>
      </c>
      <c r="AA15" s="681" t="s">
        <v>2684</v>
      </c>
      <c r="AB15" s="681" t="s">
        <v>2684</v>
      </c>
      <c r="AC15" s="681" t="s">
        <v>2684</v>
      </c>
      <c r="AD15" s="681" t="s">
        <v>2684</v>
      </c>
      <c r="AE15" s="681" t="s">
        <v>2684</v>
      </c>
      <c r="AF15" s="681" t="s">
        <v>2684</v>
      </c>
      <c r="AG15" s="681" t="s">
        <v>2684</v>
      </c>
      <c r="AH15" s="681" t="s">
        <v>2684</v>
      </c>
      <c r="AI15" s="681" t="s">
        <v>2684</v>
      </c>
      <c r="AJ15" s="681" t="s">
        <v>2684</v>
      </c>
      <c r="AK15" s="681" t="s">
        <v>2684</v>
      </c>
      <c r="AL15" s="681" t="s">
        <v>2684</v>
      </c>
      <c r="AM15" s="681" t="s">
        <v>2684</v>
      </c>
      <c r="AN15" s="681" t="s">
        <v>2684</v>
      </c>
      <c r="AO15" s="681" t="s">
        <v>2684</v>
      </c>
      <c r="AP15" s="681" t="s">
        <v>2684</v>
      </c>
    </row>
    <row r="16" spans="3:51" s="664" customFormat="1">
      <c r="D16" s="682"/>
      <c r="E16" s="694">
        <f>Supplementary!L10</f>
        <v>2050</v>
      </c>
      <c r="F16" s="681" t="s">
        <v>2684</v>
      </c>
      <c r="G16" s="681" t="s">
        <v>2684</v>
      </c>
      <c r="H16" s="681" t="s">
        <v>2684</v>
      </c>
      <c r="I16" s="681" t="s">
        <v>2684</v>
      </c>
      <c r="J16" s="681" t="s">
        <v>2686</v>
      </c>
      <c r="K16" s="681" t="s">
        <v>2684</v>
      </c>
      <c r="L16" s="681" t="s">
        <v>2686</v>
      </c>
      <c r="M16" s="681" t="s">
        <v>2686</v>
      </c>
      <c r="N16" s="681" t="s">
        <v>2684</v>
      </c>
      <c r="O16" s="681" t="s">
        <v>2684</v>
      </c>
      <c r="P16" s="681" t="s">
        <v>2686</v>
      </c>
      <c r="Q16" s="681" t="s">
        <v>2686</v>
      </c>
      <c r="R16" s="681" t="s">
        <v>2684</v>
      </c>
      <c r="S16" s="681" t="s">
        <v>2684</v>
      </c>
      <c r="T16" s="681" t="s">
        <v>2684</v>
      </c>
      <c r="U16" s="681" t="s">
        <v>2684</v>
      </c>
      <c r="V16" s="681" t="s">
        <v>2684</v>
      </c>
      <c r="W16" s="681" t="s">
        <v>2684</v>
      </c>
      <c r="X16" s="681" t="s">
        <v>2684</v>
      </c>
      <c r="Y16" s="681" t="s">
        <v>2684</v>
      </c>
      <c r="Z16" s="681" t="s">
        <v>2684</v>
      </c>
      <c r="AA16" s="681" t="s">
        <v>2684</v>
      </c>
      <c r="AB16" s="681" t="s">
        <v>2684</v>
      </c>
      <c r="AC16" s="681" t="s">
        <v>2684</v>
      </c>
      <c r="AD16" s="681" t="s">
        <v>2684</v>
      </c>
      <c r="AE16" s="681" t="s">
        <v>2684</v>
      </c>
      <c r="AF16" s="681" t="s">
        <v>2684</v>
      </c>
      <c r="AG16" s="681" t="s">
        <v>2684</v>
      </c>
      <c r="AH16" s="681" t="s">
        <v>2684</v>
      </c>
      <c r="AI16" s="681" t="s">
        <v>2684</v>
      </c>
      <c r="AJ16" s="681" t="s">
        <v>2684</v>
      </c>
      <c r="AK16" s="681" t="s">
        <v>2684</v>
      </c>
      <c r="AL16" s="681" t="s">
        <v>2684</v>
      </c>
      <c r="AM16" s="681" t="s">
        <v>2684</v>
      </c>
      <c r="AN16" s="681" t="s">
        <v>2684</v>
      </c>
      <c r="AO16" s="681" t="s">
        <v>2684</v>
      </c>
      <c r="AP16" s="681" t="s">
        <v>2684</v>
      </c>
    </row>
    <row r="17" spans="1:42" s="664" customFormat="1">
      <c r="D17" s="666"/>
      <c r="E17" s="667"/>
      <c r="F17" s="685"/>
      <c r="G17" s="685"/>
      <c r="H17" s="685"/>
      <c r="I17" s="685"/>
      <c r="J17" s="685"/>
      <c r="K17" s="685"/>
      <c r="L17" s="685"/>
      <c r="M17" s="685"/>
      <c r="N17" s="685"/>
      <c r="O17" s="685"/>
      <c r="P17" s="685"/>
      <c r="Q17" s="685"/>
      <c r="R17" s="685"/>
      <c r="S17" s="685"/>
      <c r="T17" s="685"/>
      <c r="U17" s="685"/>
      <c r="V17" s="685"/>
      <c r="W17" s="685"/>
      <c r="X17" s="685"/>
      <c r="Y17" s="685"/>
      <c r="Z17" s="685"/>
      <c r="AA17" s="685"/>
      <c r="AB17" s="685"/>
      <c r="AC17" s="685"/>
      <c r="AD17" s="685"/>
      <c r="AE17" s="685"/>
      <c r="AF17" s="685"/>
      <c r="AG17" s="685"/>
      <c r="AH17" s="685"/>
      <c r="AI17" s="685"/>
      <c r="AJ17" s="685"/>
      <c r="AK17" s="685"/>
      <c r="AL17" s="685"/>
      <c r="AM17" s="685"/>
      <c r="AN17" s="685"/>
      <c r="AO17" s="685"/>
      <c r="AP17" s="685"/>
    </row>
    <row r="18" spans="1:42" s="664" customFormat="1">
      <c r="D18" s="686" t="s">
        <v>840</v>
      </c>
      <c r="E18" s="680"/>
      <c r="F18" s="687">
        <f>MATCH(F7,Fuels!$F$6:$AJ$6,0)</f>
        <v>1</v>
      </c>
      <c r="G18" s="687">
        <f>MATCH(G7,Fuels!$F$6:$AJ$6,0)</f>
        <v>2</v>
      </c>
      <c r="H18" s="687">
        <f>MATCH(H7,Fuels!$F$6:$AJ$6,0)</f>
        <v>7</v>
      </c>
      <c r="I18" s="687">
        <f>MATCH(I7,Fuels!$F$6:$AJ$6,0)</f>
        <v>20</v>
      </c>
      <c r="J18" s="687">
        <f>MATCH(J7,Fuels!$F$6:$AJ$6,0)</f>
        <v>8</v>
      </c>
      <c r="K18" s="687">
        <f>MATCH(K7,Fuels!$F$6:$AJ$6,0)</f>
        <v>19</v>
      </c>
      <c r="L18" s="687">
        <f>MATCH(L7,Fuels!$F$6:$AJ$6,0)</f>
        <v>11</v>
      </c>
      <c r="M18" s="687">
        <f>MATCH(M7,Fuels!$F$6:$AJ$6,0)</f>
        <v>12</v>
      </c>
      <c r="N18" s="687">
        <f>MATCH(N7,Fuels!$F$6:$AJ$6,0)</f>
        <v>5</v>
      </c>
      <c r="O18" s="687">
        <f>MATCH(O7,Fuels!$F$6:$AJ$6,0)</f>
        <v>13</v>
      </c>
      <c r="P18" s="687">
        <f>MATCH(P7,Fuels!$F$6:$AJ$6,0)</f>
        <v>9</v>
      </c>
      <c r="Q18" s="687">
        <f>MATCH(Q7,Fuels!$F$6:$AJ$6,0)</f>
        <v>14</v>
      </c>
      <c r="R18" s="687">
        <f>MATCH(R7,Fuels!$F$6:$AJ$6,0)</f>
        <v>15</v>
      </c>
      <c r="S18" s="687">
        <f>MATCH(S7,Fuels!$F$6:$AJ$6,0)</f>
        <v>2</v>
      </c>
      <c r="T18" s="687">
        <f>MATCH(T7,Fuels!$F$6:$AJ$6,0)</f>
        <v>1</v>
      </c>
      <c r="U18" s="687">
        <f>MATCH(U7,Fuels!$F$6:$AJ$6,0)</f>
        <v>3</v>
      </c>
      <c r="V18" s="687">
        <f>MATCH(V7,Fuels!$F$6:$AJ$6,0)</f>
        <v>18</v>
      </c>
      <c r="W18" s="687">
        <f>MATCH(W7,Fuels!$F$6:$AJ$6,0)</f>
        <v>4</v>
      </c>
      <c r="X18" s="687">
        <f>MATCH(X7,Fuels!$F$6:$AJ$6,0)</f>
        <v>1</v>
      </c>
      <c r="Y18" s="687">
        <f>MATCH(Y7,Fuels!$F$6:$AJ$6,0)</f>
        <v>11</v>
      </c>
      <c r="Z18" s="687">
        <f>MATCH(Z7,Fuels!$F$6:$AJ$6,0)</f>
        <v>6</v>
      </c>
      <c r="AA18" s="687">
        <f>MATCH(AA7,Fuels!$F$6:$AJ$6,0)</f>
        <v>1</v>
      </c>
      <c r="AB18" s="687">
        <f>MATCH(AB7,Fuels!$F$6:$AJ$6,0)</f>
        <v>11</v>
      </c>
      <c r="AC18" s="687">
        <f>MATCH(AC7,Fuels!$F$6:$AJ$6,0)</f>
        <v>17</v>
      </c>
      <c r="AD18" s="687">
        <f>MATCH(AD7,Fuels!$F$6:$AJ$6,0)</f>
        <v>1</v>
      </c>
      <c r="AE18" s="687">
        <f>MATCH(AE7,Fuels!$F$6:$AJ$6,0)</f>
        <v>11</v>
      </c>
      <c r="AF18" s="687">
        <f>MATCH(AF7,Fuels!$F$6:$AJ$6,0)</f>
        <v>6</v>
      </c>
      <c r="AG18" s="687">
        <f>MATCH(AG7,Fuels!$F$6:$AJ$6,0)</f>
        <v>1</v>
      </c>
      <c r="AH18" s="687">
        <f>MATCH(AH7,Fuels!$F$6:$AJ$6,0)</f>
        <v>19</v>
      </c>
      <c r="AI18" s="687">
        <f>MATCH(AI7,Fuels!$F$6:$AJ$6,0)</f>
        <v>5</v>
      </c>
      <c r="AJ18" s="687">
        <f>MATCH(AJ7,Fuels!$F$6:$AJ$6,0)</f>
        <v>12</v>
      </c>
      <c r="AK18" s="687">
        <f>MATCH(AK7,Fuels!$F$6:$AJ$6,0)</f>
        <v>1</v>
      </c>
      <c r="AL18" s="687">
        <f>MATCH(AL7,Fuels!$F$6:$AJ$6,0)</f>
        <v>19</v>
      </c>
      <c r="AM18" s="687">
        <f>MATCH(AM7,Fuels!$F$6:$AJ$6,0)</f>
        <v>5</v>
      </c>
      <c r="AN18" s="687">
        <f>MATCH(AN7,Fuels!$F$6:$AJ$6,0)</f>
        <v>1</v>
      </c>
      <c r="AO18" s="687">
        <f>MATCH(AO7,Fuels!$F$6:$AJ$6,0)</f>
        <v>11</v>
      </c>
      <c r="AP18" s="687">
        <f>MATCH(AP7,Fuels!$F$6:$AJ$6,0)</f>
        <v>14</v>
      </c>
    </row>
    <row r="19" spans="1:42" s="664" customFormat="1">
      <c r="D19" s="683" t="s">
        <v>841</v>
      </c>
      <c r="E19" s="684"/>
      <c r="F19" s="688">
        <f>IF(F8&lt;&gt;"",MATCH(F8,Fuels!$F$6:$AJ$6,0),1000)</f>
        <v>1000</v>
      </c>
      <c r="G19" s="688">
        <f>IF(G8&lt;&gt;"",MATCH(G8,Fuels!$F$6:$AJ$6,0),1000)</f>
        <v>1000</v>
      </c>
      <c r="H19" s="688">
        <f>IF(H8&lt;&gt;"",MATCH(H8,Fuels!$F$6:$AJ$6,0),1000)</f>
        <v>2</v>
      </c>
      <c r="I19" s="688">
        <f>IF(I8&lt;&gt;"",MATCH(I8,Fuels!$F$6:$AJ$6,0),1000)</f>
        <v>2</v>
      </c>
      <c r="J19" s="688">
        <f>IF(J8&lt;&gt;"",MATCH(J8,Fuels!$F$6:$AJ$6,0),1000)</f>
        <v>2</v>
      </c>
      <c r="K19" s="688">
        <f>IF(K8&lt;&gt;"",MATCH(K8,Fuels!$F$6:$AJ$6,0),1000)</f>
        <v>1000</v>
      </c>
      <c r="L19" s="688">
        <f>IF(L8&lt;&gt;"",MATCH(L8,Fuels!$F$6:$AJ$6,0),1000)</f>
        <v>1000</v>
      </c>
      <c r="M19" s="688">
        <f>IF(M8&lt;&gt;"",MATCH(M8,Fuels!$F$6:$AJ$6,0),1000)</f>
        <v>1000</v>
      </c>
      <c r="N19" s="688">
        <f>IF(N8&lt;&gt;"",MATCH(N8,Fuels!$F$6:$AJ$6,0),1000)</f>
        <v>1000</v>
      </c>
      <c r="O19" s="688">
        <f>IF(O8&lt;&gt;"",MATCH(O8,Fuels!$F$6:$AJ$6,0),1000)</f>
        <v>1000</v>
      </c>
      <c r="P19" s="688">
        <f>IF(P8&lt;&gt;"",MATCH(P8,Fuels!$F$6:$AJ$6,0),1000)</f>
        <v>16</v>
      </c>
      <c r="Q19" s="688">
        <f>IF(Q8&lt;&gt;"",MATCH(Q8,Fuels!$F$6:$AJ$6,0),1000)</f>
        <v>16</v>
      </c>
      <c r="R19" s="688">
        <f>IF(R8&lt;&gt;"",MATCH(R8,Fuels!$F$6:$AJ$6,0),1000)</f>
        <v>1000</v>
      </c>
      <c r="S19" s="688">
        <f>IF(S8&lt;&gt;"",MATCH(S8,Fuels!$F$6:$AJ$6,0),1000)</f>
        <v>16</v>
      </c>
      <c r="T19" s="688">
        <f>IF(T8&lt;&gt;"",MATCH(T8,Fuels!$F$6:$AJ$6,0),1000)</f>
        <v>1000</v>
      </c>
      <c r="U19" s="688">
        <f>IF(U8&lt;&gt;"",MATCH(U8,Fuels!$F$6:$AJ$6,0),1000)</f>
        <v>1000</v>
      </c>
      <c r="V19" s="688">
        <f>IF(V8&lt;&gt;"",MATCH(V8,Fuels!$F$6:$AJ$6,0),1000)</f>
        <v>1000</v>
      </c>
      <c r="W19" s="688">
        <f>IF(W8&lt;&gt;"",MATCH(W8,Fuels!$F$6:$AJ$6,0),1000)</f>
        <v>1000</v>
      </c>
      <c r="X19" s="688">
        <f>IF(X8&lt;&gt;"",MATCH(X8,Fuels!$F$6:$AJ$6,0),1000)</f>
        <v>1000</v>
      </c>
      <c r="Y19" s="688">
        <f>IF(Y8&lt;&gt;"",MATCH(Y8,Fuels!$F$6:$AJ$6,0),1000)</f>
        <v>1000</v>
      </c>
      <c r="Z19" s="688">
        <f>IF(Z8&lt;&gt;"",MATCH(Z8,Fuels!$F$6:$AJ$6,0),1000)</f>
        <v>1</v>
      </c>
      <c r="AA19" s="688">
        <f>IF(AA8&lt;&gt;"",MATCH(AA8,Fuels!$F$6:$AJ$6,0),1000)</f>
        <v>1000</v>
      </c>
      <c r="AB19" s="688">
        <f>IF(AB8&lt;&gt;"",MATCH(AB8,Fuels!$F$6:$AJ$6,0),1000)</f>
        <v>1000</v>
      </c>
      <c r="AC19" s="688">
        <f>IF(AC8&lt;&gt;"",MATCH(AC8,Fuels!$F$6:$AJ$6,0),1000)</f>
        <v>1000</v>
      </c>
      <c r="AD19" s="688">
        <f>IF(AD8&lt;&gt;"",MATCH(AD8,Fuels!$F$6:$AJ$6,0),1000)</f>
        <v>1000</v>
      </c>
      <c r="AE19" s="688">
        <f>IF(AE8&lt;&gt;"",MATCH(AE8,Fuels!$F$6:$AJ$6,0),1000)</f>
        <v>1000</v>
      </c>
      <c r="AF19" s="688">
        <f>IF(AF8&lt;&gt;"",MATCH(AF8,Fuels!$F$6:$AJ$6,0),1000)</f>
        <v>1</v>
      </c>
      <c r="AG19" s="688">
        <f>IF(AG8&lt;&gt;"",MATCH(AG8,Fuels!$F$6:$AJ$6,0),1000)</f>
        <v>1000</v>
      </c>
      <c r="AH19" s="688">
        <f>IF(AH8&lt;&gt;"",MATCH(AH8,Fuels!$F$6:$AJ$6,0),1000)</f>
        <v>1000</v>
      </c>
      <c r="AI19" s="688">
        <f>IF(AI8&lt;&gt;"",MATCH(AI8,Fuels!$F$6:$AJ$6,0),1000)</f>
        <v>1000</v>
      </c>
      <c r="AJ19" s="688">
        <f>IF(AJ8&lt;&gt;"",MATCH(AJ8,Fuels!$F$6:$AJ$6,0),1000)</f>
        <v>1000</v>
      </c>
      <c r="AK19" s="688">
        <f>IF(AK8&lt;&gt;"",MATCH(AK8,Fuels!$F$6:$AJ$6,0),1000)</f>
        <v>1000</v>
      </c>
      <c r="AL19" s="688">
        <f>IF(AL8&lt;&gt;"",MATCH(AL8,Fuels!$F$6:$AJ$6,0),1000)</f>
        <v>1000</v>
      </c>
      <c r="AM19" s="688">
        <f>IF(AM8&lt;&gt;"",MATCH(AM8,Fuels!$F$6:$AJ$6,0),1000)</f>
        <v>1000</v>
      </c>
      <c r="AN19" s="688">
        <f>IF(AN8&lt;&gt;"",MATCH(AN8,Fuels!$F$6:$AJ$6,0),1000)</f>
        <v>1000</v>
      </c>
      <c r="AO19" s="688">
        <f>IF(AO8&lt;&gt;"",MATCH(AO8,Fuels!$F$6:$AJ$6,0),1000)</f>
        <v>1000</v>
      </c>
      <c r="AP19" s="688">
        <f>IF(AP8&lt;&gt;"",MATCH(AP8,Fuels!$F$6:$AJ$6,0),1000)</f>
        <v>1000</v>
      </c>
    </row>
    <row r="20" spans="1:42" s="664" customFormat="1">
      <c r="D20" s="666"/>
      <c r="E20" s="667"/>
      <c r="F20" s="685"/>
      <c r="G20" s="685"/>
      <c r="H20" s="685"/>
      <c r="I20" s="685"/>
      <c r="J20" s="685"/>
      <c r="K20" s="685"/>
      <c r="L20" s="685"/>
      <c r="M20" s="685"/>
      <c r="N20" s="685"/>
      <c r="O20" s="685"/>
      <c r="P20" s="685"/>
      <c r="Q20" s="685"/>
      <c r="R20" s="685"/>
      <c r="S20" s="685"/>
      <c r="T20" s="685"/>
      <c r="U20" s="685"/>
      <c r="V20" s="685"/>
      <c r="W20" s="685"/>
      <c r="X20" s="685"/>
      <c r="Y20" s="685"/>
      <c r="Z20" s="685"/>
      <c r="AA20" s="685"/>
      <c r="AB20" s="685"/>
      <c r="AC20" s="685"/>
      <c r="AD20" s="685"/>
      <c r="AE20" s="685"/>
      <c r="AF20" s="685"/>
      <c r="AG20" s="685"/>
      <c r="AH20" s="685"/>
      <c r="AI20" s="685"/>
      <c r="AJ20" s="685"/>
      <c r="AK20" s="685"/>
      <c r="AL20" s="685"/>
      <c r="AM20" s="685"/>
      <c r="AN20" s="685"/>
      <c r="AO20" s="685"/>
      <c r="AP20" s="685"/>
    </row>
    <row r="21" spans="1:42" s="690" customFormat="1" ht="18.75">
      <c r="A21" s="689" t="s">
        <v>836</v>
      </c>
      <c r="D21" s="691"/>
      <c r="E21" s="692"/>
    </row>
    <row r="22" spans="1:42" s="664" customFormat="1" outlineLevel="1">
      <c r="D22" s="666"/>
      <c r="E22" s="667"/>
      <c r="F22" s="685"/>
      <c r="G22" s="685"/>
      <c r="H22" s="685"/>
      <c r="I22" s="685"/>
      <c r="J22" s="685"/>
      <c r="K22" s="685"/>
      <c r="L22" s="685"/>
      <c r="M22" s="685"/>
      <c r="N22" s="685"/>
      <c r="O22" s="685"/>
      <c r="P22" s="685"/>
      <c r="Q22" s="685"/>
      <c r="R22" s="685"/>
      <c r="S22" s="685"/>
      <c r="T22" s="685"/>
      <c r="U22" s="685"/>
      <c r="V22" s="685"/>
      <c r="W22" s="685"/>
      <c r="X22" s="685"/>
      <c r="Y22" s="685"/>
      <c r="Z22" s="685"/>
      <c r="AA22" s="685"/>
      <c r="AB22" s="685"/>
      <c r="AC22" s="685"/>
      <c r="AD22" s="685"/>
      <c r="AE22" s="685"/>
      <c r="AF22" s="685"/>
      <c r="AG22" s="685"/>
      <c r="AH22" s="685"/>
      <c r="AI22" s="685"/>
      <c r="AJ22" s="685"/>
      <c r="AK22" s="685"/>
      <c r="AL22" s="685"/>
      <c r="AM22" s="685"/>
      <c r="AN22" s="685"/>
      <c r="AO22" s="685"/>
      <c r="AP22" s="685"/>
    </row>
    <row r="23" spans="1:42" s="664" customFormat="1" outlineLevel="1">
      <c r="D23" s="668" t="s">
        <v>63</v>
      </c>
      <c r="E23" s="667"/>
      <c r="F23" s="685"/>
      <c r="G23" s="685"/>
      <c r="H23" s="685"/>
      <c r="I23" s="685"/>
      <c r="J23" s="685"/>
      <c r="K23" s="685"/>
      <c r="L23" s="685"/>
      <c r="M23" s="685"/>
      <c r="N23" s="685"/>
      <c r="O23" s="685"/>
      <c r="P23" s="685"/>
      <c r="Q23" s="685"/>
      <c r="R23" s="685"/>
      <c r="S23" s="685"/>
      <c r="T23" s="685"/>
      <c r="U23" s="685"/>
      <c r="V23" s="685"/>
      <c r="W23" s="685"/>
      <c r="X23" s="685"/>
      <c r="Y23" s="685"/>
      <c r="Z23" s="685"/>
      <c r="AA23" s="685"/>
      <c r="AB23" s="685"/>
      <c r="AC23" s="685"/>
      <c r="AD23" s="685"/>
      <c r="AE23" s="685"/>
      <c r="AF23" s="685"/>
      <c r="AG23" s="685"/>
      <c r="AH23" s="685"/>
      <c r="AI23" s="685"/>
      <c r="AJ23" s="685"/>
      <c r="AK23" s="685"/>
      <c r="AL23" s="685"/>
      <c r="AM23" s="685"/>
      <c r="AN23" s="685"/>
      <c r="AO23" s="685"/>
      <c r="AP23" s="685"/>
    </row>
    <row r="24" spans="1:42" s="664" customFormat="1" outlineLevel="1">
      <c r="D24" s="679" t="s">
        <v>85</v>
      </c>
      <c r="E24" s="671" t="s">
        <v>57</v>
      </c>
      <c r="F24" s="693">
        <f t="shared" ref="F24:AN24" ca="1" si="0">F26+F25</f>
        <v>1.470725339012354</v>
      </c>
      <c r="G24" s="693">
        <f t="shared" ca="1" si="0"/>
        <v>1.4854748199882093</v>
      </c>
      <c r="H24" s="693">
        <f t="shared" ca="1" si="0"/>
        <v>1.5857057027759596</v>
      </c>
      <c r="I24" s="693">
        <f t="shared" ca="1" si="0"/>
        <v>1.4571230805536857</v>
      </c>
      <c r="J24" s="693">
        <f t="shared" ca="1" si="0"/>
        <v>1.5444122668469531</v>
      </c>
      <c r="K24" s="693">
        <f t="shared" ca="1" si="0"/>
        <v>1.4749866399349132</v>
      </c>
      <c r="L24" s="693">
        <f t="shared" ca="1" si="0"/>
        <v>1.5401595887982942</v>
      </c>
      <c r="M24" s="693">
        <f t="shared" ca="1" si="0"/>
        <v>1.5581135818536227</v>
      </c>
      <c r="N24" s="693">
        <f t="shared" ca="1" si="0"/>
        <v>1.3864546445612862</v>
      </c>
      <c r="O24" s="693">
        <f t="shared" ca="1" si="0"/>
        <v>1.6296539719899525</v>
      </c>
      <c r="P24" s="693">
        <f t="shared" ca="1" si="0"/>
        <v>1.8158692777681844</v>
      </c>
      <c r="Q24" s="693">
        <f t="shared" ca="1" si="0"/>
        <v>1.7693777678709823</v>
      </c>
      <c r="R24" s="693">
        <f t="shared" ca="1" si="0"/>
        <v>1.5031614990571662</v>
      </c>
      <c r="S24" s="693">
        <f t="shared" ca="1" si="0"/>
        <v>1.4311277691880082</v>
      </c>
      <c r="T24" s="1680">
        <f t="shared" ca="1" si="0"/>
        <v>969.07697429578423</v>
      </c>
      <c r="U24" s="1239">
        <f t="shared" ca="1" si="0"/>
        <v>56.70829724251977</v>
      </c>
      <c r="V24" s="1239">
        <f t="shared" ca="1" si="0"/>
        <v>62.236896493288555</v>
      </c>
      <c r="W24" s="1680">
        <f t="shared" ca="1" si="0"/>
        <v>3729.5721162109244</v>
      </c>
      <c r="X24" s="1680">
        <f t="shared" ca="1" si="0"/>
        <v>1804.3946997505116</v>
      </c>
      <c r="Y24" s="1680">
        <f t="shared" ca="1" si="0"/>
        <v>2082.0786831155383</v>
      </c>
      <c r="Z24" s="1679">
        <f t="shared" ca="1" si="0"/>
        <v>1075.2454359084275</v>
      </c>
      <c r="AA24" s="1239">
        <f t="shared" ca="1" si="0"/>
        <v>52.236431661707684</v>
      </c>
      <c r="AB24" s="1239">
        <f t="shared" ca="1" si="0"/>
        <v>53.907663926079785</v>
      </c>
      <c r="AC24" s="1239">
        <f t="shared" ca="1" si="0"/>
        <v>52.784194889146562</v>
      </c>
      <c r="AD24" s="1239">
        <f t="shared" ca="1" si="0"/>
        <v>46.07295682875607</v>
      </c>
      <c r="AE24" s="1239">
        <f t="shared" ca="1" si="0"/>
        <v>47.440328681424155</v>
      </c>
      <c r="AF24" s="1239">
        <f t="shared" ca="1" si="0"/>
        <v>48.579708377593732</v>
      </c>
      <c r="AG24" s="693">
        <f t="shared" ca="1" si="0"/>
        <v>8.6055674102599848</v>
      </c>
      <c r="AH24" s="693">
        <f t="shared" ref="AH24" ca="1" si="1">AH26+AH25</f>
        <v>8.7397368719796251</v>
      </c>
      <c r="AI24" s="693">
        <f ca="1">AI26+AI25</f>
        <v>8.2930962339881127</v>
      </c>
      <c r="AJ24" s="693">
        <f t="shared" ca="1" si="0"/>
        <v>8.8991791794710018</v>
      </c>
      <c r="AK24" s="693">
        <f t="shared" ref="AK24" ca="1" si="2">AK26+AK25</f>
        <v>8.4349530668691539</v>
      </c>
      <c r="AL24" s="693">
        <f t="shared" ca="1" si="0"/>
        <v>8.4852358415485778</v>
      </c>
      <c r="AM24" s="693">
        <f t="shared" ca="1" si="0"/>
        <v>8.2759511224302926</v>
      </c>
      <c r="AN24" s="693">
        <f t="shared" ca="1" si="0"/>
        <v>9.2110560506352304</v>
      </c>
      <c r="AO24" s="693">
        <f t="shared" ref="AO24:AP24" ca="1" si="3">AO26+AO25</f>
        <v>1148.5070700595998</v>
      </c>
      <c r="AP24" s="693">
        <f t="shared" ca="1" si="3"/>
        <v>2.0749934702262522</v>
      </c>
    </row>
    <row r="25" spans="1:42" s="664" customFormat="1" outlineLevel="1">
      <c r="D25" s="682" t="s">
        <v>75</v>
      </c>
      <c r="E25" s="694" t="s">
        <v>57</v>
      </c>
      <c r="F25" s="1678">
        <f t="shared" ref="F25:AN25" ca="1" si="4">F210</f>
        <v>7.107049790144282E-2</v>
      </c>
      <c r="G25" s="1678">
        <f t="shared" ca="1" si="4"/>
        <v>6.8724123665360431E-2</v>
      </c>
      <c r="H25" s="1678">
        <f t="shared" ca="1" si="4"/>
        <v>0.10260043543487185</v>
      </c>
      <c r="I25" s="1678">
        <f t="shared" ca="1" si="4"/>
        <v>0.10553423675259793</v>
      </c>
      <c r="J25" s="1678">
        <f t="shared" ca="1" si="4"/>
        <v>5.5667331519798149E-2</v>
      </c>
      <c r="K25" s="1678">
        <f t="shared" ca="1" si="4"/>
        <v>0.10015306234283385</v>
      </c>
      <c r="L25" s="1678">
        <f t="shared" ca="1" si="4"/>
        <v>5.7056778643631047E-2</v>
      </c>
      <c r="M25" s="1678">
        <f t="shared" ca="1" si="4"/>
        <v>5.4421899266376861E-2</v>
      </c>
      <c r="N25" s="1678">
        <f t="shared" ca="1" si="4"/>
        <v>6.2477212039718941E-2</v>
      </c>
      <c r="O25" s="1678">
        <f t="shared" ca="1" si="4"/>
        <v>5.3773330731964525E-2</v>
      </c>
      <c r="P25" s="1678">
        <f t="shared" ca="1" si="4"/>
        <v>1.8670698033606378E-2</v>
      </c>
      <c r="Q25" s="1678">
        <f t="shared" ca="1" si="4"/>
        <v>2.2057519973895635E-2</v>
      </c>
      <c r="R25" s="1678">
        <f t="shared" ca="1" si="4"/>
        <v>2.0192010884150697E-2</v>
      </c>
      <c r="S25" s="1678">
        <f t="shared" ca="1" si="4"/>
        <v>3.2945758485795597E-2</v>
      </c>
      <c r="T25" s="1656">
        <f t="shared" ca="1" si="4"/>
        <v>353.70232470206804</v>
      </c>
      <c r="U25" s="1678">
        <f t="shared" ca="1" si="4"/>
        <v>2.148181198775843</v>
      </c>
      <c r="V25" s="1678">
        <f t="shared" ca="1" si="4"/>
        <v>0.97857488843828722</v>
      </c>
      <c r="W25" s="1656">
        <f t="shared" ca="1" si="4"/>
        <v>2761.9193654785481</v>
      </c>
      <c r="X25" s="1656">
        <f t="shared" ca="1" si="4"/>
        <v>547.38571046645643</v>
      </c>
      <c r="Y25" s="1656">
        <f ca="1">Y210</f>
        <v>488.72682475000511</v>
      </c>
      <c r="Z25" s="1655">
        <f t="shared" ca="1" si="4"/>
        <v>217.13076133948235</v>
      </c>
      <c r="AA25" s="697">
        <f t="shared" ca="1" si="4"/>
        <v>3.7570037759796713</v>
      </c>
      <c r="AB25" s="697">
        <f t="shared" ca="1" si="4"/>
        <v>3.4026267156212651</v>
      </c>
      <c r="AC25" s="1678">
        <f t="shared" ca="1" si="4"/>
        <v>9.9115847380816038E-2</v>
      </c>
      <c r="AD25" s="697">
        <f t="shared" ca="1" si="4"/>
        <v>2.6199763050190037</v>
      </c>
      <c r="AE25" s="697">
        <f t="shared" ca="1" si="4"/>
        <v>2.3300314374530346</v>
      </c>
      <c r="AF25" s="697">
        <f t="shared" ca="1" si="4"/>
        <v>2.5343337815707923</v>
      </c>
      <c r="AG25" s="1678">
        <f t="shared" ca="1" si="4"/>
        <v>0.47301182165945482</v>
      </c>
      <c r="AH25" s="1678">
        <f t="shared" ref="AH25" ca="1" si="5">AH210</f>
        <v>0.78347428868263214</v>
      </c>
      <c r="AI25" s="695">
        <f ca="1">AI210</f>
        <v>0.51336786005941382</v>
      </c>
      <c r="AJ25" s="695">
        <f t="shared" ca="1" si="4"/>
        <v>0.3249847447531361</v>
      </c>
      <c r="AK25" s="695">
        <f t="shared" ref="AK25" ca="1" si="6">AK210</f>
        <v>0.54583713523050403</v>
      </c>
      <c r="AL25" s="695">
        <f t="shared" ca="1" si="4"/>
        <v>0.82403391436265461</v>
      </c>
      <c r="AM25" s="695">
        <f t="shared" ca="1" si="4"/>
        <v>0.61835779437468885</v>
      </c>
      <c r="AN25" s="695">
        <f t="shared" ca="1" si="4"/>
        <v>0.44233298418497802</v>
      </c>
      <c r="AO25" s="695">
        <f t="shared" ref="AO25:AP25" ca="1" si="7">AO210</f>
        <v>315.79891610804128</v>
      </c>
      <c r="AP25" s="695">
        <f t="shared" ca="1" si="7"/>
        <v>2.5254270495223559E-2</v>
      </c>
    </row>
    <row r="26" spans="1:42" s="664" customFormat="1" outlineLevel="1">
      <c r="D26" s="683" t="s">
        <v>66</v>
      </c>
      <c r="E26" s="684" t="s">
        <v>57</v>
      </c>
      <c r="F26" s="696">
        <f t="shared" ref="F26:AN26" ca="1" si="8">SUM(F27:F29)</f>
        <v>1.3996548411109113</v>
      </c>
      <c r="G26" s="696">
        <f t="shared" ca="1" si="8"/>
        <v>1.4167506963228489</v>
      </c>
      <c r="H26" s="696">
        <f t="shared" ca="1" si="8"/>
        <v>1.4831052673410878</v>
      </c>
      <c r="I26" s="696">
        <f t="shared" ca="1" si="8"/>
        <v>1.3515888438010877</v>
      </c>
      <c r="J26" s="696">
        <f t="shared" ca="1" si="8"/>
        <v>1.4887449353271549</v>
      </c>
      <c r="K26" s="696">
        <f t="shared" ca="1" si="8"/>
        <v>1.3748335775920792</v>
      </c>
      <c r="L26" s="696">
        <f t="shared" ca="1" si="8"/>
        <v>1.4831028101546631</v>
      </c>
      <c r="M26" s="696">
        <f t="shared" ca="1" si="8"/>
        <v>1.5036916825872457</v>
      </c>
      <c r="N26" s="696">
        <f t="shared" ca="1" si="8"/>
        <v>1.3239774325215672</v>
      </c>
      <c r="O26" s="696">
        <f t="shared" ca="1" si="8"/>
        <v>1.575880641257988</v>
      </c>
      <c r="P26" s="696">
        <f t="shared" ca="1" si="8"/>
        <v>1.797198579734578</v>
      </c>
      <c r="Q26" s="696">
        <f t="shared" ca="1" si="8"/>
        <v>1.7473202478970866</v>
      </c>
      <c r="R26" s="696">
        <f t="shared" ca="1" si="8"/>
        <v>1.4829694881730155</v>
      </c>
      <c r="S26" s="696">
        <f t="shared" ca="1" si="8"/>
        <v>1.3981820107022127</v>
      </c>
      <c r="T26" s="696">
        <f t="shared" ca="1" si="8"/>
        <v>615.37464959371619</v>
      </c>
      <c r="U26" s="696">
        <f t="shared" ca="1" si="8"/>
        <v>54.560116043743925</v>
      </c>
      <c r="V26" s="696">
        <f t="shared" ca="1" si="8"/>
        <v>61.258321604850266</v>
      </c>
      <c r="W26" s="696">
        <f t="shared" ca="1" si="8"/>
        <v>967.65275073237626</v>
      </c>
      <c r="X26" s="696">
        <f t="shared" ca="1" si="8"/>
        <v>1257.0089892840551</v>
      </c>
      <c r="Y26" s="696">
        <f t="shared" ca="1" si="8"/>
        <v>1593.3518583655334</v>
      </c>
      <c r="Z26" s="696">
        <f t="shared" ca="1" si="8"/>
        <v>858.11467456894513</v>
      </c>
      <c r="AA26" s="696">
        <f t="shared" ca="1" si="8"/>
        <v>48.479427885728015</v>
      </c>
      <c r="AB26" s="696">
        <f t="shared" ca="1" si="8"/>
        <v>50.505037210458518</v>
      </c>
      <c r="AC26" s="696">
        <f t="shared" ca="1" si="8"/>
        <v>52.685079041765746</v>
      </c>
      <c r="AD26" s="696">
        <f t="shared" ca="1" si="8"/>
        <v>43.452980523737068</v>
      </c>
      <c r="AE26" s="696">
        <f t="shared" ca="1" si="8"/>
        <v>45.110297243971118</v>
      </c>
      <c r="AF26" s="696">
        <f t="shared" ca="1" si="8"/>
        <v>46.045374596022938</v>
      </c>
      <c r="AG26" s="696">
        <f t="shared" ca="1" si="8"/>
        <v>8.1325555886005301</v>
      </c>
      <c r="AH26" s="696">
        <f t="shared" ref="AH26" ca="1" si="9">SUM(AH27:AH29)</f>
        <v>7.9562625832969935</v>
      </c>
      <c r="AI26" s="696">
        <f ca="1">SUM(AI27:AI29)</f>
        <v>7.7797283739286982</v>
      </c>
      <c r="AJ26" s="696">
        <f t="shared" ca="1" si="8"/>
        <v>8.5741944347178656</v>
      </c>
      <c r="AK26" s="696">
        <f t="shared" ref="AK26" ca="1" si="10">SUM(AK27:AK29)</f>
        <v>7.8891159316386501</v>
      </c>
      <c r="AL26" s="696">
        <f t="shared" ca="1" si="8"/>
        <v>7.6612019271859229</v>
      </c>
      <c r="AM26" s="696">
        <f t="shared" ca="1" si="8"/>
        <v>7.6575933280556043</v>
      </c>
      <c r="AN26" s="696">
        <f t="shared" ca="1" si="8"/>
        <v>8.7687230664502529</v>
      </c>
      <c r="AO26" s="696">
        <f t="shared" ref="AO26:AP26" ca="1" si="11">SUM(AO27:AO29)</f>
        <v>832.70815395155842</v>
      </c>
      <c r="AP26" s="696">
        <f t="shared" ca="1" si="11"/>
        <v>2.0497391997310288</v>
      </c>
    </row>
    <row r="27" spans="1:42" s="664" customFormat="1" outlineLevel="1">
      <c r="D27" s="682" t="s">
        <v>58</v>
      </c>
      <c r="E27" s="694" t="s">
        <v>57</v>
      </c>
      <c r="F27" s="697">
        <f t="shared" ref="F27:AN27" ca="1" si="12">F45*F36/1000</f>
        <v>0.23628094002963623</v>
      </c>
      <c r="G27" s="697">
        <f t="shared" ca="1" si="12"/>
        <v>0.3288289196461448</v>
      </c>
      <c r="H27" s="697">
        <f t="shared" ca="1" si="12"/>
        <v>0.3951834906643838</v>
      </c>
      <c r="I27" s="697">
        <f t="shared" ca="1" si="12"/>
        <v>0.26366706712438354</v>
      </c>
      <c r="J27" s="697">
        <f t="shared" ca="1" si="12"/>
        <v>0.40082315865045082</v>
      </c>
      <c r="K27" s="697">
        <f t="shared" ca="1" si="12"/>
        <v>0.21145967651080436</v>
      </c>
      <c r="L27" s="697">
        <f t="shared" ca="1" si="12"/>
        <v>0.31972890907338802</v>
      </c>
      <c r="M27" s="697">
        <f t="shared" ca="1" si="12"/>
        <v>0.30353360488350056</v>
      </c>
      <c r="N27" s="697">
        <f t="shared" ca="1" si="12"/>
        <v>0.1623758967786543</v>
      </c>
      <c r="O27" s="697">
        <f t="shared" ca="1" si="12"/>
        <v>0.41427910551507502</v>
      </c>
      <c r="P27" s="697">
        <f t="shared" ca="1" si="12"/>
        <v>0.10213957643543893</v>
      </c>
      <c r="Q27" s="697">
        <f t="shared" ca="1" si="12"/>
        <v>0.1318252565875194</v>
      </c>
      <c r="R27" s="1273">
        <f t="shared" ca="1" si="12"/>
        <v>8.6061169239214891E-2</v>
      </c>
      <c r="S27" s="697">
        <f t="shared" ca="1" si="12"/>
        <v>0.12113984995708156</v>
      </c>
      <c r="T27" s="697">
        <f t="shared" ca="1" si="12"/>
        <v>615.37464959371619</v>
      </c>
      <c r="U27" s="697">
        <f t="shared" ca="1" si="12"/>
        <v>13.588820564803141</v>
      </c>
      <c r="V27" s="697">
        <f t="shared" ca="1" si="12"/>
        <v>20.287026125909488</v>
      </c>
      <c r="W27" s="697">
        <f t="shared" ca="1" si="12"/>
        <v>662.99059732121952</v>
      </c>
      <c r="X27" s="697">
        <f t="shared" ca="1" si="12"/>
        <v>952.3468358728984</v>
      </c>
      <c r="Y27" s="697">
        <f t="shared" ca="1" si="12"/>
        <v>1288.6897049543766</v>
      </c>
      <c r="Z27" s="697">
        <f t="shared" ca="1" si="12"/>
        <v>522.6753169515506</v>
      </c>
      <c r="AA27" s="697">
        <f t="shared" ca="1" si="12"/>
        <v>5.7354646358041883</v>
      </c>
      <c r="AB27" s="697">
        <f t="shared" ca="1" si="12"/>
        <v>7.761073960534695</v>
      </c>
      <c r="AC27" s="697">
        <f t="shared" ca="1" si="12"/>
        <v>9.5941748047471123</v>
      </c>
      <c r="AD27" s="697">
        <f t="shared" ca="1" si="12"/>
        <v>4.6926528838397896</v>
      </c>
      <c r="AE27" s="697">
        <f t="shared" ca="1" si="12"/>
        <v>6.3499696040738405</v>
      </c>
      <c r="AF27" s="697">
        <f t="shared" ca="1" si="12"/>
        <v>2.5548831361770192</v>
      </c>
      <c r="AG27" s="697">
        <f t="shared" ca="1" si="12"/>
        <v>2.0532786934302796</v>
      </c>
      <c r="AH27" s="697">
        <f t="shared" ref="AH27" ca="1" si="13">AH45*AH36/1000</f>
        <v>1.8375821945047064</v>
      </c>
      <c r="AI27" s="697">
        <f ca="1">AI45*AI36/1000</f>
        <v>1.2693343945522162</v>
      </c>
      <c r="AJ27" s="697">
        <f t="shared" ca="1" si="12"/>
        <v>2.4949175395476155</v>
      </c>
      <c r="AK27" s="697">
        <f t="shared" ref="AK27" ca="1" si="14">AK45*AK36/1000</f>
        <v>2.1695807377876464</v>
      </c>
      <c r="AL27" s="697">
        <f t="shared" ca="1" si="12"/>
        <v>1.9416667333349196</v>
      </c>
      <c r="AM27" s="697">
        <f t="shared" ca="1" si="12"/>
        <v>1.3826973750304781</v>
      </c>
      <c r="AN27" s="697">
        <f t="shared" ca="1" si="12"/>
        <v>1.6689082598366509</v>
      </c>
      <c r="AO27" s="697">
        <f t="shared" ref="AO27:AP27" ca="1" si="15">AO45*AO36/1000</f>
        <v>832.70815395155842</v>
      </c>
      <c r="AP27" s="697">
        <f t="shared" ca="1" si="15"/>
        <v>0.34233440587495356</v>
      </c>
    </row>
    <row r="28" spans="1:42" s="664" customFormat="1" outlineLevel="1">
      <c r="D28" s="682" t="s">
        <v>65</v>
      </c>
      <c r="E28" s="694" t="s">
        <v>57</v>
      </c>
      <c r="F28" s="697">
        <f t="shared" ref="F28:AN28" ca="1" si="16">F35*F39/1000</f>
        <v>0.35</v>
      </c>
      <c r="G28" s="697">
        <f t="shared" ca="1" si="16"/>
        <v>0.35</v>
      </c>
      <c r="H28" s="697">
        <f t="shared" ca="1" si="16"/>
        <v>0.35</v>
      </c>
      <c r="I28" s="697">
        <f t="shared" ca="1" si="16"/>
        <v>0.35</v>
      </c>
      <c r="J28" s="697">
        <f t="shared" ca="1" si="16"/>
        <v>0.35</v>
      </c>
      <c r="K28" s="697">
        <f t="shared" ca="1" si="16"/>
        <v>0.35</v>
      </c>
      <c r="L28" s="697">
        <f t="shared" ca="1" si="16"/>
        <v>0.35</v>
      </c>
      <c r="M28" s="697">
        <f t="shared" ca="1" si="16"/>
        <v>0.35</v>
      </c>
      <c r="N28" s="697">
        <f t="shared" ca="1" si="16"/>
        <v>0.35</v>
      </c>
      <c r="O28" s="697">
        <f t="shared" ca="1" si="16"/>
        <v>0.35</v>
      </c>
      <c r="P28" s="697">
        <f t="shared" ca="1" si="16"/>
        <v>0.16449999999999998</v>
      </c>
      <c r="Q28" s="697">
        <f t="shared" ca="1" si="16"/>
        <v>0.16449999999999998</v>
      </c>
      <c r="R28" s="697">
        <f t="shared" ca="1" si="16"/>
        <v>0.62390130440897096</v>
      </c>
      <c r="S28" s="697">
        <f t="shared" ca="1" si="16"/>
        <v>0.50403455982056944</v>
      </c>
      <c r="T28" s="697">
        <f t="shared" ca="1" si="16"/>
        <v>0</v>
      </c>
      <c r="U28" s="697">
        <f t="shared" ca="1" si="16"/>
        <v>40.971295478940782</v>
      </c>
      <c r="V28" s="697">
        <f t="shared" ca="1" si="16"/>
        <v>40.971295478940782</v>
      </c>
      <c r="W28" s="697">
        <f t="shared" ca="1" si="16"/>
        <v>99.480792036237858</v>
      </c>
      <c r="X28" s="697">
        <f t="shared" ca="1" si="16"/>
        <v>99.480792036237872</v>
      </c>
      <c r="Y28" s="697">
        <f t="shared" ca="1" si="16"/>
        <v>99.480792036237872</v>
      </c>
      <c r="Z28" s="697">
        <f t="shared" ca="1" si="16"/>
        <v>99.480792036237858</v>
      </c>
      <c r="AA28" s="697">
        <f t="shared" ca="1" si="16"/>
        <v>29.299999999999997</v>
      </c>
      <c r="AB28" s="697">
        <f t="shared" ca="1" si="16"/>
        <v>29.299999999999997</v>
      </c>
      <c r="AC28" s="697">
        <f t="shared" ca="1" si="16"/>
        <v>29.3</v>
      </c>
      <c r="AD28" s="697">
        <f t="shared" ca="1" si="16"/>
        <v>29.3</v>
      </c>
      <c r="AE28" s="697">
        <f t="shared" ca="1" si="16"/>
        <v>29.3</v>
      </c>
      <c r="AF28" s="697">
        <f t="shared" ca="1" si="16"/>
        <v>29.3</v>
      </c>
      <c r="AG28" s="697">
        <f t="shared" ca="1" si="16"/>
        <v>3.12</v>
      </c>
      <c r="AH28" s="697">
        <f t="shared" ref="AH28" ca="1" si="17">AH35*AH39/1000</f>
        <v>3.12</v>
      </c>
      <c r="AI28" s="697">
        <f ca="1">AI35*AI39/1000</f>
        <v>3.24</v>
      </c>
      <c r="AJ28" s="697">
        <f t="shared" ca="1" si="16"/>
        <v>3.12</v>
      </c>
      <c r="AK28" s="697">
        <f t="shared" ref="AK28" ca="1" si="18">AK35*AK39/1000</f>
        <v>1.8</v>
      </c>
      <c r="AL28" s="697">
        <f t="shared" ca="1" si="16"/>
        <v>1.8</v>
      </c>
      <c r="AM28" s="697">
        <f t="shared" ca="1" si="16"/>
        <v>1.85</v>
      </c>
      <c r="AN28" s="697">
        <f t="shared" ca="1" si="16"/>
        <v>1.71</v>
      </c>
      <c r="AO28" s="697">
        <f t="shared" ref="AO28:AP28" ca="1" si="19">AO35*AO39/1000</f>
        <v>0</v>
      </c>
      <c r="AP28" s="697">
        <f t="shared" ca="1" si="19"/>
        <v>0.16449999999999998</v>
      </c>
    </row>
    <row r="29" spans="1:42" s="664" customFormat="1" outlineLevel="1">
      <c r="D29" s="683" t="s">
        <v>64</v>
      </c>
      <c r="E29" s="684" t="s">
        <v>57</v>
      </c>
      <c r="F29" s="696">
        <f t="shared" ref="F29:AN29" ca="1" si="20">F34*F39/1000</f>
        <v>0.81337390108127505</v>
      </c>
      <c r="G29" s="696">
        <f t="shared" ca="1" si="20"/>
        <v>0.73792177667670411</v>
      </c>
      <c r="H29" s="696">
        <f t="shared" ca="1" si="20"/>
        <v>0.73792177667670411</v>
      </c>
      <c r="I29" s="696">
        <f t="shared" ca="1" si="20"/>
        <v>0.73792177667670411</v>
      </c>
      <c r="J29" s="696">
        <f t="shared" ca="1" si="20"/>
        <v>0.73792177667670411</v>
      </c>
      <c r="K29" s="696">
        <f t="shared" ca="1" si="20"/>
        <v>0.81337390108127505</v>
      </c>
      <c r="L29" s="696">
        <f t="shared" ca="1" si="20"/>
        <v>0.81337390108127505</v>
      </c>
      <c r="M29" s="696">
        <f t="shared" ca="1" si="20"/>
        <v>0.85015807770374519</v>
      </c>
      <c r="N29" s="696">
        <f t="shared" ca="1" si="20"/>
        <v>0.81160153574291294</v>
      </c>
      <c r="O29" s="696">
        <f t="shared" ca="1" si="20"/>
        <v>0.81160153574291294</v>
      </c>
      <c r="P29" s="696">
        <f t="shared" ca="1" si="20"/>
        <v>1.5305590032991392</v>
      </c>
      <c r="Q29" s="696">
        <f t="shared" ca="1" si="20"/>
        <v>1.4509949913095672</v>
      </c>
      <c r="R29" s="696">
        <f t="shared" ca="1" si="20"/>
        <v>0.77300701452482978</v>
      </c>
      <c r="S29" s="696">
        <f t="shared" ca="1" si="20"/>
        <v>0.77300760092456167</v>
      </c>
      <c r="T29" s="696">
        <f t="shared" ca="1" si="20"/>
        <v>0</v>
      </c>
      <c r="U29" s="696">
        <f t="shared" ca="1" si="20"/>
        <v>0</v>
      </c>
      <c r="V29" s="696">
        <f t="shared" ca="1" si="20"/>
        <v>0</v>
      </c>
      <c r="W29" s="696">
        <f t="shared" ca="1" si="20"/>
        <v>205.18136137491888</v>
      </c>
      <c r="X29" s="696">
        <f t="shared" ca="1" si="20"/>
        <v>205.18136137491891</v>
      </c>
      <c r="Y29" s="696">
        <f t="shared" ca="1" si="20"/>
        <v>205.18136137491891</v>
      </c>
      <c r="Z29" s="696">
        <f t="shared" ca="1" si="20"/>
        <v>235.95856558115668</v>
      </c>
      <c r="AA29" s="696">
        <f t="shared" ca="1" si="20"/>
        <v>13.443963249923826</v>
      </c>
      <c r="AB29" s="696">
        <f t="shared" ca="1" si="20"/>
        <v>13.443963249923826</v>
      </c>
      <c r="AC29" s="696">
        <f t="shared" ca="1" si="20"/>
        <v>13.790904237018637</v>
      </c>
      <c r="AD29" s="696">
        <f t="shared" ca="1" si="20"/>
        <v>9.4603276398972831</v>
      </c>
      <c r="AE29" s="696">
        <f t="shared" ca="1" si="20"/>
        <v>9.4603276398972831</v>
      </c>
      <c r="AF29" s="696">
        <f t="shared" ca="1" si="20"/>
        <v>14.190491459845921</v>
      </c>
      <c r="AG29" s="696">
        <f t="shared" ca="1" si="20"/>
        <v>2.9592768951702504</v>
      </c>
      <c r="AH29" s="696">
        <f t="shared" ref="AH29" ca="1" si="21">AH34*AH39/1000</f>
        <v>2.9986803887922879</v>
      </c>
      <c r="AI29" s="696">
        <f ca="1">AI34*AI39/1000</f>
        <v>3.2703939793764811</v>
      </c>
      <c r="AJ29" s="696">
        <f t="shared" ca="1" si="20"/>
        <v>2.9592768951702504</v>
      </c>
      <c r="AK29" s="696">
        <f t="shared" ref="AK29" ca="1" si="22">AK34*AK39/1000</f>
        <v>3.9195351938510035</v>
      </c>
      <c r="AL29" s="696">
        <f t="shared" ca="1" si="20"/>
        <v>3.9195351938510035</v>
      </c>
      <c r="AM29" s="696">
        <f t="shared" ca="1" si="20"/>
        <v>4.4248959530251257</v>
      </c>
      <c r="AN29" s="696">
        <f t="shared" ca="1" si="20"/>
        <v>5.3898148066136029</v>
      </c>
      <c r="AO29" s="696">
        <f t="shared" ref="AO29:AP29" ca="1" si="23">AO34*AO39/1000</f>
        <v>0</v>
      </c>
      <c r="AP29" s="696">
        <f t="shared" ca="1" si="23"/>
        <v>1.5429047938560752</v>
      </c>
    </row>
    <row r="30" spans="1:42" s="664" customFormat="1" outlineLevel="1">
      <c r="D30" s="682"/>
      <c r="E30" s="694"/>
      <c r="F30" s="697"/>
      <c r="G30" s="697"/>
      <c r="H30" s="697"/>
      <c r="I30" s="697"/>
      <c r="J30" s="697"/>
      <c r="K30" s="697"/>
      <c r="L30" s="697"/>
      <c r="M30" s="697"/>
      <c r="N30" s="697"/>
      <c r="O30" s="697"/>
      <c r="P30" s="697"/>
      <c r="Q30" s="697"/>
      <c r="R30" s="697"/>
      <c r="S30" s="697"/>
      <c r="T30" s="697"/>
      <c r="U30" s="697"/>
      <c r="V30" s="697"/>
      <c r="W30" s="697"/>
      <c r="X30" s="697"/>
      <c r="Y30" s="697"/>
      <c r="Z30" s="697"/>
      <c r="AA30" s="697"/>
      <c r="AB30" s="697"/>
      <c r="AC30" s="697"/>
      <c r="AD30" s="697"/>
      <c r="AE30" s="697"/>
      <c r="AF30" s="697"/>
      <c r="AG30" s="697"/>
      <c r="AH30" s="697"/>
      <c r="AI30" s="697"/>
      <c r="AJ30" s="697"/>
      <c r="AK30" s="697"/>
      <c r="AL30" s="697"/>
      <c r="AM30" s="697"/>
      <c r="AN30" s="697"/>
      <c r="AO30" s="697"/>
      <c r="AP30" s="697"/>
    </row>
    <row r="31" spans="1:42" s="664" customFormat="1" outlineLevel="1">
      <c r="D31" s="668" t="s">
        <v>378</v>
      </c>
      <c r="E31" s="667"/>
      <c r="F31" s="698"/>
      <c r="G31" s="698"/>
      <c r="H31" s="698"/>
      <c r="I31" s="698"/>
      <c r="J31" s="698"/>
      <c r="K31" s="698"/>
      <c r="L31" s="698"/>
      <c r="M31" s="698"/>
      <c r="N31" s="698"/>
      <c r="O31" s="698"/>
      <c r="P31" s="698"/>
      <c r="Q31" s="698"/>
      <c r="R31" s="698"/>
      <c r="S31" s="698"/>
      <c r="T31" s="698"/>
      <c r="U31" s="698"/>
      <c r="V31" s="698"/>
      <c r="W31" s="698"/>
      <c r="X31" s="698"/>
      <c r="Y31" s="698"/>
      <c r="Z31" s="698"/>
      <c r="AA31" s="698"/>
      <c r="AB31" s="698"/>
      <c r="AC31" s="698"/>
      <c r="AD31" s="698"/>
      <c r="AE31" s="698"/>
      <c r="AF31" s="698"/>
      <c r="AG31" s="698"/>
      <c r="AH31" s="698"/>
      <c r="AI31" s="698"/>
      <c r="AJ31" s="698"/>
      <c r="AK31" s="698"/>
      <c r="AL31" s="698"/>
      <c r="AM31" s="698"/>
      <c r="AN31" s="698"/>
      <c r="AO31" s="698"/>
      <c r="AP31" s="698"/>
    </row>
    <row r="32" spans="1:42" s="664" customFormat="1" outlineLevel="1">
      <c r="A32" s="699">
        <f>ROW('Std benzin motor'!$D38)</f>
        <v>38</v>
      </c>
      <c r="B32" s="699">
        <f>COLUMN('Std benzin motor'!$D1)-1+chosenYear</f>
        <v>4</v>
      </c>
      <c r="D32" s="686" t="s">
        <v>62</v>
      </c>
      <c r="E32" s="680" t="s">
        <v>61</v>
      </c>
      <c r="F32" s="1598">
        <f t="shared" ref="F32:O35" ca="1" si="24">INDIRECT(ADDRESS($A32,$B32,,,F$9))</f>
        <v>160622</v>
      </c>
      <c r="G32" s="1598">
        <f t="shared" ca="1" si="24"/>
        <v>145722</v>
      </c>
      <c r="H32" s="1598">
        <f t="shared" ca="1" si="24"/>
        <v>145722</v>
      </c>
      <c r="I32" s="1598">
        <f t="shared" ca="1" si="24"/>
        <v>145722</v>
      </c>
      <c r="J32" s="1598">
        <f t="shared" ca="1" si="24"/>
        <v>145722</v>
      </c>
      <c r="K32" s="1598">
        <f t="shared" ca="1" si="24"/>
        <v>160622</v>
      </c>
      <c r="L32" s="1598">
        <f t="shared" ca="1" si="24"/>
        <v>160622</v>
      </c>
      <c r="M32" s="1598">
        <f t="shared" ca="1" si="24"/>
        <v>167886</v>
      </c>
      <c r="N32" s="1598">
        <f t="shared" ca="1" si="24"/>
        <v>160272</v>
      </c>
      <c r="O32" s="1598">
        <f t="shared" ca="1" si="24"/>
        <v>160272</v>
      </c>
      <c r="P32" s="1598">
        <f t="shared" ref="P32:Y35" ca="1" si="25">INDIRECT(ADDRESS($A32,$B32,,,P$9))</f>
        <v>302249</v>
      </c>
      <c r="Q32" s="1598">
        <f t="shared" ca="1" si="25"/>
        <v>286537</v>
      </c>
      <c r="R32" s="1598">
        <f t="shared" ca="1" si="25"/>
        <v>152650.5</v>
      </c>
      <c r="S32" s="1598">
        <f t="shared" ca="1" si="25"/>
        <v>152650.6158</v>
      </c>
      <c r="T32" s="2119">
        <f t="shared" ca="1" si="25"/>
        <v>0</v>
      </c>
      <c r="U32" s="2119">
        <f t="shared" ca="1" si="25"/>
        <v>0</v>
      </c>
      <c r="V32" s="2119">
        <f t="shared" ca="1" si="25"/>
        <v>0</v>
      </c>
      <c r="W32" s="2119">
        <f t="shared" ca="1" si="25"/>
        <v>450500000</v>
      </c>
      <c r="X32" s="2119">
        <f t="shared" ca="1" si="25"/>
        <v>450500000</v>
      </c>
      <c r="Y32" s="2119">
        <f t="shared" ca="1" si="25"/>
        <v>450500000</v>
      </c>
      <c r="Z32" s="2119">
        <f t="shared" ref="Z32:AP35" ca="1" si="26">INDIRECT(ADDRESS($A32,$B32,,,Z$9))</f>
        <v>518074999.99999988</v>
      </c>
      <c r="AA32" s="1598">
        <f t="shared" ca="1" si="26"/>
        <v>62000000</v>
      </c>
      <c r="AB32" s="1598">
        <f t="shared" ca="1" si="26"/>
        <v>62000000</v>
      </c>
      <c r="AC32" s="1598">
        <f t="shared" ca="1" si="26"/>
        <v>53000000</v>
      </c>
      <c r="AD32" s="1598">
        <f t="shared" ca="1" si="26"/>
        <v>20000000</v>
      </c>
      <c r="AE32" s="1598">
        <f t="shared" ca="1" si="26"/>
        <v>20000000</v>
      </c>
      <c r="AF32" s="1598">
        <f t="shared" ca="1" si="26"/>
        <v>22000000</v>
      </c>
      <c r="AG32" s="1598">
        <f t="shared" ca="1" si="26"/>
        <v>751018.91308317415</v>
      </c>
      <c r="AH32" s="1598">
        <f t="shared" ca="1" si="26"/>
        <v>761018.91308317415</v>
      </c>
      <c r="AI32" s="1598">
        <f ca="1">INDIRECT(ADDRESS($A32,$B32,,,AI$9))</f>
        <v>829975.63889802131</v>
      </c>
      <c r="AJ32" s="1598">
        <f t="shared" ca="1" si="26"/>
        <v>751018.91308317415</v>
      </c>
      <c r="AK32" s="1598">
        <f t="shared" ca="1" si="26"/>
        <v>1332921.6972839427</v>
      </c>
      <c r="AL32" s="1598">
        <f t="shared" ca="1" si="26"/>
        <v>1332921.6972839427</v>
      </c>
      <c r="AM32" s="1598">
        <f t="shared" ca="1" si="26"/>
        <v>1504780.4222459821</v>
      </c>
      <c r="AN32" s="1598">
        <f t="shared" ca="1" si="26"/>
        <v>1832921.6972839427</v>
      </c>
      <c r="AO32" s="1598">
        <f t="shared" ca="1" si="26"/>
        <v>0</v>
      </c>
      <c r="AP32" s="1598">
        <f t="shared" ca="1" si="26"/>
        <v>304687</v>
      </c>
    </row>
    <row r="33" spans="1:42" s="664" customFormat="1" outlineLevel="1">
      <c r="A33" s="699">
        <f>ROW('Std benzin motor'!$D39)</f>
        <v>39</v>
      </c>
      <c r="B33" s="699">
        <f>COLUMN('Std benzin motor'!$D2)-1+chosenYear</f>
        <v>4</v>
      </c>
      <c r="D33" s="682" t="s">
        <v>262</v>
      </c>
      <c r="E33" s="700" t="s">
        <v>263</v>
      </c>
      <c r="F33" s="1599">
        <f t="shared" ca="1" si="24"/>
        <v>2924.8125868488596</v>
      </c>
      <c r="G33" s="1599">
        <f t="shared" ca="1" si="24"/>
        <v>2860.3927451141194</v>
      </c>
      <c r="H33" s="1599">
        <f t="shared" ca="1" si="24"/>
        <v>2860.3927451141194</v>
      </c>
      <c r="I33" s="1599">
        <f t="shared" ca="1" si="24"/>
        <v>2860.3927451141194</v>
      </c>
      <c r="J33" s="1599">
        <f t="shared" ca="1" si="24"/>
        <v>2860.3927451141194</v>
      </c>
      <c r="K33" s="1599">
        <f t="shared" ca="1" si="24"/>
        <v>2924.8125868488596</v>
      </c>
      <c r="L33" s="1599">
        <f t="shared" ca="1" si="24"/>
        <v>2924.8125868488596</v>
      </c>
      <c r="M33" s="1599">
        <f t="shared" ca="1" si="24"/>
        <v>2854.7572472084194</v>
      </c>
      <c r="N33" s="1599">
        <f t="shared" ca="1" si="24"/>
        <v>2778.3949372476964</v>
      </c>
      <c r="O33" s="1599">
        <f t="shared" ca="1" si="24"/>
        <v>2778.3949372476964</v>
      </c>
      <c r="P33" s="1599">
        <f t="shared" ca="1" si="25"/>
        <v>3913.0490383901479</v>
      </c>
      <c r="Q33" s="1599">
        <f t="shared" ca="1" si="25"/>
        <v>3816.3428653712931</v>
      </c>
      <c r="R33" s="1599">
        <f t="shared" ca="1" si="25"/>
        <v>3911.6688871943825</v>
      </c>
      <c r="S33" s="1599">
        <f t="shared" ca="1" si="25"/>
        <v>2841.4078281110269</v>
      </c>
      <c r="T33" s="2120">
        <f t="shared" ca="1" si="25"/>
        <v>0</v>
      </c>
      <c r="U33" s="2120">
        <f t="shared" ca="1" si="25"/>
        <v>851.25751685307193</v>
      </c>
      <c r="V33" s="2120">
        <f t="shared" ca="1" si="25"/>
        <v>851.25751685307193</v>
      </c>
      <c r="W33" s="2120">
        <f t="shared" ca="1" si="25"/>
        <v>91.391538076981362</v>
      </c>
      <c r="X33" s="2120">
        <f t="shared" ca="1" si="25"/>
        <v>96.000459431417084</v>
      </c>
      <c r="Y33" s="2120">
        <f t="shared" ca="1" si="25"/>
        <v>96.000459431417084</v>
      </c>
      <c r="Z33" s="2120">
        <f t="shared" ca="1" si="26"/>
        <v>107.91285750333456</v>
      </c>
      <c r="AA33" s="1599">
        <f t="shared" ca="1" si="26"/>
        <v>3386.3475420029636</v>
      </c>
      <c r="AB33" s="1599">
        <f t="shared" ca="1" si="26"/>
        <v>3386.3475420029636</v>
      </c>
      <c r="AC33" s="1599">
        <f t="shared" ca="1" si="26"/>
        <v>2671.0034430529399</v>
      </c>
      <c r="AD33" s="1599">
        <f t="shared" ca="1" si="26"/>
        <v>3753.1364607092619</v>
      </c>
      <c r="AE33" s="1599">
        <f t="shared" ca="1" si="26"/>
        <v>3753.1364607092619</v>
      </c>
      <c r="AF33" s="1599">
        <f t="shared" ca="1" si="26"/>
        <v>4211.1550425620981</v>
      </c>
      <c r="AG33" s="1599">
        <f t="shared" ca="1" si="26"/>
        <v>1076.2653476999574</v>
      </c>
      <c r="AH33" s="1599">
        <f t="shared" ca="1" si="26"/>
        <v>1083.241278471824</v>
      </c>
      <c r="AI33" s="1599">
        <f ca="1">INDIRECT(ADDRESS($A33,$B33,,,AI$9))</f>
        <v>1152.5896189140617</v>
      </c>
      <c r="AJ33" s="1599">
        <f t="shared" ca="1" si="26"/>
        <v>1076.2653476999574</v>
      </c>
      <c r="AK33" s="1599">
        <f t="shared" ca="1" si="26"/>
        <v>1186.4632940347669</v>
      </c>
      <c r="AL33" s="1599">
        <f t="shared" ca="1" si="26"/>
        <v>1186.4632940347669</v>
      </c>
      <c r="AM33" s="1599">
        <f t="shared" ca="1" si="26"/>
        <v>1301.6676128080421</v>
      </c>
      <c r="AN33" s="1599">
        <f t="shared" ca="1" si="26"/>
        <v>1472.7891999943913</v>
      </c>
      <c r="AO33" s="1599">
        <f t="shared" ca="1" si="26"/>
        <v>0</v>
      </c>
      <c r="AP33" s="1599">
        <f t="shared" ca="1" si="26"/>
        <v>4033.464751290428</v>
      </c>
    </row>
    <row r="34" spans="1:42" s="664" customFormat="1" outlineLevel="1">
      <c r="A34" s="699">
        <f>ROW('Std benzin motor'!$D40)</f>
        <v>40</v>
      </c>
      <c r="B34" s="699">
        <f>COLUMN('Std benzin motor'!$D3)-1+chosenYear</f>
        <v>4</v>
      </c>
      <c r="D34" s="701" t="s">
        <v>162</v>
      </c>
      <c r="E34" s="700" t="s">
        <v>263</v>
      </c>
      <c r="F34" s="1599">
        <f t="shared" ca="1" si="24"/>
        <v>2044.8853300609453</v>
      </c>
      <c r="G34" s="1599">
        <f t="shared" ca="1" si="24"/>
        <v>1940.1634765649264</v>
      </c>
      <c r="H34" s="1599">
        <f t="shared" ca="1" si="24"/>
        <v>1940.1634765649264</v>
      </c>
      <c r="I34" s="1599">
        <f t="shared" ca="1" si="24"/>
        <v>1940.1634765649264</v>
      </c>
      <c r="J34" s="1599">
        <f t="shared" ca="1" si="24"/>
        <v>1940.1634765649264</v>
      </c>
      <c r="K34" s="1599">
        <f t="shared" ca="1" si="24"/>
        <v>2044.8853300609453</v>
      </c>
      <c r="L34" s="1599">
        <f t="shared" ca="1" si="24"/>
        <v>2044.8853300609453</v>
      </c>
      <c r="M34" s="1599">
        <f t="shared" ca="1" si="24"/>
        <v>2022.2293868496881</v>
      </c>
      <c r="N34" s="1599">
        <f t="shared" ca="1" si="24"/>
        <v>1941.2419221091945</v>
      </c>
      <c r="O34" s="1599">
        <f t="shared" ca="1" si="24"/>
        <v>1941.2419221091945</v>
      </c>
      <c r="P34" s="1599">
        <f t="shared" ca="1" si="25"/>
        <v>3533.3002712013154</v>
      </c>
      <c r="Q34" s="1599">
        <f t="shared" ca="1" si="25"/>
        <v>3427.7385027884825</v>
      </c>
      <c r="R34" s="1599">
        <f t="shared" ca="1" si="25"/>
        <v>2164.5998146876864</v>
      </c>
      <c r="S34" s="1599">
        <f t="shared" ca="1" si="25"/>
        <v>1719.9352660172135</v>
      </c>
      <c r="T34" s="2120">
        <f t="shared" ca="1" si="25"/>
        <v>0</v>
      </c>
      <c r="U34" s="2120">
        <f t="shared" ca="1" si="25"/>
        <v>0</v>
      </c>
      <c r="V34" s="2120">
        <f t="shared" ca="1" si="25"/>
        <v>0</v>
      </c>
      <c r="W34" s="2120">
        <f t="shared" ca="1" si="25"/>
        <v>61.549621411216862</v>
      </c>
      <c r="X34" s="2120">
        <f t="shared" ca="1" si="25"/>
        <v>64.653599858769013</v>
      </c>
      <c r="Y34" s="2120">
        <f t="shared" ca="1" si="25"/>
        <v>64.653599858769013</v>
      </c>
      <c r="Z34" s="2120">
        <f t="shared" ca="1" si="26"/>
        <v>75.909288776106862</v>
      </c>
      <c r="AA34" s="1599">
        <f t="shared" ca="1" si="26"/>
        <v>1065.0844808182089</v>
      </c>
      <c r="AB34" s="1599">
        <f t="shared" ca="1" si="26"/>
        <v>1065.0844808182089</v>
      </c>
      <c r="AC34" s="1599">
        <f t="shared" ca="1" si="26"/>
        <v>854.83359776528857</v>
      </c>
      <c r="AD34" s="1599">
        <f t="shared" ca="1" si="26"/>
        <v>916.03716370567258</v>
      </c>
      <c r="AE34" s="1599">
        <f t="shared" ca="1" si="26"/>
        <v>916.03716370567258</v>
      </c>
      <c r="AF34" s="1599">
        <f t="shared" ca="1" si="26"/>
        <v>1374.0557455585088</v>
      </c>
      <c r="AG34" s="1599">
        <f t="shared" ca="1" si="26"/>
        <v>523.90559460306747</v>
      </c>
      <c r="AH34" s="1599">
        <f t="shared" ca="1" si="26"/>
        <v>530.88152537493397</v>
      </c>
      <c r="AI34" s="1599">
        <f ca="1">INDIRECT(ADDRESS($A34,$B34,,,AI$9))</f>
        <v>578.98525992882969</v>
      </c>
      <c r="AJ34" s="1599">
        <f t="shared" ca="1" si="26"/>
        <v>523.90559460306747</v>
      </c>
      <c r="AK34" s="1599">
        <f t="shared" ca="1" si="26"/>
        <v>813.070377149043</v>
      </c>
      <c r="AL34" s="1599">
        <f t="shared" ca="1" si="26"/>
        <v>813.070377149043</v>
      </c>
      <c r="AM34" s="1599">
        <f t="shared" ca="1" si="26"/>
        <v>917.90267045327039</v>
      </c>
      <c r="AN34" s="1599">
        <f t="shared" ca="1" si="26"/>
        <v>1118.0659289529538</v>
      </c>
      <c r="AO34" s="1599">
        <f t="shared" ca="1" si="26"/>
        <v>0</v>
      </c>
      <c r="AP34" s="1599">
        <f t="shared" ca="1" si="26"/>
        <v>3644.8603887076174</v>
      </c>
    </row>
    <row r="35" spans="1:42" s="664" customFormat="1" outlineLevel="1">
      <c r="A35" s="699">
        <f>ROW('Std benzin motor'!$D41)</f>
        <v>41</v>
      </c>
      <c r="B35" s="699">
        <f>COLUMN('Std benzin motor'!$D4)-1+chosenYear</f>
        <v>4</v>
      </c>
      <c r="D35" s="701" t="s">
        <v>163</v>
      </c>
      <c r="E35" s="700" t="s">
        <v>263</v>
      </c>
      <c r="F35" s="1599">
        <f t="shared" ca="1" si="24"/>
        <v>879.92725678791442</v>
      </c>
      <c r="G35" s="1599">
        <f t="shared" ca="1" si="24"/>
        <v>920.22926854919285</v>
      </c>
      <c r="H35" s="1599">
        <f t="shared" ca="1" si="24"/>
        <v>920.22926854919285</v>
      </c>
      <c r="I35" s="1599">
        <f t="shared" ca="1" si="24"/>
        <v>920.22926854919285</v>
      </c>
      <c r="J35" s="1599">
        <f t="shared" ca="1" si="24"/>
        <v>920.22926854919285</v>
      </c>
      <c r="K35" s="1599">
        <f t="shared" ca="1" si="24"/>
        <v>879.92725678791442</v>
      </c>
      <c r="L35" s="1599">
        <f t="shared" ca="1" si="24"/>
        <v>879.92725678791442</v>
      </c>
      <c r="M35" s="1599">
        <f t="shared" ca="1" si="24"/>
        <v>832.52786035873112</v>
      </c>
      <c r="N35" s="1599">
        <f t="shared" ca="1" si="24"/>
        <v>837.15301513850181</v>
      </c>
      <c r="O35" s="1599">
        <f t="shared" ca="1" si="24"/>
        <v>837.15301513850181</v>
      </c>
      <c r="P35" s="1599">
        <f t="shared" ca="1" si="25"/>
        <v>379.7487671888324</v>
      </c>
      <c r="Q35" s="1599">
        <f t="shared" ca="1" si="25"/>
        <v>388.60436258281067</v>
      </c>
      <c r="R35" s="1599">
        <f t="shared" ca="1" si="25"/>
        <v>1747.0690725066961</v>
      </c>
      <c r="S35" s="1599">
        <f t="shared" ca="1" si="25"/>
        <v>1121.4725620938134</v>
      </c>
      <c r="T35" s="2120">
        <f t="shared" ca="1" si="25"/>
        <v>0</v>
      </c>
      <c r="U35" s="2120">
        <f t="shared" ca="1" si="25"/>
        <v>851.25751685307193</v>
      </c>
      <c r="V35" s="2120">
        <f t="shared" ca="1" si="25"/>
        <v>851.25751685307193</v>
      </c>
      <c r="W35" s="2120">
        <f t="shared" ca="1" si="25"/>
        <v>29.841916665764494</v>
      </c>
      <c r="X35" s="2120">
        <f t="shared" ca="1" si="25"/>
        <v>31.346859572648068</v>
      </c>
      <c r="Y35" s="2120">
        <f t="shared" ca="1" si="25"/>
        <v>31.346859572648068</v>
      </c>
      <c r="Z35" s="2120">
        <f t="shared" ca="1" si="26"/>
        <v>32.003568727227702</v>
      </c>
      <c r="AA35" s="1599">
        <f t="shared" ca="1" si="26"/>
        <v>2321.2630611847544</v>
      </c>
      <c r="AB35" s="1599">
        <f t="shared" ca="1" si="26"/>
        <v>2321.2630611847544</v>
      </c>
      <c r="AC35" s="1599">
        <f t="shared" ca="1" si="26"/>
        <v>1816.1698452876515</v>
      </c>
      <c r="AD35" s="1599">
        <f t="shared" ca="1" si="26"/>
        <v>2837.0992970035895</v>
      </c>
      <c r="AE35" s="1599">
        <f t="shared" ca="1" si="26"/>
        <v>2837.0992970035895</v>
      </c>
      <c r="AF35" s="1599">
        <f t="shared" ca="1" si="26"/>
        <v>2837.0992970035895</v>
      </c>
      <c r="AG35" s="1599">
        <f t="shared" ca="1" si="26"/>
        <v>552.3597530968899</v>
      </c>
      <c r="AH35" s="1599">
        <f t="shared" ca="1" si="26"/>
        <v>552.3597530968899</v>
      </c>
      <c r="AI35" s="1599">
        <f ca="1">INDIRECT(ADDRESS($A35,$B35,,,AI$9))</f>
        <v>573.6043589852319</v>
      </c>
      <c r="AJ35" s="1599">
        <f t="shared" ca="1" si="26"/>
        <v>552.3597530968899</v>
      </c>
      <c r="AK35" s="1599">
        <f t="shared" ca="1" si="26"/>
        <v>373.39291688572388</v>
      </c>
      <c r="AL35" s="1599">
        <f t="shared" ca="1" si="26"/>
        <v>373.39291688572388</v>
      </c>
      <c r="AM35" s="1599">
        <f t="shared" ca="1" si="26"/>
        <v>383.76494235477173</v>
      </c>
      <c r="AN35" s="1599">
        <f t="shared" ca="1" si="26"/>
        <v>354.72327104143767</v>
      </c>
      <c r="AO35" s="1599">
        <f t="shared" ca="1" si="26"/>
        <v>0</v>
      </c>
      <c r="AP35" s="1599">
        <f t="shared" ca="1" si="26"/>
        <v>388.60436258281067</v>
      </c>
    </row>
    <row r="36" spans="1:42" s="664" customFormat="1" outlineLevel="1">
      <c r="A36" s="699"/>
      <c r="B36" s="699"/>
      <c r="D36" s="682" t="s">
        <v>8</v>
      </c>
      <c r="E36" s="694" t="s">
        <v>46</v>
      </c>
      <c r="F36" s="742">
        <f t="shared" ref="F36:AN36" ca="1" si="27">SUM(F37:F38)</f>
        <v>1.625</v>
      </c>
      <c r="G36" s="742">
        <f t="shared" ca="1" si="27"/>
        <v>2.113</v>
      </c>
      <c r="H36" s="742">
        <f t="shared" ca="1" si="27"/>
        <v>2.113</v>
      </c>
      <c r="I36" s="742">
        <f t="shared" ca="1" si="27"/>
        <v>2.113</v>
      </c>
      <c r="J36" s="742">
        <f t="shared" ca="1" si="27"/>
        <v>2.113</v>
      </c>
      <c r="K36" s="742">
        <f t="shared" ca="1" si="27"/>
        <v>1.625</v>
      </c>
      <c r="L36" s="742">
        <f t="shared" ca="1" si="27"/>
        <v>1.625</v>
      </c>
      <c r="M36" s="742">
        <f t="shared" ca="1" si="27"/>
        <v>1.718</v>
      </c>
      <c r="N36" s="742">
        <f t="shared" ca="1" si="27"/>
        <v>2.323</v>
      </c>
      <c r="O36" s="742">
        <f t="shared" ca="1" si="27"/>
        <v>2.323</v>
      </c>
      <c r="P36" s="742">
        <f t="shared" ca="1" si="27"/>
        <v>0.61191202708809678</v>
      </c>
      <c r="Q36" s="742">
        <f t="shared" ca="1" si="27"/>
        <v>0.51885599999999998</v>
      </c>
      <c r="R36" s="742">
        <f t="shared" ca="1" si="27"/>
        <v>0.40967999999999999</v>
      </c>
      <c r="S36" s="742">
        <f t="shared" ca="1" si="27"/>
        <v>0.76588000000000001</v>
      </c>
      <c r="T36" s="742">
        <f t="shared" ca="1" si="27"/>
        <v>4232.181425485961</v>
      </c>
      <c r="U36" s="742">
        <f t="shared" ca="1" si="27"/>
        <v>100.27149703966647</v>
      </c>
      <c r="V36" s="742">
        <f t="shared" ca="1" si="27"/>
        <v>100.27149703966647</v>
      </c>
      <c r="W36" s="742">
        <f t="shared" ca="1" si="27"/>
        <v>6549.6760259179264</v>
      </c>
      <c r="X36" s="742">
        <f t="shared" ca="1" si="27"/>
        <v>6549.6760259179264</v>
      </c>
      <c r="Y36" s="742">
        <f t="shared" ca="1" si="27"/>
        <v>6549.6760259179264</v>
      </c>
      <c r="Z36" s="742">
        <f t="shared" ca="1" si="27"/>
        <v>6857.4514038876878</v>
      </c>
      <c r="AA36" s="742">
        <f t="shared" ca="1" si="27"/>
        <v>39.445120000000003</v>
      </c>
      <c r="AB36" s="742">
        <f t="shared" ca="1" si="27"/>
        <v>39.445120000000003</v>
      </c>
      <c r="AC36" s="742">
        <f t="shared" ca="1" si="27"/>
        <v>18.507600000000004</v>
      </c>
      <c r="AD36" s="742">
        <f t="shared" ca="1" si="27"/>
        <v>32.27328</v>
      </c>
      <c r="AE36" s="742">
        <f t="shared" ca="1" si="27"/>
        <v>32.27328</v>
      </c>
      <c r="AF36" s="742">
        <f t="shared" ca="1" si="27"/>
        <v>32.27328</v>
      </c>
      <c r="AG36" s="742">
        <f t="shared" ca="1" si="27"/>
        <v>14.1212316</v>
      </c>
      <c r="AH36" s="742">
        <f t="shared" ref="AH36" ca="1" si="28">SUM(AH37:AH38)</f>
        <v>14.1212316</v>
      </c>
      <c r="AI36" s="742">
        <f ca="1">SUM(AI37:AI38)</f>
        <v>18.159492</v>
      </c>
      <c r="AJ36" s="742">
        <f t="shared" ca="1" si="27"/>
        <v>14.121231600000002</v>
      </c>
      <c r="AK36" s="742">
        <f t="shared" ref="AK36" ca="1" si="29">SUM(AK37:AK38)</f>
        <v>14.921088000000001</v>
      </c>
      <c r="AL36" s="742">
        <f t="shared" ca="1" si="27"/>
        <v>14.921088000000001</v>
      </c>
      <c r="AM36" s="742">
        <f t="shared" ca="1" si="27"/>
        <v>19.781298</v>
      </c>
      <c r="AN36" s="742">
        <f t="shared" ca="1" si="27"/>
        <v>11.47776</v>
      </c>
      <c r="AO36" s="742">
        <f t="shared" ref="AO36:AP36" ca="1" si="30">SUM(AO37:AO38)</f>
        <v>4232.181425485961</v>
      </c>
      <c r="AP36" s="742">
        <f t="shared" ca="1" si="30"/>
        <v>0.74990000000000001</v>
      </c>
    </row>
    <row r="37" spans="1:42" s="664" customFormat="1" outlineLevel="1">
      <c r="A37" s="699">
        <f>ROW('Std benzin motor'!D25)</f>
        <v>25</v>
      </c>
      <c r="B37" s="699">
        <f>COLUMN('Std benzin motor'!$D6)-1+chosenYear</f>
        <v>4</v>
      </c>
      <c r="D37" s="701" t="s">
        <v>1022</v>
      </c>
      <c r="E37" s="694" t="s">
        <v>46</v>
      </c>
      <c r="F37" s="1600">
        <f t="shared" ref="F37:O39" ca="1" si="31">INDIRECT(ADDRESS($A37,$B37,,,F$9))</f>
        <v>1.625</v>
      </c>
      <c r="G37" s="1600">
        <f t="shared" ca="1" si="31"/>
        <v>2.113</v>
      </c>
      <c r="H37" s="1600">
        <f t="shared" ca="1" si="31"/>
        <v>2.113</v>
      </c>
      <c r="I37" s="1600">
        <f t="shared" ca="1" si="31"/>
        <v>2.113</v>
      </c>
      <c r="J37" s="1600">
        <f t="shared" ca="1" si="31"/>
        <v>2.113</v>
      </c>
      <c r="K37" s="1600">
        <f t="shared" ca="1" si="31"/>
        <v>1.625</v>
      </c>
      <c r="L37" s="1600">
        <f t="shared" ca="1" si="31"/>
        <v>1.625</v>
      </c>
      <c r="M37" s="1600">
        <f t="shared" ca="1" si="31"/>
        <v>1.718</v>
      </c>
      <c r="N37" s="1600">
        <f t="shared" ca="1" si="31"/>
        <v>2.323</v>
      </c>
      <c r="O37" s="1600">
        <f t="shared" ca="1" si="31"/>
        <v>2.323</v>
      </c>
      <c r="P37" s="1600">
        <f t="shared" ref="P37:Y39" ca="1" si="32">INDIRECT(ADDRESS($A37,$B37,,,P$9))</f>
        <v>0.61191202708809678</v>
      </c>
      <c r="Q37" s="1600">
        <f t="shared" ca="1" si="32"/>
        <v>0.51885599999999998</v>
      </c>
      <c r="R37" s="1600">
        <f t="shared" ca="1" si="32"/>
        <v>0.40967999999999999</v>
      </c>
      <c r="S37" s="1600">
        <f t="shared" ca="1" si="32"/>
        <v>0.34899999999999998</v>
      </c>
      <c r="T37" s="1600">
        <f t="shared" ca="1" si="32"/>
        <v>4232.181425485961</v>
      </c>
      <c r="U37" s="1600">
        <f t="shared" ca="1" si="32"/>
        <v>100.27149703966647</v>
      </c>
      <c r="V37" s="1600">
        <f t="shared" ca="1" si="32"/>
        <v>100.27149703966647</v>
      </c>
      <c r="W37" s="1600">
        <f t="shared" ca="1" si="32"/>
        <v>6549.6760259179264</v>
      </c>
      <c r="X37" s="1600">
        <f t="shared" ca="1" si="32"/>
        <v>6549.6760259179264</v>
      </c>
      <c r="Y37" s="1600">
        <f t="shared" ca="1" si="32"/>
        <v>6549.6760259179264</v>
      </c>
      <c r="Z37" s="1600">
        <f t="shared" ref="Z37:AP39" ca="1" si="33">INDIRECT(ADDRESS($A37,$B37,,,Z$9))</f>
        <v>6857.4514038876878</v>
      </c>
      <c r="AA37" s="1600">
        <f t="shared" ca="1" si="33"/>
        <v>39.445120000000003</v>
      </c>
      <c r="AB37" s="1600">
        <f t="shared" ca="1" si="33"/>
        <v>39.445120000000003</v>
      </c>
      <c r="AC37" s="1600">
        <f t="shared" ca="1" si="33"/>
        <v>18.507600000000004</v>
      </c>
      <c r="AD37" s="1600">
        <f t="shared" ca="1" si="33"/>
        <v>32.27328</v>
      </c>
      <c r="AE37" s="1600">
        <f t="shared" ca="1" si="33"/>
        <v>32.27328</v>
      </c>
      <c r="AF37" s="1600">
        <f t="shared" ca="1" si="33"/>
        <v>32.27328</v>
      </c>
      <c r="AG37" s="1600">
        <f t="shared" ca="1" si="33"/>
        <v>14.1212316</v>
      </c>
      <c r="AH37" s="1600">
        <f t="shared" ca="1" si="33"/>
        <v>14.1212316</v>
      </c>
      <c r="AI37" s="1600">
        <f ca="1">INDIRECT(ADDRESS($A37,$B37,,,AI$9))</f>
        <v>18.159492</v>
      </c>
      <c r="AJ37" s="1600">
        <f t="shared" ca="1" si="33"/>
        <v>14.121231600000002</v>
      </c>
      <c r="AK37" s="1600">
        <f t="shared" ca="1" si="33"/>
        <v>14.921088000000001</v>
      </c>
      <c r="AL37" s="1600">
        <f t="shared" ca="1" si="33"/>
        <v>14.921088000000001</v>
      </c>
      <c r="AM37" s="1600">
        <f t="shared" ca="1" si="33"/>
        <v>19.781298</v>
      </c>
      <c r="AN37" s="1600">
        <f t="shared" ca="1" si="33"/>
        <v>11.47776</v>
      </c>
      <c r="AO37" s="1600">
        <f t="shared" ca="1" si="33"/>
        <v>4232.181425485961</v>
      </c>
      <c r="AP37" s="1600">
        <f t="shared" ca="1" si="33"/>
        <v>0.74990000000000001</v>
      </c>
    </row>
    <row r="38" spans="1:42" s="664" customFormat="1" outlineLevel="1">
      <c r="A38" s="699">
        <f>ROW('Std benzin motor'!D26)</f>
        <v>26</v>
      </c>
      <c r="B38" s="699">
        <f>COLUMN('Std benzin motor'!$D7)-1+chosenYear</f>
        <v>4</v>
      </c>
      <c r="D38" s="701" t="s">
        <v>1023</v>
      </c>
      <c r="E38" s="694" t="s">
        <v>46</v>
      </c>
      <c r="F38" s="1600">
        <f t="shared" ca="1" si="31"/>
        <v>0</v>
      </c>
      <c r="G38" s="1600">
        <f t="shared" ca="1" si="31"/>
        <v>0</v>
      </c>
      <c r="H38" s="1600">
        <f t="shared" ca="1" si="31"/>
        <v>0</v>
      </c>
      <c r="I38" s="1600">
        <f t="shared" ca="1" si="31"/>
        <v>0</v>
      </c>
      <c r="J38" s="1600">
        <f t="shared" ca="1" si="31"/>
        <v>0</v>
      </c>
      <c r="K38" s="1600">
        <f t="shared" ca="1" si="31"/>
        <v>0</v>
      </c>
      <c r="L38" s="1600">
        <f t="shared" ca="1" si="31"/>
        <v>0</v>
      </c>
      <c r="M38" s="1600">
        <f t="shared" ca="1" si="31"/>
        <v>0</v>
      </c>
      <c r="N38" s="1600">
        <f t="shared" ca="1" si="31"/>
        <v>0</v>
      </c>
      <c r="O38" s="1600">
        <f t="shared" ca="1" si="31"/>
        <v>0</v>
      </c>
      <c r="P38" s="1600">
        <f t="shared" ca="1" si="32"/>
        <v>0</v>
      </c>
      <c r="Q38" s="1600">
        <f t="shared" ca="1" si="32"/>
        <v>0</v>
      </c>
      <c r="R38" s="1600">
        <f t="shared" ca="1" si="32"/>
        <v>0</v>
      </c>
      <c r="S38" s="1600">
        <f t="shared" ca="1" si="32"/>
        <v>0.41688000000000003</v>
      </c>
      <c r="T38" s="1600">
        <f t="shared" ca="1" si="32"/>
        <v>0</v>
      </c>
      <c r="U38" s="1600">
        <f t="shared" ca="1" si="32"/>
        <v>0</v>
      </c>
      <c r="V38" s="1600">
        <f t="shared" ca="1" si="32"/>
        <v>0</v>
      </c>
      <c r="W38" s="1600">
        <f t="shared" ca="1" si="32"/>
        <v>0</v>
      </c>
      <c r="X38" s="1600">
        <f t="shared" ca="1" si="32"/>
        <v>0</v>
      </c>
      <c r="Y38" s="1600">
        <f t="shared" ca="1" si="32"/>
        <v>0</v>
      </c>
      <c r="Z38" s="1600">
        <f t="shared" ca="1" si="33"/>
        <v>0</v>
      </c>
      <c r="AA38" s="1600">
        <f t="shared" ca="1" si="33"/>
        <v>0</v>
      </c>
      <c r="AB38" s="1600">
        <f t="shared" ca="1" si="33"/>
        <v>0</v>
      </c>
      <c r="AC38" s="1600">
        <f t="shared" ca="1" si="33"/>
        <v>0</v>
      </c>
      <c r="AD38" s="1600">
        <f t="shared" ca="1" si="33"/>
        <v>0</v>
      </c>
      <c r="AE38" s="1600">
        <f t="shared" ca="1" si="33"/>
        <v>0</v>
      </c>
      <c r="AF38" s="1600">
        <f t="shared" ca="1" si="33"/>
        <v>0</v>
      </c>
      <c r="AG38" s="1600">
        <f t="shared" ca="1" si="33"/>
        <v>0</v>
      </c>
      <c r="AH38" s="1600">
        <f t="shared" ca="1" si="33"/>
        <v>0</v>
      </c>
      <c r="AI38" s="1600">
        <f ca="1">INDIRECT(ADDRESS($A38,$B38,,,AI$9))</f>
        <v>0</v>
      </c>
      <c r="AJ38" s="1600">
        <f t="shared" ca="1" si="33"/>
        <v>0</v>
      </c>
      <c r="AK38" s="1600">
        <f t="shared" ca="1" si="33"/>
        <v>0</v>
      </c>
      <c r="AL38" s="1600">
        <f t="shared" ca="1" si="33"/>
        <v>0</v>
      </c>
      <c r="AM38" s="1600">
        <f t="shared" ca="1" si="33"/>
        <v>0</v>
      </c>
      <c r="AN38" s="1600">
        <f t="shared" ca="1" si="33"/>
        <v>0</v>
      </c>
      <c r="AO38" s="1600">
        <f t="shared" ca="1" si="33"/>
        <v>0</v>
      </c>
      <c r="AP38" s="1600">
        <f t="shared" ca="1" si="33"/>
        <v>0</v>
      </c>
    </row>
    <row r="39" spans="1:42" s="664" customFormat="1" outlineLevel="1">
      <c r="A39" s="699">
        <f>ROW('Std benzin motor'!$D67)</f>
        <v>67</v>
      </c>
      <c r="B39" s="699">
        <f>COLUMN('Std benzin motor'!$D8)-1+chosenYear</f>
        <v>4</v>
      </c>
      <c r="D39" s="682" t="s">
        <v>8</v>
      </c>
      <c r="E39" s="694" t="s">
        <v>6</v>
      </c>
      <c r="F39" s="1601">
        <f t="shared" ca="1" si="31"/>
        <v>0.39776015267175568</v>
      </c>
      <c r="G39" s="1601">
        <f t="shared" ca="1" si="31"/>
        <v>0.38034000000000001</v>
      </c>
      <c r="H39" s="1601">
        <f t="shared" ca="1" si="31"/>
        <v>0.38034000000000001</v>
      </c>
      <c r="I39" s="1601">
        <f t="shared" ca="1" si="31"/>
        <v>0.38034000000000001</v>
      </c>
      <c r="J39" s="1601">
        <f t="shared" ca="1" si="31"/>
        <v>0.38034000000000001</v>
      </c>
      <c r="K39" s="1601">
        <f t="shared" ca="1" si="31"/>
        <v>0.39776015267175568</v>
      </c>
      <c r="L39" s="1601">
        <f t="shared" ca="1" si="31"/>
        <v>0.39776015267175568</v>
      </c>
      <c r="M39" s="1601">
        <f t="shared" ca="1" si="31"/>
        <v>0.42040635114503816</v>
      </c>
      <c r="N39" s="1601">
        <f t="shared" ca="1" si="31"/>
        <v>0.41808366412213738</v>
      </c>
      <c r="O39" s="1601">
        <f t="shared" ca="1" si="31"/>
        <v>0.41808366412213738</v>
      </c>
      <c r="P39" s="1601">
        <f t="shared" ca="1" si="32"/>
        <v>0.43318112977099232</v>
      </c>
      <c r="Q39" s="1601">
        <f t="shared" ca="1" si="32"/>
        <v>0.42330970992366412</v>
      </c>
      <c r="R39" s="1601">
        <f t="shared" ca="1" si="32"/>
        <v>0.35711312977099235</v>
      </c>
      <c r="S39" s="1601">
        <f t="shared" ca="1" si="32"/>
        <v>0.44943993893129769</v>
      </c>
      <c r="T39" s="1601">
        <f t="shared" ca="1" si="32"/>
        <v>1699.1026131091178</v>
      </c>
      <c r="U39" s="1601">
        <f t="shared" ca="1" si="32"/>
        <v>48.130318579039901</v>
      </c>
      <c r="V39" s="1601">
        <f t="shared" ca="1" si="32"/>
        <v>48.130318579039901</v>
      </c>
      <c r="W39" s="1601">
        <f t="shared" ca="1" si="32"/>
        <v>3333.5925822206018</v>
      </c>
      <c r="X39" s="1601">
        <f t="shared" ca="1" si="32"/>
        <v>3173.5489102404558</v>
      </c>
      <c r="Y39" s="1601">
        <f t="shared" ca="1" si="32"/>
        <v>3173.5489102404558</v>
      </c>
      <c r="Z39" s="1601">
        <f t="shared" ca="1" si="33"/>
        <v>3108.4280907585944</v>
      </c>
      <c r="AA39" s="1601">
        <f t="shared" ca="1" si="33"/>
        <v>12.622438400000002</v>
      </c>
      <c r="AB39" s="1601">
        <f t="shared" ca="1" si="33"/>
        <v>12.622438400000002</v>
      </c>
      <c r="AC39" s="1601">
        <f t="shared" ca="1" si="33"/>
        <v>16.132852373925061</v>
      </c>
      <c r="AD39" s="1601">
        <f t="shared" ca="1" si="33"/>
        <v>10.3274496</v>
      </c>
      <c r="AE39" s="1601">
        <f t="shared" ca="1" si="33"/>
        <v>10.3274496</v>
      </c>
      <c r="AF39" s="1601">
        <f t="shared" ca="1" si="33"/>
        <v>10.3274496</v>
      </c>
      <c r="AG39" s="1601">
        <f t="shared" ca="1" si="33"/>
        <v>5.6484926400000006</v>
      </c>
      <c r="AH39" s="1601">
        <f t="shared" ca="1" si="33"/>
        <v>5.6484926400000006</v>
      </c>
      <c r="AI39" s="1601">
        <f ca="1">INDIRECT(ADDRESS($A39,$B39,,,AI$9))</f>
        <v>5.6484926399999997</v>
      </c>
      <c r="AJ39" s="1601">
        <f t="shared" ca="1" si="33"/>
        <v>5.6484926400000006</v>
      </c>
      <c r="AK39" s="1601">
        <f t="shared" ca="1" si="33"/>
        <v>4.8206591999999997</v>
      </c>
      <c r="AL39" s="1601">
        <f t="shared" ca="1" si="33"/>
        <v>4.8206591999999997</v>
      </c>
      <c r="AM39" s="1601">
        <f t="shared" ca="1" si="33"/>
        <v>4.8206591999999997</v>
      </c>
      <c r="AN39" s="1601">
        <f t="shared" ca="1" si="33"/>
        <v>4.8206591999999997</v>
      </c>
      <c r="AO39" s="1601">
        <f t="shared" ca="1" si="33"/>
        <v>1699.1026131091178</v>
      </c>
      <c r="AP39" s="1601">
        <f t="shared" ca="1" si="33"/>
        <v>0.42330970992366412</v>
      </c>
    </row>
    <row r="40" spans="1:42" s="664" customFormat="1" outlineLevel="1">
      <c r="A40" s="699"/>
      <c r="B40" s="699"/>
      <c r="D40" s="683" t="s">
        <v>48</v>
      </c>
      <c r="E40" s="684" t="s">
        <v>21</v>
      </c>
      <c r="F40" s="702">
        <f t="shared" ref="F40:AN40" ca="1" si="34">F39/F36</f>
        <v>0.24477547856723428</v>
      </c>
      <c r="G40" s="702">
        <f t="shared" ca="1" si="34"/>
        <v>0.18</v>
      </c>
      <c r="H40" s="702">
        <f t="shared" ca="1" si="34"/>
        <v>0.18</v>
      </c>
      <c r="I40" s="702">
        <f t="shared" ca="1" si="34"/>
        <v>0.18</v>
      </c>
      <c r="J40" s="702">
        <f t="shared" ca="1" si="34"/>
        <v>0.18</v>
      </c>
      <c r="K40" s="702">
        <f t="shared" ca="1" si="34"/>
        <v>0.24477547856723428</v>
      </c>
      <c r="L40" s="702">
        <f t="shared" ca="1" si="34"/>
        <v>0.24477547856723428</v>
      </c>
      <c r="M40" s="702">
        <f t="shared" ca="1" si="34"/>
        <v>0.24470684001457402</v>
      </c>
      <c r="N40" s="702">
        <f t="shared" ca="1" si="34"/>
        <v>0.17997574865352448</v>
      </c>
      <c r="O40" s="702">
        <f t="shared" ca="1" si="34"/>
        <v>0.17997574865352448</v>
      </c>
      <c r="P40" s="702">
        <f t="shared" ca="1" si="34"/>
        <v>0.70791406377869315</v>
      </c>
      <c r="Q40" s="702">
        <f t="shared" ca="1" si="34"/>
        <v>0.8158520088881388</v>
      </c>
      <c r="R40" s="702">
        <f t="shared" ca="1" si="34"/>
        <v>0.87168797542226217</v>
      </c>
      <c r="S40" s="702">
        <f t="shared" ca="1" si="34"/>
        <v>0.58682814400597705</v>
      </c>
      <c r="T40" s="702">
        <f t="shared" ca="1" si="34"/>
        <v>0.40147206423553028</v>
      </c>
      <c r="U40" s="702">
        <f t="shared" ca="1" si="34"/>
        <v>0.47999999999999993</v>
      </c>
      <c r="V40" s="702">
        <f t="shared" ca="1" si="34"/>
        <v>0.47999999999999993</v>
      </c>
      <c r="W40" s="702">
        <f t="shared" ca="1" si="34"/>
        <v>0.50897060694744889</v>
      </c>
      <c r="X40" s="702">
        <f t="shared" ca="1" si="34"/>
        <v>0.48453524993943314</v>
      </c>
      <c r="Y40" s="702">
        <f t="shared" ca="1" si="34"/>
        <v>0.48453524993943314</v>
      </c>
      <c r="Z40" s="702">
        <f t="shared" ca="1" si="34"/>
        <v>0.45329203339251323</v>
      </c>
      <c r="AA40" s="702">
        <f t="shared" ca="1" si="34"/>
        <v>0.32</v>
      </c>
      <c r="AB40" s="702">
        <f t="shared" ca="1" si="34"/>
        <v>0.32</v>
      </c>
      <c r="AC40" s="702">
        <f t="shared" ca="1" si="34"/>
        <v>0.87168797542226206</v>
      </c>
      <c r="AD40" s="702">
        <f t="shared" ca="1" si="34"/>
        <v>0.32</v>
      </c>
      <c r="AE40" s="702">
        <f t="shared" ca="1" si="34"/>
        <v>0.32</v>
      </c>
      <c r="AF40" s="702">
        <f t="shared" ca="1" si="34"/>
        <v>0.32</v>
      </c>
      <c r="AG40" s="702">
        <f t="shared" ca="1" si="34"/>
        <v>0.40000000000000008</v>
      </c>
      <c r="AH40" s="702">
        <f t="shared" ref="AH40" ca="1" si="35">AH39/AH36</f>
        <v>0.40000000000000008</v>
      </c>
      <c r="AI40" s="702">
        <f ca="1">AI39/AI36</f>
        <v>0.3110490447640275</v>
      </c>
      <c r="AJ40" s="702">
        <f t="shared" ca="1" si="34"/>
        <v>0.4</v>
      </c>
      <c r="AK40" s="702">
        <f t="shared" ref="AK40" ca="1" si="36">AK39/AK36</f>
        <v>0.32307692307692304</v>
      </c>
      <c r="AL40" s="702">
        <f t="shared" ca="1" si="34"/>
        <v>0.32307692307692304</v>
      </c>
      <c r="AM40" s="702">
        <f t="shared" ca="1" si="34"/>
        <v>0.24369782003183005</v>
      </c>
      <c r="AN40" s="702">
        <f t="shared" ca="1" si="34"/>
        <v>0.42</v>
      </c>
      <c r="AO40" s="702">
        <f t="shared" ref="AO40:AP40" ca="1" si="37">AO39/AO36</f>
        <v>0.40147206423553028</v>
      </c>
      <c r="AP40" s="702">
        <f t="shared" ca="1" si="37"/>
        <v>0.56448821165977348</v>
      </c>
    </row>
    <row r="41" spans="1:42" s="664" customFormat="1" outlineLevel="1">
      <c r="A41" s="699"/>
      <c r="B41" s="699"/>
      <c r="D41" s="679" t="s">
        <v>8</v>
      </c>
      <c r="E41" s="671" t="s">
        <v>2282</v>
      </c>
      <c r="F41" s="2121">
        <f ca="1">Supplementary!$G$158/F36</f>
        <v>20.215384615384611</v>
      </c>
      <c r="G41" s="2121">
        <f ca="1">Supplementary!$G$158/G36</f>
        <v>15.546616185518218</v>
      </c>
      <c r="H41" s="2121">
        <f ca="1">Supplementary!$G$158/H36</f>
        <v>15.546616185518218</v>
      </c>
      <c r="I41" s="2121">
        <f ca="1">Supplementary!$G$158/I36</f>
        <v>15.546616185518218</v>
      </c>
      <c r="J41" s="2121">
        <f ca="1">Supplementary!$G$158/J36</f>
        <v>15.546616185518218</v>
      </c>
      <c r="K41" s="2121">
        <f ca="1">Supplementary!$G$158/K36</f>
        <v>20.215384615384611</v>
      </c>
      <c r="L41" s="2121">
        <f ca="1">Supplementary!$G$158/L36</f>
        <v>20.215384615384611</v>
      </c>
      <c r="M41" s="2121">
        <f ca="1">Supplementary!$G$158/M36</f>
        <v>19.121071012805587</v>
      </c>
      <c r="N41" s="2121">
        <f ca="1">Supplementary!$G$158/N36</f>
        <v>14.141196728368486</v>
      </c>
      <c r="O41" s="2121">
        <f ca="1">Supplementary!$G$158/O36</f>
        <v>14.141196728368486</v>
      </c>
      <c r="P41" s="2121">
        <f ca="1">Supplementary!$G$158/P36</f>
        <v>53.684187507023111</v>
      </c>
      <c r="Q41" s="2121">
        <f ca="1">Supplementary!$G$158/Q36</f>
        <v>63.312364124150044</v>
      </c>
      <c r="R41" s="2121">
        <f ca="1">Supplementary!$G$158/R36</f>
        <v>80.184534270650246</v>
      </c>
      <c r="S41" s="2121">
        <f ca="1">Supplementary!$G$158/S36</f>
        <v>42.891836841280607</v>
      </c>
      <c r="T41" s="2121">
        <f ca="1">Supplementary!$G$158/T36</f>
        <v>7.761954580250063E-3</v>
      </c>
      <c r="U41" s="2121">
        <f ca="1">Supplementary!$G$158/U36</f>
        <v>0.32761054706308851</v>
      </c>
      <c r="V41" s="2121">
        <f ca="1">Supplementary!$G$158/V36</f>
        <v>0.32761054706308851</v>
      </c>
      <c r="W41" s="2121">
        <f ca="1">Supplementary!$G$158/W36</f>
        <v>5.0155152514427034E-3</v>
      </c>
      <c r="X41" s="2121">
        <f ca="1">Supplementary!$G$158/X36</f>
        <v>5.0155152514427034E-3</v>
      </c>
      <c r="Y41" s="2121">
        <f ca="1">Supplementary!$G$158/Y36</f>
        <v>5.0155152514427034E-3</v>
      </c>
      <c r="Z41" s="2121">
        <f ca="1">Supplementary!$G$158/Z36</f>
        <v>4.7904094488188977E-3</v>
      </c>
      <c r="AA41" s="2121">
        <f ca="1">Supplementary!$G$158/AA36</f>
        <v>0.83280263819706957</v>
      </c>
      <c r="AB41" s="2121">
        <f ca="1">Supplementary!$G$158/AB36</f>
        <v>0.83280263819706957</v>
      </c>
      <c r="AC41" s="2121">
        <f ca="1">Supplementary!$G$158/AC36</f>
        <v>1.7749465084613882</v>
      </c>
      <c r="AD41" s="2121">
        <f ca="1">Supplementary!$G$158/AD36</f>
        <v>1.0178698911297517</v>
      </c>
      <c r="AE41" s="2121">
        <f ca="1">Supplementary!$G$158/AE36</f>
        <v>1.0178698911297517</v>
      </c>
      <c r="AF41" s="2121">
        <f ca="1">Supplementary!$G$158/AF36</f>
        <v>1.0178698911297517</v>
      </c>
      <c r="AG41" s="2121">
        <f ca="1">Supplementary!$G$158/AG36</f>
        <v>2.3262843447734398</v>
      </c>
      <c r="AH41" s="2121">
        <f ca="1">Supplementary!$G$158/AH36</f>
        <v>2.3262843447734398</v>
      </c>
      <c r="AI41" s="2121">
        <f ca="1">Supplementary!$G$158/AI36</f>
        <v>1.8089713082282255</v>
      </c>
      <c r="AJ41" s="2121">
        <f ca="1">Supplementary!$G$158/AJ36</f>
        <v>2.3262843447734398</v>
      </c>
      <c r="AK41" s="2121">
        <f ca="1">Supplementary!$G$158/AK36</f>
        <v>2.2015820830223634</v>
      </c>
      <c r="AL41" s="2121">
        <f ca="1">Supplementary!$G$158/AL36</f>
        <v>2.2015820830223634</v>
      </c>
      <c r="AM41" s="2121">
        <f ca="1">Supplementary!$G$158/AM36</f>
        <v>1.6606594774518839</v>
      </c>
      <c r="AN41" s="2121">
        <f ca="1">Supplementary!$G$158/AN36</f>
        <v>2.8620567079290726</v>
      </c>
      <c r="AO41" s="2121">
        <f ca="1">Supplementary!$G$158/AO36</f>
        <v>7.761954580250063E-3</v>
      </c>
      <c r="AP41" s="2121">
        <f ca="1">Supplementary!$G$158/AP36</f>
        <v>43.805840778770495</v>
      </c>
    </row>
    <row r="42" spans="1:42" outlineLevel="1">
      <c r="A42" s="664"/>
      <c r="B42" s="664"/>
      <c r="C42" s="664"/>
      <c r="D42" s="716"/>
      <c r="E42" s="717"/>
      <c r="F42" s="697"/>
      <c r="G42" s="697"/>
      <c r="H42" s="697"/>
      <c r="I42" s="697"/>
      <c r="J42" s="697"/>
      <c r="K42" s="697"/>
      <c r="L42" s="697"/>
      <c r="M42" s="697"/>
      <c r="N42" s="697"/>
      <c r="O42" s="697"/>
      <c r="P42" s="697"/>
      <c r="Q42" s="697"/>
      <c r="R42" s="697"/>
      <c r="S42" s="697"/>
      <c r="T42" s="697"/>
      <c r="U42" s="697"/>
      <c r="V42" s="697"/>
      <c r="W42" s="697"/>
      <c r="X42" s="697"/>
      <c r="Y42" s="697"/>
      <c r="Z42" s="697"/>
      <c r="AA42" s="697"/>
      <c r="AB42" s="697"/>
      <c r="AC42" s="697"/>
      <c r="AD42" s="697"/>
      <c r="AE42" s="697"/>
      <c r="AF42" s="697"/>
      <c r="AG42" s="697"/>
      <c r="AH42" s="697"/>
      <c r="AI42" s="697"/>
      <c r="AJ42" s="697"/>
      <c r="AK42" s="697"/>
      <c r="AL42" s="697"/>
      <c r="AM42" s="697"/>
      <c r="AN42" s="697"/>
      <c r="AO42" s="697"/>
      <c r="AP42" s="697"/>
    </row>
    <row r="43" spans="1:42" s="664" customFormat="1" outlineLevel="1">
      <c r="D43" s="682"/>
      <c r="E43" s="694"/>
      <c r="F43" s="697"/>
      <c r="G43" s="697"/>
      <c r="H43" s="697"/>
      <c r="I43" s="697"/>
      <c r="J43" s="697"/>
      <c r="K43" s="697"/>
      <c r="L43" s="697"/>
      <c r="M43" s="697"/>
      <c r="N43" s="697"/>
      <c r="O43" s="697"/>
      <c r="P43" s="697"/>
      <c r="Q43" s="697"/>
      <c r="R43" s="697"/>
      <c r="S43" s="697"/>
      <c r="T43" s="697"/>
      <c r="U43" s="697"/>
      <c r="V43" s="697"/>
      <c r="W43" s="697"/>
      <c r="X43" s="697"/>
      <c r="Y43" s="697"/>
      <c r="Z43" s="697"/>
      <c r="AA43" s="697"/>
      <c r="AB43" s="697"/>
      <c r="AC43" s="697"/>
      <c r="AD43" s="697"/>
      <c r="AE43" s="697"/>
      <c r="AF43" s="697"/>
      <c r="AG43" s="697"/>
      <c r="AH43" s="697"/>
      <c r="AI43" s="697"/>
      <c r="AJ43" s="697"/>
      <c r="AK43" s="697"/>
      <c r="AL43" s="697"/>
      <c r="AM43" s="697"/>
      <c r="AN43" s="697"/>
      <c r="AO43" s="697"/>
      <c r="AP43" s="697"/>
    </row>
    <row r="44" spans="1:42" s="664" customFormat="1" outlineLevel="1">
      <c r="D44" s="668" t="s">
        <v>487</v>
      </c>
      <c r="E44" s="667"/>
      <c r="F44" s="667"/>
      <c r="G44" s="667"/>
      <c r="H44" s="667"/>
      <c r="I44" s="667"/>
      <c r="J44" s="667"/>
      <c r="K44" s="667"/>
      <c r="L44" s="667"/>
      <c r="M44" s="667"/>
      <c r="N44" s="667"/>
      <c r="O44" s="667"/>
      <c r="P44" s="667"/>
      <c r="Q44" s="667"/>
      <c r="R44" s="667"/>
      <c r="S44" s="667"/>
      <c r="T44" s="667"/>
      <c r="U44" s="667"/>
      <c r="V44" s="667"/>
      <c r="W44" s="667"/>
      <c r="X44" s="667"/>
      <c r="Y44" s="667"/>
      <c r="Z44" s="667"/>
      <c r="AA44" s="667"/>
      <c r="AB44" s="667"/>
      <c r="AC44" s="667"/>
      <c r="AD44" s="667"/>
      <c r="AE44" s="667"/>
      <c r="AF44" s="667"/>
      <c r="AG44" s="667"/>
      <c r="AH44" s="667"/>
      <c r="AI44" s="667"/>
      <c r="AJ44" s="667"/>
      <c r="AK44" s="667"/>
      <c r="AL44" s="667"/>
      <c r="AM44" s="667"/>
      <c r="AN44" s="667"/>
      <c r="AO44" s="667"/>
      <c r="AP44" s="667"/>
    </row>
    <row r="45" spans="1:42" s="664" customFormat="1" outlineLevel="1">
      <c r="D45" s="679" t="s">
        <v>708</v>
      </c>
      <c r="E45" s="671" t="s">
        <v>38</v>
      </c>
      <c r="F45" s="703">
        <f t="shared" ref="F45:AN45" ca="1" si="38">F46*F11+F47*F12</f>
        <v>145.40365540285308</v>
      </c>
      <c r="G45" s="703">
        <f t="shared" ca="1" si="38"/>
        <v>155.62182661909361</v>
      </c>
      <c r="H45" s="703">
        <f t="shared" ca="1" si="38"/>
        <v>187.02484177206995</v>
      </c>
      <c r="I45" s="703">
        <f t="shared" ca="1" si="38"/>
        <v>124.78327833619667</v>
      </c>
      <c r="J45" s="703">
        <f t="shared" ca="1" si="38"/>
        <v>189.69387536699045</v>
      </c>
      <c r="K45" s="703">
        <f t="shared" ca="1" si="38"/>
        <v>130.12903169895651</v>
      </c>
      <c r="L45" s="703">
        <f t="shared" ca="1" si="38"/>
        <v>196.75625173746954</v>
      </c>
      <c r="M45" s="703">
        <f t="shared" ca="1" si="38"/>
        <v>176.67846617200266</v>
      </c>
      <c r="N45" s="703">
        <f t="shared" ca="1" si="38"/>
        <v>69.899223753187385</v>
      </c>
      <c r="O45" s="703">
        <f t="shared" ca="1" si="38"/>
        <v>178.33797051875808</v>
      </c>
      <c r="P45" s="703">
        <f t="shared" ca="1" si="38"/>
        <v>166.91872673509965</v>
      </c>
      <c r="Q45" s="703">
        <f t="shared" ca="1" si="38"/>
        <v>254.06906075581549</v>
      </c>
      <c r="R45" s="703">
        <f t="shared" ca="1" si="38"/>
        <v>210.06924731306117</v>
      </c>
      <c r="S45" s="703">
        <f t="shared" ca="1" si="38"/>
        <v>158.17079693565776</v>
      </c>
      <c r="T45" s="703">
        <f t="shared" ca="1" si="38"/>
        <v>145.40365540285308</v>
      </c>
      <c r="U45" s="703">
        <f t="shared" ca="1" si="38"/>
        <v>135.52027212107475</v>
      </c>
      <c r="V45" s="703">
        <f t="shared" ca="1" si="38"/>
        <v>202.32096582625198</v>
      </c>
      <c r="W45" s="703">
        <f t="shared" ca="1" si="38"/>
        <v>101.22494527938159</v>
      </c>
      <c r="X45" s="703">
        <f t="shared" ca="1" si="38"/>
        <v>145.40365540285308</v>
      </c>
      <c r="Y45" s="703">
        <f t="shared" ca="1" si="38"/>
        <v>196.75625173746954</v>
      </c>
      <c r="Z45" s="703">
        <f t="shared" ca="1" si="38"/>
        <v>76.220054094037152</v>
      </c>
      <c r="AA45" s="703">
        <f t="shared" ca="1" si="38"/>
        <v>145.40365540285308</v>
      </c>
      <c r="AB45" s="703">
        <f t="shared" ca="1" si="38"/>
        <v>196.75625173746954</v>
      </c>
      <c r="AC45" s="703">
        <f t="shared" ca="1" si="38"/>
        <v>518.39108283878568</v>
      </c>
      <c r="AD45" s="703">
        <f t="shared" ca="1" si="38"/>
        <v>145.40365540285308</v>
      </c>
      <c r="AE45" s="703">
        <f t="shared" ca="1" si="38"/>
        <v>196.75625173746954</v>
      </c>
      <c r="AF45" s="703">
        <f t="shared" ca="1" si="38"/>
        <v>79.164037128454851</v>
      </c>
      <c r="AG45" s="703">
        <f t="shared" ca="1" si="38"/>
        <v>145.40365540285308</v>
      </c>
      <c r="AH45" s="703">
        <f t="shared" ref="AH45" ca="1" si="39">AH46*AH11+AH47*AH12</f>
        <v>130.12903169895651</v>
      </c>
      <c r="AI45" s="703">
        <f ca="1">AI46*AI11+AI47*AI12</f>
        <v>69.899223753187385</v>
      </c>
      <c r="AJ45" s="703">
        <f t="shared" ca="1" si="38"/>
        <v>176.67846617200266</v>
      </c>
      <c r="AK45" s="703">
        <f t="shared" ref="AK45" ca="1" si="40">AK46*AK11+AK47*AK12</f>
        <v>145.40365540285308</v>
      </c>
      <c r="AL45" s="703">
        <f t="shared" ca="1" si="38"/>
        <v>130.12903169895651</v>
      </c>
      <c r="AM45" s="703">
        <f t="shared" ca="1" si="38"/>
        <v>69.899223753187385</v>
      </c>
      <c r="AN45" s="703">
        <f t="shared" ca="1" si="38"/>
        <v>145.40365540285308</v>
      </c>
      <c r="AO45" s="703">
        <f t="shared" ref="AO45:AP45" ca="1" si="41">AO46*AO11+AO47*AO12</f>
        <v>196.75625173746954</v>
      </c>
      <c r="AP45" s="703">
        <f t="shared" ca="1" si="41"/>
        <v>456.50674206554686</v>
      </c>
    </row>
    <row r="46" spans="1:42" s="664" customFormat="1" outlineLevel="1">
      <c r="D46" s="682" t="s">
        <v>0</v>
      </c>
      <c r="E46" s="694" t="s">
        <v>38</v>
      </c>
      <c r="F46" s="704">
        <f ca="1">IF(F$7&lt;&gt;0,OFFSET(Fuels!$E$18,0,MATCH(F$7,Fuels!$F$6:$AJ$6,0)),0)</f>
        <v>145.40365540285308</v>
      </c>
      <c r="G46" s="704">
        <f ca="1">IF(G$7&lt;&gt;0,OFFSET(Fuels!$E$18,0,MATCH(G$7,Fuels!$F$6:$AJ$6,0)),0)</f>
        <v>155.62182661909361</v>
      </c>
      <c r="H46" s="704">
        <f ca="1">IF(H$7&lt;&gt;0,OFFSET(Fuels!$E$18,0,MATCH(H$7,Fuels!$F$6:$AJ$6,0)),0)</f>
        <v>195.37247871146872</v>
      </c>
      <c r="I46" s="704">
        <f ca="1">IF(I$7&lt;&gt;0,OFFSET(Fuels!$E$18,0,MATCH(I$7,Fuels!$F$6:$AJ$6,0)),0)</f>
        <v>116.58568955213545</v>
      </c>
      <c r="J46" s="704">
        <f ca="1">IF(J$7&lt;&gt;0,OFFSET(Fuels!$E$18,0,MATCH(J$7,Fuels!$F$6:$AJ$6,0)),0)</f>
        <v>198.75100224934278</v>
      </c>
      <c r="K46" s="704">
        <f ca="1">IF(K$7&lt;&gt;0,OFFSET(Fuels!$E$18,0,MATCH(K$7,Fuels!$F$6:$AJ$6,0)),0)</f>
        <v>130.12903169895651</v>
      </c>
      <c r="L46" s="704">
        <f ca="1">IF(L$7&lt;&gt;0,OFFSET(Fuels!$E$18,0,MATCH(L$7,Fuels!$F$6:$AJ$6,0)),0)</f>
        <v>196.75625173746954</v>
      </c>
      <c r="M46" s="704">
        <f ca="1">IF(M$7&lt;&gt;0,OFFSET(Fuels!$E$18,0,MATCH(M$7,Fuels!$F$6:$AJ$6,0)),0)</f>
        <v>176.67846617200266</v>
      </c>
      <c r="N46" s="704">
        <f ca="1">IF(N$7&lt;&gt;0,OFFSET(Fuels!$E$18,0,MATCH(N$7,Fuels!$F$6:$AJ$6,0)),0)</f>
        <v>69.899223753187385</v>
      </c>
      <c r="O46" s="704">
        <f ca="1">IF(O$7&lt;&gt;0,OFFSET(Fuels!$E$18,0,MATCH(O$7,Fuels!$F$6:$AJ$6,0)),0)</f>
        <v>178.33797051875808</v>
      </c>
      <c r="P46" s="704">
        <f ca="1">IF(P$7&lt;&gt;0,OFFSET(Fuels!$E$18,0,MATCH(P$7,Fuels!$F$6:$AJ$6,0)),0)</f>
        <v>175.37663232130228</v>
      </c>
      <c r="Q46" s="704">
        <f ca="1">IF(Q$7&lt;&gt;0,OFFSET(Fuels!$E$18,0,MATCH(Q$7,Fuels!$F$6:$AJ$6,0)),0)</f>
        <v>456.50674206554686</v>
      </c>
      <c r="R46" s="704">
        <f ca="1">IF(R$7&lt;&gt;0,OFFSET(Fuels!$E$18,0,MATCH(R$7,Fuels!$F$6:$AJ$6,0)),0)</f>
        <v>210.06924731306117</v>
      </c>
      <c r="S46" s="704">
        <f ca="1">IF(S$7&lt;&gt;0,OFFSET(Fuels!$E$18,0,MATCH(S$7,Fuels!$F$6:$AJ$6,0)),0)</f>
        <v>155.62182661909361</v>
      </c>
      <c r="T46" s="704">
        <f ca="1">IF(T$7&lt;&gt;0,OFFSET(Fuels!$E$18,0,MATCH(T$7,Fuels!$F$6:$AJ$6,0)),0)</f>
        <v>145.40365540285308</v>
      </c>
      <c r="U46" s="704">
        <f ca="1">IF(U$7&lt;&gt;0,OFFSET(Fuels!$E$18,0,MATCH(U$7,Fuels!$F$6:$AJ$6,0)),0)</f>
        <v>135.52027212107475</v>
      </c>
      <c r="V46" s="704">
        <f ca="1">IF(V$7&lt;&gt;0,OFFSET(Fuels!$E$18,0,MATCH(V$7,Fuels!$F$6:$AJ$6,0)),0)</f>
        <v>202.32096582625198</v>
      </c>
      <c r="W46" s="704">
        <f ca="1">IF(W$7&lt;&gt;0,OFFSET(Fuels!$E$18,0,MATCH(W$7,Fuels!$F$6:$AJ$6,0)),0)</f>
        <v>101.22494527938159</v>
      </c>
      <c r="X46" s="704">
        <f ca="1">IF(X$7&lt;&gt;0,OFFSET(Fuels!$E$18,0,MATCH(X$7,Fuels!$F$6:$AJ$6,0)),0)</f>
        <v>145.40365540285308</v>
      </c>
      <c r="Y46" s="704">
        <f ca="1">IF(Y$7&lt;&gt;0,OFFSET(Fuels!$E$18,0,MATCH(Y$7,Fuels!$F$6:$AJ$6,0)),0)</f>
        <v>196.75625173746954</v>
      </c>
      <c r="Z46" s="704">
        <f ca="1">IF(Z$7&lt;&gt;0,OFFSET(Fuels!$E$18,0,MATCH(Z$7,Fuels!$F$6:$AJ$6,0)),0)</f>
        <v>71.804079542410605</v>
      </c>
      <c r="AA46" s="704">
        <f ca="1">IF(AA$7&lt;&gt;0,OFFSET(Fuels!$E$18,0,MATCH(AA$7,Fuels!$F$6:$AJ$6,0)),0)</f>
        <v>145.40365540285308</v>
      </c>
      <c r="AB46" s="704">
        <f ca="1">IF(AB$7&lt;&gt;0,OFFSET(Fuels!$E$18,0,MATCH(AB$7,Fuels!$F$6:$AJ$6,0)),0)</f>
        <v>196.75625173746954</v>
      </c>
      <c r="AC46" s="704">
        <f ca="1">IF(AC$7&lt;&gt;0,OFFSET(Fuels!$E$18,0,MATCH(AC$7,Fuels!$F$6:$AJ$6,0)),0)</f>
        <v>518.39108283878568</v>
      </c>
      <c r="AD46" s="704">
        <f ca="1">IF(AD$7&lt;&gt;0,OFFSET(Fuels!$E$18,0,MATCH(AD$7,Fuels!$F$6:$AJ$6,0)),0)</f>
        <v>145.40365540285308</v>
      </c>
      <c r="AE46" s="704">
        <f ca="1">IF(AE$7&lt;&gt;0,OFFSET(Fuels!$E$18,0,MATCH(AE$7,Fuels!$F$6:$AJ$6,0)),0)</f>
        <v>196.75625173746954</v>
      </c>
      <c r="AF46" s="704">
        <f ca="1">IF(AF$7&lt;&gt;0,OFFSET(Fuels!$E$18,0,MATCH(AF$7,Fuels!$F$6:$AJ$6,0)),0)</f>
        <v>71.804079542410605</v>
      </c>
      <c r="AG46" s="704">
        <f ca="1">IF(AG$7&lt;&gt;0,OFFSET(Fuels!$E$18,0,MATCH(AG$7,Fuels!$F$6:$AJ$6,0)),0)</f>
        <v>145.40365540285308</v>
      </c>
      <c r="AH46" s="704">
        <f ca="1">IF(AH$7&lt;&gt;0,OFFSET(Fuels!$E$18,0,MATCH(AH$7,Fuels!$F$6:$AJ$6,0)),0)</f>
        <v>130.12903169895651</v>
      </c>
      <c r="AI46" s="704">
        <f ca="1">IF(AI$7&lt;&gt;0,OFFSET(Fuels!$E$18,0,MATCH(AI$7,Fuels!$F$6:$AJ$6,0)),0)</f>
        <v>69.899223753187385</v>
      </c>
      <c r="AJ46" s="704">
        <f ca="1">IF(AJ$7&lt;&gt;0,OFFSET(Fuels!$E$18,0,MATCH(AJ$7,Fuels!$F$6:$AJ$6,0)),0)</f>
        <v>176.67846617200266</v>
      </c>
      <c r="AK46" s="704">
        <f ca="1">IF(AK$7&lt;&gt;0,OFFSET(Fuels!$E$18,0,MATCH(AK$7,Fuels!$F$6:$AJ$6,0)),0)</f>
        <v>145.40365540285308</v>
      </c>
      <c r="AL46" s="704">
        <f ca="1">IF(AL$7&lt;&gt;0,OFFSET(Fuels!$E$18,0,MATCH(AL$7,Fuels!$F$6:$AJ$6,0)),0)</f>
        <v>130.12903169895651</v>
      </c>
      <c r="AM46" s="704">
        <f ca="1">IF(AM$7&lt;&gt;0,OFFSET(Fuels!$E$18,0,MATCH(AM$7,Fuels!$F$6:$AJ$6,0)),0)</f>
        <v>69.899223753187385</v>
      </c>
      <c r="AN46" s="704">
        <f ca="1">IF(AN$7&lt;&gt;0,OFFSET(Fuels!$E$18,0,MATCH(AN$7,Fuels!$F$6:$AJ$6,0)),0)</f>
        <v>145.40365540285308</v>
      </c>
      <c r="AO46" s="704">
        <f ca="1">IF(AO$7&lt;&gt;0,OFFSET(Fuels!$E$18,0,MATCH(AO$7,Fuels!$F$6:$AJ$6,0)),0)</f>
        <v>196.75625173746954</v>
      </c>
      <c r="AP46" s="704">
        <f ca="1">IF(AP$7&lt;&gt;0,OFFSET(Fuels!$E$18,0,MATCH(AP$7,Fuels!$F$6:$AJ$6,0)),0)</f>
        <v>456.50674206554686</v>
      </c>
    </row>
    <row r="47" spans="1:42" s="664" customFormat="1" outlineLevel="1">
      <c r="D47" s="683" t="s">
        <v>377</v>
      </c>
      <c r="E47" s="684" t="s">
        <v>38</v>
      </c>
      <c r="F47" s="1602">
        <f ca="1">IF(F$8&lt;&gt;0,OFFSET(Fuels!$E$18,0,MATCH(F$8,Fuels!$F$6:$AJ$6,0)),0)</f>
        <v>0</v>
      </c>
      <c r="G47" s="1602">
        <f ca="1">IF(G$8&lt;&gt;0,OFFSET(Fuels!$E$18,0,MATCH(G$8,Fuels!$F$6:$AJ$6,0)),0)</f>
        <v>0</v>
      </c>
      <c r="H47" s="1602">
        <f ca="1">IF(H$8&lt;&gt;0,OFFSET(Fuels!$E$18,0,MATCH(H$8,Fuels!$F$6:$AJ$6,0)),0)</f>
        <v>155.62182661909361</v>
      </c>
      <c r="I47" s="1602">
        <f ca="1">IF(I$8&lt;&gt;0,OFFSET(Fuels!$E$18,0,MATCH(I$8,Fuels!$F$6:$AJ$6,0)),0)</f>
        <v>155.62182661909361</v>
      </c>
      <c r="J47" s="1602">
        <f ca="1">IF(J$8&lt;&gt;0,OFFSET(Fuels!$E$18,0,MATCH(J$8,Fuels!$F$6:$AJ$6,0)),0)</f>
        <v>155.62182661909361</v>
      </c>
      <c r="K47" s="1602">
        <f ca="1">IF(K$8&lt;&gt;0,OFFSET(Fuels!$E$18,0,MATCH(K$8,Fuels!$F$6:$AJ$6,0)),0)</f>
        <v>0</v>
      </c>
      <c r="L47" s="1602">
        <f ca="1">IF(L$8&lt;&gt;0,OFFSET(Fuels!$E$18,0,MATCH(L$8,Fuels!$F$6:$AJ$6,0)),0)</f>
        <v>0</v>
      </c>
      <c r="M47" s="1602">
        <f ca="1">IF(M$8&lt;&gt;0,OFFSET(Fuels!$E$18,0,MATCH(M$8,Fuels!$F$6:$AJ$6,0)),0)</f>
        <v>0</v>
      </c>
      <c r="N47" s="1602">
        <f ca="1">IF(N$8&lt;&gt;0,OFFSET(Fuels!$E$18,0,MATCH(N$8,Fuels!$F$6:$AJ$6,0)),0)</f>
        <v>0</v>
      </c>
      <c r="O47" s="1602">
        <f ca="1">IF(O$8&lt;&gt;0,OFFSET(Fuels!$E$18,0,MATCH(O$8,Fuels!$F$6:$AJ$6,0)),0)</f>
        <v>0</v>
      </c>
      <c r="P47" s="1602">
        <f ca="1">IF(P$8&lt;&gt;0,OFFSET(Fuels!$E$18,0,MATCH(P$8,Fuels!$F$6:$AJ$6,0)),0)</f>
        <v>163.11879813839994</v>
      </c>
      <c r="Q47" s="1602">
        <f ca="1">IF(Q$8&lt;&gt;0,OFFSET(Fuels!$E$18,0,MATCH(Q$8,Fuels!$F$6:$AJ$6,0)),0)</f>
        <v>163.11879813839994</v>
      </c>
      <c r="R47" s="1602">
        <f ca="1">IF(R$8&lt;&gt;0,OFFSET(Fuels!$E$18,0,MATCH(R$8,Fuels!$F$6:$AJ$6,0)),0)</f>
        <v>0</v>
      </c>
      <c r="S47" s="1602">
        <f ca="1">IF(S$8&lt;&gt;0,OFFSET(Fuels!$E$18,0,MATCH(S$8,Fuels!$F$6:$AJ$6,0)),0)</f>
        <v>163.11879813839994</v>
      </c>
      <c r="T47" s="1602">
        <f ca="1">IF(T$8&lt;&gt;0,OFFSET(Fuels!$E$18,0,MATCH(T$8,Fuels!$F$6:$AJ$6,0)),0)</f>
        <v>0</v>
      </c>
      <c r="U47" s="1602">
        <f ca="1">IF(U$8&lt;&gt;0,OFFSET(Fuels!$E$18,0,MATCH(U$8,Fuels!$F$6:$AJ$6,0)),0)</f>
        <v>0</v>
      </c>
      <c r="V47" s="1602">
        <f ca="1">IF(V$8&lt;&gt;0,OFFSET(Fuels!$E$18,0,MATCH(V$8,Fuels!$F$6:$AJ$6,0)),0)</f>
        <v>0</v>
      </c>
      <c r="W47" s="1602">
        <f ca="1">IF(W$8&lt;&gt;0,OFFSET(Fuels!$E$18,0,MATCH(W$8,Fuels!$F$6:$AJ$6,0)),0)</f>
        <v>0</v>
      </c>
      <c r="X47" s="1602">
        <f ca="1">IF(X$8&lt;&gt;0,OFFSET(Fuels!$E$18,0,MATCH(X$8,Fuels!$F$6:$AJ$6,0)),0)</f>
        <v>0</v>
      </c>
      <c r="Y47" s="1602">
        <f ca="1">IF(Y$8&lt;&gt;0,OFFSET(Fuels!$E$18,0,MATCH(Y$8,Fuels!$F$6:$AJ$6,0)),0)</f>
        <v>0</v>
      </c>
      <c r="Z47" s="1602">
        <f ca="1">IF(Z$8&lt;&gt;0,OFFSET(Fuels!$E$18,0,MATCH(Z$8,Fuels!$F$6:$AJ$6,0)),0)</f>
        <v>145.40365540285308</v>
      </c>
      <c r="AA47" s="1602">
        <f ca="1">IF(AA$8&lt;&gt;0,OFFSET(Fuels!$E$18,0,MATCH(AA$8,Fuels!$F$6:$AJ$6,0)),0)</f>
        <v>0</v>
      </c>
      <c r="AB47" s="1602">
        <f ca="1">IF(AB$8&lt;&gt;0,OFFSET(Fuels!$E$18,0,MATCH(AB$8,Fuels!$F$6:$AJ$6,0)),0)</f>
        <v>0</v>
      </c>
      <c r="AC47" s="1602">
        <f ca="1">IF(AC$8&lt;&gt;0,OFFSET(Fuels!$E$18,0,MATCH(AC$8,Fuels!$F$6:$AJ$6,0)),0)</f>
        <v>0</v>
      </c>
      <c r="AD47" s="1602">
        <f ca="1">IF(AD$8&lt;&gt;0,OFFSET(Fuels!$E$18,0,MATCH(AD$8,Fuels!$F$6:$AJ$6,0)),0)</f>
        <v>0</v>
      </c>
      <c r="AE47" s="1602">
        <f ca="1">IF(AE$8&lt;&gt;0,OFFSET(Fuels!$E$18,0,MATCH(AE$8,Fuels!$F$6:$AJ$6,0)),0)</f>
        <v>0</v>
      </c>
      <c r="AF47" s="1602">
        <f ca="1">IF(AF$8&lt;&gt;0,OFFSET(Fuels!$E$18,0,MATCH(AF$8,Fuels!$F$6:$AJ$6,0)),0)</f>
        <v>145.40365540285308</v>
      </c>
      <c r="AG47" s="1602">
        <f ca="1">IF(AG$8&lt;&gt;0,OFFSET(Fuels!$E$18,0,MATCH(AG$8,Fuels!$F$6:$AJ$6,0)),0)</f>
        <v>0</v>
      </c>
      <c r="AH47" s="1602">
        <f ca="1">IF(AH$8&lt;&gt;0,OFFSET(Fuels!$E$18,0,MATCH(AH$8,Fuels!$F$6:$AJ$6,0)),0)</f>
        <v>0</v>
      </c>
      <c r="AI47" s="1602">
        <f ca="1">IF(AI$8&lt;&gt;0,OFFSET(Fuels!$E$18,0,MATCH(AI$8,Fuels!$F$6:$AJ$6,0)),0)</f>
        <v>0</v>
      </c>
      <c r="AJ47" s="1602">
        <f ca="1">IF(AJ$8&lt;&gt;0,OFFSET(Fuels!$E$18,0,MATCH(AJ$8,Fuels!$F$6:$AJ$6,0)),0)</f>
        <v>0</v>
      </c>
      <c r="AK47" s="1602">
        <f ca="1">IF(AK$8&lt;&gt;0,OFFSET(Fuels!$E$18,0,MATCH(AK$8,Fuels!$F$6:$AJ$6,0)),0)</f>
        <v>0</v>
      </c>
      <c r="AL47" s="1602">
        <f ca="1">IF(AL$8&lt;&gt;0,OFFSET(Fuels!$E$18,0,MATCH(AL$8,Fuels!$F$6:$AJ$6,0)),0)</f>
        <v>0</v>
      </c>
      <c r="AM47" s="1602">
        <f ca="1">IF(AM$8&lt;&gt;0,OFFSET(Fuels!$E$18,0,MATCH(AM$8,Fuels!$F$6:$AJ$6,0)),0)</f>
        <v>0</v>
      </c>
      <c r="AN47" s="1602">
        <f ca="1">IF(AN$8&lt;&gt;0,OFFSET(Fuels!$E$18,0,MATCH(AN$8,Fuels!$F$6:$AJ$6,0)),0)</f>
        <v>0</v>
      </c>
      <c r="AO47" s="1602">
        <f ca="1">IF(AO$8&lt;&gt;0,OFFSET(Fuels!$E$18,0,MATCH(AO$8,Fuels!$F$6:$AJ$6,0)),0)</f>
        <v>0</v>
      </c>
      <c r="AP47" s="1602">
        <f ca="1">IF(AP$8&lt;&gt;0,OFFSET(Fuels!$E$18,0,MATCH(AP$8,Fuels!$F$6:$AJ$6,0)),0)</f>
        <v>0</v>
      </c>
    </row>
    <row r="48" spans="1:42" s="664" customFormat="1" outlineLevel="1">
      <c r="D48" s="682" t="s">
        <v>707</v>
      </c>
      <c r="E48" s="694"/>
      <c r="F48" s="704"/>
      <c r="G48" s="704"/>
      <c r="H48" s="704"/>
      <c r="I48" s="704"/>
      <c r="J48" s="704"/>
      <c r="K48" s="704"/>
      <c r="L48" s="704"/>
      <c r="M48" s="704"/>
      <c r="N48" s="704"/>
      <c r="O48" s="704"/>
      <c r="P48" s="704"/>
      <c r="Q48" s="704"/>
      <c r="R48" s="704"/>
      <c r="S48" s="704"/>
      <c r="T48" s="704"/>
      <c r="U48" s="704"/>
      <c r="V48" s="704"/>
      <c r="W48" s="704"/>
      <c r="X48" s="704"/>
      <c r="Y48" s="704"/>
      <c r="Z48" s="704"/>
      <c r="AA48" s="704"/>
      <c r="AB48" s="704"/>
      <c r="AC48" s="704"/>
      <c r="AD48" s="704"/>
      <c r="AE48" s="704"/>
      <c r="AF48" s="704"/>
      <c r="AG48" s="704"/>
      <c r="AH48" s="704"/>
      <c r="AI48" s="704"/>
      <c r="AJ48" s="704"/>
      <c r="AK48" s="704"/>
      <c r="AL48" s="704"/>
      <c r="AM48" s="704"/>
      <c r="AN48" s="704"/>
      <c r="AO48" s="704"/>
      <c r="AP48" s="704"/>
    </row>
    <row r="49" spans="1:42" s="664" customFormat="1" outlineLevel="1">
      <c r="D49" s="666"/>
      <c r="E49" s="667"/>
      <c r="F49" s="704"/>
      <c r="G49" s="704"/>
      <c r="H49" s="704"/>
      <c r="I49" s="704"/>
      <c r="J49" s="704"/>
      <c r="K49" s="704"/>
      <c r="L49" s="704"/>
      <c r="M49" s="704"/>
      <c r="N49" s="704"/>
      <c r="O49" s="704"/>
      <c r="P49" s="704"/>
      <c r="Q49" s="704"/>
      <c r="R49" s="704"/>
      <c r="S49" s="704"/>
      <c r="T49" s="704"/>
      <c r="U49" s="704"/>
      <c r="V49" s="704"/>
      <c r="W49" s="704"/>
      <c r="X49" s="704"/>
      <c r="Y49" s="704"/>
      <c r="Z49" s="704"/>
      <c r="AA49" s="704"/>
      <c r="AB49" s="704"/>
      <c r="AC49" s="704"/>
      <c r="AD49" s="704"/>
      <c r="AE49" s="704"/>
      <c r="AF49" s="704"/>
      <c r="AG49" s="704"/>
      <c r="AH49" s="704"/>
      <c r="AI49" s="704"/>
      <c r="AJ49" s="704"/>
      <c r="AK49" s="704"/>
      <c r="AL49" s="704"/>
      <c r="AM49" s="704"/>
      <c r="AN49" s="704"/>
      <c r="AO49" s="704"/>
      <c r="AP49" s="704"/>
    </row>
    <row r="50" spans="1:42" s="664" customFormat="1" outlineLevel="1">
      <c r="D50" s="705" t="s">
        <v>793</v>
      </c>
      <c r="E50" s="694"/>
      <c r="F50" s="697"/>
      <c r="G50" s="697"/>
      <c r="H50" s="697"/>
      <c r="I50" s="697"/>
      <c r="J50" s="697"/>
      <c r="K50" s="697"/>
      <c r="L50" s="697"/>
      <c r="M50" s="697"/>
      <c r="N50" s="697"/>
      <c r="O50" s="697"/>
      <c r="P50" s="697"/>
      <c r="Q50" s="697"/>
      <c r="R50" s="697"/>
      <c r="S50" s="697"/>
      <c r="T50" s="697"/>
      <c r="U50" s="697"/>
      <c r="V50" s="697"/>
      <c r="W50" s="697"/>
      <c r="X50" s="697"/>
      <c r="Y50" s="697"/>
      <c r="Z50" s="697"/>
      <c r="AA50" s="697"/>
      <c r="AB50" s="697"/>
      <c r="AC50" s="697"/>
      <c r="AD50" s="697"/>
      <c r="AE50" s="697"/>
      <c r="AF50" s="697"/>
      <c r="AG50" s="697"/>
      <c r="AH50" s="697"/>
      <c r="AI50" s="697"/>
      <c r="AJ50" s="697"/>
      <c r="AK50" s="697"/>
      <c r="AL50" s="697"/>
      <c r="AM50" s="697"/>
      <c r="AN50" s="697"/>
      <c r="AO50" s="697"/>
      <c r="AP50" s="697"/>
    </row>
    <row r="51" spans="1:42" s="664" customFormat="1" outlineLevel="1">
      <c r="D51" s="679" t="s">
        <v>684</v>
      </c>
      <c r="E51" s="671" t="s">
        <v>55</v>
      </c>
      <c r="F51" s="703">
        <f t="shared" ref="F51:AN51" ca="1" si="42">IF(F54&gt;0,F54*F36/1000,SUM(F52:F53))</f>
        <v>3.6670713451180371E-2</v>
      </c>
      <c r="G51" s="703">
        <f t="shared" ca="1" si="42"/>
        <v>6.6576558451709331E-2</v>
      </c>
      <c r="H51" s="703">
        <f t="shared" ca="1" si="42"/>
        <v>9.5443577385943362E-2</v>
      </c>
      <c r="I51" s="703">
        <f t="shared" ca="1" si="42"/>
        <v>9.5443577385943362E-2</v>
      </c>
      <c r="J51" s="703">
        <f t="shared" ca="1" si="42"/>
        <v>9.5443577385943362E-2</v>
      </c>
      <c r="K51" s="703">
        <f t="shared" ca="1" si="42"/>
        <v>5.5722910381405595E-2</v>
      </c>
      <c r="L51" s="703">
        <f t="shared" ca="1" si="42"/>
        <v>3.6670713451180371E-2</v>
      </c>
      <c r="M51" s="703">
        <f t="shared" ca="1" si="42"/>
        <v>9.3451706204755125E-2</v>
      </c>
      <c r="N51" s="703">
        <f t="shared" ca="1" si="42"/>
        <v>2.5302322255822546E-2</v>
      </c>
      <c r="O51" s="703">
        <f t="shared" ca="1" si="42"/>
        <v>2.5302322255822546E-2</v>
      </c>
      <c r="P51" s="703">
        <f t="shared" ca="1" si="42"/>
        <v>4.0134692861206855E-2</v>
      </c>
      <c r="Q51" s="703">
        <f t="shared" ca="1" si="42"/>
        <v>0.14859222125381127</v>
      </c>
      <c r="R51" s="703">
        <f t="shared" ca="1" si="42"/>
        <v>3.8469320035750459E-2</v>
      </c>
      <c r="S51" s="703">
        <f t="shared" ca="1" si="42"/>
        <v>2.4131403022714219E-2</v>
      </c>
      <c r="T51" s="703">
        <f t="shared" ca="1" si="42"/>
        <v>95.505915278402298</v>
      </c>
      <c r="U51" s="703">
        <f t="shared" ca="1" si="42"/>
        <v>0.40559372638599306</v>
      </c>
      <c r="V51" s="703">
        <f t="shared" ca="1" si="42"/>
        <v>0.40559372638599306</v>
      </c>
      <c r="W51" s="703">
        <f t="shared" ca="1" si="42"/>
        <v>26.493146950046679</v>
      </c>
      <c r="X51" s="703">
        <f t="shared" ca="1" si="42"/>
        <v>147.80387245815513</v>
      </c>
      <c r="Y51" s="703">
        <f t="shared" ca="1" si="42"/>
        <v>147.80387245815513</v>
      </c>
      <c r="Z51" s="703">
        <f t="shared" ca="1" si="42"/>
        <v>50.125380364898284</v>
      </c>
      <c r="AA51" s="703">
        <f t="shared" ca="1" si="42"/>
        <v>0.89014196465687623</v>
      </c>
      <c r="AB51" s="703">
        <f t="shared" ca="1" si="42"/>
        <v>0.89014196465687623</v>
      </c>
      <c r="AC51" s="703">
        <f t="shared" ca="1" si="42"/>
        <v>7.5625196017426308</v>
      </c>
      <c r="AD51" s="703">
        <f t="shared" ca="1" si="42"/>
        <v>0.72829797108289873</v>
      </c>
      <c r="AE51" s="703">
        <f t="shared" ca="1" si="42"/>
        <v>0.72829797108289873</v>
      </c>
      <c r="AF51" s="703">
        <f t="shared" ca="1" si="42"/>
        <v>0.23590549029712957</v>
      </c>
      <c r="AG51" s="703">
        <f t="shared" ca="1" si="42"/>
        <v>0.31866808466544821</v>
      </c>
      <c r="AH51" s="703">
        <f t="shared" ref="AH51" ca="1" si="43">IF(AH54&gt;0,AH54*AH36/1000,SUM(AH52:AH53))</f>
        <v>0.484231460259614</v>
      </c>
      <c r="AI51" s="703">
        <f ca="1">IF(AI54&gt;0,AI54*AI36/1000,SUM(AI52:AI53))</f>
        <v>0.19779479921912674</v>
      </c>
      <c r="AJ51" s="703">
        <f t="shared" ca="1" si="42"/>
        <v>0.76813340322031687</v>
      </c>
      <c r="AK51" s="703">
        <f t="shared" ref="AK51" ca="1" si="44">IF(AK54&gt;0,AK54*AK36/1000,SUM(AK52:AK53))</f>
        <v>0.336718118417136</v>
      </c>
      <c r="AL51" s="703">
        <f t="shared" ca="1" si="42"/>
        <v>0.51165935348742553</v>
      </c>
      <c r="AM51" s="703">
        <f t="shared" ca="1" si="42"/>
        <v>0.21545965416894447</v>
      </c>
      <c r="AN51" s="703">
        <f t="shared" ca="1" si="42"/>
        <v>0.25901393724395078</v>
      </c>
      <c r="AO51" s="703">
        <f t="shared" ref="AO51:AP51" ca="1" si="45">IF(AO54&gt;0,AO54*AO36/1000,SUM(AO52:AO53))</f>
        <v>95.505915278402298</v>
      </c>
      <c r="AP51" s="703">
        <f t="shared" ca="1" si="45"/>
        <v>0.21475959942302503</v>
      </c>
    </row>
    <row r="52" spans="1:42" s="664" customFormat="1" outlineLevel="1">
      <c r="D52" s="682" t="s">
        <v>683</v>
      </c>
      <c r="E52" s="694" t="s">
        <v>55</v>
      </c>
      <c r="F52" s="706" t="str">
        <f t="shared" ref="F52:AN52" ca="1" si="46">IF(F54&gt;0,"Ingen data",F55*F36/1000)</f>
        <v>Ingen data</v>
      </c>
      <c r="G52" s="706" t="str">
        <f t="shared" ca="1" si="46"/>
        <v>Ingen data</v>
      </c>
      <c r="H52" s="706" t="str">
        <f t="shared" ca="1" si="46"/>
        <v>Ingen data</v>
      </c>
      <c r="I52" s="706" t="str">
        <f t="shared" ca="1" si="46"/>
        <v>Ingen data</v>
      </c>
      <c r="J52" s="706" t="str">
        <f t="shared" ca="1" si="46"/>
        <v>Ingen data</v>
      </c>
      <c r="K52" s="706" t="str">
        <f t="shared" ca="1" si="46"/>
        <v>Ingen data</v>
      </c>
      <c r="L52" s="706" t="str">
        <f t="shared" ca="1" si="46"/>
        <v>Ingen data</v>
      </c>
      <c r="M52" s="706" t="str">
        <f t="shared" ca="1" si="46"/>
        <v>Ingen data</v>
      </c>
      <c r="N52" s="706">
        <f t="shared" ca="1" si="46"/>
        <v>1.3251682985320879E-2</v>
      </c>
      <c r="O52" s="706">
        <f t="shared" ca="1" si="46"/>
        <v>1.3251682985320879E-2</v>
      </c>
      <c r="P52" s="706" t="str">
        <f t="shared" ca="1" si="46"/>
        <v>Ingen data</v>
      </c>
      <c r="Q52" s="706">
        <f t="shared" ca="1" si="46"/>
        <v>6.1010924899518358E-3</v>
      </c>
      <c r="R52" s="706">
        <f t="shared" ca="1" si="46"/>
        <v>0</v>
      </c>
      <c r="S52" s="706" t="str">
        <f t="shared" ca="1" si="46"/>
        <v>Ingen data</v>
      </c>
      <c r="T52" s="706" t="str">
        <f t="shared" ca="1" si="46"/>
        <v>Ingen data</v>
      </c>
      <c r="U52" s="706" t="str">
        <f t="shared" ca="1" si="46"/>
        <v>Ingen data</v>
      </c>
      <c r="V52" s="706" t="str">
        <f t="shared" ca="1" si="46"/>
        <v>Ingen data</v>
      </c>
      <c r="W52" s="706" t="str">
        <f t="shared" ca="1" si="46"/>
        <v>Ingen data</v>
      </c>
      <c r="X52" s="706" t="str">
        <f t="shared" ca="1" si="46"/>
        <v>Ingen data</v>
      </c>
      <c r="Y52" s="706" t="str">
        <f t="shared" ca="1" si="46"/>
        <v>Ingen data</v>
      </c>
      <c r="Z52" s="706">
        <f t="shared" ca="1" si="46"/>
        <v>27.809953877252727</v>
      </c>
      <c r="AA52" s="706" t="str">
        <f t="shared" ca="1" si="46"/>
        <v>Ingen data</v>
      </c>
      <c r="AB52" s="706" t="str">
        <f t="shared" ca="1" si="46"/>
        <v>Ingen data</v>
      </c>
      <c r="AC52" s="706">
        <f t="shared" ca="1" si="46"/>
        <v>0.51686285047881286</v>
      </c>
      <c r="AD52" s="706" t="str">
        <f t="shared" ca="1" si="46"/>
        <v>Ingen data</v>
      </c>
      <c r="AE52" s="706" t="str">
        <f t="shared" ca="1" si="46"/>
        <v>Ingen data</v>
      </c>
      <c r="AF52" s="706">
        <f t="shared" ca="1" si="46"/>
        <v>0.13088221489383559</v>
      </c>
      <c r="AG52" s="706" t="str">
        <f t="shared" ca="1" si="46"/>
        <v>Ingen data</v>
      </c>
      <c r="AH52" s="706" t="str">
        <f t="shared" ref="AH52" ca="1" si="47">IF(AH54&gt;0,"Ingen data",AH55*AH36/1000)</f>
        <v>Ingen data</v>
      </c>
      <c r="AI52" s="706">
        <f ca="1">IF(AI54&gt;0,"Ingen data",AI55*AI36/1000)</f>
        <v>0.1035918343342534</v>
      </c>
      <c r="AJ52" s="706" t="str">
        <f t="shared" ca="1" si="46"/>
        <v>Ingen data</v>
      </c>
      <c r="AK52" s="706" t="str">
        <f t="shared" ref="AK52" ca="1" si="48">IF(AK54&gt;0,"Ingen data",AK55*AK36/1000)</f>
        <v>Ingen data</v>
      </c>
      <c r="AL52" s="706" t="str">
        <f t="shared" ca="1" si="46"/>
        <v>Ingen data</v>
      </c>
      <c r="AM52" s="706">
        <f t="shared" ca="1" si="46"/>
        <v>0.11284351706162805</v>
      </c>
      <c r="AN52" s="706" t="str">
        <f t="shared" ca="1" si="46"/>
        <v>Ingen data</v>
      </c>
      <c r="AO52" s="706" t="str">
        <f t="shared" ref="AO52:AP52" ca="1" si="49">IF(AO54&gt;0,"Ingen data",AO55*AO36/1000)</f>
        <v>Ingen data</v>
      </c>
      <c r="AP52" s="706">
        <f t="shared" ca="1" si="49"/>
        <v>8.8178786758077027E-3</v>
      </c>
    </row>
    <row r="53" spans="1:42" s="664" customFormat="1" outlineLevel="1">
      <c r="D53" s="683" t="s">
        <v>685</v>
      </c>
      <c r="E53" s="684" t="s">
        <v>55</v>
      </c>
      <c r="F53" s="707" t="str">
        <f t="shared" ref="F53:AN53" ca="1" si="50">IF(F54&gt;0,"Ingen data",F56*F36/1000)</f>
        <v>Ingen data</v>
      </c>
      <c r="G53" s="707" t="str">
        <f t="shared" ca="1" si="50"/>
        <v>Ingen data</v>
      </c>
      <c r="H53" s="707" t="str">
        <f t="shared" ca="1" si="50"/>
        <v>Ingen data</v>
      </c>
      <c r="I53" s="707" t="str">
        <f t="shared" ca="1" si="50"/>
        <v>Ingen data</v>
      </c>
      <c r="J53" s="707" t="str">
        <f t="shared" ca="1" si="50"/>
        <v>Ingen data</v>
      </c>
      <c r="K53" s="707" t="str">
        <f t="shared" ca="1" si="50"/>
        <v>Ingen data</v>
      </c>
      <c r="L53" s="707" t="str">
        <f t="shared" ca="1" si="50"/>
        <v>Ingen data</v>
      </c>
      <c r="M53" s="707" t="str">
        <f t="shared" ca="1" si="50"/>
        <v>Ingen data</v>
      </c>
      <c r="N53" s="707">
        <f t="shared" ca="1" si="50"/>
        <v>1.2050639270501665E-2</v>
      </c>
      <c r="O53" s="707">
        <f t="shared" ca="1" si="50"/>
        <v>1.2050639270501665E-2</v>
      </c>
      <c r="P53" s="707" t="str">
        <f t="shared" ca="1" si="50"/>
        <v>Ingen data</v>
      </c>
      <c r="Q53" s="707">
        <f t="shared" ca="1" si="50"/>
        <v>0.14249112876385944</v>
      </c>
      <c r="R53" s="707">
        <f t="shared" ca="1" si="50"/>
        <v>3.8469320035750459E-2</v>
      </c>
      <c r="S53" s="707" t="str">
        <f t="shared" ca="1" si="50"/>
        <v>Ingen data</v>
      </c>
      <c r="T53" s="707" t="str">
        <f t="shared" ca="1" si="50"/>
        <v>Ingen data</v>
      </c>
      <c r="U53" s="707" t="str">
        <f t="shared" ca="1" si="50"/>
        <v>Ingen data</v>
      </c>
      <c r="V53" s="707" t="str">
        <f t="shared" ca="1" si="50"/>
        <v>Ingen data</v>
      </c>
      <c r="W53" s="707" t="str">
        <f t="shared" ca="1" si="50"/>
        <v>Ingen data</v>
      </c>
      <c r="X53" s="707" t="str">
        <f t="shared" ca="1" si="50"/>
        <v>Ingen data</v>
      </c>
      <c r="Y53" s="707" t="str">
        <f t="shared" ca="1" si="50"/>
        <v>Ingen data</v>
      </c>
      <c r="Z53" s="707">
        <f t="shared" ca="1" si="50"/>
        <v>22.315426487645556</v>
      </c>
      <c r="AA53" s="707" t="str">
        <f t="shared" ca="1" si="50"/>
        <v>Ingen data</v>
      </c>
      <c r="AB53" s="707" t="str">
        <f t="shared" ca="1" si="50"/>
        <v>Ingen data</v>
      </c>
      <c r="AC53" s="707">
        <f t="shared" ca="1" si="50"/>
        <v>7.0456567512638175</v>
      </c>
      <c r="AD53" s="707" t="str">
        <f t="shared" ca="1" si="50"/>
        <v>Ingen data</v>
      </c>
      <c r="AE53" s="707" t="str">
        <f t="shared" ca="1" si="50"/>
        <v>Ingen data</v>
      </c>
      <c r="AF53" s="707">
        <f t="shared" ca="1" si="50"/>
        <v>0.10502327540329398</v>
      </c>
      <c r="AG53" s="707" t="str">
        <f t="shared" ca="1" si="50"/>
        <v>Ingen data</v>
      </c>
      <c r="AH53" s="707" t="str">
        <f t="shared" ref="AH53" ca="1" si="51">IF(AH54&gt;0,"Ingen data",AH56*AH36/1000)</f>
        <v>Ingen data</v>
      </c>
      <c r="AI53" s="707">
        <f ca="1">IF(AI54&gt;0,"Ingen data",AI56*AI36/1000)</f>
        <v>9.4202964884873355E-2</v>
      </c>
      <c r="AJ53" s="707" t="str">
        <f t="shared" ca="1" si="50"/>
        <v>Ingen data</v>
      </c>
      <c r="AK53" s="707" t="str">
        <f t="shared" ref="AK53" ca="1" si="52">IF(AK54&gt;0,"Ingen data",AK56*AK36/1000)</f>
        <v>Ingen data</v>
      </c>
      <c r="AL53" s="707" t="str">
        <f t="shared" ca="1" si="50"/>
        <v>Ingen data</v>
      </c>
      <c r="AM53" s="707">
        <f t="shared" ca="1" si="50"/>
        <v>0.1026161371073164</v>
      </c>
      <c r="AN53" s="707" t="str">
        <f t="shared" ca="1" si="50"/>
        <v>Ingen data</v>
      </c>
      <c r="AO53" s="707" t="str">
        <f t="shared" ref="AO53:AP53" ca="1" si="53">IF(AO54&gt;0,"Ingen data",AO56*AO36/1000)</f>
        <v>Ingen data</v>
      </c>
      <c r="AP53" s="707">
        <f t="shared" ca="1" si="53"/>
        <v>0.20594172074721734</v>
      </c>
    </row>
    <row r="54" spans="1:42" s="664" customFormat="1" outlineLevel="1">
      <c r="D54" s="682" t="s">
        <v>833</v>
      </c>
      <c r="E54" s="694" t="s">
        <v>754</v>
      </c>
      <c r="F54" s="697">
        <f ca="1">IF(F$7&lt;&gt;0,OFFSET(Fuels!$E$19,0,MATCH(F$7,Fuels!$F$6:$AJ$6,0)),0)</f>
        <v>22.566592893034073</v>
      </c>
      <c r="G54" s="697">
        <f ca="1">IF(G$7&lt;&gt;0,OFFSET(Fuels!$E$19,0,MATCH(G$7,Fuels!$F$6:$AJ$6,0)),0)</f>
        <v>31.508073095934371</v>
      </c>
      <c r="H54" s="697">
        <f ca="1">IF(H$7&lt;&gt;0,OFFSET(Fuels!$E$19,0,MATCH(H$7,Fuels!$F$6:$AJ$6,0)),0)</f>
        <v>45.169700608586538</v>
      </c>
      <c r="I54" s="697">
        <f ca="1">IF(I$7&lt;&gt;0,OFFSET(Fuels!$E$19,0,MATCH(I$7,Fuels!$F$6:$AJ$6,0)),0)</f>
        <v>45.169700608586538</v>
      </c>
      <c r="J54" s="697">
        <f ca="1">IF(J$7&lt;&gt;0,OFFSET(Fuels!$E$19,0,MATCH(J$7,Fuels!$F$6:$AJ$6,0)),0)</f>
        <v>45.169700608586538</v>
      </c>
      <c r="K54" s="697">
        <f ca="1">IF(K$7&lt;&gt;0,OFFSET(Fuels!$E$19,0,MATCH(K$7,Fuels!$F$6:$AJ$6,0)),0)</f>
        <v>34.291021773172673</v>
      </c>
      <c r="L54" s="697">
        <f ca="1">IF(L$7&lt;&gt;0,OFFSET(Fuels!$E$19,0,MATCH(L$7,Fuels!$F$6:$AJ$6,0)),0)</f>
        <v>22.566592893034073</v>
      </c>
      <c r="M54" s="697">
        <f ca="1">IF(M$7&lt;&gt;0,OFFSET(Fuels!$E$19,0,MATCH(M$7,Fuels!$F$6:$AJ$6,0)),0)</f>
        <v>54.3956380702882</v>
      </c>
      <c r="N54" s="697">
        <f ca="1">IF(N$7&lt;&gt;0,OFFSET(Fuels!$E$19,0,MATCH(N$7,Fuels!$F$6:$AJ$6,0)),0)</f>
        <v>0</v>
      </c>
      <c r="O54" s="697">
        <f ca="1">IF(O$7&lt;&gt;0,OFFSET(Fuels!$E$19,0,MATCH(O$7,Fuels!$F$6:$AJ$6,0)),0)</f>
        <v>0</v>
      </c>
      <c r="P54" s="697">
        <f ca="1">IF(P$7&lt;&gt;0,OFFSET(Fuels!$E$19,0,MATCH(P$7,Fuels!$F$6:$AJ$6,0)),0)</f>
        <v>65.588991692475233</v>
      </c>
      <c r="Q54" s="697">
        <f ca="1">IF(Q$7&lt;&gt;0,OFFSET(Fuels!$E$19,0,MATCH(Q$7,Fuels!$F$6:$AJ$6,0)),0)</f>
        <v>0</v>
      </c>
      <c r="R54" s="697">
        <f ca="1">IF(R$7&lt;&gt;0,OFFSET(Fuels!$E$19,0,MATCH(R$7,Fuels!$F$6:$AJ$6,0)),0)</f>
        <v>0</v>
      </c>
      <c r="S54" s="697">
        <f ca="1">IF(S$7&lt;&gt;0,OFFSET(Fuels!$E$19,0,MATCH(S$7,Fuels!$F$6:$AJ$6,0)),0)</f>
        <v>31.508073095934371</v>
      </c>
      <c r="T54" s="697">
        <f ca="1">IF(T$7&lt;&gt;0,OFFSET(Fuels!$E$19,0,MATCH(T$7,Fuels!$F$6:$AJ$6,0)),0)</f>
        <v>22.566592893034073</v>
      </c>
      <c r="U54" s="697">
        <f ca="1">IF(U$7&lt;&gt;0,OFFSET(Fuels!$E$19,0,MATCH(U$7,Fuels!$F$6:$AJ$6,0)),0)</f>
        <v>4.0449553298834662</v>
      </c>
      <c r="V54" s="697">
        <f ca="1">IF(V$7&lt;&gt;0,OFFSET(Fuels!$E$19,0,MATCH(V$7,Fuels!$F$6:$AJ$6,0)),0)</f>
        <v>4.0449553298834662</v>
      </c>
      <c r="W54" s="697">
        <f ca="1">IF(W$7&lt;&gt;0,OFFSET(Fuels!$E$19,0,MATCH(W$7,Fuels!$F$6:$AJ$6,0)),0)</f>
        <v>4.0449553298834662</v>
      </c>
      <c r="X54" s="697">
        <f ca="1">IF(X$7&lt;&gt;0,OFFSET(Fuels!$E$19,0,MATCH(X$7,Fuels!$F$6:$AJ$6,0)),0)</f>
        <v>22.566592893034073</v>
      </c>
      <c r="Y54" s="697">
        <f ca="1">IF(Y$7&lt;&gt;0,OFFSET(Fuels!$E$19,0,MATCH(Y$7,Fuels!$F$6:$AJ$6,0)),0)</f>
        <v>22.566592893034073</v>
      </c>
      <c r="Z54" s="697">
        <f ca="1">IF(Z$7&lt;&gt;0,OFFSET(Fuels!$E$19,0,MATCH(Z$7,Fuels!$F$6:$AJ$6,0)),0)</f>
        <v>0</v>
      </c>
      <c r="AA54" s="697">
        <f ca="1">IF(AA$7&lt;&gt;0,OFFSET(Fuels!$E$19,0,MATCH(AA$7,Fuels!$F$6:$AJ$6,0)),0)</f>
        <v>22.566592893034073</v>
      </c>
      <c r="AB54" s="697">
        <f ca="1">IF(AB$7&lt;&gt;0,OFFSET(Fuels!$E$19,0,MATCH(AB$7,Fuels!$F$6:$AJ$6,0)),0)</f>
        <v>22.566592893034073</v>
      </c>
      <c r="AC54" s="697">
        <f ca="1">IF(AC$7&lt;&gt;0,OFFSET(Fuels!$E$19,0,MATCH(AC$7,Fuels!$F$6:$AJ$6,0)),0)</f>
        <v>0</v>
      </c>
      <c r="AD54" s="697">
        <f ca="1">IF(AD$7&lt;&gt;0,OFFSET(Fuels!$E$19,0,MATCH(AD$7,Fuels!$F$6:$AJ$6,0)),0)</f>
        <v>22.566592893034073</v>
      </c>
      <c r="AE54" s="697">
        <f ca="1">IF(AE$7&lt;&gt;0,OFFSET(Fuels!$E$19,0,MATCH(AE$7,Fuels!$F$6:$AJ$6,0)),0)</f>
        <v>22.566592893034073</v>
      </c>
      <c r="AF54" s="697">
        <f ca="1">IF(AF$7&lt;&gt;0,OFFSET(Fuels!$E$19,0,MATCH(AF$7,Fuels!$F$6:$AJ$6,0)),0)</f>
        <v>0</v>
      </c>
      <c r="AG54" s="697">
        <f ca="1">IF(AG$7&lt;&gt;0,OFFSET(Fuels!$E$19,0,MATCH(AG$7,Fuels!$F$6:$AJ$6,0)),0)</f>
        <v>22.566592893034073</v>
      </c>
      <c r="AH54" s="697">
        <f ca="1">IF(AH$7&lt;&gt;0,OFFSET(Fuels!$E$19,0,MATCH(AH$7,Fuels!$F$6:$AJ$6,0)),0)</f>
        <v>34.291021773172673</v>
      </c>
      <c r="AI54" s="697">
        <f ca="1">IF(AI$7&lt;&gt;0,OFFSET(Fuels!$E$19,0,MATCH(AI$7,Fuels!$F$6:$AJ$6,0)),0)</f>
        <v>0</v>
      </c>
      <c r="AJ54" s="697">
        <f ca="1">IF(AJ$7&lt;&gt;0,OFFSET(Fuels!$E$19,0,MATCH(AJ$7,Fuels!$F$6:$AJ$6,0)),0)</f>
        <v>54.3956380702882</v>
      </c>
      <c r="AK54" s="697">
        <f ca="1">IF(AK$7&lt;&gt;0,OFFSET(Fuels!$E$19,0,MATCH(AK$7,Fuels!$F$6:$AJ$6,0)),0)</f>
        <v>22.566592893034073</v>
      </c>
      <c r="AL54" s="697">
        <f ca="1">IF(AL$7&lt;&gt;0,OFFSET(Fuels!$E$19,0,MATCH(AL$7,Fuels!$F$6:$AJ$6,0)),0)</f>
        <v>34.291021773172673</v>
      </c>
      <c r="AM54" s="697">
        <f ca="1">IF(AM$7&lt;&gt;0,OFFSET(Fuels!$E$19,0,MATCH(AM$7,Fuels!$F$6:$AJ$6,0)),0)</f>
        <v>0</v>
      </c>
      <c r="AN54" s="697">
        <f ca="1">IF(AN$7&lt;&gt;0,OFFSET(Fuels!$E$19,0,MATCH(AN$7,Fuels!$F$6:$AJ$6,0)),0)</f>
        <v>22.566592893034073</v>
      </c>
      <c r="AO54" s="697">
        <f ca="1">IF(AO$7&lt;&gt;0,OFFSET(Fuels!$E$19,0,MATCH(AO$7,Fuels!$F$6:$AJ$6,0)),0)</f>
        <v>22.566592893034073</v>
      </c>
      <c r="AP54" s="697">
        <f ca="1">IF(AP$7&lt;&gt;0,OFFSET(Fuels!$E$19,0,MATCH(AP$7,Fuels!$F$6:$AJ$6,0)),0)</f>
        <v>0</v>
      </c>
    </row>
    <row r="55" spans="1:42" s="664" customFormat="1" outlineLevel="1">
      <c r="D55" s="682" t="s">
        <v>832</v>
      </c>
      <c r="E55" s="694" t="s">
        <v>754</v>
      </c>
      <c r="F55" s="697">
        <f ca="1">IF(F$7&lt;&gt;0,OFFSET(Fuels!$E$23,0,MATCH(F$7,Fuels!$F$6:$AJ$6,0)),0)</f>
        <v>0</v>
      </c>
      <c r="G55" s="697">
        <f ca="1">IF(G$7&lt;&gt;0,OFFSET(Fuels!$E$23,0,MATCH(G$7,Fuels!$F$6:$AJ$6,0)),0)</f>
        <v>0</v>
      </c>
      <c r="H55" s="697">
        <f ca="1">IF(H$7&lt;&gt;0,OFFSET(Fuels!$E$23,0,MATCH(H$7,Fuels!$F$6:$AJ$6,0)),0)</f>
        <v>0</v>
      </c>
      <c r="I55" s="697">
        <f ca="1">IF(I$7&lt;&gt;0,OFFSET(Fuels!$E$23,0,MATCH(I$7,Fuels!$F$6:$AJ$6,0)),0)</f>
        <v>0</v>
      </c>
      <c r="J55" s="697">
        <f ca="1">IF(J$7&lt;&gt;0,OFFSET(Fuels!$E$23,0,MATCH(J$7,Fuels!$F$6:$AJ$6,0)),0)</f>
        <v>0</v>
      </c>
      <c r="K55" s="697">
        <f ca="1">IF(K$7&lt;&gt;0,OFFSET(Fuels!$E$23,0,MATCH(K$7,Fuels!$F$6:$AJ$6,0)),0)</f>
        <v>0</v>
      </c>
      <c r="L55" s="697">
        <f ca="1">IF(L$7&lt;&gt;0,OFFSET(Fuels!$E$23,0,MATCH(L$7,Fuels!$F$6:$AJ$6,0)),0)</f>
        <v>0</v>
      </c>
      <c r="M55" s="697">
        <f ca="1">IF(M$7&lt;&gt;0,OFFSET(Fuels!$E$23,0,MATCH(M$7,Fuels!$F$6:$AJ$6,0)),0)</f>
        <v>0</v>
      </c>
      <c r="N55" s="697">
        <f ca="1">IF(N$7&lt;&gt;0,OFFSET(Fuels!$E$23,0,MATCH(N$7,Fuels!$F$6:$AJ$6,0)),0)</f>
        <v>5.70455574056</v>
      </c>
      <c r="O55" s="697">
        <f ca="1">IF(O$7&lt;&gt;0,OFFSET(Fuels!$E$23,0,MATCH(O$7,Fuels!$F$6:$AJ$6,0)),0)</f>
        <v>5.70455574056</v>
      </c>
      <c r="P55" s="697">
        <f ca="1">IF(P$7&lt;&gt;0,OFFSET(Fuels!$E$23,0,MATCH(P$7,Fuels!$F$6:$AJ$6,0)),0)</f>
        <v>0</v>
      </c>
      <c r="Q55" s="697">
        <f ca="1">IF(Q$7&lt;&gt;0,OFFSET(Fuels!$E$23,0,MATCH(Q$7,Fuels!$F$6:$AJ$6,0)),0)</f>
        <v>11.758739399663559</v>
      </c>
      <c r="R55" s="697">
        <f ca="1">IF(R$7&lt;&gt;0,OFFSET(Fuels!$E$23,0,MATCH(R$7,Fuels!$F$6:$AJ$6,0)),0)</f>
        <v>0</v>
      </c>
      <c r="S55" s="697">
        <f ca="1">IF(S$7&lt;&gt;0,OFFSET(Fuels!$E$23,0,MATCH(S$7,Fuels!$F$6:$AJ$6,0)),0)</f>
        <v>0</v>
      </c>
      <c r="T55" s="697">
        <f ca="1">IF(T$7&lt;&gt;0,OFFSET(Fuels!$E$23,0,MATCH(T$7,Fuels!$F$6:$AJ$6,0)),0)</f>
        <v>0</v>
      </c>
      <c r="U55" s="697">
        <f ca="1">IF(U$7&lt;&gt;0,OFFSET(Fuels!$E$23,0,MATCH(U$7,Fuels!$F$6:$AJ$6,0)),0)</f>
        <v>0</v>
      </c>
      <c r="V55" s="697">
        <f ca="1">IF(V$7&lt;&gt;0,OFFSET(Fuels!$E$23,0,MATCH(V$7,Fuels!$F$6:$AJ$6,0)),0)</f>
        <v>0</v>
      </c>
      <c r="W55" s="697">
        <f ca="1">IF(W$7&lt;&gt;0,OFFSET(Fuels!$E$23,0,MATCH(W$7,Fuels!$F$6:$AJ$6,0)),0)</f>
        <v>0</v>
      </c>
      <c r="X55" s="697">
        <f ca="1">IF(X$7&lt;&gt;0,OFFSET(Fuels!$E$23,0,MATCH(X$7,Fuels!$F$6:$AJ$6,0)),0)</f>
        <v>0</v>
      </c>
      <c r="Y55" s="697">
        <f ca="1">IF(Y$7&lt;&gt;0,OFFSET(Fuels!$E$23,0,MATCH(Y$7,Fuels!$F$6:$AJ$6,0)),0)</f>
        <v>0</v>
      </c>
      <c r="Z55" s="697">
        <f ca="1">IF(Z$7&lt;&gt;0,OFFSET(Fuels!$E$23,0,MATCH(Z$7,Fuels!$F$6:$AJ$6,0)),0)</f>
        <v>4.0554357937537056</v>
      </c>
      <c r="AA55" s="697">
        <f ca="1">IF(AA$7&lt;&gt;0,OFFSET(Fuels!$E$23,0,MATCH(AA$7,Fuels!$F$6:$AJ$6,0)),0)</f>
        <v>0</v>
      </c>
      <c r="AB55" s="697">
        <f ca="1">IF(AB$7&lt;&gt;0,OFFSET(Fuels!$E$23,0,MATCH(AB$7,Fuels!$F$6:$AJ$6,0)),0)</f>
        <v>0</v>
      </c>
      <c r="AC55" s="697">
        <f ca="1">IF(AC$7&lt;&gt;0,OFFSET(Fuels!$E$23,0,MATCH(AC$7,Fuels!$F$6:$AJ$6,0)),0)</f>
        <v>27.927059720266961</v>
      </c>
      <c r="AD55" s="697">
        <f ca="1">IF(AD$7&lt;&gt;0,OFFSET(Fuels!$E$23,0,MATCH(AD$7,Fuels!$F$6:$AJ$6,0)),0)</f>
        <v>0</v>
      </c>
      <c r="AE55" s="697">
        <f ca="1">IF(AE$7&lt;&gt;0,OFFSET(Fuels!$E$23,0,MATCH(AE$7,Fuels!$F$6:$AJ$6,0)),0)</f>
        <v>0</v>
      </c>
      <c r="AF55" s="697">
        <f ca="1">IF(AF$7&lt;&gt;0,OFFSET(Fuels!$E$23,0,MATCH(AF$7,Fuels!$F$6:$AJ$6,0)),0)</f>
        <v>4.0554357937537056</v>
      </c>
      <c r="AG55" s="697">
        <f ca="1">IF(AG$7&lt;&gt;0,OFFSET(Fuels!$E$23,0,MATCH(AG$7,Fuels!$F$6:$AJ$6,0)),0)</f>
        <v>0</v>
      </c>
      <c r="AH55" s="697">
        <f ca="1">IF(AH$7&lt;&gt;0,OFFSET(Fuels!$E$23,0,MATCH(AH$7,Fuels!$F$6:$AJ$6,0)),0)</f>
        <v>0</v>
      </c>
      <c r="AI55" s="697">
        <f ca="1">IF(AI$7&lt;&gt;0,OFFSET(Fuels!$E$23,0,MATCH(AI$7,Fuels!$F$6:$AJ$6,0)),0)</f>
        <v>5.70455574056</v>
      </c>
      <c r="AJ55" s="697">
        <f ca="1">IF(AJ$7&lt;&gt;0,OFFSET(Fuels!$E$23,0,MATCH(AJ$7,Fuels!$F$6:$AJ$6,0)),0)</f>
        <v>0</v>
      </c>
      <c r="AK55" s="697">
        <f ca="1">IF(AK$7&lt;&gt;0,OFFSET(Fuels!$E$23,0,MATCH(AK$7,Fuels!$F$6:$AJ$6,0)),0)</f>
        <v>0</v>
      </c>
      <c r="AL55" s="697">
        <f ca="1">IF(AL$7&lt;&gt;0,OFFSET(Fuels!$E$23,0,MATCH(AL$7,Fuels!$F$6:$AJ$6,0)),0)</f>
        <v>0</v>
      </c>
      <c r="AM55" s="697">
        <f ca="1">IF(AM$7&lt;&gt;0,OFFSET(Fuels!$E$23,0,MATCH(AM$7,Fuels!$F$6:$AJ$6,0)),0)</f>
        <v>5.70455574056</v>
      </c>
      <c r="AN55" s="697">
        <f ca="1">IF(AN$7&lt;&gt;0,OFFSET(Fuels!$E$23,0,MATCH(AN$7,Fuels!$F$6:$AJ$6,0)),0)</f>
        <v>0</v>
      </c>
      <c r="AO55" s="697">
        <f ca="1">IF(AO$7&lt;&gt;0,OFFSET(Fuels!$E$23,0,MATCH(AO$7,Fuels!$F$6:$AJ$6,0)),0)</f>
        <v>0</v>
      </c>
      <c r="AP55" s="697">
        <f ca="1">IF(AP$7&lt;&gt;0,OFFSET(Fuels!$E$23,0,MATCH(AP$7,Fuels!$F$6:$AJ$6,0)),0)</f>
        <v>11.758739399663559</v>
      </c>
    </row>
    <row r="56" spans="1:42" s="664" customFormat="1" outlineLevel="1">
      <c r="D56" s="683" t="s">
        <v>834</v>
      </c>
      <c r="E56" s="684" t="s">
        <v>754</v>
      </c>
      <c r="F56" s="696">
        <f ca="1">IF(F$7&lt;&gt;0,OFFSET(Fuels!$E$25,0,MATCH(F$7,Fuels!$F$6:$AJ$6,0)),0)</f>
        <v>0</v>
      </c>
      <c r="G56" s="696">
        <f ca="1">IF(G$7&lt;&gt;0,OFFSET(Fuels!$E$25,0,MATCH(G$7,Fuels!$F$6:$AJ$6,0)),0)</f>
        <v>0</v>
      </c>
      <c r="H56" s="696">
        <f ca="1">IF(H$7&lt;&gt;0,OFFSET(Fuels!$E$25,0,MATCH(H$7,Fuels!$F$6:$AJ$6,0)),0)</f>
        <v>0</v>
      </c>
      <c r="I56" s="696">
        <f ca="1">IF(I$7&lt;&gt;0,OFFSET(Fuels!$E$25,0,MATCH(I$7,Fuels!$F$6:$AJ$6,0)),0)</f>
        <v>0</v>
      </c>
      <c r="J56" s="696">
        <f ca="1">IF(J$7&lt;&gt;0,OFFSET(Fuels!$E$25,0,MATCH(J$7,Fuels!$F$6:$AJ$6,0)),0)</f>
        <v>0</v>
      </c>
      <c r="K56" s="696">
        <f ca="1">IF(K$7&lt;&gt;0,OFFSET(Fuels!$E$25,0,MATCH(K$7,Fuels!$F$6:$AJ$6,0)),0)</f>
        <v>0</v>
      </c>
      <c r="L56" s="696">
        <f ca="1">IF(L$7&lt;&gt;0,OFFSET(Fuels!$E$25,0,MATCH(L$7,Fuels!$F$6:$AJ$6,0)),0)</f>
        <v>0</v>
      </c>
      <c r="M56" s="696">
        <f ca="1">IF(M$7&lt;&gt;0,OFFSET(Fuels!$E$25,0,MATCH(M$7,Fuels!$F$6:$AJ$6,0)),0)</f>
        <v>0</v>
      </c>
      <c r="N56" s="696">
        <f ca="1">IF(N$7&lt;&gt;0,OFFSET(Fuels!$E$25,0,MATCH(N$7,Fuels!$F$6:$AJ$6,0)),0)</f>
        <v>5.1875330479989943</v>
      </c>
      <c r="O56" s="696">
        <f ca="1">IF(O$7&lt;&gt;0,OFFSET(Fuels!$E$25,0,MATCH(O$7,Fuels!$F$6:$AJ$6,0)),0)</f>
        <v>5.1875330479989943</v>
      </c>
      <c r="P56" s="696">
        <f ca="1">IF(P$7&lt;&gt;0,OFFSET(Fuels!$E$25,0,MATCH(P$7,Fuels!$F$6:$AJ$6,0)),0)</f>
        <v>0</v>
      </c>
      <c r="Q56" s="696">
        <f ca="1">IF(Q$7&lt;&gt;0,OFFSET(Fuels!$E$25,0,MATCH(Q$7,Fuels!$F$6:$AJ$6,0)),0)</f>
        <v>274.62557773998844</v>
      </c>
      <c r="R56" s="696">
        <f ca="1">IF(R$7&lt;&gt;0,OFFSET(Fuels!$E$25,0,MATCH(R$7,Fuels!$F$6:$AJ$6,0)),0)</f>
        <v>93.900898349322532</v>
      </c>
      <c r="S56" s="696">
        <f ca="1">IF(S$7&lt;&gt;0,OFFSET(Fuels!$E$25,0,MATCH(S$7,Fuels!$F$6:$AJ$6,0)),0)</f>
        <v>0</v>
      </c>
      <c r="T56" s="696">
        <f ca="1">IF(T$7&lt;&gt;0,OFFSET(Fuels!$E$25,0,MATCH(T$7,Fuels!$F$6:$AJ$6,0)),0)</f>
        <v>0</v>
      </c>
      <c r="U56" s="696">
        <f ca="1">IF(U$7&lt;&gt;0,OFFSET(Fuels!$E$25,0,MATCH(U$7,Fuels!$F$6:$AJ$6,0)),0)</f>
        <v>0</v>
      </c>
      <c r="V56" s="696">
        <f ca="1">IF(V$7&lt;&gt;0,OFFSET(Fuels!$E$25,0,MATCH(V$7,Fuels!$F$6:$AJ$6,0)),0)</f>
        <v>0</v>
      </c>
      <c r="W56" s="696">
        <f ca="1">IF(W$7&lt;&gt;0,OFFSET(Fuels!$E$25,0,MATCH(W$7,Fuels!$F$6:$AJ$6,0)),0)</f>
        <v>0</v>
      </c>
      <c r="X56" s="696">
        <f ca="1">IF(X$7&lt;&gt;0,OFFSET(Fuels!$E$25,0,MATCH(X$7,Fuels!$F$6:$AJ$6,0)),0)</f>
        <v>0</v>
      </c>
      <c r="Y56" s="696">
        <f ca="1">IF(Y$7&lt;&gt;0,OFFSET(Fuels!$E$25,0,MATCH(Y$7,Fuels!$F$6:$AJ$6,0)),0)</f>
        <v>0</v>
      </c>
      <c r="Z56" s="696">
        <f ca="1">IF(Z$7&lt;&gt;0,OFFSET(Fuels!$E$25,0,MATCH(Z$7,Fuels!$F$6:$AJ$6,0)),0)</f>
        <v>3.254186602765321</v>
      </c>
      <c r="AA56" s="696">
        <f ca="1">IF(AA$7&lt;&gt;0,OFFSET(Fuels!$E$25,0,MATCH(AA$7,Fuels!$F$6:$AJ$6,0)),0)</f>
        <v>0</v>
      </c>
      <c r="AB56" s="696">
        <f ca="1">IF(AB$7&lt;&gt;0,OFFSET(Fuels!$E$25,0,MATCH(AB$7,Fuels!$F$6:$AJ$6,0)),0)</f>
        <v>0</v>
      </c>
      <c r="AC56" s="696">
        <f ca="1">IF(AC$7&lt;&gt;0,OFFSET(Fuels!$E$25,0,MATCH(AC$7,Fuels!$F$6:$AJ$6,0)),0)</f>
        <v>380.6899193446917</v>
      </c>
      <c r="AD56" s="696">
        <f ca="1">IF(AD$7&lt;&gt;0,OFFSET(Fuels!$E$25,0,MATCH(AD$7,Fuels!$F$6:$AJ$6,0)),0)</f>
        <v>0</v>
      </c>
      <c r="AE56" s="696">
        <f ca="1">IF(AE$7&lt;&gt;0,OFFSET(Fuels!$E$25,0,MATCH(AE$7,Fuels!$F$6:$AJ$6,0)),0)</f>
        <v>0</v>
      </c>
      <c r="AF56" s="696">
        <f ca="1">IF(AF$7&lt;&gt;0,OFFSET(Fuels!$E$25,0,MATCH(AF$7,Fuels!$F$6:$AJ$6,0)),0)</f>
        <v>3.254186602765321</v>
      </c>
      <c r="AG56" s="696">
        <f ca="1">IF(AG$7&lt;&gt;0,OFFSET(Fuels!$E$25,0,MATCH(AG$7,Fuels!$F$6:$AJ$6,0)),0)</f>
        <v>0</v>
      </c>
      <c r="AH56" s="696">
        <f ca="1">IF(AH$7&lt;&gt;0,OFFSET(Fuels!$E$25,0,MATCH(AH$7,Fuels!$F$6:$AJ$6,0)),0)</f>
        <v>0</v>
      </c>
      <c r="AI56" s="696">
        <f ca="1">IF(AI$7&lt;&gt;0,OFFSET(Fuels!$E$25,0,MATCH(AI$7,Fuels!$F$6:$AJ$6,0)),0)</f>
        <v>5.1875330479989943</v>
      </c>
      <c r="AJ56" s="696">
        <f ca="1">IF(AJ$7&lt;&gt;0,OFFSET(Fuels!$E$25,0,MATCH(AJ$7,Fuels!$F$6:$AJ$6,0)),0)</f>
        <v>0</v>
      </c>
      <c r="AK56" s="696">
        <f ca="1">IF(AK$7&lt;&gt;0,OFFSET(Fuels!$E$25,0,MATCH(AK$7,Fuels!$F$6:$AJ$6,0)),0)</f>
        <v>0</v>
      </c>
      <c r="AL56" s="696">
        <f ca="1">IF(AL$7&lt;&gt;0,OFFSET(Fuels!$E$25,0,MATCH(AL$7,Fuels!$F$6:$AJ$6,0)),0)</f>
        <v>0</v>
      </c>
      <c r="AM56" s="696">
        <f ca="1">IF(AM$7&lt;&gt;0,OFFSET(Fuels!$E$25,0,MATCH(AM$7,Fuels!$F$6:$AJ$6,0)),0)</f>
        <v>5.1875330479989943</v>
      </c>
      <c r="AN56" s="696">
        <f ca="1">IF(AN$7&lt;&gt;0,OFFSET(Fuels!$E$25,0,MATCH(AN$7,Fuels!$F$6:$AJ$6,0)),0)</f>
        <v>0</v>
      </c>
      <c r="AO56" s="696">
        <f ca="1">IF(AO$7&lt;&gt;0,OFFSET(Fuels!$E$25,0,MATCH(AO$7,Fuels!$F$6:$AJ$6,0)),0)</f>
        <v>0</v>
      </c>
      <c r="AP56" s="696">
        <f ca="1">IF(AP$7&lt;&gt;0,OFFSET(Fuels!$E$25,0,MATCH(AP$7,Fuels!$F$6:$AJ$6,0)),0)</f>
        <v>274.62557773998844</v>
      </c>
    </row>
    <row r="57" spans="1:42" s="664" customFormat="1" outlineLevel="1">
      <c r="D57" s="682"/>
      <c r="E57" s="694"/>
      <c r="F57" s="697"/>
      <c r="G57" s="697"/>
      <c r="H57" s="697"/>
      <c r="I57" s="697"/>
      <c r="J57" s="697"/>
      <c r="K57" s="697"/>
      <c r="L57" s="697"/>
      <c r="M57" s="697"/>
      <c r="N57" s="697"/>
      <c r="O57" s="697"/>
      <c r="P57" s="697"/>
      <c r="Q57" s="697"/>
      <c r="R57" s="697"/>
      <c r="S57" s="697"/>
      <c r="T57" s="697"/>
      <c r="U57" s="697"/>
      <c r="V57" s="697"/>
      <c r="W57" s="697"/>
      <c r="X57" s="697"/>
      <c r="Y57" s="697"/>
      <c r="Z57" s="697"/>
      <c r="AA57" s="697"/>
      <c r="AB57" s="697"/>
      <c r="AC57" s="697"/>
      <c r="AD57" s="697"/>
      <c r="AE57" s="697"/>
      <c r="AF57" s="697"/>
      <c r="AG57" s="697"/>
      <c r="AH57" s="697"/>
      <c r="AI57" s="697"/>
      <c r="AJ57" s="697"/>
      <c r="AK57" s="697"/>
      <c r="AL57" s="697"/>
      <c r="AM57" s="697"/>
      <c r="AN57" s="697"/>
      <c r="AO57" s="697"/>
      <c r="AP57" s="697"/>
    </row>
    <row r="58" spans="1:42" s="664" customFormat="1">
      <c r="D58" s="666"/>
      <c r="E58" s="667"/>
    </row>
    <row r="59" spans="1:42" s="690" customFormat="1" ht="18.75">
      <c r="A59" s="689" t="s">
        <v>344</v>
      </c>
      <c r="D59" s="691"/>
      <c r="E59" s="692"/>
    </row>
    <row r="60" spans="1:42" s="664" customFormat="1" outlineLevel="1">
      <c r="D60" s="666"/>
      <c r="E60" s="667"/>
    </row>
    <row r="61" spans="1:42" s="664" customFormat="1" outlineLevel="1">
      <c r="D61" s="666"/>
      <c r="E61" s="667"/>
    </row>
    <row r="62" spans="1:42" s="664" customFormat="1" outlineLevel="1">
      <c r="D62" s="668" t="s">
        <v>826</v>
      </c>
      <c r="E62" s="667"/>
    </row>
    <row r="63" spans="1:42" s="664" customFormat="1" outlineLevel="1">
      <c r="D63" s="679" t="s">
        <v>827</v>
      </c>
      <c r="E63" s="671" t="s">
        <v>29</v>
      </c>
      <c r="F63" s="708">
        <f t="shared" ref="F63:AN63" ca="1" si="54">F11*F73+F12*F83</f>
        <v>0.23759628394566742</v>
      </c>
      <c r="G63" s="708">
        <f t="shared" ca="1" si="54"/>
        <v>0.16769792432989633</v>
      </c>
      <c r="H63" s="708">
        <f t="shared" ca="1" si="54"/>
        <v>0.13923731496982597</v>
      </c>
      <c r="I63" s="708">
        <f t="shared" ca="1" si="54"/>
        <v>0.14097114871113556</v>
      </c>
      <c r="J63" s="708">
        <f t="shared" ca="1" si="54"/>
        <v>0.12872803566339891</v>
      </c>
      <c r="K63" s="708">
        <f t="shared" ca="1" si="54"/>
        <v>0.20776980245257207</v>
      </c>
      <c r="L63" s="708">
        <f t="shared" ca="1" si="54"/>
        <v>0.20005420011599015</v>
      </c>
      <c r="M63" s="708">
        <f t="shared" ca="1" si="54"/>
        <v>0.2150045900352773</v>
      </c>
      <c r="N63" s="708">
        <f t="shared" ca="1" si="54"/>
        <v>0.16831539661914319</v>
      </c>
      <c r="O63" s="708">
        <f t="shared" ca="1" si="54"/>
        <v>0.15819847757401839</v>
      </c>
      <c r="P63" s="708">
        <f t="shared" ca="1" si="54"/>
        <v>0.55351751631068857</v>
      </c>
      <c r="Q63" s="708">
        <f t="shared" ca="1" si="54"/>
        <v>0.54869968593943474</v>
      </c>
      <c r="R63" s="708">
        <f t="shared" ca="1" si="54"/>
        <v>0.65414862139188079</v>
      </c>
      <c r="S63" s="708">
        <f t="shared" ca="1" si="54"/>
        <v>0.37402054072693969</v>
      </c>
      <c r="T63" s="708">
        <f t="shared" ca="1" si="54"/>
        <v>0.37407164929552272</v>
      </c>
      <c r="U63" s="708">
        <f t="shared" ca="1" si="54"/>
        <v>0.447221292916757</v>
      </c>
      <c r="V63" s="708">
        <f t="shared" ca="1" si="54"/>
        <v>0.3622790598707698</v>
      </c>
      <c r="W63" s="708">
        <f t="shared" ca="1" si="54"/>
        <v>0.47428587647615433</v>
      </c>
      <c r="X63" s="708">
        <f t="shared" ca="1" si="54"/>
        <v>0.45146578363252743</v>
      </c>
      <c r="Y63" s="708">
        <f t="shared" ca="1" si="54"/>
        <v>0.38013063472405745</v>
      </c>
      <c r="Z63" s="708">
        <f t="shared" ca="1" si="54"/>
        <v>0.40611005021873081</v>
      </c>
      <c r="AA63" s="708">
        <f t="shared" ca="1" si="54"/>
        <v>0.29816004259848461</v>
      </c>
      <c r="AB63" s="708">
        <f t="shared" ca="1" si="54"/>
        <v>0.25104840798869349</v>
      </c>
      <c r="AC63" s="708">
        <f t="shared" ca="1" si="54"/>
        <v>0.69049021146920753</v>
      </c>
      <c r="AD63" s="708">
        <f t="shared" ca="1" si="54"/>
        <v>0.29816004259848461</v>
      </c>
      <c r="AE63" s="708">
        <f t="shared" ca="1" si="54"/>
        <v>0.25104840798869349</v>
      </c>
      <c r="AF63" s="708">
        <f t="shared" ca="1" si="54"/>
        <v>0.28718003652181961</v>
      </c>
      <c r="AG63" s="708">
        <f t="shared" ca="1" si="54"/>
        <v>0.37270005324810579</v>
      </c>
      <c r="AH63" s="708">
        <f t="shared" ref="AH63" ca="1" si="55">AH11*AH73+AH12*AH83</f>
        <v>0.32591341561187775</v>
      </c>
      <c r="AI63" s="708">
        <f ca="1">AI11*AI73+AI12*AI83</f>
        <v>0.29089665540578735</v>
      </c>
      <c r="AJ63" s="708">
        <f t="shared" ca="1" si="54"/>
        <v>0.33726210201612128</v>
      </c>
      <c r="AK63" s="708">
        <f t="shared" ref="AK63" ca="1" si="56">AK11*AK73+AK12*AK83</f>
        <v>0.30102696608500845</v>
      </c>
      <c r="AL63" s="708">
        <f t="shared" ca="1" si="54"/>
        <v>0.26323775876343969</v>
      </c>
      <c r="AM63" s="708">
        <f t="shared" ca="1" si="54"/>
        <v>0.22790901296842467</v>
      </c>
      <c r="AN63" s="708">
        <f t="shared" ca="1" si="54"/>
        <v>0.39133505591051104</v>
      </c>
      <c r="AO63" s="708">
        <f t="shared" ref="AO63:AP63" ca="1" si="57">AO11*AO73+AO12*AO83</f>
        <v>0.31496538305707616</v>
      </c>
      <c r="AP63" s="708">
        <f t="shared" ca="1" si="57"/>
        <v>0.3139907650936678</v>
      </c>
    </row>
    <row r="64" spans="1:42" outlineLevel="1">
      <c r="A64" s="664"/>
      <c r="B64" s="664"/>
      <c r="C64" s="664"/>
      <c r="E64" s="2143"/>
      <c r="F64" s="2144"/>
      <c r="G64" s="2144"/>
      <c r="H64" s="2144"/>
      <c r="I64" s="2144"/>
      <c r="J64" s="2144"/>
      <c r="K64" s="2144"/>
      <c r="L64" s="2144"/>
      <c r="M64" s="2144"/>
      <c r="N64" s="2144"/>
      <c r="O64" s="2144"/>
      <c r="P64" s="2144"/>
      <c r="Q64" s="2144"/>
      <c r="R64" s="2144"/>
      <c r="S64" s="2144"/>
      <c r="T64" s="2144"/>
      <c r="U64" s="2144"/>
      <c r="V64" s="2144"/>
      <c r="W64" s="2144"/>
      <c r="X64" s="2144"/>
      <c r="Y64" s="2144"/>
      <c r="Z64" s="2144"/>
      <c r="AA64" s="2144"/>
      <c r="AB64" s="2144"/>
      <c r="AC64" s="2144"/>
      <c r="AD64" s="2144"/>
      <c r="AE64" s="2144"/>
      <c r="AF64" s="2144"/>
      <c r="AG64" s="2144"/>
      <c r="AH64" s="2144"/>
      <c r="AI64" s="2144"/>
      <c r="AJ64" s="2144"/>
      <c r="AK64" s="2144"/>
      <c r="AL64" s="2144"/>
      <c r="AM64" s="2144"/>
      <c r="AN64" s="2144"/>
      <c r="AO64" s="2144"/>
      <c r="AP64" s="2144"/>
    </row>
    <row r="65" spans="1:42" s="664" customFormat="1" outlineLevel="1">
      <c r="D65" s="709" t="s">
        <v>819</v>
      </c>
      <c r="E65" s="667"/>
    </row>
    <row r="66" spans="1:42" s="664" customFormat="1" outlineLevel="1">
      <c r="D66" s="679" t="s">
        <v>818</v>
      </c>
      <c r="E66" s="671"/>
      <c r="F66" s="1603">
        <f>MATCH(F$7,Fuels!$F$6:$AJ$6,0)</f>
        <v>1</v>
      </c>
      <c r="G66" s="1603">
        <f>MATCH(G$7,Fuels!$F$6:$AJ$6,0)</f>
        <v>2</v>
      </c>
      <c r="H66" s="1603">
        <f>MATCH(H$7,Fuels!$F$6:$AJ$6,0)</f>
        <v>7</v>
      </c>
      <c r="I66" s="1603">
        <f>MATCH(I$7,Fuels!$F$6:$AJ$6,0)</f>
        <v>20</v>
      </c>
      <c r="J66" s="1603">
        <f>MATCH(J$7,Fuels!$F$6:$AJ$6,0)</f>
        <v>8</v>
      </c>
      <c r="K66" s="1603">
        <f>MATCH(K$7,Fuels!$F$6:$AJ$6,0)</f>
        <v>19</v>
      </c>
      <c r="L66" s="1603">
        <f>MATCH(L$7,Fuels!$F$6:$AJ$6,0)</f>
        <v>11</v>
      </c>
      <c r="M66" s="1603">
        <f>MATCH(M$7,Fuels!$F$6:$AJ$6,0)</f>
        <v>12</v>
      </c>
      <c r="N66" s="1603">
        <f>MATCH(N$7,Fuels!$F$6:$AJ$6,0)</f>
        <v>5</v>
      </c>
      <c r="O66" s="1603">
        <f>MATCH(O$7,Fuels!$F$6:$AJ$6,0)</f>
        <v>13</v>
      </c>
      <c r="P66" s="1603">
        <f>MATCH(P$7,Fuels!$F$6:$AJ$6,0)</f>
        <v>9</v>
      </c>
      <c r="Q66" s="1603">
        <f>MATCH(Q$7,Fuels!$F$6:$AJ$6,0)</f>
        <v>14</v>
      </c>
      <c r="R66" s="1603">
        <f>MATCH(R$7,Fuels!$F$6:$AJ$6,0)</f>
        <v>15</v>
      </c>
      <c r="S66" s="1603">
        <f>MATCH(S$7,Fuels!$F$6:$AJ$6,0)</f>
        <v>2</v>
      </c>
      <c r="T66" s="1603">
        <f>MATCH(T$7,Fuels!$F$6:$AJ$6,0)</f>
        <v>1</v>
      </c>
      <c r="U66" s="1603">
        <f>MATCH(U$7,Fuels!$F$6:$AJ$6,0)</f>
        <v>3</v>
      </c>
      <c r="V66" s="1603">
        <f>MATCH(V$7,Fuels!$F$6:$AJ$6,0)</f>
        <v>18</v>
      </c>
      <c r="W66" s="1603">
        <f>MATCH(W$7,Fuels!$F$6:$AJ$6,0)</f>
        <v>4</v>
      </c>
      <c r="X66" s="1603">
        <f>MATCH(X$7,Fuels!$F$6:$AJ$6,0)</f>
        <v>1</v>
      </c>
      <c r="Y66" s="1603">
        <f>MATCH(Y$7,Fuels!$F$6:$AJ$6,0)</f>
        <v>11</v>
      </c>
      <c r="Z66" s="1603">
        <f>MATCH(Z$7,Fuels!$F$6:$AJ$6,0)</f>
        <v>6</v>
      </c>
      <c r="AA66" s="1603">
        <f>MATCH(AA$7,Fuels!$F$6:$AJ$6,0)</f>
        <v>1</v>
      </c>
      <c r="AB66" s="1603">
        <f>MATCH(AB$7,Fuels!$F$6:$AJ$6,0)</f>
        <v>11</v>
      </c>
      <c r="AC66" s="1603">
        <f>MATCH(AC$7,Fuels!$F$6:$AJ$6,0)</f>
        <v>17</v>
      </c>
      <c r="AD66" s="1603">
        <f>MATCH(AD$7,Fuels!$F$6:$AJ$6,0)</f>
        <v>1</v>
      </c>
      <c r="AE66" s="1603">
        <f>MATCH(AE$7,Fuels!$F$6:$AJ$6,0)</f>
        <v>11</v>
      </c>
      <c r="AF66" s="1603">
        <f>MATCH(AF$7,Fuels!$F$6:$AJ$6,0)</f>
        <v>6</v>
      </c>
      <c r="AG66" s="1603">
        <f>MATCH(AG$7,Fuels!$F$6:$AJ$6,0)</f>
        <v>1</v>
      </c>
      <c r="AH66" s="1603">
        <f>MATCH(AH$7,Fuels!$F$6:$AJ$6,0)</f>
        <v>19</v>
      </c>
      <c r="AI66" s="1603">
        <f>MATCH(AI$7,Fuels!$F$6:$AJ$6,0)</f>
        <v>5</v>
      </c>
      <c r="AJ66" s="1603">
        <f>MATCH(AJ$7,Fuels!$F$6:$AJ$6,0)</f>
        <v>12</v>
      </c>
      <c r="AK66" s="1603">
        <f>MATCH(AK$7,Fuels!$F$6:$AJ$6,0)</f>
        <v>1</v>
      </c>
      <c r="AL66" s="1603">
        <f>MATCH(AL$7,Fuels!$F$6:$AJ$6,0)</f>
        <v>19</v>
      </c>
      <c r="AM66" s="1603">
        <f>MATCH(AM$7,Fuels!$F$6:$AJ$6,0)</f>
        <v>5</v>
      </c>
      <c r="AN66" s="1603">
        <f>MATCH(AN$7,Fuels!$F$6:$AJ$6,0)</f>
        <v>1</v>
      </c>
      <c r="AO66" s="1603">
        <f>MATCH(AO$7,Fuels!$F$6:$AJ$6,0)</f>
        <v>11</v>
      </c>
      <c r="AP66" s="1603">
        <f>MATCH(AP$7,Fuels!$F$6:$AJ$6,0)</f>
        <v>14</v>
      </c>
    </row>
    <row r="67" spans="1:42" s="664" customFormat="1" outlineLevel="1">
      <c r="D67" s="682" t="str">
        <f>Fuels!D59</f>
        <v>Råstofudvinding - energieffektivitet</v>
      </c>
      <c r="E67" s="694" t="s">
        <v>29</v>
      </c>
      <c r="F67" s="1604">
        <f ca="1">OFFSET(Fuels!$E59,0,F$66)</f>
        <v>0.93559617058311573</v>
      </c>
      <c r="G67" s="1604">
        <f ca="1">OFFSET(Fuels!$E59,0,G$66)</f>
        <v>0.93559617058311573</v>
      </c>
      <c r="H67" s="1604">
        <f ca="1">OFFSET(Fuels!$E59,0,H$66)</f>
        <v>0.90434658027676951</v>
      </c>
      <c r="I67" s="1604">
        <f ca="1">OFFSET(Fuels!$E59,0,I$66)</f>
        <v>0.91354486346211083</v>
      </c>
      <c r="J67" s="1604">
        <f ca="1">OFFSET(Fuels!$E59,0,J$66)</f>
        <v>0.96169609985029503</v>
      </c>
      <c r="K67" s="1604">
        <f ca="1">OFFSET(Fuels!$E59,0,K$66)</f>
        <v>0.86697963561167013</v>
      </c>
      <c r="L67" s="1604">
        <f ca="1">OFFSET(Fuels!$E59,0,L$66)</f>
        <v>0.96169609985029503</v>
      </c>
      <c r="M67" s="1604">
        <f ca="1">OFFSET(Fuels!$E59,0,M$66)</f>
        <v>0.96307534624283608</v>
      </c>
      <c r="N67" s="1604">
        <f ca="1">OFFSET(Fuels!$E59,0,N$66)</f>
        <v>0.95574878290987486</v>
      </c>
      <c r="O67" s="1604">
        <f ca="1">OFFSET(Fuels!$E59,0,O$66)</f>
        <v>0.95862863107074003</v>
      </c>
      <c r="P67" s="1604">
        <f ca="1">OFFSET(Fuels!$E59,0,P$66)</f>
        <v>0.96307534624283608</v>
      </c>
      <c r="Q67" s="1604">
        <f ca="1">OFFSET(Fuels!$E59,0,Q$66)</f>
        <v>0.94901671323878312</v>
      </c>
      <c r="R67" s="1604">
        <f ca="1">OFFSET(Fuels!$E59,0,R$66)</f>
        <v>0.94901671323878312</v>
      </c>
      <c r="S67" s="1604">
        <f ca="1">OFFSET(Fuels!$E59,0,S$66)</f>
        <v>0.93559617058311573</v>
      </c>
      <c r="T67" s="1604">
        <f ca="1">OFFSET(Fuels!$E59,0,T$66)</f>
        <v>0.93559617058311573</v>
      </c>
      <c r="U67" s="1604">
        <f ca="1">OFFSET(Fuels!$E59,0,U$66)</f>
        <v>0.93559617058311573</v>
      </c>
      <c r="V67" s="1604">
        <f ca="1">OFFSET(Fuels!$E59,0,V$66)</f>
        <v>0.96169609985029503</v>
      </c>
      <c r="W67" s="1604">
        <f ca="1">OFFSET(Fuels!$E59,0,W$66)</f>
        <v>0.93559617058311573</v>
      </c>
      <c r="X67" s="1604">
        <f ca="1">OFFSET(Fuels!$E59,0,X$66)</f>
        <v>0.93559617058311573</v>
      </c>
      <c r="Y67" s="1604">
        <f ca="1">OFFSET(Fuels!$E59,0,Y$66)</f>
        <v>0.96169609985029503</v>
      </c>
      <c r="Z67" s="1604">
        <f ca="1">OFFSET(Fuels!$E59,0,Z$66)</f>
        <v>0.95574878290987486</v>
      </c>
      <c r="AA67" s="1604">
        <f ca="1">OFFSET(Fuels!$E59,0,AA$66)</f>
        <v>0.93559617058311573</v>
      </c>
      <c r="AB67" s="1604">
        <f ca="1">OFFSET(Fuels!$E59,0,AB$66)</f>
        <v>0.96169609985029503</v>
      </c>
      <c r="AC67" s="1604">
        <f ca="1">OFFSET(Fuels!$E59,0,AC$66)</f>
        <v>0.94901671323878312</v>
      </c>
      <c r="AD67" s="1604">
        <f ca="1">OFFSET(Fuels!$E59,0,AD$66)</f>
        <v>0.93559617058311573</v>
      </c>
      <c r="AE67" s="1604">
        <f ca="1">OFFSET(Fuels!$E59,0,AE$66)</f>
        <v>0.96169609985029503</v>
      </c>
      <c r="AF67" s="1604">
        <f ca="1">OFFSET(Fuels!$E59,0,AF$66)</f>
        <v>0.95574878290987486</v>
      </c>
      <c r="AG67" s="1604">
        <f ca="1">OFFSET(Fuels!$E59,0,AG$66)</f>
        <v>0.93559617058311573</v>
      </c>
      <c r="AH67" s="1604">
        <f ca="1">OFFSET(Fuels!$E59,0,AH$66)</f>
        <v>0.86697963561167013</v>
      </c>
      <c r="AI67" s="1604">
        <f ca="1">OFFSET(Fuels!$E59,0,AI$66)</f>
        <v>0.95574878290987486</v>
      </c>
      <c r="AJ67" s="1604">
        <f ca="1">OFFSET(Fuels!$E59,0,AJ$66)</f>
        <v>0.96307534624283608</v>
      </c>
      <c r="AK67" s="1604">
        <f ca="1">OFFSET(Fuels!$E59,0,AK$66)</f>
        <v>0.93559617058311573</v>
      </c>
      <c r="AL67" s="1604">
        <f ca="1">OFFSET(Fuels!$E59,0,AL$66)</f>
        <v>0.86697963561167013</v>
      </c>
      <c r="AM67" s="1604">
        <f ca="1">OFFSET(Fuels!$E59,0,AM$66)</f>
        <v>0.95574878290987486</v>
      </c>
      <c r="AN67" s="1604">
        <f ca="1">OFFSET(Fuels!$E59,0,AN$66)</f>
        <v>0.93559617058311573</v>
      </c>
      <c r="AO67" s="1604">
        <f ca="1">OFFSET(Fuels!$E59,0,AO$66)</f>
        <v>0.96169609985029503</v>
      </c>
      <c r="AP67" s="1604">
        <f ca="1">OFFSET(Fuels!$E59,0,AP$66)</f>
        <v>0.94901671323878312</v>
      </c>
    </row>
    <row r="68" spans="1:42" s="664" customFormat="1" outlineLevel="1">
      <c r="D68" s="682" t="str">
        <f>Fuels!D60</f>
        <v>Råstofkonvertering - energieffektivitet</v>
      </c>
      <c r="E68" s="694" t="s">
        <v>29</v>
      </c>
      <c r="F68" s="1604">
        <f ca="1">OFFSET(Fuels!$E60,0,F$66)</f>
        <v>0.99699575562027976</v>
      </c>
      <c r="G68" s="1604">
        <f ca="1">OFFSET(Fuels!$E60,0,G$66)</f>
        <v>0.99699575562027953</v>
      </c>
      <c r="H68" s="1604">
        <f ca="1">OFFSET(Fuels!$E60,0,H$66)</f>
        <v>0.81028941390277143</v>
      </c>
      <c r="I68" s="1604">
        <f ca="1">OFFSET(Fuels!$E60,0,I$66)</f>
        <v>0.81550082553659886</v>
      </c>
      <c r="J68" s="1604">
        <f ca="1">OFFSET(Fuels!$E60,0,J$66)</f>
        <v>0.68498666666666663</v>
      </c>
      <c r="K68" s="1604">
        <f ca="1">OFFSET(Fuels!$E60,0,K$66)</f>
        <v>0.9410363311494937</v>
      </c>
      <c r="L68" s="1604">
        <f ca="1">OFFSET(Fuels!$E60,0,L$66)</f>
        <v>0.81668000000000007</v>
      </c>
      <c r="M68" s="1604">
        <f ca="1">OFFSET(Fuels!$E60,0,M$66)</f>
        <v>0.87731578947368416</v>
      </c>
      <c r="N68" s="1604">
        <f ca="1">OFFSET(Fuels!$E60,0,N$66)</f>
        <v>1</v>
      </c>
      <c r="O68" s="1604">
        <f ca="1">OFFSET(Fuels!$E60,0,O$66)</f>
        <v>0.93706952205751171</v>
      </c>
      <c r="P68" s="1604">
        <f ca="1">OFFSET(Fuels!$E60,0,P$66)</f>
        <v>0.87956578947368413</v>
      </c>
      <c r="Q68" s="1604">
        <f ca="1">OFFSET(Fuels!$E60,0,Q$66)</f>
        <v>0.94474816369359926</v>
      </c>
      <c r="R68" s="1604">
        <f ca="1">OFFSET(Fuels!$E60,0,R$66)</f>
        <v>0.94474816369359926</v>
      </c>
      <c r="S68" s="1604">
        <f ca="1">OFFSET(Fuels!$E60,0,S$66)</f>
        <v>0.99699575562027953</v>
      </c>
      <c r="T68" s="1604">
        <f ca="1">OFFSET(Fuels!$E60,0,T$66)</f>
        <v>0.99699575562027976</v>
      </c>
      <c r="U68" s="1604">
        <f ca="1">OFFSET(Fuels!$E60,0,U$66)</f>
        <v>0.99699575562027976</v>
      </c>
      <c r="V68" s="1604">
        <f ca="1">OFFSET(Fuels!$E60,0,V$66)</f>
        <v>0.7857142857142857</v>
      </c>
      <c r="W68" s="1604">
        <f ca="1">OFFSET(Fuels!$E60,0,W$66)</f>
        <v>0.99699575562027953</v>
      </c>
      <c r="X68" s="1604">
        <f ca="1">OFFSET(Fuels!$E60,0,X$66)</f>
        <v>0.99699575562027976</v>
      </c>
      <c r="Y68" s="1604">
        <f ca="1">OFFSET(Fuels!$E60,0,Y$66)</f>
        <v>0.81668000000000007</v>
      </c>
      <c r="Z68" s="1604">
        <f ca="1">OFFSET(Fuels!$E60,0,Z$66)</f>
        <v>1</v>
      </c>
      <c r="AA68" s="1604">
        <f ca="1">OFFSET(Fuels!$E60,0,AA$66)</f>
        <v>0.99699575562027976</v>
      </c>
      <c r="AB68" s="1604">
        <f ca="1">OFFSET(Fuels!$E60,0,AB$66)</f>
        <v>0.81668000000000007</v>
      </c>
      <c r="AC68" s="1604">
        <f ca="1">OFFSET(Fuels!$E60,0,AC$66)</f>
        <v>0.94474816369359926</v>
      </c>
      <c r="AD68" s="1604">
        <f ca="1">OFFSET(Fuels!$E60,0,AD$66)</f>
        <v>0.99699575562027976</v>
      </c>
      <c r="AE68" s="1604">
        <f ca="1">OFFSET(Fuels!$E60,0,AE$66)</f>
        <v>0.81668000000000007</v>
      </c>
      <c r="AF68" s="1604">
        <f ca="1">OFFSET(Fuels!$E60,0,AF$66)</f>
        <v>1</v>
      </c>
      <c r="AG68" s="1604">
        <f ca="1">OFFSET(Fuels!$E60,0,AG$66)</f>
        <v>0.99699575562027976</v>
      </c>
      <c r="AH68" s="1604">
        <f ca="1">OFFSET(Fuels!$E60,0,AH$66)</f>
        <v>0.9410363311494937</v>
      </c>
      <c r="AI68" s="1604">
        <f ca="1">OFFSET(Fuels!$E60,0,AI$66)</f>
        <v>1</v>
      </c>
      <c r="AJ68" s="1604">
        <f ca="1">OFFSET(Fuels!$E60,0,AJ$66)</f>
        <v>0.87731578947368416</v>
      </c>
      <c r="AK68" s="1604">
        <f ca="1">OFFSET(Fuels!$E60,0,AK$66)</f>
        <v>0.99699575562027976</v>
      </c>
      <c r="AL68" s="1604">
        <f ca="1">OFFSET(Fuels!$E60,0,AL$66)</f>
        <v>0.9410363311494937</v>
      </c>
      <c r="AM68" s="1604">
        <f ca="1">OFFSET(Fuels!$E60,0,AM$66)</f>
        <v>1</v>
      </c>
      <c r="AN68" s="1604">
        <f ca="1">OFFSET(Fuels!$E60,0,AN$66)</f>
        <v>0.99699575562027976</v>
      </c>
      <c r="AO68" s="1604">
        <f ca="1">OFFSET(Fuels!$E60,0,AO$66)</f>
        <v>0.81668000000000007</v>
      </c>
      <c r="AP68" s="1604">
        <f ca="1">OFFSET(Fuels!$E60,0,AP$66)</f>
        <v>0.94474816369359926</v>
      </c>
    </row>
    <row r="69" spans="1:42" s="664" customFormat="1" outlineLevel="1">
      <c r="D69" s="682" t="str">
        <f>Fuels!D63</f>
        <v>Distributioneffektivitet - råstofkonv -&gt; mellemkonv.</v>
      </c>
      <c r="E69" s="694" t="s">
        <v>29</v>
      </c>
      <c r="F69" s="1604">
        <f ca="1">OFFSET(Fuels!$E63,0,F$66)</f>
        <v>1</v>
      </c>
      <c r="G69" s="1604">
        <f ca="1">OFFSET(Fuels!$E63,0,G$66)</f>
        <v>1</v>
      </c>
      <c r="H69" s="1604">
        <f ca="1">OFFSET(Fuels!$E63,0,H$66)</f>
        <v>1</v>
      </c>
      <c r="I69" s="1604">
        <f ca="1">OFFSET(Fuels!$E63,0,I$66)</f>
        <v>1</v>
      </c>
      <c r="J69" s="1604">
        <f ca="1">OFFSET(Fuels!$E63,0,J$66)</f>
        <v>1</v>
      </c>
      <c r="K69" s="1604">
        <f ca="1">OFFSET(Fuels!$E63,0,K$66)</f>
        <v>1</v>
      </c>
      <c r="L69" s="1604">
        <f ca="1">OFFSET(Fuels!$E63,0,L$66)</f>
        <v>1</v>
      </c>
      <c r="M69" s="1604">
        <f ca="1">OFFSET(Fuels!$E63,0,M$66)</f>
        <v>1</v>
      </c>
      <c r="N69" s="1604">
        <f ca="1">OFFSET(Fuels!$E63,0,N$66)</f>
        <v>1</v>
      </c>
      <c r="O69" s="1604">
        <f ca="1">OFFSET(Fuels!$E63,0,O$66)</f>
        <v>1</v>
      </c>
      <c r="P69" s="1604">
        <f ca="1">OFFSET(Fuels!$E63,0,P$66)</f>
        <v>1</v>
      </c>
      <c r="Q69" s="1604">
        <f ca="1">OFFSET(Fuels!$E63,0,Q$66)</f>
        <v>0.92999999999999994</v>
      </c>
      <c r="R69" s="1604">
        <f ca="1">OFFSET(Fuels!$E63,0,R$66)</f>
        <v>0.92999999999999994</v>
      </c>
      <c r="S69" s="1604">
        <f ca="1">OFFSET(Fuels!$E63,0,S$66)</f>
        <v>1</v>
      </c>
      <c r="T69" s="1604">
        <f ca="1">OFFSET(Fuels!$E63,0,T$66)</f>
        <v>1</v>
      </c>
      <c r="U69" s="1604">
        <f ca="1">OFFSET(Fuels!$E63,0,U$66)</f>
        <v>1</v>
      </c>
      <c r="V69" s="1604">
        <f ca="1">OFFSET(Fuels!$E63,0,V$66)</f>
        <v>1</v>
      </c>
      <c r="W69" s="1604">
        <f ca="1">OFFSET(Fuels!$E63,0,W$66)</f>
        <v>1</v>
      </c>
      <c r="X69" s="1604">
        <f ca="1">OFFSET(Fuels!$E63,0,X$66)</f>
        <v>1</v>
      </c>
      <c r="Y69" s="1604">
        <f ca="1">OFFSET(Fuels!$E63,0,Y$66)</f>
        <v>1</v>
      </c>
      <c r="Z69" s="1604">
        <f ca="1">OFFSET(Fuels!$E63,0,Z$66)</f>
        <v>1</v>
      </c>
      <c r="AA69" s="1604">
        <f ca="1">OFFSET(Fuels!$E63,0,AA$66)</f>
        <v>1</v>
      </c>
      <c r="AB69" s="1604">
        <f ca="1">OFFSET(Fuels!$E63,0,AB$66)</f>
        <v>1</v>
      </c>
      <c r="AC69" s="1604">
        <f ca="1">OFFSET(Fuels!$E63,0,AC$66)</f>
        <v>0.92999999999999994</v>
      </c>
      <c r="AD69" s="1604">
        <f ca="1">OFFSET(Fuels!$E63,0,AD$66)</f>
        <v>1</v>
      </c>
      <c r="AE69" s="1604">
        <f ca="1">OFFSET(Fuels!$E63,0,AE$66)</f>
        <v>1</v>
      </c>
      <c r="AF69" s="1604">
        <f ca="1">OFFSET(Fuels!$E63,0,AF$66)</f>
        <v>1</v>
      </c>
      <c r="AG69" s="1604">
        <f ca="1">OFFSET(Fuels!$E63,0,AG$66)</f>
        <v>1</v>
      </c>
      <c r="AH69" s="1604">
        <f ca="1">OFFSET(Fuels!$E63,0,AH$66)</f>
        <v>1</v>
      </c>
      <c r="AI69" s="1604">
        <f ca="1">OFFSET(Fuels!$E63,0,AI$66)</f>
        <v>1</v>
      </c>
      <c r="AJ69" s="1604">
        <f ca="1">OFFSET(Fuels!$E63,0,AJ$66)</f>
        <v>1</v>
      </c>
      <c r="AK69" s="1604">
        <f ca="1">OFFSET(Fuels!$E63,0,AK$66)</f>
        <v>1</v>
      </c>
      <c r="AL69" s="1604">
        <f ca="1">OFFSET(Fuels!$E63,0,AL$66)</f>
        <v>1</v>
      </c>
      <c r="AM69" s="1604">
        <f ca="1">OFFSET(Fuels!$E63,0,AM$66)</f>
        <v>1</v>
      </c>
      <c r="AN69" s="1604">
        <f ca="1">OFFSET(Fuels!$E63,0,AN$66)</f>
        <v>1</v>
      </c>
      <c r="AO69" s="1604">
        <f ca="1">OFFSET(Fuels!$E63,0,AO$66)</f>
        <v>1</v>
      </c>
      <c r="AP69" s="1604">
        <f ca="1">OFFSET(Fuels!$E63,0,AP$66)</f>
        <v>0.92999999999999994</v>
      </c>
    </row>
    <row r="70" spans="1:42" s="664" customFormat="1" outlineLevel="1">
      <c r="D70" s="682" t="str">
        <f>Fuels!D66</f>
        <v>Mellemkonvertering - energieffektivitet</v>
      </c>
      <c r="E70" s="694" t="s">
        <v>29</v>
      </c>
      <c r="F70" s="1604">
        <f ca="1">OFFSET(Fuels!$E66,0,F$66)</f>
        <v>1</v>
      </c>
      <c r="G70" s="1604">
        <f ca="1">OFFSET(Fuels!$E66,0,G$66)</f>
        <v>1</v>
      </c>
      <c r="H70" s="1604">
        <f ca="1">OFFSET(Fuels!$E66,0,H$66)</f>
        <v>1</v>
      </c>
      <c r="I70" s="1604">
        <f ca="1">OFFSET(Fuels!$E66,0,I$66)</f>
        <v>1</v>
      </c>
      <c r="J70" s="1604">
        <f ca="1">OFFSET(Fuels!$E66,0,J$66)</f>
        <v>1</v>
      </c>
      <c r="K70" s="1604">
        <f ca="1">OFFSET(Fuels!$E66,0,K$66)</f>
        <v>1</v>
      </c>
      <c r="L70" s="1604">
        <f ca="1">OFFSET(Fuels!$E66,0,L$66)</f>
        <v>1</v>
      </c>
      <c r="M70" s="1604">
        <f ca="1">OFFSET(Fuels!$E66,0,M$66)</f>
        <v>1</v>
      </c>
      <c r="N70" s="1604">
        <f ca="1">OFFSET(Fuels!$E66,0,N$66)</f>
        <v>0.97851187913421267</v>
      </c>
      <c r="O70" s="1604">
        <f ca="1">OFFSET(Fuels!$E66,0,O$66)</f>
        <v>0.97851187913421267</v>
      </c>
      <c r="P70" s="1604">
        <f ca="1">OFFSET(Fuels!$E66,0,P$66)</f>
        <v>1</v>
      </c>
      <c r="Q70" s="1604">
        <f ca="1">OFFSET(Fuels!$E66,0,Q$66)</f>
        <v>0.66709722222222223</v>
      </c>
      <c r="R70" s="1604">
        <f ca="1">OFFSET(Fuels!$E66,0,R$66)</f>
        <v>0.9</v>
      </c>
      <c r="S70" s="1604">
        <f ca="1">OFFSET(Fuels!$E66,0,S$66)</f>
        <v>1</v>
      </c>
      <c r="T70" s="1604">
        <f ca="1">OFFSET(Fuels!$E66,0,T$66)</f>
        <v>1</v>
      </c>
      <c r="U70" s="1604">
        <f ca="1">OFFSET(Fuels!$E66,0,U$66)</f>
        <v>1</v>
      </c>
      <c r="V70" s="1604">
        <f ca="1">OFFSET(Fuels!$E66,0,V$66)</f>
        <v>1</v>
      </c>
      <c r="W70" s="1604">
        <f ca="1">OFFSET(Fuels!$E66,0,W$66)</f>
        <v>1</v>
      </c>
      <c r="X70" s="1604">
        <f ca="1">OFFSET(Fuels!$E66,0,X$66)</f>
        <v>1</v>
      </c>
      <c r="Y70" s="1604">
        <f ca="1">OFFSET(Fuels!$E66,0,Y$66)</f>
        <v>1</v>
      </c>
      <c r="Z70" s="1604">
        <f ca="1">OFFSET(Fuels!$E66,0,Z$66)</f>
        <v>0.93500000000000005</v>
      </c>
      <c r="AA70" s="1604">
        <f ca="1">OFFSET(Fuels!$E66,0,AA$66)</f>
        <v>1</v>
      </c>
      <c r="AB70" s="1604">
        <f ca="1">OFFSET(Fuels!$E66,0,AB$66)</f>
        <v>1</v>
      </c>
      <c r="AC70" s="1604">
        <f ca="1">OFFSET(Fuels!$E66,0,AC$66)</f>
        <v>0.95</v>
      </c>
      <c r="AD70" s="1604">
        <f ca="1">OFFSET(Fuels!$E66,0,AD$66)</f>
        <v>1</v>
      </c>
      <c r="AE70" s="1604">
        <f ca="1">OFFSET(Fuels!$E66,0,AE$66)</f>
        <v>1</v>
      </c>
      <c r="AF70" s="1604">
        <f ca="1">OFFSET(Fuels!$E66,0,AF$66)</f>
        <v>0.93500000000000005</v>
      </c>
      <c r="AG70" s="1604">
        <f ca="1">OFFSET(Fuels!$E66,0,AG$66)</f>
        <v>1</v>
      </c>
      <c r="AH70" s="1604">
        <f ca="1">OFFSET(Fuels!$E66,0,AH$66)</f>
        <v>1</v>
      </c>
      <c r="AI70" s="1604">
        <f ca="1">OFFSET(Fuels!$E66,0,AI$66)</f>
        <v>0.97851187913421267</v>
      </c>
      <c r="AJ70" s="1604">
        <f ca="1">OFFSET(Fuels!$E66,0,AJ$66)</f>
        <v>1</v>
      </c>
      <c r="AK70" s="1604">
        <f ca="1">OFFSET(Fuels!$E66,0,AK$66)</f>
        <v>1</v>
      </c>
      <c r="AL70" s="1604">
        <f ca="1">OFFSET(Fuels!$E66,0,AL$66)</f>
        <v>1</v>
      </c>
      <c r="AM70" s="1604">
        <f ca="1">OFFSET(Fuels!$E66,0,AM$66)</f>
        <v>0.97851187913421267</v>
      </c>
      <c r="AN70" s="1604">
        <f ca="1">OFFSET(Fuels!$E66,0,AN$66)</f>
        <v>1</v>
      </c>
      <c r="AO70" s="1604">
        <f ca="1">OFFSET(Fuels!$E66,0,AO$66)</f>
        <v>1</v>
      </c>
      <c r="AP70" s="1604">
        <f ca="1">OFFSET(Fuels!$E66,0,AP$66)</f>
        <v>0.66709722222222223</v>
      </c>
    </row>
    <row r="71" spans="1:42" s="664" customFormat="1" outlineLevel="1">
      <c r="D71" s="682" t="str">
        <f>Fuels!D67</f>
        <v>Distributionseffektivitet, transport</v>
      </c>
      <c r="E71" s="694" t="s">
        <v>29</v>
      </c>
      <c r="F71" s="1604">
        <f ca="1">OFFSET(Fuels!$E67,0,F$66)</f>
        <v>0.99889012208657058</v>
      </c>
      <c r="G71" s="1604">
        <f ca="1">OFFSET(Fuels!$E67,0,G$66)</f>
        <v>0.9987882787761494</v>
      </c>
      <c r="H71" s="1604">
        <f ca="1">OFFSET(Fuels!$E67,0,H$66)</f>
        <v>0.9982637991374177</v>
      </c>
      <c r="I71" s="1604">
        <f ca="1">OFFSET(Fuels!$E67,0,I$66)</f>
        <v>0.9982637991374177</v>
      </c>
      <c r="J71" s="1604">
        <f ca="1">OFFSET(Fuels!$E67,0,J$66)</f>
        <v>0.9982637991374177</v>
      </c>
      <c r="K71" s="1604">
        <f ca="1">OFFSET(Fuels!$E67,0,K$66)</f>
        <v>0.99868139469531569</v>
      </c>
      <c r="L71" s="1604">
        <f ca="1">OFFSET(Fuels!$E67,0,L$66)</f>
        <v>0.99889012208657058</v>
      </c>
      <c r="M71" s="1604">
        <f ca="1">OFFSET(Fuels!$E67,0,M$66)</f>
        <v>0.99790992029167414</v>
      </c>
      <c r="N71" s="1604">
        <f ca="1">OFFSET(Fuels!$E67,0,N$66)</f>
        <v>1</v>
      </c>
      <c r="O71" s="1604">
        <f ca="1">OFFSET(Fuels!$E67,0,O$66)</f>
        <v>1</v>
      </c>
      <c r="P71" s="1604">
        <f ca="1">OFFSET(Fuels!$E67,0,P$66)</f>
        <v>0.99748091406832384</v>
      </c>
      <c r="Q71" s="1604">
        <f ca="1">OFFSET(Fuels!$E67,0,Q$66)</f>
        <v>1</v>
      </c>
      <c r="R71" s="1604">
        <f ca="1">OFFSET(Fuels!$E67,0,R$66)</f>
        <v>1</v>
      </c>
      <c r="S71" s="1604">
        <f ca="1">OFFSET(Fuels!$E67,0,S$66)</f>
        <v>0.9987882787761494</v>
      </c>
      <c r="T71" s="1604">
        <f ca="1">OFFSET(Fuels!$E67,0,T$66)</f>
        <v>0.99889012208657058</v>
      </c>
      <c r="U71" s="1604">
        <f ca="1">OFFSET(Fuels!$E67,0,U$66)</f>
        <v>0.99884819796351831</v>
      </c>
      <c r="V71" s="1604">
        <f ca="1">OFFSET(Fuels!$E67,0,V$66)</f>
        <v>0.99884819796351831</v>
      </c>
      <c r="W71" s="1604">
        <f ca="1">OFFSET(Fuels!$E67,0,W$66)</f>
        <v>0.99900058981584627</v>
      </c>
      <c r="X71" s="1604">
        <f ca="1">OFFSET(Fuels!$E67,0,X$66)</f>
        <v>0.99889012208657058</v>
      </c>
      <c r="Y71" s="1604">
        <f ca="1">OFFSET(Fuels!$E67,0,Y$66)</f>
        <v>0.99889012208657058</v>
      </c>
      <c r="Z71" s="1604">
        <f ca="1">OFFSET(Fuels!$E67,0,Z$66)</f>
        <v>1</v>
      </c>
      <c r="AA71" s="1604">
        <f ca="1">OFFSET(Fuels!$E67,0,AA$66)</f>
        <v>0.99889012208657058</v>
      </c>
      <c r="AB71" s="1604">
        <f ca="1">OFFSET(Fuels!$E67,0,AB$66)</f>
        <v>0.99889012208657058</v>
      </c>
      <c r="AC71" s="1604">
        <f ca="1">OFFSET(Fuels!$E67,0,AC$66)</f>
        <v>1</v>
      </c>
      <c r="AD71" s="1604">
        <f ca="1">OFFSET(Fuels!$E67,0,AD$66)</f>
        <v>0.99889012208657058</v>
      </c>
      <c r="AE71" s="1604">
        <f ca="1">OFFSET(Fuels!$E67,0,AE$66)</f>
        <v>0.99889012208657058</v>
      </c>
      <c r="AF71" s="1604">
        <f ca="1">OFFSET(Fuels!$E67,0,AF$66)</f>
        <v>1</v>
      </c>
      <c r="AG71" s="1604">
        <f ca="1">OFFSET(Fuels!$E67,0,AG$66)</f>
        <v>0.99889012208657058</v>
      </c>
      <c r="AH71" s="1604">
        <f ca="1">OFFSET(Fuels!$E67,0,AH$66)</f>
        <v>0.99868139469531569</v>
      </c>
      <c r="AI71" s="1604">
        <f ca="1">OFFSET(Fuels!$E67,0,AI$66)</f>
        <v>1</v>
      </c>
      <c r="AJ71" s="1604">
        <f ca="1">OFFSET(Fuels!$E67,0,AJ$66)</f>
        <v>0.99790992029167414</v>
      </c>
      <c r="AK71" s="1604">
        <f ca="1">OFFSET(Fuels!$E67,0,AK$66)</f>
        <v>0.99889012208657058</v>
      </c>
      <c r="AL71" s="1604">
        <f ca="1">OFFSET(Fuels!$E67,0,AL$66)</f>
        <v>0.99868139469531569</v>
      </c>
      <c r="AM71" s="1604">
        <f ca="1">OFFSET(Fuels!$E67,0,AM$66)</f>
        <v>1</v>
      </c>
      <c r="AN71" s="1604">
        <f ca="1">OFFSET(Fuels!$E67,0,AN$66)</f>
        <v>0.99889012208657058</v>
      </c>
      <c r="AO71" s="1604">
        <f ca="1">OFFSET(Fuels!$E67,0,AO$66)</f>
        <v>0.99889012208657058</v>
      </c>
      <c r="AP71" s="1604">
        <f ca="1">OFFSET(Fuels!$E67,0,AP$66)</f>
        <v>1</v>
      </c>
    </row>
    <row r="72" spans="1:42" s="664" customFormat="1" outlineLevel="1">
      <c r="A72" s="699">
        <f>ROW('Std benzin motor'!$A23)</f>
        <v>23</v>
      </c>
      <c r="B72" s="699">
        <f>COLUMN('Std benzin motor'!$D76)-1+chosenYear</f>
        <v>4</v>
      </c>
      <c r="D72" s="683" t="s">
        <v>824</v>
      </c>
      <c r="E72" s="684" t="s">
        <v>21</v>
      </c>
      <c r="F72" s="1605">
        <f t="shared" ref="F72:AP72" ca="1" si="58">INDIRECT(ADDRESS($A72,$B72,,,F$9))</f>
        <v>0.255</v>
      </c>
      <c r="G72" s="1605">
        <f t="shared" ca="1" si="58"/>
        <v>0.18</v>
      </c>
      <c r="H72" s="1605">
        <f t="shared" ca="1" si="58"/>
        <v>0.18</v>
      </c>
      <c r="I72" s="1605">
        <f t="shared" ca="1" si="58"/>
        <v>0.18</v>
      </c>
      <c r="J72" s="1605">
        <f t="shared" ca="1" si="58"/>
        <v>0.18</v>
      </c>
      <c r="K72" s="1605">
        <f t="shared" ca="1" si="58"/>
        <v>0.255</v>
      </c>
      <c r="L72" s="1605">
        <f t="shared" ca="1" si="58"/>
        <v>0.255</v>
      </c>
      <c r="M72" s="1605">
        <f t="shared" ca="1" si="58"/>
        <v>0.255</v>
      </c>
      <c r="N72" s="1605">
        <f t="shared" ca="1" si="58"/>
        <v>0.17997574865352448</v>
      </c>
      <c r="O72" s="1605">
        <f t="shared" ca="1" si="58"/>
        <v>0.17997574865352448</v>
      </c>
      <c r="P72" s="1605">
        <f t="shared" ca="1" si="58"/>
        <v>0.39</v>
      </c>
      <c r="Q72" s="1605">
        <f t="shared" ca="1" si="58"/>
        <v>0.56448821165977348</v>
      </c>
      <c r="R72" s="1605">
        <f t="shared" ca="1" si="58"/>
        <v>0.87168797542226217</v>
      </c>
      <c r="S72" s="1605">
        <f t="shared" ca="1" si="58"/>
        <v>0.24656348348786536</v>
      </c>
      <c r="T72" s="1605">
        <f t="shared" ca="1" si="58"/>
        <v>0.40147206423553028</v>
      </c>
      <c r="U72" s="1605">
        <f t="shared" ca="1" si="58"/>
        <v>0.48</v>
      </c>
      <c r="V72" s="1605">
        <f t="shared" ca="1" si="58"/>
        <v>0.48</v>
      </c>
      <c r="W72" s="1605">
        <f t="shared" ca="1" si="58"/>
        <v>0.50897060694744889</v>
      </c>
      <c r="X72" s="1605">
        <f t="shared" ca="1" si="58"/>
        <v>0.48453524993943314</v>
      </c>
      <c r="Y72" s="1605">
        <f t="shared" ca="1" si="58"/>
        <v>0.48453524993943314</v>
      </c>
      <c r="Z72" s="1605">
        <f t="shared" ca="1" si="58"/>
        <v>0.45329203339251323</v>
      </c>
      <c r="AA72" s="1605">
        <f t="shared" ca="1" si="58"/>
        <v>0.32</v>
      </c>
      <c r="AB72" s="1605">
        <f t="shared" ca="1" si="58"/>
        <v>0.32</v>
      </c>
      <c r="AC72" s="1605">
        <f t="shared" ca="1" si="58"/>
        <v>0.87168797542226217</v>
      </c>
      <c r="AD72" s="1605">
        <f t="shared" ca="1" si="58"/>
        <v>0.32</v>
      </c>
      <c r="AE72" s="1605">
        <f t="shared" ca="1" si="58"/>
        <v>0.32</v>
      </c>
      <c r="AF72" s="1605">
        <f t="shared" ca="1" si="58"/>
        <v>0.32</v>
      </c>
      <c r="AG72" s="1605">
        <f t="shared" ca="1" si="58"/>
        <v>0.4</v>
      </c>
      <c r="AH72" s="1605">
        <f t="shared" ca="1" si="58"/>
        <v>0.4</v>
      </c>
      <c r="AI72" s="1605">
        <f ca="1">INDIRECT(ADDRESS($A72,$B72,,,AI$9))</f>
        <v>0.3110490447640275</v>
      </c>
      <c r="AJ72" s="1605">
        <f t="shared" ca="1" si="58"/>
        <v>0.4</v>
      </c>
      <c r="AK72" s="1605">
        <f t="shared" ca="1" si="58"/>
        <v>0.32307692307692304</v>
      </c>
      <c r="AL72" s="1605">
        <f t="shared" ca="1" si="58"/>
        <v>0.32307692307692304</v>
      </c>
      <c r="AM72" s="1605">
        <f t="shared" ca="1" si="58"/>
        <v>0.24369782003183005</v>
      </c>
      <c r="AN72" s="1605">
        <f t="shared" ca="1" si="58"/>
        <v>0.42</v>
      </c>
      <c r="AO72" s="1605">
        <f t="shared" ca="1" si="58"/>
        <v>0.40147206423553028</v>
      </c>
      <c r="AP72" s="1605">
        <f t="shared" ca="1" si="58"/>
        <v>0.56448821165977348</v>
      </c>
    </row>
    <row r="73" spans="1:42" s="664" customFormat="1" outlineLevel="1">
      <c r="D73" s="679" t="s">
        <v>821</v>
      </c>
      <c r="E73" s="671" t="s">
        <v>825</v>
      </c>
      <c r="F73" s="1606">
        <f t="shared" ref="F73:AN73" ca="1" si="59">F67*F68*F69*F70*F71*F72</f>
        <v>0.23759628394566742</v>
      </c>
      <c r="G73" s="1606">
        <f t="shared" ca="1" si="59"/>
        <v>0.16769792432989633</v>
      </c>
      <c r="H73" s="1606">
        <f t="shared" ca="1" si="59"/>
        <v>0.13167183653233891</v>
      </c>
      <c r="I73" s="1606">
        <f t="shared" ca="1" si="59"/>
        <v>0.13386656278716116</v>
      </c>
      <c r="J73" s="1606">
        <f t="shared" ca="1" si="59"/>
        <v>0.11836895133432997</v>
      </c>
      <c r="K73" s="1606">
        <f t="shared" ca="1" si="59"/>
        <v>0.20776980245257207</v>
      </c>
      <c r="L73" s="1606">
        <f t="shared" ca="1" si="59"/>
        <v>0.20005420011599015</v>
      </c>
      <c r="M73" s="1606">
        <f t="shared" ca="1" si="59"/>
        <v>0.2150045900352773</v>
      </c>
      <c r="N73" s="1606">
        <f t="shared" ca="1" si="59"/>
        <v>0.16831539661914319</v>
      </c>
      <c r="O73" s="1606">
        <f t="shared" ca="1" si="59"/>
        <v>0.15819847757401839</v>
      </c>
      <c r="P73" s="1606">
        <f t="shared" ca="1" si="59"/>
        <v>0.32953215338803493</v>
      </c>
      <c r="Q73" s="1606">
        <f t="shared" ca="1" si="59"/>
        <v>0.3139907650936678</v>
      </c>
      <c r="R73" s="1606">
        <f t="shared" ca="1" si="59"/>
        <v>0.65414862139188079</v>
      </c>
      <c r="S73" s="1606">
        <f t="shared" ca="1" si="59"/>
        <v>0.22971213553590938</v>
      </c>
      <c r="T73" s="1606">
        <f t="shared" ca="1" si="59"/>
        <v>0.37407164929552272</v>
      </c>
      <c r="U73" s="1606">
        <f t="shared" ca="1" si="59"/>
        <v>0.447221292916757</v>
      </c>
      <c r="V73" s="1606">
        <f t="shared" ca="1" si="59"/>
        <v>0.3622790598707698</v>
      </c>
      <c r="W73" s="1606">
        <f t="shared" ca="1" si="59"/>
        <v>0.47428587647615433</v>
      </c>
      <c r="X73" s="1606">
        <f t="shared" ca="1" si="59"/>
        <v>0.45146578363252743</v>
      </c>
      <c r="Y73" s="1606">
        <f t="shared" ca="1" si="59"/>
        <v>0.38013063472405745</v>
      </c>
      <c r="Z73" s="1606">
        <f t="shared" ca="1" si="59"/>
        <v>0.40507314411849049</v>
      </c>
      <c r="AA73" s="1606">
        <f t="shared" ca="1" si="59"/>
        <v>0.29816004259848461</v>
      </c>
      <c r="AB73" s="1606">
        <f t="shared" ca="1" si="59"/>
        <v>0.25104840798869349</v>
      </c>
      <c r="AC73" s="1606">
        <f t="shared" ca="1" si="59"/>
        <v>0.69049021146920753</v>
      </c>
      <c r="AD73" s="1606">
        <f t="shared" ca="1" si="59"/>
        <v>0.29816004259848461</v>
      </c>
      <c r="AE73" s="1606">
        <f t="shared" ca="1" si="59"/>
        <v>0.25104840798869349</v>
      </c>
      <c r="AF73" s="1606">
        <f t="shared" ca="1" si="59"/>
        <v>0.2859600358466346</v>
      </c>
      <c r="AG73" s="1606">
        <f t="shared" ca="1" si="59"/>
        <v>0.37270005324810579</v>
      </c>
      <c r="AH73" s="1606">
        <f t="shared" ref="AH73" ca="1" si="60">AH67*AH68*AH69*AH70*AH71*AH72</f>
        <v>0.32591341561187775</v>
      </c>
      <c r="AI73" s="1606">
        <f ca="1">AI67*AI68*AI69*AI70*AI71*AI72</f>
        <v>0.29089665540578735</v>
      </c>
      <c r="AJ73" s="1606">
        <f t="shared" ca="1" si="59"/>
        <v>0.33726210201612128</v>
      </c>
      <c r="AK73" s="1606">
        <f t="shared" ref="AK73" ca="1" si="61">AK67*AK68*AK69*AK70*AK71*AK72</f>
        <v>0.30102696608500845</v>
      </c>
      <c r="AL73" s="1606">
        <f t="shared" ca="1" si="59"/>
        <v>0.26323775876343969</v>
      </c>
      <c r="AM73" s="1606">
        <f t="shared" ca="1" si="59"/>
        <v>0.22790901296842467</v>
      </c>
      <c r="AN73" s="1606">
        <f t="shared" ca="1" si="59"/>
        <v>0.39133505591051104</v>
      </c>
      <c r="AO73" s="1606">
        <f t="shared" ref="AO73:AP73" ca="1" si="62">AO67*AO68*AO69*AO70*AO71*AO72</f>
        <v>0.31496538305707616</v>
      </c>
      <c r="AP73" s="1606">
        <f t="shared" ca="1" si="62"/>
        <v>0.3139907650936678</v>
      </c>
    </row>
    <row r="74" spans="1:42" s="664" customFormat="1" outlineLevel="1">
      <c r="D74" s="666"/>
      <c r="E74" s="667"/>
      <c r="F74" s="712"/>
      <c r="G74" s="712"/>
      <c r="H74" s="712"/>
      <c r="I74" s="712"/>
      <c r="J74" s="712"/>
      <c r="K74" s="712"/>
      <c r="L74" s="712"/>
      <c r="M74" s="712"/>
      <c r="N74" s="712"/>
      <c r="O74" s="712"/>
      <c r="P74" s="712"/>
      <c r="Q74" s="712"/>
      <c r="R74" s="712"/>
      <c r="S74" s="712"/>
      <c r="T74" s="712"/>
      <c r="U74" s="712"/>
      <c r="V74" s="712"/>
      <c r="W74" s="712"/>
      <c r="X74" s="712"/>
      <c r="Y74" s="712"/>
      <c r="Z74" s="712"/>
      <c r="AA74" s="712"/>
      <c r="AB74" s="712"/>
      <c r="AC74" s="712"/>
      <c r="AD74" s="712"/>
      <c r="AE74" s="712"/>
      <c r="AF74" s="712"/>
      <c r="AG74" s="712"/>
      <c r="AH74" s="712"/>
      <c r="AI74" s="712"/>
      <c r="AJ74" s="712"/>
      <c r="AK74" s="712"/>
      <c r="AL74" s="712"/>
      <c r="AM74" s="712"/>
      <c r="AN74" s="712"/>
      <c r="AO74" s="712"/>
      <c r="AP74" s="712"/>
    </row>
    <row r="75" spans="1:42" s="664" customFormat="1" outlineLevel="1">
      <c r="D75" s="709" t="s">
        <v>820</v>
      </c>
      <c r="E75" s="667"/>
    </row>
    <row r="76" spans="1:42" s="664" customFormat="1" outlineLevel="1">
      <c r="D76" s="679" t="s">
        <v>818</v>
      </c>
      <c r="E76" s="671"/>
      <c r="F76" s="1603">
        <f>IF(F8&lt;&gt;"",MATCH(F$8,Fuels!$F$6:$U$6,0),1000)</f>
        <v>1000</v>
      </c>
      <c r="G76" s="1603">
        <f>IF(G8&lt;&gt;"",MATCH(G$8,Fuels!$F$6:$U$6,0),1000)</f>
        <v>1000</v>
      </c>
      <c r="H76" s="1603">
        <f>IF(H8&lt;&gt;"",MATCH(H$8,Fuels!$F$6:$U$6,0),1000)</f>
        <v>2</v>
      </c>
      <c r="I76" s="1603">
        <f>IF(I8&lt;&gt;"",MATCH(I$8,Fuels!$F$6:$U$6,0),1000)</f>
        <v>2</v>
      </c>
      <c r="J76" s="1603">
        <f>IF(J8&lt;&gt;"",MATCH(J$8,Fuels!$F$6:$U$6,0),1000)</f>
        <v>2</v>
      </c>
      <c r="K76" s="1603">
        <f>IF(K8&lt;&gt;"",MATCH(K$8,Fuels!$F$6:$U$6,0),1000)</f>
        <v>1000</v>
      </c>
      <c r="L76" s="1603">
        <f>IF(L8&lt;&gt;"",MATCH(L$8,Fuels!$F$6:$U$6,0),1000)</f>
        <v>1000</v>
      </c>
      <c r="M76" s="1603">
        <f>IF(M8&lt;&gt;"",MATCH(M$8,Fuels!$F$6:$U$6,0),1000)</f>
        <v>1000</v>
      </c>
      <c r="N76" s="1603">
        <f>IF(N8&lt;&gt;"",MATCH(N$8,Fuels!$F$6:$U$6,0),1000)</f>
        <v>1000</v>
      </c>
      <c r="O76" s="1603">
        <f>IF(O8&lt;&gt;"",MATCH(O$8,Fuels!$F$6:$U$6,0),1000)</f>
        <v>1000</v>
      </c>
      <c r="P76" s="1603">
        <f>IF(P8&lt;&gt;"",MATCH(P$8,Fuels!$F$6:$U$6,0),1000)</f>
        <v>16</v>
      </c>
      <c r="Q76" s="1603">
        <f>IF(Q8&lt;&gt;"",MATCH(Q$8,Fuels!$F$6:$U$6,0),1000)</f>
        <v>16</v>
      </c>
      <c r="R76" s="1603">
        <f>IF(R8&lt;&gt;"",MATCH(R$8,Fuels!$F$6:$U$6,0),1000)</f>
        <v>1000</v>
      </c>
      <c r="S76" s="1603">
        <f>IF(S8&lt;&gt;"",MATCH(S$8,Fuels!$F$6:$U$6,0),1000)</f>
        <v>16</v>
      </c>
      <c r="T76" s="1603">
        <f>IF(T8&lt;&gt;"",MATCH(T$8,Fuels!$F$6:$U$6,0),1000)</f>
        <v>1000</v>
      </c>
      <c r="U76" s="1603">
        <f>IF(U8&lt;&gt;"",MATCH(U$8,Fuels!$F$6:$U$6,0),1000)</f>
        <v>1000</v>
      </c>
      <c r="V76" s="1603">
        <f>IF(V8&lt;&gt;"",MATCH(V$8,Fuels!$F$6:$U$6,0),1000)</f>
        <v>1000</v>
      </c>
      <c r="W76" s="1603">
        <f>IF(W8&lt;&gt;"",MATCH(W$8,Fuels!$F$6:$U$6,0),1000)</f>
        <v>1000</v>
      </c>
      <c r="X76" s="1603">
        <f>IF(X8&lt;&gt;"",MATCH(X$8,Fuels!$F$6:$U$6,0),1000)</f>
        <v>1000</v>
      </c>
      <c r="Y76" s="1603">
        <f>IF(Y8&lt;&gt;"",MATCH(Y$8,Fuels!$F$6:$U$6,0),1000)</f>
        <v>1000</v>
      </c>
      <c r="Z76" s="1603">
        <f>IF(Z8&lt;&gt;"",MATCH(Z$8,Fuels!$F$6:$U$6,0),1000)</f>
        <v>1</v>
      </c>
      <c r="AA76" s="1603">
        <f>IF(AA8&lt;&gt;"",MATCH(AA$8,Fuels!$F$6:$U$6,0),1000)</f>
        <v>1000</v>
      </c>
      <c r="AB76" s="1603">
        <f>IF(AB8&lt;&gt;"",MATCH(AB$8,Fuels!$F$6:$U$6,0),1000)</f>
        <v>1000</v>
      </c>
      <c r="AC76" s="1603">
        <f>IF(AC8&lt;&gt;"",MATCH(AC$8,Fuels!$F$6:$U$6,0),1000)</f>
        <v>1000</v>
      </c>
      <c r="AD76" s="1603">
        <f>IF(AD8&lt;&gt;"",MATCH(AD$8,Fuels!$F$6:$U$6,0),1000)</f>
        <v>1000</v>
      </c>
      <c r="AE76" s="1603">
        <f>IF(AE8&lt;&gt;"",MATCH(AE$8,Fuels!$F$6:$U$6,0),1000)</f>
        <v>1000</v>
      </c>
      <c r="AF76" s="1603">
        <f>IF(AF8&lt;&gt;"",MATCH(AF$8,Fuels!$F$6:$U$6,0),1000)</f>
        <v>1</v>
      </c>
      <c r="AG76" s="1603">
        <f>IF(AG8&lt;&gt;"",MATCH(AG$8,Fuels!$F$6:$U$6,0),1000)</f>
        <v>1000</v>
      </c>
      <c r="AH76" s="1603">
        <f>IF(AH8&lt;&gt;"",MATCH(AH$8,Fuels!$F$6:$U$6,0),1000)</f>
        <v>1000</v>
      </c>
      <c r="AI76" s="1603">
        <f>IF(AI8&lt;&gt;"",MATCH(AI$8,Fuels!$F$6:$U$6,0),1000)</f>
        <v>1000</v>
      </c>
      <c r="AJ76" s="1603">
        <f>IF(AJ8&lt;&gt;"",MATCH(AJ$8,Fuels!$F$6:$U$6,0),1000)</f>
        <v>1000</v>
      </c>
      <c r="AK76" s="1603">
        <f>IF(AK8&lt;&gt;"",MATCH(AK$8,Fuels!$F$6:$U$6,0),1000)</f>
        <v>1000</v>
      </c>
      <c r="AL76" s="1603">
        <f>IF(AL8&lt;&gt;"",MATCH(AL$8,Fuels!$F$6:$U$6,0),1000)</f>
        <v>1000</v>
      </c>
      <c r="AM76" s="1603">
        <f>IF(AM8&lt;&gt;"",MATCH(AM$8,Fuels!$F$6:$U$6,0),1000)</f>
        <v>1000</v>
      </c>
      <c r="AN76" s="1603">
        <f>IF(AN8&lt;&gt;"",MATCH(AN$8,Fuels!$F$6:$U$6,0),1000)</f>
        <v>1000</v>
      </c>
      <c r="AO76" s="1603">
        <f>IF(AO8&lt;&gt;"",MATCH(AO$8,Fuels!$F$6:$U$6,0),1000)</f>
        <v>1000</v>
      </c>
      <c r="AP76" s="1603">
        <f>IF(AP8&lt;&gt;"",MATCH(AP$8,Fuels!$F$6:$U$6,0),1000)</f>
        <v>1000</v>
      </c>
    </row>
    <row r="77" spans="1:42" s="664" customFormat="1" outlineLevel="1">
      <c r="D77" s="682" t="str">
        <f>Fuels!D59</f>
        <v>Råstofudvinding - energieffektivitet</v>
      </c>
      <c r="E77" s="694" t="s">
        <v>29</v>
      </c>
      <c r="F77" s="1604">
        <f ca="1">OFFSET(Fuels!$E59,0,F$76)</f>
        <v>0</v>
      </c>
      <c r="G77" s="1604">
        <f ca="1">OFFSET(Fuels!$E59,0,G$76)</f>
        <v>0</v>
      </c>
      <c r="H77" s="1604">
        <f ca="1">OFFSET(Fuels!$E59,0,H$76)</f>
        <v>0.93559617058311573</v>
      </c>
      <c r="I77" s="1604">
        <f ca="1">OFFSET(Fuels!$E59,0,I$76)</f>
        <v>0.93559617058311573</v>
      </c>
      <c r="J77" s="1604">
        <f ca="1">OFFSET(Fuels!$E59,0,J$76)</f>
        <v>0.93559617058311573</v>
      </c>
      <c r="K77" s="1604">
        <f ca="1">OFFSET(Fuels!$E59,0,K$76)</f>
        <v>0</v>
      </c>
      <c r="L77" s="1604">
        <f ca="1">OFFSET(Fuels!$E59,0,L$76)</f>
        <v>0</v>
      </c>
      <c r="M77" s="1604">
        <f ca="1">OFFSET(Fuels!$E59,0,M$76)</f>
        <v>0</v>
      </c>
      <c r="N77" s="1604">
        <f ca="1">OFFSET(Fuels!$E59,0,N$76)</f>
        <v>0</v>
      </c>
      <c r="O77" s="1604">
        <f ca="1">OFFSET(Fuels!$E59,0,O$76)</f>
        <v>0</v>
      </c>
      <c r="P77" s="1604">
        <f ca="1">OFFSET(Fuels!$E59,0,P$76)</f>
        <v>0.94901671323878312</v>
      </c>
      <c r="Q77" s="1604">
        <f ca="1">OFFSET(Fuels!$E59,0,Q$76)</f>
        <v>0.94901671323878312</v>
      </c>
      <c r="R77" s="1604">
        <f ca="1">OFFSET(Fuels!$E59,0,R$76)</f>
        <v>0</v>
      </c>
      <c r="S77" s="1604">
        <f ca="1">OFFSET(Fuels!$E59,0,S$76)</f>
        <v>0.94901671323878312</v>
      </c>
      <c r="T77" s="1604">
        <f ca="1">OFFSET(Fuels!$E59,0,T$76)</f>
        <v>0</v>
      </c>
      <c r="U77" s="1604">
        <f ca="1">OFFSET(Fuels!$E59,0,U$76)</f>
        <v>0</v>
      </c>
      <c r="V77" s="1604">
        <f ca="1">OFFSET(Fuels!$E59,0,V$76)</f>
        <v>0</v>
      </c>
      <c r="W77" s="1604">
        <f ca="1">OFFSET(Fuels!$E59,0,W$76)</f>
        <v>0</v>
      </c>
      <c r="X77" s="1604">
        <f ca="1">OFFSET(Fuels!$E59,0,X$76)</f>
        <v>0</v>
      </c>
      <c r="Y77" s="1604">
        <f ca="1">OFFSET(Fuels!$E59,0,Y$76)</f>
        <v>0</v>
      </c>
      <c r="Z77" s="1604">
        <f ca="1">OFFSET(Fuels!$E59,0,Z$76)</f>
        <v>0.93559617058311573</v>
      </c>
      <c r="AA77" s="1604">
        <f ca="1">OFFSET(Fuels!$E59,0,AA$76)</f>
        <v>0</v>
      </c>
      <c r="AB77" s="1604">
        <f ca="1">OFFSET(Fuels!$E59,0,AB$76)</f>
        <v>0</v>
      </c>
      <c r="AC77" s="1604">
        <f ca="1">OFFSET(Fuels!$E59,0,AC$76)</f>
        <v>0</v>
      </c>
      <c r="AD77" s="1604">
        <f ca="1">OFFSET(Fuels!$E59,0,AD$76)</f>
        <v>0</v>
      </c>
      <c r="AE77" s="1604">
        <f ca="1">OFFSET(Fuels!$E59,0,AE$76)</f>
        <v>0</v>
      </c>
      <c r="AF77" s="1604">
        <f ca="1">OFFSET(Fuels!$E59,0,AF$76)</f>
        <v>0.93559617058311573</v>
      </c>
      <c r="AG77" s="1604">
        <f ca="1">OFFSET(Fuels!$E59,0,AG$76)</f>
        <v>0</v>
      </c>
      <c r="AH77" s="1604">
        <f ca="1">OFFSET(Fuels!$E59,0,AH$76)</f>
        <v>0</v>
      </c>
      <c r="AI77" s="1604">
        <f ca="1">OFFSET(Fuels!$E59,0,AI$76)</f>
        <v>0</v>
      </c>
      <c r="AJ77" s="1604">
        <f ca="1">OFFSET(Fuels!$E59,0,AJ$76)</f>
        <v>0</v>
      </c>
      <c r="AK77" s="1604">
        <f ca="1">OFFSET(Fuels!$E59,0,AK$76)</f>
        <v>0</v>
      </c>
      <c r="AL77" s="1604">
        <f ca="1">OFFSET(Fuels!$E59,0,AL$76)</f>
        <v>0</v>
      </c>
      <c r="AM77" s="1604">
        <f ca="1">OFFSET(Fuels!$E59,0,AM$76)</f>
        <v>0</v>
      </c>
      <c r="AN77" s="1604">
        <f ca="1">OFFSET(Fuels!$E59,0,AN$76)</f>
        <v>0</v>
      </c>
      <c r="AO77" s="1604">
        <f ca="1">OFFSET(Fuels!$E59,0,AO$76)</f>
        <v>0</v>
      </c>
      <c r="AP77" s="1604">
        <f ca="1">OFFSET(Fuels!$E59,0,AP$76)</f>
        <v>0</v>
      </c>
    </row>
    <row r="78" spans="1:42" s="664" customFormat="1" outlineLevel="1">
      <c r="D78" s="682" t="str">
        <f>Fuels!D60</f>
        <v>Råstofkonvertering - energieffektivitet</v>
      </c>
      <c r="E78" s="694" t="s">
        <v>29</v>
      </c>
      <c r="F78" s="1604">
        <f ca="1">OFFSET(Fuels!$E60,0,F$76)</f>
        <v>0</v>
      </c>
      <c r="G78" s="1604">
        <f ca="1">OFFSET(Fuels!$E60,0,G$76)</f>
        <v>0</v>
      </c>
      <c r="H78" s="1604">
        <f ca="1">OFFSET(Fuels!$E60,0,H$76)</f>
        <v>0.99699575562027953</v>
      </c>
      <c r="I78" s="1604">
        <f ca="1">OFFSET(Fuels!$E60,0,I$76)</f>
        <v>0.99699575562027953</v>
      </c>
      <c r="J78" s="1604">
        <f ca="1">OFFSET(Fuels!$E60,0,J$76)</f>
        <v>0.99699575562027953</v>
      </c>
      <c r="K78" s="1604">
        <f ca="1">OFFSET(Fuels!$E60,0,K$76)</f>
        <v>0</v>
      </c>
      <c r="L78" s="1604">
        <f ca="1">OFFSET(Fuels!$E60,0,L$76)</f>
        <v>0</v>
      </c>
      <c r="M78" s="1604">
        <f ca="1">OFFSET(Fuels!$E60,0,M$76)</f>
        <v>0</v>
      </c>
      <c r="N78" s="1604">
        <f ca="1">OFFSET(Fuels!$E60,0,N$76)</f>
        <v>0</v>
      </c>
      <c r="O78" s="1604">
        <f ca="1">OFFSET(Fuels!$E60,0,O$76)</f>
        <v>0</v>
      </c>
      <c r="P78" s="1604">
        <f ca="1">OFFSET(Fuels!$E60,0,P$76)</f>
        <v>0.94474816369359926</v>
      </c>
      <c r="Q78" s="1604">
        <f ca="1">OFFSET(Fuels!$E60,0,Q$76)</f>
        <v>0.94474816369359926</v>
      </c>
      <c r="R78" s="1604">
        <f ca="1">OFFSET(Fuels!$E60,0,R$76)</f>
        <v>0</v>
      </c>
      <c r="S78" s="1604">
        <f ca="1">OFFSET(Fuels!$E60,0,S$76)</f>
        <v>0.94474816369359926</v>
      </c>
      <c r="T78" s="1604">
        <f ca="1">OFFSET(Fuels!$E60,0,T$76)</f>
        <v>0</v>
      </c>
      <c r="U78" s="1604">
        <f ca="1">OFFSET(Fuels!$E60,0,U$76)</f>
        <v>0</v>
      </c>
      <c r="V78" s="1604">
        <f ca="1">OFFSET(Fuels!$E60,0,V$76)</f>
        <v>0</v>
      </c>
      <c r="W78" s="1604">
        <f ca="1">OFFSET(Fuels!$E60,0,W$76)</f>
        <v>0</v>
      </c>
      <c r="X78" s="1604">
        <f ca="1">OFFSET(Fuels!$E60,0,X$76)</f>
        <v>0</v>
      </c>
      <c r="Y78" s="1604">
        <f ca="1">OFFSET(Fuels!$E60,0,Y$76)</f>
        <v>0</v>
      </c>
      <c r="Z78" s="1604">
        <f ca="1">OFFSET(Fuels!$E60,0,Z$76)</f>
        <v>0.99699575562027976</v>
      </c>
      <c r="AA78" s="1604">
        <f ca="1">OFFSET(Fuels!$E60,0,AA$76)</f>
        <v>0</v>
      </c>
      <c r="AB78" s="1604">
        <f ca="1">OFFSET(Fuels!$E60,0,AB$76)</f>
        <v>0</v>
      </c>
      <c r="AC78" s="1604">
        <f ca="1">OFFSET(Fuels!$E60,0,AC$76)</f>
        <v>0</v>
      </c>
      <c r="AD78" s="1604">
        <f ca="1">OFFSET(Fuels!$E60,0,AD$76)</f>
        <v>0</v>
      </c>
      <c r="AE78" s="1604">
        <f ca="1">OFFSET(Fuels!$E60,0,AE$76)</f>
        <v>0</v>
      </c>
      <c r="AF78" s="1604">
        <f ca="1">OFFSET(Fuels!$E60,0,AF$76)</f>
        <v>0.99699575562027976</v>
      </c>
      <c r="AG78" s="1604">
        <f ca="1">OFFSET(Fuels!$E60,0,AG$76)</f>
        <v>0</v>
      </c>
      <c r="AH78" s="1604">
        <f ca="1">OFFSET(Fuels!$E60,0,AH$76)</f>
        <v>0</v>
      </c>
      <c r="AI78" s="1604">
        <f ca="1">OFFSET(Fuels!$E60,0,AI$76)</f>
        <v>0</v>
      </c>
      <c r="AJ78" s="1604">
        <f ca="1">OFFSET(Fuels!$E60,0,AJ$76)</f>
        <v>0</v>
      </c>
      <c r="AK78" s="1604">
        <f ca="1">OFFSET(Fuels!$E60,0,AK$76)</f>
        <v>0</v>
      </c>
      <c r="AL78" s="1604">
        <f ca="1">OFFSET(Fuels!$E60,0,AL$76)</f>
        <v>0</v>
      </c>
      <c r="AM78" s="1604">
        <f ca="1">OFFSET(Fuels!$E60,0,AM$76)</f>
        <v>0</v>
      </c>
      <c r="AN78" s="1604">
        <f ca="1">OFFSET(Fuels!$E60,0,AN$76)</f>
        <v>0</v>
      </c>
      <c r="AO78" s="1604">
        <f ca="1">OFFSET(Fuels!$E60,0,AO$76)</f>
        <v>0</v>
      </c>
      <c r="AP78" s="1604">
        <f ca="1">OFFSET(Fuels!$E60,0,AP$76)</f>
        <v>0</v>
      </c>
    </row>
    <row r="79" spans="1:42" s="664" customFormat="1" outlineLevel="1">
      <c r="D79" s="682" t="str">
        <f>Fuels!D63</f>
        <v>Distributioneffektivitet - råstofkonv -&gt; mellemkonv.</v>
      </c>
      <c r="E79" s="694" t="s">
        <v>29</v>
      </c>
      <c r="F79" s="1604">
        <f ca="1">OFFSET(Fuels!$E63,0,F$76)</f>
        <v>0</v>
      </c>
      <c r="G79" s="1604">
        <f ca="1">OFFSET(Fuels!$E63,0,G$76)</f>
        <v>0</v>
      </c>
      <c r="H79" s="1604">
        <f ca="1">OFFSET(Fuels!$E63,0,H$76)</f>
        <v>1</v>
      </c>
      <c r="I79" s="1604">
        <f ca="1">OFFSET(Fuels!$E63,0,I$76)</f>
        <v>1</v>
      </c>
      <c r="J79" s="1604">
        <f ca="1">OFFSET(Fuels!$E63,0,J$76)</f>
        <v>1</v>
      </c>
      <c r="K79" s="1604">
        <f ca="1">OFFSET(Fuels!$E63,0,K$76)</f>
        <v>0</v>
      </c>
      <c r="L79" s="1604">
        <f ca="1">OFFSET(Fuels!$E63,0,L$76)</f>
        <v>0</v>
      </c>
      <c r="M79" s="1604">
        <f ca="1">OFFSET(Fuels!$E63,0,M$76)</f>
        <v>0</v>
      </c>
      <c r="N79" s="1604">
        <f ca="1">OFFSET(Fuels!$E63,0,N$76)</f>
        <v>0</v>
      </c>
      <c r="O79" s="1604">
        <f ca="1">OFFSET(Fuels!$E63,0,O$76)</f>
        <v>0</v>
      </c>
      <c r="P79" s="1604">
        <f ca="1">OFFSET(Fuels!$E63,0,P$76)</f>
        <v>0.92999999999999994</v>
      </c>
      <c r="Q79" s="1604">
        <f ca="1">OFFSET(Fuels!$E63,0,Q$76)</f>
        <v>0.92999999999999994</v>
      </c>
      <c r="R79" s="1604">
        <f ca="1">OFFSET(Fuels!$E63,0,R$76)</f>
        <v>0</v>
      </c>
      <c r="S79" s="1604">
        <f ca="1">OFFSET(Fuels!$E63,0,S$76)</f>
        <v>0.92999999999999994</v>
      </c>
      <c r="T79" s="1604">
        <f ca="1">OFFSET(Fuels!$E63,0,T$76)</f>
        <v>0</v>
      </c>
      <c r="U79" s="1604">
        <f ca="1">OFFSET(Fuels!$E63,0,U$76)</f>
        <v>0</v>
      </c>
      <c r="V79" s="1604">
        <f ca="1">OFFSET(Fuels!$E63,0,V$76)</f>
        <v>0</v>
      </c>
      <c r="W79" s="1604">
        <f ca="1">OFFSET(Fuels!$E63,0,W$76)</f>
        <v>0</v>
      </c>
      <c r="X79" s="1604">
        <f ca="1">OFFSET(Fuels!$E63,0,X$76)</f>
        <v>0</v>
      </c>
      <c r="Y79" s="1604">
        <f ca="1">OFFSET(Fuels!$E63,0,Y$76)</f>
        <v>0</v>
      </c>
      <c r="Z79" s="1604">
        <f ca="1">OFFSET(Fuels!$E63,0,Z$76)</f>
        <v>1</v>
      </c>
      <c r="AA79" s="1604">
        <f ca="1">OFFSET(Fuels!$E63,0,AA$76)</f>
        <v>0</v>
      </c>
      <c r="AB79" s="1604">
        <f ca="1">OFFSET(Fuels!$E63,0,AB$76)</f>
        <v>0</v>
      </c>
      <c r="AC79" s="1604">
        <f ca="1">OFFSET(Fuels!$E63,0,AC$76)</f>
        <v>0</v>
      </c>
      <c r="AD79" s="1604">
        <f ca="1">OFFSET(Fuels!$E63,0,AD$76)</f>
        <v>0</v>
      </c>
      <c r="AE79" s="1604">
        <f ca="1">OFFSET(Fuels!$E63,0,AE$76)</f>
        <v>0</v>
      </c>
      <c r="AF79" s="1604">
        <f ca="1">OFFSET(Fuels!$E63,0,AF$76)</f>
        <v>1</v>
      </c>
      <c r="AG79" s="1604">
        <f ca="1">OFFSET(Fuels!$E63,0,AG$76)</f>
        <v>0</v>
      </c>
      <c r="AH79" s="1604">
        <f ca="1">OFFSET(Fuels!$E63,0,AH$76)</f>
        <v>0</v>
      </c>
      <c r="AI79" s="1604">
        <f ca="1">OFFSET(Fuels!$E63,0,AI$76)</f>
        <v>0</v>
      </c>
      <c r="AJ79" s="1604">
        <f ca="1">OFFSET(Fuels!$E63,0,AJ$76)</f>
        <v>0</v>
      </c>
      <c r="AK79" s="1604">
        <f ca="1">OFFSET(Fuels!$E63,0,AK$76)</f>
        <v>0</v>
      </c>
      <c r="AL79" s="1604">
        <f ca="1">OFFSET(Fuels!$E63,0,AL$76)</f>
        <v>0</v>
      </c>
      <c r="AM79" s="1604">
        <f ca="1">OFFSET(Fuels!$E63,0,AM$76)</f>
        <v>0</v>
      </c>
      <c r="AN79" s="1604">
        <f ca="1">OFFSET(Fuels!$E63,0,AN$76)</f>
        <v>0</v>
      </c>
      <c r="AO79" s="1604">
        <f ca="1">OFFSET(Fuels!$E63,0,AO$76)</f>
        <v>0</v>
      </c>
      <c r="AP79" s="1604">
        <f ca="1">OFFSET(Fuels!$E63,0,AP$76)</f>
        <v>0</v>
      </c>
    </row>
    <row r="80" spans="1:42" s="664" customFormat="1" outlineLevel="1">
      <c r="D80" s="682" t="str">
        <f>Fuels!D66</f>
        <v>Mellemkonvertering - energieffektivitet</v>
      </c>
      <c r="E80" s="694" t="s">
        <v>29</v>
      </c>
      <c r="F80" s="1604">
        <f ca="1">OFFSET(Fuels!$E66,0,F$76)</f>
        <v>0</v>
      </c>
      <c r="G80" s="1604">
        <f ca="1">OFFSET(Fuels!$E66,0,G$76)</f>
        <v>0</v>
      </c>
      <c r="H80" s="1604">
        <f ca="1">OFFSET(Fuels!$E66,0,H$76)</f>
        <v>1</v>
      </c>
      <c r="I80" s="1604">
        <f ca="1">OFFSET(Fuels!$E66,0,I$76)</f>
        <v>1</v>
      </c>
      <c r="J80" s="1604">
        <f ca="1">OFFSET(Fuels!$E66,0,J$76)</f>
        <v>1</v>
      </c>
      <c r="K80" s="1604">
        <f ca="1">OFFSET(Fuels!$E66,0,K$76)</f>
        <v>0</v>
      </c>
      <c r="L80" s="1604">
        <f ca="1">OFFSET(Fuels!$E66,0,L$76)</f>
        <v>0</v>
      </c>
      <c r="M80" s="1604">
        <f ca="1">OFFSET(Fuels!$E66,0,M$76)</f>
        <v>0</v>
      </c>
      <c r="N80" s="1604">
        <f ca="1">OFFSET(Fuels!$E66,0,N$76)</f>
        <v>0</v>
      </c>
      <c r="O80" s="1604">
        <f ca="1">OFFSET(Fuels!$E66,0,O$76)</f>
        <v>0</v>
      </c>
      <c r="P80" s="1604">
        <f ca="1">OFFSET(Fuels!$E66,0,P$76)</f>
        <v>0.9</v>
      </c>
      <c r="Q80" s="1604">
        <f ca="1">OFFSET(Fuels!$E66,0,Q$76)</f>
        <v>0.9</v>
      </c>
      <c r="R80" s="1604">
        <f ca="1">OFFSET(Fuels!$E66,0,R$76)</f>
        <v>0</v>
      </c>
      <c r="S80" s="1604">
        <f ca="1">OFFSET(Fuels!$E66,0,S$76)</f>
        <v>0.9</v>
      </c>
      <c r="T80" s="1604">
        <f ca="1">OFFSET(Fuels!$E66,0,T$76)</f>
        <v>0</v>
      </c>
      <c r="U80" s="1604">
        <f ca="1">OFFSET(Fuels!$E66,0,U$76)</f>
        <v>0</v>
      </c>
      <c r="V80" s="1604">
        <f ca="1">OFFSET(Fuels!$E66,0,V$76)</f>
        <v>0</v>
      </c>
      <c r="W80" s="1604">
        <f ca="1">OFFSET(Fuels!$E66,0,W$76)</f>
        <v>0</v>
      </c>
      <c r="X80" s="1604">
        <f ca="1">OFFSET(Fuels!$E66,0,X$76)</f>
        <v>0</v>
      </c>
      <c r="Y80" s="1604">
        <f ca="1">OFFSET(Fuels!$E66,0,Y$76)</f>
        <v>0</v>
      </c>
      <c r="Z80" s="1604">
        <f ca="1">OFFSET(Fuels!$E66,0,Z$76)</f>
        <v>1</v>
      </c>
      <c r="AA80" s="1604">
        <f ca="1">OFFSET(Fuels!$E66,0,AA$76)</f>
        <v>0</v>
      </c>
      <c r="AB80" s="1604">
        <f ca="1">OFFSET(Fuels!$E66,0,AB$76)</f>
        <v>0</v>
      </c>
      <c r="AC80" s="1604">
        <f ca="1">OFFSET(Fuels!$E66,0,AC$76)</f>
        <v>0</v>
      </c>
      <c r="AD80" s="1604">
        <f ca="1">OFFSET(Fuels!$E66,0,AD$76)</f>
        <v>0</v>
      </c>
      <c r="AE80" s="1604">
        <f ca="1">OFFSET(Fuels!$E66,0,AE$76)</f>
        <v>0</v>
      </c>
      <c r="AF80" s="1604">
        <f ca="1">OFFSET(Fuels!$E66,0,AF$76)</f>
        <v>1</v>
      </c>
      <c r="AG80" s="1604">
        <f ca="1">OFFSET(Fuels!$E66,0,AG$76)</f>
        <v>0</v>
      </c>
      <c r="AH80" s="1604">
        <f ca="1">OFFSET(Fuels!$E66,0,AH$76)</f>
        <v>0</v>
      </c>
      <c r="AI80" s="1604">
        <f ca="1">OFFSET(Fuels!$E66,0,AI$76)</f>
        <v>0</v>
      </c>
      <c r="AJ80" s="1604">
        <f ca="1">OFFSET(Fuels!$E66,0,AJ$76)</f>
        <v>0</v>
      </c>
      <c r="AK80" s="1604">
        <f ca="1">OFFSET(Fuels!$E66,0,AK$76)</f>
        <v>0</v>
      </c>
      <c r="AL80" s="1604">
        <f ca="1">OFFSET(Fuels!$E66,0,AL$76)</f>
        <v>0</v>
      </c>
      <c r="AM80" s="1604">
        <f ca="1">OFFSET(Fuels!$E66,0,AM$76)</f>
        <v>0</v>
      </c>
      <c r="AN80" s="1604">
        <f ca="1">OFFSET(Fuels!$E66,0,AN$76)</f>
        <v>0</v>
      </c>
      <c r="AO80" s="1604">
        <f ca="1">OFFSET(Fuels!$E66,0,AO$76)</f>
        <v>0</v>
      </c>
      <c r="AP80" s="1604">
        <f ca="1">OFFSET(Fuels!$E66,0,AP$76)</f>
        <v>0</v>
      </c>
    </row>
    <row r="81" spans="1:42" s="664" customFormat="1" outlineLevel="1">
      <c r="D81" s="682" t="str">
        <f>Fuels!D67</f>
        <v>Distributionseffektivitet, transport</v>
      </c>
      <c r="E81" s="694" t="s">
        <v>29</v>
      </c>
      <c r="F81" s="1604">
        <f ca="1">OFFSET(Fuels!$E67,0,F$76)</f>
        <v>0</v>
      </c>
      <c r="G81" s="1604">
        <f ca="1">OFFSET(Fuels!$E67,0,G$76)</f>
        <v>0</v>
      </c>
      <c r="H81" s="1604">
        <f ca="1">OFFSET(Fuels!$E67,0,H$76)</f>
        <v>0.9987882787761494</v>
      </c>
      <c r="I81" s="1604">
        <f ca="1">OFFSET(Fuels!$E67,0,I$76)</f>
        <v>0.9987882787761494</v>
      </c>
      <c r="J81" s="1604">
        <f ca="1">OFFSET(Fuels!$E67,0,J$76)</f>
        <v>0.9987882787761494</v>
      </c>
      <c r="K81" s="1604">
        <f ca="1">OFFSET(Fuels!$E67,0,K$76)</f>
        <v>0</v>
      </c>
      <c r="L81" s="1604">
        <f ca="1">OFFSET(Fuels!$E67,0,L$76)</f>
        <v>0</v>
      </c>
      <c r="M81" s="1604">
        <f ca="1">OFFSET(Fuels!$E67,0,M$76)</f>
        <v>0</v>
      </c>
      <c r="N81" s="1604">
        <f ca="1">OFFSET(Fuels!$E67,0,N$76)</f>
        <v>0</v>
      </c>
      <c r="O81" s="1604">
        <f ca="1">OFFSET(Fuels!$E67,0,O$76)</f>
        <v>0</v>
      </c>
      <c r="P81" s="1604">
        <f ca="1">OFFSET(Fuels!$E67,0,P$76)</f>
        <v>1</v>
      </c>
      <c r="Q81" s="1604">
        <f ca="1">OFFSET(Fuels!$E67,0,Q$76)</f>
        <v>1</v>
      </c>
      <c r="R81" s="1604">
        <f ca="1">OFFSET(Fuels!$E67,0,R$76)</f>
        <v>0</v>
      </c>
      <c r="S81" s="1604">
        <f ca="1">OFFSET(Fuels!$E67,0,S$76)</f>
        <v>1</v>
      </c>
      <c r="T81" s="1604">
        <f ca="1">OFFSET(Fuels!$E67,0,T$76)</f>
        <v>0</v>
      </c>
      <c r="U81" s="1604">
        <f ca="1">OFFSET(Fuels!$E67,0,U$76)</f>
        <v>0</v>
      </c>
      <c r="V81" s="1604">
        <f ca="1">OFFSET(Fuels!$E67,0,V$76)</f>
        <v>0</v>
      </c>
      <c r="W81" s="1604">
        <f ca="1">OFFSET(Fuels!$E67,0,W$76)</f>
        <v>0</v>
      </c>
      <c r="X81" s="1604">
        <f ca="1">OFFSET(Fuels!$E67,0,X$76)</f>
        <v>0</v>
      </c>
      <c r="Y81" s="1604">
        <f ca="1">OFFSET(Fuels!$E67,0,Y$76)</f>
        <v>0</v>
      </c>
      <c r="Z81" s="1604">
        <f ca="1">OFFSET(Fuels!$E67,0,Z$76)</f>
        <v>0.99889012208657058</v>
      </c>
      <c r="AA81" s="1604">
        <f ca="1">OFFSET(Fuels!$E67,0,AA$76)</f>
        <v>0</v>
      </c>
      <c r="AB81" s="1604">
        <f ca="1">OFFSET(Fuels!$E67,0,AB$76)</f>
        <v>0</v>
      </c>
      <c r="AC81" s="1604">
        <f ca="1">OFFSET(Fuels!$E67,0,AC$76)</f>
        <v>0</v>
      </c>
      <c r="AD81" s="1604">
        <f ca="1">OFFSET(Fuels!$E67,0,AD$76)</f>
        <v>0</v>
      </c>
      <c r="AE81" s="1604">
        <f ca="1">OFFSET(Fuels!$E67,0,AE$76)</f>
        <v>0</v>
      </c>
      <c r="AF81" s="1604">
        <f ca="1">OFFSET(Fuels!$E67,0,AF$76)</f>
        <v>0.99889012208657058</v>
      </c>
      <c r="AG81" s="1604">
        <f ca="1">OFFSET(Fuels!$E67,0,AG$76)</f>
        <v>0</v>
      </c>
      <c r="AH81" s="1604">
        <f ca="1">OFFSET(Fuels!$E67,0,AH$76)</f>
        <v>0</v>
      </c>
      <c r="AI81" s="1604">
        <f ca="1">OFFSET(Fuels!$E67,0,AI$76)</f>
        <v>0</v>
      </c>
      <c r="AJ81" s="1604">
        <f ca="1">OFFSET(Fuels!$E67,0,AJ$76)</f>
        <v>0</v>
      </c>
      <c r="AK81" s="1604">
        <f ca="1">OFFSET(Fuels!$E67,0,AK$76)</f>
        <v>0</v>
      </c>
      <c r="AL81" s="1604">
        <f ca="1">OFFSET(Fuels!$E67,0,AL$76)</f>
        <v>0</v>
      </c>
      <c r="AM81" s="1604">
        <f ca="1">OFFSET(Fuels!$E67,0,AM$76)</f>
        <v>0</v>
      </c>
      <c r="AN81" s="1604">
        <f ca="1">OFFSET(Fuels!$E67,0,AN$76)</f>
        <v>0</v>
      </c>
      <c r="AO81" s="1604">
        <f ca="1">OFFSET(Fuels!$E67,0,AO$76)</f>
        <v>0</v>
      </c>
      <c r="AP81" s="1604">
        <f ca="1">OFFSET(Fuels!$E67,0,AP$76)</f>
        <v>0</v>
      </c>
    </row>
    <row r="82" spans="1:42" s="664" customFormat="1" outlineLevel="1">
      <c r="A82" s="699">
        <f>ROW('Std benzin motor'!$A24)</f>
        <v>24</v>
      </c>
      <c r="B82" s="699">
        <f>COLUMN('Std benzin motor'!$D86)-1+chosenYear</f>
        <v>4</v>
      </c>
      <c r="D82" s="683" t="s">
        <v>823</v>
      </c>
      <c r="E82" s="684" t="s">
        <v>21</v>
      </c>
      <c r="F82" s="1605">
        <f t="shared" ref="F82:AP82" ca="1" si="63">INDIRECT(ADDRESS($A82,$B82,,,F$9))</f>
        <v>0.255</v>
      </c>
      <c r="G82" s="1605">
        <f t="shared" ca="1" si="63"/>
        <v>0.18</v>
      </c>
      <c r="H82" s="1605">
        <f t="shared" ca="1" si="63"/>
        <v>0.18</v>
      </c>
      <c r="I82" s="1605">
        <f t="shared" ca="1" si="63"/>
        <v>0.18</v>
      </c>
      <c r="J82" s="1605">
        <f t="shared" ca="1" si="63"/>
        <v>0.18</v>
      </c>
      <c r="K82" s="1605">
        <f t="shared" ca="1" si="63"/>
        <v>0.255</v>
      </c>
      <c r="L82" s="1605">
        <f t="shared" ca="1" si="63"/>
        <v>0.255</v>
      </c>
      <c r="M82" s="1605">
        <f t="shared" ca="1" si="63"/>
        <v>0.255</v>
      </c>
      <c r="N82" s="1605">
        <f t="shared" ca="1" si="63"/>
        <v>0.17997574865352448</v>
      </c>
      <c r="O82" s="1605">
        <f t="shared" ca="1" si="63"/>
        <v>0.17997574865352448</v>
      </c>
      <c r="P82" s="1605">
        <f t="shared" ca="1" si="63"/>
        <v>0.87168797542226217</v>
      </c>
      <c r="Q82" s="1605">
        <f t="shared" ca="1" si="63"/>
        <v>0.87168797542226217</v>
      </c>
      <c r="R82" s="1605">
        <f t="shared" ca="1" si="63"/>
        <v>0.87168797542226217</v>
      </c>
      <c r="S82" s="1605">
        <f t="shared" ca="1" si="63"/>
        <v>0.87168797542226217</v>
      </c>
      <c r="T82" s="1605">
        <f t="shared" ca="1" si="63"/>
        <v>0.40147206423553028</v>
      </c>
      <c r="U82" s="1605">
        <f t="shared" ca="1" si="63"/>
        <v>0.48</v>
      </c>
      <c r="V82" s="1605">
        <f t="shared" ca="1" si="63"/>
        <v>0.48</v>
      </c>
      <c r="W82" s="1605">
        <f t="shared" ca="1" si="63"/>
        <v>0.50897060694744889</v>
      </c>
      <c r="X82" s="1605">
        <f t="shared" ca="1" si="63"/>
        <v>0.48453524993943314</v>
      </c>
      <c r="Y82" s="1605">
        <f t="shared" ca="1" si="63"/>
        <v>0.48453524993943314</v>
      </c>
      <c r="Z82" s="1605">
        <f t="shared" ca="1" si="63"/>
        <v>0.45329203339251323</v>
      </c>
      <c r="AA82" s="1605">
        <f t="shared" ca="1" si="63"/>
        <v>0.32</v>
      </c>
      <c r="AB82" s="1605">
        <f t="shared" ca="1" si="63"/>
        <v>0.32</v>
      </c>
      <c r="AC82" s="1605">
        <f t="shared" ca="1" si="63"/>
        <v>0.87168797542226217</v>
      </c>
      <c r="AD82" s="1605">
        <f t="shared" ca="1" si="63"/>
        <v>0.32</v>
      </c>
      <c r="AE82" s="1605">
        <f t="shared" ca="1" si="63"/>
        <v>0.32</v>
      </c>
      <c r="AF82" s="1605">
        <f t="shared" ca="1" si="63"/>
        <v>0.32</v>
      </c>
      <c r="AG82" s="1605">
        <f t="shared" ca="1" si="63"/>
        <v>0.4</v>
      </c>
      <c r="AH82" s="1605">
        <f t="shared" ca="1" si="63"/>
        <v>0.4</v>
      </c>
      <c r="AI82" s="1605">
        <f ca="1">INDIRECT(ADDRESS($A82,$B82,,,AI$9))</f>
        <v>0.3110490447640275</v>
      </c>
      <c r="AJ82" s="1605">
        <f t="shared" ca="1" si="63"/>
        <v>0.4</v>
      </c>
      <c r="AK82" s="1605">
        <f t="shared" ca="1" si="63"/>
        <v>0.32307692307692304</v>
      </c>
      <c r="AL82" s="1605">
        <f t="shared" ca="1" si="63"/>
        <v>0.32307692307692304</v>
      </c>
      <c r="AM82" s="1605">
        <f t="shared" ca="1" si="63"/>
        <v>0.24369782003183005</v>
      </c>
      <c r="AN82" s="1605">
        <f t="shared" ca="1" si="63"/>
        <v>0.42</v>
      </c>
      <c r="AO82" s="1605">
        <f t="shared" ca="1" si="63"/>
        <v>0.40147206423553028</v>
      </c>
      <c r="AP82" s="1605">
        <f t="shared" ca="1" si="63"/>
        <v>0.56448821165977348</v>
      </c>
    </row>
    <row r="83" spans="1:42" s="664" customFormat="1" outlineLevel="1">
      <c r="D83" s="679" t="s">
        <v>822</v>
      </c>
      <c r="E83" s="671" t="s">
        <v>825</v>
      </c>
      <c r="F83" s="1606">
        <f t="shared" ref="F83:AN83" ca="1" si="64">F77*F78*F79*F80*F81*F82</f>
        <v>0</v>
      </c>
      <c r="G83" s="1606">
        <f t="shared" ca="1" si="64"/>
        <v>0</v>
      </c>
      <c r="H83" s="1606">
        <f t="shared" ca="1" si="64"/>
        <v>0.16769792432989633</v>
      </c>
      <c r="I83" s="1606">
        <f t="shared" ca="1" si="64"/>
        <v>0.16769792432989633</v>
      </c>
      <c r="J83" s="1606">
        <f t="shared" ca="1" si="64"/>
        <v>0.16769792432989633</v>
      </c>
      <c r="K83" s="1606">
        <f t="shared" ca="1" si="64"/>
        <v>0</v>
      </c>
      <c r="L83" s="1606">
        <f t="shared" ca="1" si="64"/>
        <v>0</v>
      </c>
      <c r="M83" s="1606">
        <f t="shared" ca="1" si="64"/>
        <v>0</v>
      </c>
      <c r="N83" s="1606">
        <f t="shared" ca="1" si="64"/>
        <v>0</v>
      </c>
      <c r="O83" s="1606">
        <f t="shared" ca="1" si="64"/>
        <v>0</v>
      </c>
      <c r="P83" s="1606">
        <f t="shared" ca="1" si="64"/>
        <v>0.65414862139188079</v>
      </c>
      <c r="Q83" s="1606">
        <f t="shared" ca="1" si="64"/>
        <v>0.65414862139188079</v>
      </c>
      <c r="R83" s="1606">
        <f t="shared" ca="1" si="64"/>
        <v>0</v>
      </c>
      <c r="S83" s="1606">
        <f t="shared" ca="1" si="64"/>
        <v>0.65414862139188079</v>
      </c>
      <c r="T83" s="1606">
        <f t="shared" ca="1" si="64"/>
        <v>0</v>
      </c>
      <c r="U83" s="1606">
        <f t="shared" ca="1" si="64"/>
        <v>0</v>
      </c>
      <c r="V83" s="1606">
        <f t="shared" ca="1" si="64"/>
        <v>0</v>
      </c>
      <c r="W83" s="1606">
        <f t="shared" ca="1" si="64"/>
        <v>0</v>
      </c>
      <c r="X83" s="1606">
        <f t="shared" ca="1" si="64"/>
        <v>0</v>
      </c>
      <c r="Y83" s="1606">
        <f t="shared" ca="1" si="64"/>
        <v>0</v>
      </c>
      <c r="Z83" s="1606">
        <f t="shared" ca="1" si="64"/>
        <v>0.42235491245582957</v>
      </c>
      <c r="AA83" s="1606">
        <f t="shared" ca="1" si="64"/>
        <v>0</v>
      </c>
      <c r="AB83" s="1606">
        <f t="shared" ca="1" si="64"/>
        <v>0</v>
      </c>
      <c r="AC83" s="1606">
        <f t="shared" ca="1" si="64"/>
        <v>0</v>
      </c>
      <c r="AD83" s="1606">
        <f t="shared" ca="1" si="64"/>
        <v>0</v>
      </c>
      <c r="AE83" s="1606">
        <f t="shared" ca="1" si="64"/>
        <v>0</v>
      </c>
      <c r="AF83" s="1606">
        <f t="shared" ca="1" si="64"/>
        <v>0.29816004259848461</v>
      </c>
      <c r="AG83" s="1606">
        <f t="shared" ca="1" si="64"/>
        <v>0</v>
      </c>
      <c r="AH83" s="1606">
        <f t="shared" ref="AH83" ca="1" si="65">AH77*AH78*AH79*AH80*AH81*AH82</f>
        <v>0</v>
      </c>
      <c r="AI83" s="1606">
        <f ca="1">AI77*AI78*AI79*AI80*AI81*AI82</f>
        <v>0</v>
      </c>
      <c r="AJ83" s="1606">
        <f t="shared" ca="1" si="64"/>
        <v>0</v>
      </c>
      <c r="AK83" s="1606">
        <f t="shared" ref="AK83" ca="1" si="66">AK77*AK78*AK79*AK80*AK81*AK82</f>
        <v>0</v>
      </c>
      <c r="AL83" s="1606">
        <f t="shared" ca="1" si="64"/>
        <v>0</v>
      </c>
      <c r="AM83" s="1606">
        <f t="shared" ca="1" si="64"/>
        <v>0</v>
      </c>
      <c r="AN83" s="1606">
        <f t="shared" ca="1" si="64"/>
        <v>0</v>
      </c>
      <c r="AO83" s="1606">
        <f t="shared" ref="AO83:AP83" ca="1" si="67">AO77*AO78*AO79*AO80*AO81*AO82</f>
        <v>0</v>
      </c>
      <c r="AP83" s="1606">
        <f t="shared" ca="1" si="67"/>
        <v>0</v>
      </c>
    </row>
    <row r="84" spans="1:42" s="664" customFormat="1" outlineLevel="1">
      <c r="D84" s="666"/>
      <c r="E84" s="667"/>
    </row>
    <row r="85" spans="1:42" s="664" customFormat="1" outlineLevel="1">
      <c r="D85" s="666"/>
      <c r="E85" s="667"/>
    </row>
    <row r="86" spans="1:42" s="664" customFormat="1" outlineLevel="1">
      <c r="D86" s="666"/>
      <c r="E86" s="667"/>
    </row>
    <row r="87" spans="1:42">
      <c r="D87" s="716"/>
      <c r="E87" s="717"/>
      <c r="F87" s="718"/>
      <c r="G87" s="718"/>
      <c r="H87" s="718"/>
      <c r="I87" s="718"/>
      <c r="J87" s="718"/>
      <c r="K87" s="718"/>
      <c r="L87" s="718"/>
      <c r="M87" s="718"/>
      <c r="N87" s="718"/>
      <c r="O87" s="718"/>
      <c r="P87" s="718"/>
      <c r="Q87" s="718"/>
      <c r="R87" s="718"/>
      <c r="S87" s="718"/>
      <c r="T87" s="718"/>
      <c r="U87" s="718"/>
      <c r="V87" s="718"/>
      <c r="W87" s="718"/>
      <c r="X87" s="718"/>
      <c r="Y87" s="718"/>
      <c r="Z87" s="718"/>
      <c r="AA87" s="718"/>
      <c r="AB87" s="718"/>
      <c r="AC87" s="718"/>
      <c r="AD87" s="718"/>
      <c r="AE87" s="718"/>
      <c r="AF87" s="718"/>
      <c r="AG87" s="718"/>
      <c r="AH87" s="718"/>
      <c r="AI87" s="718"/>
      <c r="AJ87" s="718"/>
      <c r="AK87" s="718"/>
      <c r="AL87" s="718"/>
      <c r="AM87" s="718"/>
      <c r="AN87" s="718"/>
      <c r="AO87" s="718"/>
      <c r="AP87" s="718"/>
    </row>
    <row r="88" spans="1:42" s="690" customFormat="1" ht="18.75">
      <c r="A88" s="689" t="s">
        <v>790</v>
      </c>
      <c r="D88" s="691"/>
      <c r="E88" s="692"/>
    </row>
    <row r="89" spans="1:42" outlineLevel="1"/>
    <row r="90" spans="1:42" outlineLevel="1">
      <c r="D90" s="709" t="s">
        <v>828</v>
      </c>
      <c r="F90" s="721"/>
      <c r="G90" s="721"/>
      <c r="H90" s="721"/>
      <c r="I90" s="721"/>
      <c r="J90" s="721"/>
      <c r="K90" s="721"/>
      <c r="L90" s="721"/>
      <c r="M90" s="721"/>
      <c r="N90" s="721"/>
      <c r="O90" s="721"/>
      <c r="P90" s="721"/>
      <c r="Q90" s="721"/>
      <c r="R90" s="721"/>
      <c r="S90" s="721"/>
      <c r="T90" s="721"/>
      <c r="U90" s="721"/>
      <c r="V90" s="721"/>
      <c r="W90" s="721"/>
      <c r="X90" s="721"/>
      <c r="Y90" s="721"/>
      <c r="Z90" s="721"/>
      <c r="AA90" s="721"/>
      <c r="AB90" s="721"/>
      <c r="AC90" s="721"/>
      <c r="AD90" s="721"/>
      <c r="AE90" s="721"/>
      <c r="AF90" s="721"/>
      <c r="AG90" s="721"/>
      <c r="AH90" s="721"/>
      <c r="AI90" s="721"/>
      <c r="AJ90" s="721"/>
      <c r="AK90" s="721"/>
      <c r="AL90" s="721"/>
      <c r="AM90" s="721"/>
      <c r="AN90" s="721"/>
      <c r="AO90" s="721"/>
      <c r="AP90" s="721"/>
    </row>
    <row r="91" spans="1:42" outlineLevel="1">
      <c r="D91" s="722" t="s">
        <v>24</v>
      </c>
      <c r="E91" s="723" t="s">
        <v>348</v>
      </c>
      <c r="F91" s="1607">
        <f ca="1">OFFSET(Fuels!$E297,0,F$18)</f>
        <v>8.7673153261627608</v>
      </c>
      <c r="G91" s="1607">
        <f ca="1">OFFSET(Fuels!$E297,0,G$18)</f>
        <v>8.8651366423790137</v>
      </c>
      <c r="H91" s="1607">
        <f ca="1">OFFSET(Fuels!$E297,0,H$18)</f>
        <v>370.98304919627003</v>
      </c>
      <c r="I91" s="1607">
        <f ca="1">OFFSET(Fuels!$E297,0,I$18)</f>
        <v>470.33191912956312</v>
      </c>
      <c r="J91" s="1607">
        <f ca="1">OFFSET(Fuels!$E297,0,J$18)</f>
        <v>-3.5285287122359428</v>
      </c>
      <c r="K91" s="1607">
        <f ca="1">OFFSET(Fuels!$E297,0,K$18)</f>
        <v>349.07737163809958</v>
      </c>
      <c r="L91" s="1607">
        <f ca="1">OFFSET(Fuels!$E297,0,L$18)</f>
        <v>-29.031160535782838</v>
      </c>
      <c r="M91" s="1607">
        <f ca="1">OFFSET(Fuels!$E297,0,M$18)</f>
        <v>-29.035930469665718</v>
      </c>
      <c r="N91" s="1607">
        <f ca="1">OFFSET(Fuels!$E297,0,N$18)</f>
        <v>6.2482205241485778</v>
      </c>
      <c r="O91" s="1607">
        <f ca="1">OFFSET(Fuels!$E297,0,O$18)</f>
        <v>-54.741551886802831</v>
      </c>
      <c r="P91" s="1607">
        <f ca="1">OFFSET(Fuels!$E297,0,P$18)</f>
        <v>-29.054236974070459</v>
      </c>
      <c r="Q91" s="1607">
        <f ca="1">OFFSET(Fuels!$E297,0,Q$18)</f>
        <v>9.9213348422312038</v>
      </c>
      <c r="R91" s="1607">
        <f ca="1">OFFSET(Fuels!$E297,0,R$18)</f>
        <v>5.7003274307270049</v>
      </c>
      <c r="S91" s="1607">
        <f ca="1">OFFSET(Fuels!$E297,0,S$18)</f>
        <v>8.8651366423790137</v>
      </c>
      <c r="T91" s="1607">
        <f ca="1">OFFSET(Fuels!$E297,0,T$18)</f>
        <v>8.7673153261627608</v>
      </c>
      <c r="U91" s="1607">
        <f ca="1">OFFSET(Fuels!$E297,0,U$18)</f>
        <v>9.3811853779605467</v>
      </c>
      <c r="V91" s="1607">
        <f ca="1">OFFSET(Fuels!$E297,0,V$18)</f>
        <v>-89.65990884059029</v>
      </c>
      <c r="W91" s="1607">
        <f ca="1">OFFSET(Fuels!$E297,0,W$18)</f>
        <v>6.9450613085336181</v>
      </c>
      <c r="X91" s="1607">
        <f ca="1">OFFSET(Fuels!$E297,0,X$18)</f>
        <v>8.7673153261627608</v>
      </c>
      <c r="Y91" s="1607">
        <f ca="1">OFFSET(Fuels!$E297,0,Y$18)</f>
        <v>-29.031160535782838</v>
      </c>
      <c r="Z91" s="1607">
        <f ca="1">OFFSET(Fuels!$E297,0,Z$18)</f>
        <v>16.171860962566846</v>
      </c>
      <c r="AA91" s="1607">
        <f ca="1">OFFSET(Fuels!$E297,0,AA$18)</f>
        <v>8.7673153261627608</v>
      </c>
      <c r="AB91" s="1607">
        <f ca="1">OFFSET(Fuels!$E297,0,AB$18)</f>
        <v>-29.031160535782838</v>
      </c>
      <c r="AC91" s="1607">
        <f ca="1">OFFSET(Fuels!$E297,0,AC$18)</f>
        <v>5.400310197530847</v>
      </c>
      <c r="AD91" s="1607">
        <f ca="1">OFFSET(Fuels!$E297,0,AD$18)</f>
        <v>8.7673153261627608</v>
      </c>
      <c r="AE91" s="1607">
        <f ca="1">OFFSET(Fuels!$E297,0,AE$18)</f>
        <v>-29.031160535782838</v>
      </c>
      <c r="AF91" s="1607">
        <f ca="1">OFFSET(Fuels!$E297,0,AF$18)</f>
        <v>16.171860962566846</v>
      </c>
      <c r="AG91" s="1607">
        <f ca="1">OFFSET(Fuels!$E297,0,AG$18)</f>
        <v>8.7673153261627608</v>
      </c>
      <c r="AH91" s="1607">
        <f ca="1">OFFSET(Fuels!$E297,0,AH$18)</f>
        <v>349.07737163809958</v>
      </c>
      <c r="AI91" s="1607">
        <f ca="1">OFFSET(Fuels!$E297,0,AI$18)</f>
        <v>6.2482205241485778</v>
      </c>
      <c r="AJ91" s="1607">
        <f ca="1">OFFSET(Fuels!$E297,0,AJ$18)</f>
        <v>-29.035930469665718</v>
      </c>
      <c r="AK91" s="1607">
        <f ca="1">OFFSET(Fuels!$E297,0,AK$18)</f>
        <v>8.7673153261627608</v>
      </c>
      <c r="AL91" s="1607">
        <f ca="1">OFFSET(Fuels!$E297,0,AL$18)</f>
        <v>349.07737163809958</v>
      </c>
      <c r="AM91" s="1607">
        <f ca="1">OFFSET(Fuels!$E297,0,AM$18)</f>
        <v>6.2482205241485778</v>
      </c>
      <c r="AN91" s="1607">
        <f ca="1">OFFSET(Fuels!$E297,0,AN$18)</f>
        <v>8.7673153261627608</v>
      </c>
      <c r="AO91" s="1607">
        <f ca="1">OFFSET(Fuels!$E297,0,AO$18)</f>
        <v>-29.031160535782838</v>
      </c>
      <c r="AP91" s="1607">
        <f ca="1">OFFSET(Fuels!$E297,0,AP$18)</f>
        <v>9.9213348422312038</v>
      </c>
    </row>
    <row r="92" spans="1:42" outlineLevel="1">
      <c r="D92" s="716" t="s">
        <v>27</v>
      </c>
      <c r="E92" s="717" t="s">
        <v>348</v>
      </c>
      <c r="F92" s="1608">
        <f ca="1">OFFSET(Fuels!$E298,0,F$18)</f>
        <v>1.1165967550949995E-5</v>
      </c>
      <c r="G92" s="1608">
        <f ca="1">OFFSET(Fuels!$E298,0,G$18)</f>
        <v>1.175278584394831E-5</v>
      </c>
      <c r="H92" s="1608">
        <f ca="1">OFFSET(Fuels!$E298,0,H$18)</f>
        <v>2.6511501710426923E-3</v>
      </c>
      <c r="I92" s="1608">
        <f ca="1">OFFSET(Fuels!$E298,0,I$18)</f>
        <v>-6.5003192728353741E-4</v>
      </c>
      <c r="J92" s="1608">
        <f ca="1">OFFSET(Fuels!$E298,0,J$18)</f>
        <v>-5.1951206464320955E-3</v>
      </c>
      <c r="K92" s="1608">
        <f ca="1">OFFSET(Fuels!$E298,0,K$18)</f>
        <v>4.1283592492673244E-4</v>
      </c>
      <c r="L92" s="1608">
        <f ca="1">OFFSET(Fuels!$E298,0,L$18)</f>
        <v>-4.3001039214861691E-3</v>
      </c>
      <c r="M92" s="1608">
        <f ca="1">OFFSET(Fuels!$E298,0,M$18)</f>
        <v>-5.3785961368114548E-3</v>
      </c>
      <c r="N92" s="1608">
        <f ca="1">OFFSET(Fuels!$E298,0,N$18)</f>
        <v>3.5000000000000004E-6</v>
      </c>
      <c r="O92" s="1608">
        <f ca="1">OFFSET(Fuels!$E298,0,O$18)</f>
        <v>0.10742476661342681</v>
      </c>
      <c r="P92" s="1608">
        <f ca="1">OFFSET(Fuels!$E298,0,P$18)</f>
        <v>-5.4109029820237084E-3</v>
      </c>
      <c r="Q92" s="1608">
        <f ca="1">OFFSET(Fuels!$E298,0,Q$18)</f>
        <v>1.933872310708818E-4</v>
      </c>
      <c r="R92" s="1608">
        <f ca="1">OFFSET(Fuels!$E298,0,R$18)</f>
        <v>1.1111111111111112E-4</v>
      </c>
      <c r="S92" s="1608">
        <f ca="1">OFFSET(Fuels!$E298,0,S$18)</f>
        <v>1.175278584394831E-5</v>
      </c>
      <c r="T92" s="1608">
        <f ca="1">OFFSET(Fuels!$E298,0,T$18)</f>
        <v>1.1165967550949995E-5</v>
      </c>
      <c r="U92" s="1608">
        <f ca="1">OFFSET(Fuels!$E298,0,U$18)</f>
        <v>1.1763379834234609E-5</v>
      </c>
      <c r="V92" s="1608">
        <f ca="1">OFFSET(Fuels!$E298,0,V$18)</f>
        <v>-7.2712659559828778E-3</v>
      </c>
      <c r="W92" s="1608">
        <f ca="1">OFFSET(Fuels!$E298,0,W$18)</f>
        <v>9.4648864156709324E-6</v>
      </c>
      <c r="X92" s="1608">
        <f ca="1">OFFSET(Fuels!$E298,0,X$18)</f>
        <v>1.1165967550949995E-5</v>
      </c>
      <c r="Y92" s="1608">
        <f ca="1">OFFSET(Fuels!$E298,0,Y$18)</f>
        <v>-4.3001039214861691E-3</v>
      </c>
      <c r="Z92" s="1608">
        <f ca="1">OFFSET(Fuels!$E298,0,Z$18)</f>
        <v>1.8021390374331553E-5</v>
      </c>
      <c r="AA92" s="1608">
        <f ca="1">OFFSET(Fuels!$E298,0,AA$18)</f>
        <v>1.1165967550949995E-5</v>
      </c>
      <c r="AB92" s="1608">
        <f ca="1">OFFSET(Fuels!$E298,0,AB$18)</f>
        <v>-4.3001039214861691E-3</v>
      </c>
      <c r="AC92" s="1608">
        <f ca="1">OFFSET(Fuels!$E298,0,AC$18)</f>
        <v>1.0526315789473685E-4</v>
      </c>
      <c r="AD92" s="1608">
        <f ca="1">OFFSET(Fuels!$E298,0,AD$18)</f>
        <v>1.1165967550949995E-5</v>
      </c>
      <c r="AE92" s="1608">
        <f ca="1">OFFSET(Fuels!$E298,0,AE$18)</f>
        <v>-4.3001039214861691E-3</v>
      </c>
      <c r="AF92" s="1608">
        <f ca="1">OFFSET(Fuels!$E298,0,AF$18)</f>
        <v>1.8021390374331553E-5</v>
      </c>
      <c r="AG92" s="1608">
        <f ca="1">OFFSET(Fuels!$E298,0,AG$18)</f>
        <v>1.1165967550949995E-5</v>
      </c>
      <c r="AH92" s="1608">
        <f ca="1">OFFSET(Fuels!$E298,0,AH$18)</f>
        <v>4.1283592492673244E-4</v>
      </c>
      <c r="AI92" s="1608">
        <f ca="1">OFFSET(Fuels!$E298,0,AI$18)</f>
        <v>3.5000000000000004E-6</v>
      </c>
      <c r="AJ92" s="1608">
        <f ca="1">OFFSET(Fuels!$E298,0,AJ$18)</f>
        <v>-5.3785961368114548E-3</v>
      </c>
      <c r="AK92" s="1608">
        <f ca="1">OFFSET(Fuels!$E298,0,AK$18)</f>
        <v>1.1165967550949995E-5</v>
      </c>
      <c r="AL92" s="1608">
        <f ca="1">OFFSET(Fuels!$E298,0,AL$18)</f>
        <v>4.1283592492673244E-4</v>
      </c>
      <c r="AM92" s="1608">
        <f ca="1">OFFSET(Fuels!$E298,0,AM$18)</f>
        <v>3.5000000000000004E-6</v>
      </c>
      <c r="AN92" s="1608">
        <f ca="1">OFFSET(Fuels!$E298,0,AN$18)</f>
        <v>1.1165967550949995E-5</v>
      </c>
      <c r="AO92" s="1608">
        <f ca="1">OFFSET(Fuels!$E298,0,AO$18)</f>
        <v>-4.3001039214861691E-3</v>
      </c>
      <c r="AP92" s="1608">
        <f ca="1">OFFSET(Fuels!$E298,0,AP$18)</f>
        <v>1.933872310708818E-4</v>
      </c>
    </row>
    <row r="93" spans="1:42" outlineLevel="1">
      <c r="D93" s="716" t="s">
        <v>28</v>
      </c>
      <c r="E93" s="717" t="s">
        <v>348</v>
      </c>
      <c r="F93" s="1608">
        <f ca="1">OFFSET(Fuels!$E299,0,F$18)</f>
        <v>8.832634217616661E-6</v>
      </c>
      <c r="G93" s="1608">
        <f ca="1">OFFSET(Fuels!$E299,0,G$18)</f>
        <v>9.2050841696712929E-6</v>
      </c>
      <c r="H93" s="1608">
        <f ca="1">OFFSET(Fuels!$E299,0,H$18)</f>
        <v>1.4455238464403976E-4</v>
      </c>
      <c r="I93" s="1608">
        <f ca="1">OFFSET(Fuels!$E299,0,I$18)</f>
        <v>-2.6976428083897395E-5</v>
      </c>
      <c r="J93" s="1608">
        <f ca="1">OFFSET(Fuels!$E299,0,J$18)</f>
        <v>-2.6292260116978736E-4</v>
      </c>
      <c r="K93" s="1608">
        <f ca="1">OFFSET(Fuels!$E299,0,K$18)</f>
        <v>2.6825955406750324E-5</v>
      </c>
      <c r="L93" s="1608">
        <f ca="1">OFFSET(Fuels!$E299,0,L$18)</f>
        <v>-2.2709242076219397E-4</v>
      </c>
      <c r="M93" s="1608">
        <f ca="1">OFFSET(Fuels!$E299,0,M$18)</f>
        <v>-2.713761600286901E-4</v>
      </c>
      <c r="N93" s="1608">
        <f ca="1">OFFSET(Fuels!$E299,0,N$18)</f>
        <v>3.5000000000000004E-6</v>
      </c>
      <c r="O93" s="1608">
        <f ca="1">OFFSET(Fuels!$E299,0,O$18)</f>
        <v>4.8562525606980533E-5</v>
      </c>
      <c r="P93" s="1608">
        <f ca="1">OFFSET(Fuels!$E299,0,P$18)</f>
        <v>-2.7182130099599668E-4</v>
      </c>
      <c r="Q93" s="1608">
        <f ca="1">OFFSET(Fuels!$E299,0,Q$18)</f>
        <v>1.933872310708818E-4</v>
      </c>
      <c r="R93" s="1608">
        <f ca="1">OFFSET(Fuels!$E299,0,R$18)</f>
        <v>1.1111111111111112E-4</v>
      </c>
      <c r="S93" s="1608">
        <f ca="1">OFFSET(Fuels!$E299,0,S$18)</f>
        <v>9.2050841696712929E-6</v>
      </c>
      <c r="T93" s="1608">
        <f ca="1">OFFSET(Fuels!$E299,0,T$18)</f>
        <v>8.832634217616661E-6</v>
      </c>
      <c r="U93" s="1608">
        <f ca="1">OFFSET(Fuels!$E299,0,U$18)</f>
        <v>9.3418063843923003E-6</v>
      </c>
      <c r="V93" s="1608">
        <f ca="1">OFFSET(Fuels!$E299,0,V$18)</f>
        <v>-3.7541716898212854E-4</v>
      </c>
      <c r="W93" s="1608">
        <f ca="1">OFFSET(Fuels!$E299,0,W$18)</f>
        <v>7.3640254070608454E-6</v>
      </c>
      <c r="X93" s="1608">
        <f ca="1">OFFSET(Fuels!$E299,0,X$18)</f>
        <v>8.832634217616661E-6</v>
      </c>
      <c r="Y93" s="1608">
        <f ca="1">OFFSET(Fuels!$E299,0,Y$18)</f>
        <v>-2.2709242076219397E-4</v>
      </c>
      <c r="Z93" s="1608">
        <f ca="1">OFFSET(Fuels!$E299,0,Z$18)</f>
        <v>1.8021390374331553E-5</v>
      </c>
      <c r="AA93" s="1608">
        <f ca="1">OFFSET(Fuels!$E299,0,AA$18)</f>
        <v>8.832634217616661E-6</v>
      </c>
      <c r="AB93" s="1608">
        <f ca="1">OFFSET(Fuels!$E299,0,AB$18)</f>
        <v>-2.2709242076219397E-4</v>
      </c>
      <c r="AC93" s="1608">
        <f ca="1">OFFSET(Fuels!$E299,0,AC$18)</f>
        <v>1.0526315789473685E-4</v>
      </c>
      <c r="AD93" s="1608">
        <f ca="1">OFFSET(Fuels!$E299,0,AD$18)</f>
        <v>8.832634217616661E-6</v>
      </c>
      <c r="AE93" s="1608">
        <f ca="1">OFFSET(Fuels!$E299,0,AE$18)</f>
        <v>-2.2709242076219397E-4</v>
      </c>
      <c r="AF93" s="1608">
        <f ca="1">OFFSET(Fuels!$E299,0,AF$18)</f>
        <v>1.8021390374331553E-5</v>
      </c>
      <c r="AG93" s="1608">
        <f ca="1">OFFSET(Fuels!$E299,0,AG$18)</f>
        <v>8.832634217616661E-6</v>
      </c>
      <c r="AH93" s="1608">
        <f ca="1">OFFSET(Fuels!$E299,0,AH$18)</f>
        <v>2.6825955406750324E-5</v>
      </c>
      <c r="AI93" s="1608">
        <f ca="1">OFFSET(Fuels!$E299,0,AI$18)</f>
        <v>3.5000000000000004E-6</v>
      </c>
      <c r="AJ93" s="1608">
        <f ca="1">OFFSET(Fuels!$E299,0,AJ$18)</f>
        <v>-2.713761600286901E-4</v>
      </c>
      <c r="AK93" s="1608">
        <f ca="1">OFFSET(Fuels!$E299,0,AK$18)</f>
        <v>8.832634217616661E-6</v>
      </c>
      <c r="AL93" s="1608">
        <f ca="1">OFFSET(Fuels!$E299,0,AL$18)</f>
        <v>2.6825955406750324E-5</v>
      </c>
      <c r="AM93" s="1608">
        <f ca="1">OFFSET(Fuels!$E299,0,AM$18)</f>
        <v>3.5000000000000004E-6</v>
      </c>
      <c r="AN93" s="1608">
        <f ca="1">OFFSET(Fuels!$E299,0,AN$18)</f>
        <v>8.832634217616661E-6</v>
      </c>
      <c r="AO93" s="1608">
        <f ca="1">OFFSET(Fuels!$E299,0,AO$18)</f>
        <v>-2.2709242076219397E-4</v>
      </c>
      <c r="AP93" s="1608">
        <f ca="1">OFFSET(Fuels!$E299,0,AP$18)</f>
        <v>1.933872310708818E-4</v>
      </c>
    </row>
    <row r="94" spans="1:42" outlineLevel="1">
      <c r="D94" s="716" t="s">
        <v>26</v>
      </c>
      <c r="E94" s="717" t="s">
        <v>348</v>
      </c>
      <c r="F94" s="1608">
        <f ca="1">OFFSET(Fuels!$E300,0,F$18)</f>
        <v>5.2692757298118132E-5</v>
      </c>
      <c r="G94" s="1608">
        <f ca="1">OFFSET(Fuels!$E300,0,G$18)</f>
        <v>5.3285678596294488E-5</v>
      </c>
      <c r="H94" s="1608">
        <f ca="1">OFFSET(Fuels!$E300,0,H$18)</f>
        <v>6.34952888130722E-3</v>
      </c>
      <c r="I94" s="1608">
        <f ca="1">OFFSET(Fuels!$E300,0,I$18)</f>
        <v>-1.473116652011862E-3</v>
      </c>
      <c r="J94" s="1608">
        <f ca="1">OFFSET(Fuels!$E300,0,J$18)</f>
        <v>-1.2271191819467868E-2</v>
      </c>
      <c r="K94" s="1608">
        <f ca="1">OFFSET(Fuels!$E300,0,K$18)</f>
        <v>1.0818262928434434E-3</v>
      </c>
      <c r="L94" s="1608">
        <f ca="1">OFFSET(Fuels!$E300,0,L$18)</f>
        <v>-1.0148696975070658E-2</v>
      </c>
      <c r="M94" s="1608">
        <f ca="1">OFFSET(Fuels!$E300,0,M$18)</f>
        <v>-1.2721102125391449E-2</v>
      </c>
      <c r="N94" s="1608">
        <f ca="1">OFFSET(Fuels!$E300,0,N$18)</f>
        <v>2.4390015205271157E-5</v>
      </c>
      <c r="O94" s="1608">
        <f ca="1">OFFSET(Fuels!$E300,0,O$18)</f>
        <v>1.7784494189828871E-3</v>
      </c>
      <c r="P94" s="1608">
        <f ca="1">OFFSET(Fuels!$E300,0,P$18)</f>
        <v>-1.2802672352560751E-2</v>
      </c>
      <c r="Q94" s="1608">
        <f ca="1">OFFSET(Fuels!$E300,0,Q$18)</f>
        <v>6.392841896117929E-4</v>
      </c>
      <c r="R94" s="1608">
        <f ca="1">OFFSET(Fuels!$E300,0,R$18)</f>
        <v>3.6730230962093611E-4</v>
      </c>
      <c r="S94" s="1608">
        <f ca="1">OFFSET(Fuels!$E300,0,S$18)</f>
        <v>5.3285678596294488E-5</v>
      </c>
      <c r="T94" s="1608">
        <f ca="1">OFFSET(Fuels!$E300,0,T$18)</f>
        <v>5.2692757298118132E-5</v>
      </c>
      <c r="U94" s="1608">
        <f ca="1">OFFSET(Fuels!$E300,0,U$18)</f>
        <v>5.6380204299158847E-5</v>
      </c>
      <c r="V94" s="1608">
        <f ca="1">OFFSET(Fuels!$E300,0,V$18)</f>
        <v>-1.7145828250523382E-2</v>
      </c>
      <c r="W94" s="1608">
        <f ca="1">OFFSET(Fuels!$E300,0,W$18)</f>
        <v>4.1747468961428574E-5</v>
      </c>
      <c r="X94" s="1608">
        <f ca="1">OFFSET(Fuels!$E300,0,X$18)</f>
        <v>5.2692757298118132E-5</v>
      </c>
      <c r="Y94" s="1608">
        <f ca="1">OFFSET(Fuels!$E300,0,Y$18)</f>
        <v>-1.0148696975070658E-2</v>
      </c>
      <c r="Z94" s="1608">
        <f ca="1">OFFSET(Fuels!$E300,0,Z$18)</f>
        <v>6.891980235857877E-5</v>
      </c>
      <c r="AA94" s="1608">
        <f ca="1">OFFSET(Fuels!$E300,0,AA$18)</f>
        <v>5.2692757298118132E-5</v>
      </c>
      <c r="AB94" s="1608">
        <f ca="1">OFFSET(Fuels!$E300,0,AB$18)</f>
        <v>-1.0148696975070658E-2</v>
      </c>
      <c r="AC94" s="1608">
        <f ca="1">OFFSET(Fuels!$E300,0,AC$18)</f>
        <v>3.4797060911457108E-4</v>
      </c>
      <c r="AD94" s="1608">
        <f ca="1">OFFSET(Fuels!$E300,0,AD$18)</f>
        <v>5.2692757298118132E-5</v>
      </c>
      <c r="AE94" s="1608">
        <f ca="1">OFFSET(Fuels!$E300,0,AE$18)</f>
        <v>-1.0148696975070658E-2</v>
      </c>
      <c r="AF94" s="1608">
        <f ca="1">OFFSET(Fuels!$E300,0,AF$18)</f>
        <v>6.891980235857877E-5</v>
      </c>
      <c r="AG94" s="1608">
        <f ca="1">OFFSET(Fuels!$E300,0,AG$18)</f>
        <v>5.2692757298118132E-5</v>
      </c>
      <c r="AH94" s="1608">
        <f ca="1">OFFSET(Fuels!$E300,0,AH$18)</f>
        <v>1.0818262928434434E-3</v>
      </c>
      <c r="AI94" s="1608">
        <f ca="1">OFFSET(Fuels!$E300,0,AI$18)</f>
        <v>2.4390015205271157E-5</v>
      </c>
      <c r="AJ94" s="1608">
        <f ca="1">OFFSET(Fuels!$E300,0,AJ$18)</f>
        <v>-1.2721102125391449E-2</v>
      </c>
      <c r="AK94" s="1608">
        <f ca="1">OFFSET(Fuels!$E300,0,AK$18)</f>
        <v>5.2692757298118132E-5</v>
      </c>
      <c r="AL94" s="1608">
        <f ca="1">OFFSET(Fuels!$E300,0,AL$18)</f>
        <v>1.0818262928434434E-3</v>
      </c>
      <c r="AM94" s="1608">
        <f ca="1">OFFSET(Fuels!$E300,0,AM$18)</f>
        <v>2.4390015205271157E-5</v>
      </c>
      <c r="AN94" s="1608">
        <f ca="1">OFFSET(Fuels!$E300,0,AN$18)</f>
        <v>5.2692757298118132E-5</v>
      </c>
      <c r="AO94" s="1608">
        <f ca="1">OFFSET(Fuels!$E300,0,AO$18)</f>
        <v>-1.0148696975070658E-2</v>
      </c>
      <c r="AP94" s="1608">
        <f ca="1">OFFSET(Fuels!$E300,0,AP$18)</f>
        <v>6.392841896117929E-4</v>
      </c>
    </row>
    <row r="95" spans="1:42" outlineLevel="1">
      <c r="D95" s="716" t="s">
        <v>25</v>
      </c>
      <c r="E95" s="717" t="s">
        <v>348</v>
      </c>
      <c r="F95" s="1608">
        <f ca="1">OFFSET(Fuels!$E301,0,F$18)</f>
        <v>5.3286730528915228E-2</v>
      </c>
      <c r="G95" s="1608">
        <f ca="1">OFFSET(Fuels!$E301,0,G$18)</f>
        <v>5.3901043635299239E-2</v>
      </c>
      <c r="H95" s="1608">
        <f ca="1">OFFSET(Fuels!$E301,0,H$18)</f>
        <v>0.13968425522421679</v>
      </c>
      <c r="I95" s="1608">
        <f ca="1">OFFSET(Fuels!$E301,0,I$18)</f>
        <v>0.11884156953610545</v>
      </c>
      <c r="J95" s="1608">
        <f ca="1">OFFSET(Fuels!$E301,0,J$18)</f>
        <v>5.1267511326251194E-2</v>
      </c>
      <c r="K95" s="1608">
        <f ca="1">OFFSET(Fuels!$E301,0,K$18)</f>
        <v>0.16913926317706979</v>
      </c>
      <c r="L95" s="1608">
        <f ca="1">OFFSET(Fuels!$E301,0,L$18)</f>
        <v>5.1568729959345756E-2</v>
      </c>
      <c r="M95" s="1608">
        <f ca="1">OFFSET(Fuels!$E301,0,M$18)</f>
        <v>3.5045515024306868E-2</v>
      </c>
      <c r="N95" s="1608">
        <f ca="1">OFFSET(Fuels!$E301,0,N$18)</f>
        <v>4.4715027876330461E-3</v>
      </c>
      <c r="O95" s="1608">
        <f ca="1">OFFSET(Fuels!$E301,0,O$18)</f>
        <v>3.55244244497376E-2</v>
      </c>
      <c r="P95" s="1608">
        <f ca="1">OFFSET(Fuels!$E301,0,P$18)</f>
        <v>3.5223338462907955E-2</v>
      </c>
      <c r="Q95" s="1608">
        <f ca="1">OFFSET(Fuels!$E301,0,Q$18)</f>
        <v>0.18886250856435546</v>
      </c>
      <c r="R95" s="1608">
        <f ca="1">OFFSET(Fuels!$E301,0,R$18)</f>
        <v>0.10851142062283206</v>
      </c>
      <c r="S95" s="1608">
        <f ca="1">OFFSET(Fuels!$E301,0,S$18)</f>
        <v>5.3901043635299239E-2</v>
      </c>
      <c r="T95" s="1608">
        <f ca="1">OFFSET(Fuels!$E301,0,T$18)</f>
        <v>5.3286730528915228E-2</v>
      </c>
      <c r="U95" s="1608">
        <f ca="1">OFFSET(Fuels!$E301,0,U$18)</f>
        <v>5.7009876092447759E-2</v>
      </c>
      <c r="V95" s="1608">
        <f ca="1">OFFSET(Fuels!$E301,0,V$18)</f>
        <v>9.2101031465948571E-2</v>
      </c>
      <c r="W95" s="1608">
        <f ca="1">OFFSET(Fuels!$E301,0,W$18)</f>
        <v>4.2237782105906702E-2</v>
      </c>
      <c r="X95" s="1608">
        <f ca="1">OFFSET(Fuels!$E301,0,X$18)</f>
        <v>5.3286730528915228E-2</v>
      </c>
      <c r="Y95" s="1608">
        <f ca="1">OFFSET(Fuels!$E301,0,Y$18)</f>
        <v>5.1568729959345756E-2</v>
      </c>
      <c r="Z95" s="1608">
        <f ca="1">OFFSET(Fuels!$E301,0,Z$18)</f>
        <v>1.1731553783564753E-2</v>
      </c>
      <c r="AA95" s="1608">
        <f ca="1">OFFSET(Fuels!$E301,0,AA$18)</f>
        <v>5.3286730528915228E-2</v>
      </c>
      <c r="AB95" s="1608">
        <f ca="1">OFFSET(Fuels!$E301,0,AB$18)</f>
        <v>5.1568729959345756E-2</v>
      </c>
      <c r="AC95" s="1608">
        <f ca="1">OFFSET(Fuels!$E301,0,AC$18)</f>
        <v>0.10280029322163038</v>
      </c>
      <c r="AD95" s="1608">
        <f ca="1">OFFSET(Fuels!$E301,0,AD$18)</f>
        <v>5.3286730528915228E-2</v>
      </c>
      <c r="AE95" s="1608">
        <f ca="1">OFFSET(Fuels!$E301,0,AE$18)</f>
        <v>5.1568729959345756E-2</v>
      </c>
      <c r="AF95" s="1608">
        <f ca="1">OFFSET(Fuels!$E301,0,AF$18)</f>
        <v>1.1731553783564753E-2</v>
      </c>
      <c r="AG95" s="1608">
        <f ca="1">OFFSET(Fuels!$E301,0,AG$18)</f>
        <v>5.3286730528915228E-2</v>
      </c>
      <c r="AH95" s="1608">
        <f ca="1">OFFSET(Fuels!$E301,0,AH$18)</f>
        <v>0.16913926317706979</v>
      </c>
      <c r="AI95" s="1608">
        <f ca="1">OFFSET(Fuels!$E301,0,AI$18)</f>
        <v>4.4715027876330461E-3</v>
      </c>
      <c r="AJ95" s="1608">
        <f ca="1">OFFSET(Fuels!$E301,0,AJ$18)</f>
        <v>3.5045515024306868E-2</v>
      </c>
      <c r="AK95" s="1608">
        <f ca="1">OFFSET(Fuels!$E301,0,AK$18)</f>
        <v>5.3286730528915228E-2</v>
      </c>
      <c r="AL95" s="1608">
        <f ca="1">OFFSET(Fuels!$E301,0,AL$18)</f>
        <v>0.16913926317706979</v>
      </c>
      <c r="AM95" s="1608">
        <f ca="1">OFFSET(Fuels!$E301,0,AM$18)</f>
        <v>4.4715027876330461E-3</v>
      </c>
      <c r="AN95" s="1608">
        <f ca="1">OFFSET(Fuels!$E301,0,AN$18)</f>
        <v>5.3286730528915228E-2</v>
      </c>
      <c r="AO95" s="1608">
        <f ca="1">OFFSET(Fuels!$E301,0,AO$18)</f>
        <v>5.1568729959345756E-2</v>
      </c>
      <c r="AP95" s="1608">
        <f ca="1">OFFSET(Fuels!$E301,0,AP$18)</f>
        <v>0.18886250856435546</v>
      </c>
    </row>
    <row r="96" spans="1:42" outlineLevel="1">
      <c r="D96" s="724" t="s">
        <v>45</v>
      </c>
      <c r="E96" s="725" t="s">
        <v>348</v>
      </c>
      <c r="F96" s="1609">
        <f ca="1">OFFSET(Fuels!$E302,0,F$18)</f>
        <v>1.9193649762528854E-5</v>
      </c>
      <c r="G96" s="1609">
        <f ca="1">OFFSET(Fuels!$E302,0,G$18)</f>
        <v>2.0517988448664011E-5</v>
      </c>
      <c r="H96" s="1609">
        <f ca="1">OFFSET(Fuels!$E302,0,H$18)</f>
        <v>6.7781566510687779E-4</v>
      </c>
      <c r="I96" s="1609">
        <f ca="1">OFFSET(Fuels!$E302,0,I$18)</f>
        <v>-1.4022033489312241E-4</v>
      </c>
      <c r="J96" s="1609">
        <f ca="1">OFFSET(Fuels!$E302,0,J$18)</f>
        <v>-1.2663263348931223E-3</v>
      </c>
      <c r="K96" s="1609">
        <f ca="1">OFFSET(Fuels!$E302,0,K$18)</f>
        <v>1.1830518946787187E-4</v>
      </c>
      <c r="L96" s="1609">
        <f ca="1">OFFSET(Fuels!$E302,0,L$18)</f>
        <v>-1.0585945400106431E-3</v>
      </c>
      <c r="M96" s="1609">
        <f ca="1">OFFSET(Fuels!$E302,0,M$18)</f>
        <v>-1.3077765483025939E-3</v>
      </c>
      <c r="N96" s="1609">
        <f ca="1">OFFSET(Fuels!$E302,0,N$18)</f>
        <v>3.5000000000000004E-6</v>
      </c>
      <c r="O96" s="1609">
        <f ca="1">OFFSET(Fuels!$E302,0,O$18)</f>
        <v>1.9141629463207855E-4</v>
      </c>
      <c r="P96" s="1609">
        <f ca="1">OFFSET(Fuels!$E302,0,P$18)</f>
        <v>-1.3109715288993362E-3</v>
      </c>
      <c r="Q96" s="1609">
        <f ca="1">OFFSET(Fuels!$E302,0,Q$18)</f>
        <v>1.933872310708818E-4</v>
      </c>
      <c r="R96" s="1609">
        <f ca="1">OFFSET(Fuels!$E302,0,R$18)</f>
        <v>1.1111111111111112E-4</v>
      </c>
      <c r="S96" s="1609">
        <f ca="1">OFFSET(Fuels!$E302,0,S$18)</f>
        <v>2.0517988448664011E-5</v>
      </c>
      <c r="T96" s="1609">
        <f ca="1">OFFSET(Fuels!$E302,0,T$18)</f>
        <v>1.9193649762528854E-5</v>
      </c>
      <c r="U96" s="1609">
        <f ca="1">OFFSET(Fuels!$E302,0,U$18)</f>
        <v>2.0094646451662072E-5</v>
      </c>
      <c r="V96" s="1609">
        <f ca="1">OFFSET(Fuels!$E302,0,V$18)</f>
        <v>-1.7896724562686784E-3</v>
      </c>
      <c r="W96" s="1609">
        <f ca="1">OFFSET(Fuels!$E302,0,W$18)</f>
        <v>1.6692762650450424E-5</v>
      </c>
      <c r="X96" s="1609">
        <f ca="1">OFFSET(Fuels!$E302,0,X$18)</f>
        <v>1.9193649762528854E-5</v>
      </c>
      <c r="Y96" s="1609">
        <f ca="1">OFFSET(Fuels!$E302,0,Y$18)</f>
        <v>-1.0585945400106431E-3</v>
      </c>
      <c r="Z96" s="1609">
        <f ca="1">OFFSET(Fuels!$E302,0,Z$18)</f>
        <v>1.8021390374331553E-5</v>
      </c>
      <c r="AA96" s="1609">
        <f ca="1">OFFSET(Fuels!$E302,0,AA$18)</f>
        <v>1.9193649762528854E-5</v>
      </c>
      <c r="AB96" s="1609">
        <f ca="1">OFFSET(Fuels!$E302,0,AB$18)</f>
        <v>-1.0585945400106431E-3</v>
      </c>
      <c r="AC96" s="1609">
        <f ca="1">OFFSET(Fuels!$E302,0,AC$18)</f>
        <v>1.0526315789473685E-4</v>
      </c>
      <c r="AD96" s="1609">
        <f ca="1">OFFSET(Fuels!$E302,0,AD$18)</f>
        <v>1.9193649762528854E-5</v>
      </c>
      <c r="AE96" s="1609">
        <f ca="1">OFFSET(Fuels!$E302,0,AE$18)</f>
        <v>-1.0585945400106431E-3</v>
      </c>
      <c r="AF96" s="1609">
        <f ca="1">OFFSET(Fuels!$E302,0,AF$18)</f>
        <v>1.8021390374331553E-5</v>
      </c>
      <c r="AG96" s="1609">
        <f ca="1">OFFSET(Fuels!$E302,0,AG$18)</f>
        <v>1.9193649762528854E-5</v>
      </c>
      <c r="AH96" s="1609">
        <f ca="1">OFFSET(Fuels!$E302,0,AH$18)</f>
        <v>1.1830518946787187E-4</v>
      </c>
      <c r="AI96" s="1609">
        <f ca="1">OFFSET(Fuels!$E302,0,AI$18)</f>
        <v>3.5000000000000004E-6</v>
      </c>
      <c r="AJ96" s="1609">
        <f ca="1">OFFSET(Fuels!$E302,0,AJ$18)</f>
        <v>-1.3077765483025939E-3</v>
      </c>
      <c r="AK96" s="1609">
        <f ca="1">OFFSET(Fuels!$E302,0,AK$18)</f>
        <v>1.9193649762528854E-5</v>
      </c>
      <c r="AL96" s="1609">
        <f ca="1">OFFSET(Fuels!$E302,0,AL$18)</f>
        <v>1.1830518946787187E-4</v>
      </c>
      <c r="AM96" s="1609">
        <f ca="1">OFFSET(Fuels!$E302,0,AM$18)</f>
        <v>3.5000000000000004E-6</v>
      </c>
      <c r="AN96" s="1609">
        <f ca="1">OFFSET(Fuels!$E302,0,AN$18)</f>
        <v>1.9193649762528854E-5</v>
      </c>
      <c r="AO96" s="1609">
        <f ca="1">OFFSET(Fuels!$E302,0,AO$18)</f>
        <v>-1.0585945400106431E-3</v>
      </c>
      <c r="AP96" s="1609">
        <f ca="1">OFFSET(Fuels!$E302,0,AP$18)</f>
        <v>1.933872310708818E-4</v>
      </c>
    </row>
    <row r="97" spans="4:42" outlineLevel="1"/>
    <row r="98" spans="4:42" outlineLevel="1">
      <c r="D98" s="709" t="s">
        <v>829</v>
      </c>
    </row>
    <row r="99" spans="4:42" outlineLevel="1">
      <c r="D99" s="722" t="s">
        <v>24</v>
      </c>
      <c r="E99" s="723" t="s">
        <v>348</v>
      </c>
      <c r="F99" s="1610">
        <f ca="1">IF(F$8="",0,OFFSET(Fuels!$E297,0,F$19))</f>
        <v>0</v>
      </c>
      <c r="G99" s="1610">
        <f ca="1">IF(G$8="",0,OFFSET(Fuels!$E297,0,G$19))</f>
        <v>0</v>
      </c>
      <c r="H99" s="1610">
        <f ca="1">IF(H$8="",0,OFFSET(Fuels!$E297,0,H$19))</f>
        <v>8.8651366423790137</v>
      </c>
      <c r="I99" s="1610">
        <f ca="1">IF(I$8="",0,OFFSET(Fuels!$E297,0,I$19))</f>
        <v>8.8651366423790137</v>
      </c>
      <c r="J99" s="1610">
        <f ca="1">IF(J$8="",0,OFFSET(Fuels!$E297,0,J$19))</f>
        <v>8.8651366423790137</v>
      </c>
      <c r="K99" s="1610">
        <f ca="1">IF(K$8="",0,OFFSET(Fuels!$E297,0,K$19))</f>
        <v>0</v>
      </c>
      <c r="L99" s="1610">
        <f ca="1">IF(L$8="",0,OFFSET(Fuels!$E297,0,L$19))</f>
        <v>0</v>
      </c>
      <c r="M99" s="1610">
        <f ca="1">IF(M$8="",0,OFFSET(Fuels!$E297,0,M$19))</f>
        <v>0</v>
      </c>
      <c r="N99" s="1610">
        <f ca="1">IF(N$8="",0,OFFSET(Fuels!$E297,0,N$19))</f>
        <v>0</v>
      </c>
      <c r="O99" s="1610">
        <f ca="1">IF(O$8="",0,OFFSET(Fuels!$E297,0,O$19))</f>
        <v>0</v>
      </c>
      <c r="P99" s="1610">
        <f ca="1">IF(P$8="",0,OFFSET(Fuels!$E297,0,P$19))</f>
        <v>5.7003274307270049</v>
      </c>
      <c r="Q99" s="1610">
        <f ca="1">IF(Q$8="",0,OFFSET(Fuels!$E297,0,Q$19))</f>
        <v>5.7003274307270049</v>
      </c>
      <c r="R99" s="1610">
        <f ca="1">IF(R$8="",0,OFFSET(Fuels!$E297,0,R$19))</f>
        <v>0</v>
      </c>
      <c r="S99" s="1610">
        <f ca="1">IF(S$8="",0,OFFSET(Fuels!$E297,0,S$19))</f>
        <v>5.7003274307270049</v>
      </c>
      <c r="T99" s="1610">
        <f ca="1">IF(T$8="",0,OFFSET(Fuels!$E297,0,T$19))</f>
        <v>0</v>
      </c>
      <c r="U99" s="1610">
        <f ca="1">IF(U$8="",0,OFFSET(Fuels!$E297,0,U$19))</f>
        <v>0</v>
      </c>
      <c r="V99" s="1610">
        <f ca="1">IF(V$8="",0,OFFSET(Fuels!$E297,0,V$19))</f>
        <v>0</v>
      </c>
      <c r="W99" s="1610">
        <f ca="1">IF(W$8="",0,OFFSET(Fuels!$E297,0,W$19))</f>
        <v>0</v>
      </c>
      <c r="X99" s="1610">
        <f ca="1">IF(X$8="",0,OFFSET(Fuels!$E297,0,X$19))</f>
        <v>0</v>
      </c>
      <c r="Y99" s="1610">
        <f ca="1">IF(Y$8="",0,OFFSET(Fuels!$E297,0,Y$19))</f>
        <v>0</v>
      </c>
      <c r="Z99" s="1610">
        <f ca="1">IF(Z$8="",0,OFFSET(Fuels!$E297,0,Z$19))</f>
        <v>8.7673153261627608</v>
      </c>
      <c r="AA99" s="1610">
        <f ca="1">IF(AA$8="",0,OFFSET(Fuels!$E297,0,AA$19))</f>
        <v>0</v>
      </c>
      <c r="AB99" s="1610">
        <f ca="1">IF(AB$8="",0,OFFSET(Fuels!$E297,0,AB$19))</f>
        <v>0</v>
      </c>
      <c r="AC99" s="1610">
        <f ca="1">IF(AC$8="",0,OFFSET(Fuels!$E297,0,AC$19))</f>
        <v>0</v>
      </c>
      <c r="AD99" s="1610">
        <f ca="1">IF(AD$8="",0,OFFSET(Fuels!$E297,0,AD$19))</f>
        <v>0</v>
      </c>
      <c r="AE99" s="1610">
        <f ca="1">IF(AE$8="",0,OFFSET(Fuels!$E297,0,AE$19))</f>
        <v>0</v>
      </c>
      <c r="AF99" s="1610">
        <f ca="1">IF(AF$8="",0,OFFSET(Fuels!$E297,0,AF$19))</f>
        <v>8.7673153261627608</v>
      </c>
      <c r="AG99" s="1610">
        <f ca="1">IF(AG$8="",0,OFFSET(Fuels!$E297,0,AG$19))</f>
        <v>0</v>
      </c>
      <c r="AH99" s="1610">
        <f ca="1">IF(AH$8="",0,OFFSET(Fuels!$E297,0,AH$19))</f>
        <v>0</v>
      </c>
      <c r="AI99" s="1610">
        <f ca="1">IF(AI$8="",0,OFFSET(Fuels!$E297,0,AI$19))</f>
        <v>0</v>
      </c>
      <c r="AJ99" s="1610">
        <f ca="1">IF(AJ$8="",0,OFFSET(Fuels!$E297,0,AJ$19))</f>
        <v>0</v>
      </c>
      <c r="AK99" s="1610">
        <f ca="1">IF(AK$8="",0,OFFSET(Fuels!$E297,0,AK$19))</f>
        <v>0</v>
      </c>
      <c r="AL99" s="1610">
        <f ca="1">IF(AL$8="",0,OFFSET(Fuels!$E297,0,AL$19))</f>
        <v>0</v>
      </c>
      <c r="AM99" s="1610">
        <f ca="1">IF(AM$8="",0,OFFSET(Fuels!$E297,0,AM$19))</f>
        <v>0</v>
      </c>
      <c r="AN99" s="1610">
        <f ca="1">IF(AN$8="",0,OFFSET(Fuels!$E297,0,AN$19))</f>
        <v>0</v>
      </c>
      <c r="AO99" s="1610">
        <f ca="1">IF(AO$8="",0,OFFSET(Fuels!$E297,0,AO$19))</f>
        <v>0</v>
      </c>
      <c r="AP99" s="1610">
        <f ca="1">IF(AP$8="",0,OFFSET(Fuels!$E297,0,AP$19))</f>
        <v>0</v>
      </c>
    </row>
    <row r="100" spans="4:42" outlineLevel="1">
      <c r="D100" s="716" t="s">
        <v>27</v>
      </c>
      <c r="E100" s="717" t="s">
        <v>348</v>
      </c>
      <c r="F100" s="1611">
        <f ca="1">IF(F$8="",0,OFFSET(Fuels!$E298,0,F$19))</f>
        <v>0</v>
      </c>
      <c r="G100" s="1611">
        <f ca="1">IF(G$8="",0,OFFSET(Fuels!$E298,0,G$19))</f>
        <v>0</v>
      </c>
      <c r="H100" s="1611">
        <f ca="1">IF(H$8="",0,OFFSET(Fuels!$E298,0,H$19))</f>
        <v>1.175278584394831E-5</v>
      </c>
      <c r="I100" s="1611">
        <f ca="1">IF(I$8="",0,OFFSET(Fuels!$E298,0,I$19))</f>
        <v>1.175278584394831E-5</v>
      </c>
      <c r="J100" s="1611">
        <f ca="1">IF(J$8="",0,OFFSET(Fuels!$E298,0,J$19))</f>
        <v>1.175278584394831E-5</v>
      </c>
      <c r="K100" s="1611">
        <f ca="1">IF(K$8="",0,OFFSET(Fuels!$E298,0,K$19))</f>
        <v>0</v>
      </c>
      <c r="L100" s="1611">
        <f ca="1">IF(L$8="",0,OFFSET(Fuels!$E298,0,L$19))</f>
        <v>0</v>
      </c>
      <c r="M100" s="1611">
        <f ca="1">IF(M$8="",0,OFFSET(Fuels!$E298,0,M$19))</f>
        <v>0</v>
      </c>
      <c r="N100" s="1611">
        <f ca="1">IF(N$8="",0,OFFSET(Fuels!$E298,0,N$19))</f>
        <v>0</v>
      </c>
      <c r="O100" s="1611">
        <f ca="1">IF(O$8="",0,OFFSET(Fuels!$E298,0,O$19))</f>
        <v>0</v>
      </c>
      <c r="P100" s="1611">
        <f ca="1">IF(P$8="",0,OFFSET(Fuels!$E298,0,P$19))</f>
        <v>1.1111111111111112E-4</v>
      </c>
      <c r="Q100" s="1611">
        <f ca="1">IF(Q$8="",0,OFFSET(Fuels!$E298,0,Q$19))</f>
        <v>1.1111111111111112E-4</v>
      </c>
      <c r="R100" s="1611">
        <f ca="1">IF(R$8="",0,OFFSET(Fuels!$E298,0,R$19))</f>
        <v>0</v>
      </c>
      <c r="S100" s="1611">
        <f ca="1">IF(S$8="",0,OFFSET(Fuels!$E298,0,S$19))</f>
        <v>1.1111111111111112E-4</v>
      </c>
      <c r="T100" s="1611">
        <f ca="1">IF(T$8="",0,OFFSET(Fuels!$E298,0,T$19))</f>
        <v>0</v>
      </c>
      <c r="U100" s="1611">
        <f ca="1">IF(U$8="",0,OFFSET(Fuels!$E298,0,U$19))</f>
        <v>0</v>
      </c>
      <c r="V100" s="1611">
        <f ca="1">IF(V$8="",0,OFFSET(Fuels!$E298,0,V$19))</f>
        <v>0</v>
      </c>
      <c r="W100" s="1611">
        <f ca="1">IF(W$8="",0,OFFSET(Fuels!$E298,0,W$19))</f>
        <v>0</v>
      </c>
      <c r="X100" s="1611">
        <f ca="1">IF(X$8="",0,OFFSET(Fuels!$E298,0,X$19))</f>
        <v>0</v>
      </c>
      <c r="Y100" s="1611">
        <f ca="1">IF(Y$8="",0,OFFSET(Fuels!$E298,0,Y$19))</f>
        <v>0</v>
      </c>
      <c r="Z100" s="1611">
        <f ca="1">IF(Z$8="",0,OFFSET(Fuels!$E298,0,Z$19))</f>
        <v>1.1165967550949995E-5</v>
      </c>
      <c r="AA100" s="1611">
        <f ca="1">IF(AA$8="",0,OFFSET(Fuels!$E298,0,AA$19))</f>
        <v>0</v>
      </c>
      <c r="AB100" s="1611">
        <f ca="1">IF(AB$8="",0,OFFSET(Fuels!$E298,0,AB$19))</f>
        <v>0</v>
      </c>
      <c r="AC100" s="1611">
        <f ca="1">IF(AC$8="",0,OFFSET(Fuels!$E298,0,AC$19))</f>
        <v>0</v>
      </c>
      <c r="AD100" s="1611">
        <f ca="1">IF(AD$8="",0,OFFSET(Fuels!$E298,0,AD$19))</f>
        <v>0</v>
      </c>
      <c r="AE100" s="1611">
        <f ca="1">IF(AE$8="",0,OFFSET(Fuels!$E298,0,AE$19))</f>
        <v>0</v>
      </c>
      <c r="AF100" s="1611">
        <f ca="1">IF(AF$8="",0,OFFSET(Fuels!$E298,0,AF$19))</f>
        <v>1.1165967550949995E-5</v>
      </c>
      <c r="AG100" s="1611">
        <f ca="1">IF(AG$8="",0,OFFSET(Fuels!$E298,0,AG$19))</f>
        <v>0</v>
      </c>
      <c r="AH100" s="1611">
        <f ca="1">IF(AH$8="",0,OFFSET(Fuels!$E298,0,AH$19))</f>
        <v>0</v>
      </c>
      <c r="AI100" s="1611">
        <f ca="1">IF(AI$8="",0,OFFSET(Fuels!$E298,0,AI$19))</f>
        <v>0</v>
      </c>
      <c r="AJ100" s="1611">
        <f ca="1">IF(AJ$8="",0,OFFSET(Fuels!$E298,0,AJ$19))</f>
        <v>0</v>
      </c>
      <c r="AK100" s="1611">
        <f ca="1">IF(AK$8="",0,OFFSET(Fuels!$E298,0,AK$19))</f>
        <v>0</v>
      </c>
      <c r="AL100" s="1611">
        <f ca="1">IF(AL$8="",0,OFFSET(Fuels!$E298,0,AL$19))</f>
        <v>0</v>
      </c>
      <c r="AM100" s="1611">
        <f ca="1">IF(AM$8="",0,OFFSET(Fuels!$E298,0,AM$19))</f>
        <v>0</v>
      </c>
      <c r="AN100" s="1611">
        <f ca="1">IF(AN$8="",0,OFFSET(Fuels!$E298,0,AN$19))</f>
        <v>0</v>
      </c>
      <c r="AO100" s="1611">
        <f ca="1">IF(AO$8="",0,OFFSET(Fuels!$E298,0,AO$19))</f>
        <v>0</v>
      </c>
      <c r="AP100" s="1611">
        <f ca="1">IF(AP$8="",0,OFFSET(Fuels!$E298,0,AP$19))</f>
        <v>0</v>
      </c>
    </row>
    <row r="101" spans="4:42" outlineLevel="1">
      <c r="D101" s="716" t="s">
        <v>28</v>
      </c>
      <c r="E101" s="717" t="s">
        <v>348</v>
      </c>
      <c r="F101" s="1611">
        <f ca="1">IF(F$8="",0,OFFSET(Fuels!$E299,0,F$19))</f>
        <v>0</v>
      </c>
      <c r="G101" s="1611">
        <f ca="1">IF(G$8="",0,OFFSET(Fuels!$E299,0,G$19))</f>
        <v>0</v>
      </c>
      <c r="H101" s="1611">
        <f ca="1">IF(H$8="",0,OFFSET(Fuels!$E299,0,H$19))</f>
        <v>9.2050841696712929E-6</v>
      </c>
      <c r="I101" s="1611">
        <f ca="1">IF(I$8="",0,OFFSET(Fuels!$E299,0,I$19))</f>
        <v>9.2050841696712929E-6</v>
      </c>
      <c r="J101" s="1611">
        <f ca="1">IF(J$8="",0,OFFSET(Fuels!$E299,0,J$19))</f>
        <v>9.2050841696712929E-6</v>
      </c>
      <c r="K101" s="1611">
        <f ca="1">IF(K$8="",0,OFFSET(Fuels!$E299,0,K$19))</f>
        <v>0</v>
      </c>
      <c r="L101" s="1611">
        <f ca="1">IF(L$8="",0,OFFSET(Fuels!$E299,0,L$19))</f>
        <v>0</v>
      </c>
      <c r="M101" s="1611">
        <f ca="1">IF(M$8="",0,OFFSET(Fuels!$E299,0,M$19))</f>
        <v>0</v>
      </c>
      <c r="N101" s="1611">
        <f ca="1">IF(N$8="",0,OFFSET(Fuels!$E299,0,N$19))</f>
        <v>0</v>
      </c>
      <c r="O101" s="1611">
        <f ca="1">IF(O$8="",0,OFFSET(Fuels!$E299,0,O$19))</f>
        <v>0</v>
      </c>
      <c r="P101" s="1611">
        <f ca="1">IF(P$8="",0,OFFSET(Fuels!$E299,0,P$19))</f>
        <v>1.1111111111111112E-4</v>
      </c>
      <c r="Q101" s="1611">
        <f ca="1">IF(Q$8="",0,OFFSET(Fuels!$E299,0,Q$19))</f>
        <v>1.1111111111111112E-4</v>
      </c>
      <c r="R101" s="1611">
        <f ca="1">IF(R$8="",0,OFFSET(Fuels!$E299,0,R$19))</f>
        <v>0</v>
      </c>
      <c r="S101" s="1611">
        <f ca="1">IF(S$8="",0,OFFSET(Fuels!$E299,0,S$19))</f>
        <v>1.1111111111111112E-4</v>
      </c>
      <c r="T101" s="1611">
        <f ca="1">IF(T$8="",0,OFFSET(Fuels!$E299,0,T$19))</f>
        <v>0</v>
      </c>
      <c r="U101" s="1611">
        <f ca="1">IF(U$8="",0,OFFSET(Fuels!$E299,0,U$19))</f>
        <v>0</v>
      </c>
      <c r="V101" s="1611">
        <f ca="1">IF(V$8="",0,OFFSET(Fuels!$E299,0,V$19))</f>
        <v>0</v>
      </c>
      <c r="W101" s="1611">
        <f ca="1">IF(W$8="",0,OFFSET(Fuels!$E299,0,W$19))</f>
        <v>0</v>
      </c>
      <c r="X101" s="1611">
        <f ca="1">IF(X$8="",0,OFFSET(Fuels!$E299,0,X$19))</f>
        <v>0</v>
      </c>
      <c r="Y101" s="1611">
        <f ca="1">IF(Y$8="",0,OFFSET(Fuels!$E299,0,Y$19))</f>
        <v>0</v>
      </c>
      <c r="Z101" s="1611">
        <f ca="1">IF(Z$8="",0,OFFSET(Fuels!$E299,0,Z$19))</f>
        <v>8.832634217616661E-6</v>
      </c>
      <c r="AA101" s="1611">
        <f ca="1">IF(AA$8="",0,OFFSET(Fuels!$E299,0,AA$19))</f>
        <v>0</v>
      </c>
      <c r="AB101" s="1611">
        <f ca="1">IF(AB$8="",0,OFFSET(Fuels!$E299,0,AB$19))</f>
        <v>0</v>
      </c>
      <c r="AC101" s="1611">
        <f ca="1">IF(AC$8="",0,OFFSET(Fuels!$E299,0,AC$19))</f>
        <v>0</v>
      </c>
      <c r="AD101" s="1611">
        <f ca="1">IF(AD$8="",0,OFFSET(Fuels!$E299,0,AD$19))</f>
        <v>0</v>
      </c>
      <c r="AE101" s="1611">
        <f ca="1">IF(AE$8="",0,OFFSET(Fuels!$E299,0,AE$19))</f>
        <v>0</v>
      </c>
      <c r="AF101" s="1611">
        <f ca="1">IF(AF$8="",0,OFFSET(Fuels!$E299,0,AF$19))</f>
        <v>8.832634217616661E-6</v>
      </c>
      <c r="AG101" s="1611">
        <f ca="1">IF(AG$8="",0,OFFSET(Fuels!$E299,0,AG$19))</f>
        <v>0</v>
      </c>
      <c r="AH101" s="1611">
        <f ca="1">IF(AH$8="",0,OFFSET(Fuels!$E299,0,AH$19))</f>
        <v>0</v>
      </c>
      <c r="AI101" s="1611">
        <f ca="1">IF(AI$8="",0,OFFSET(Fuels!$E299,0,AI$19))</f>
        <v>0</v>
      </c>
      <c r="AJ101" s="1611">
        <f ca="1">IF(AJ$8="",0,OFFSET(Fuels!$E299,0,AJ$19))</f>
        <v>0</v>
      </c>
      <c r="AK101" s="1611">
        <f ca="1">IF(AK$8="",0,OFFSET(Fuels!$E299,0,AK$19))</f>
        <v>0</v>
      </c>
      <c r="AL101" s="1611">
        <f ca="1">IF(AL$8="",0,OFFSET(Fuels!$E299,0,AL$19))</f>
        <v>0</v>
      </c>
      <c r="AM101" s="1611">
        <f ca="1">IF(AM$8="",0,OFFSET(Fuels!$E299,0,AM$19))</f>
        <v>0</v>
      </c>
      <c r="AN101" s="1611">
        <f ca="1">IF(AN$8="",0,OFFSET(Fuels!$E299,0,AN$19))</f>
        <v>0</v>
      </c>
      <c r="AO101" s="1611">
        <f ca="1">IF(AO$8="",0,OFFSET(Fuels!$E299,0,AO$19))</f>
        <v>0</v>
      </c>
      <c r="AP101" s="1611">
        <f ca="1">IF(AP$8="",0,OFFSET(Fuels!$E299,0,AP$19))</f>
        <v>0</v>
      </c>
    </row>
    <row r="102" spans="4:42" outlineLevel="1">
      <c r="D102" s="716" t="s">
        <v>26</v>
      </c>
      <c r="E102" s="717" t="s">
        <v>348</v>
      </c>
      <c r="F102" s="1611">
        <f ca="1">IF(F$8="",0,OFFSET(Fuels!$E300,0,F$19))</f>
        <v>0</v>
      </c>
      <c r="G102" s="1611">
        <f ca="1">IF(G$8="",0,OFFSET(Fuels!$E300,0,G$19))</f>
        <v>0</v>
      </c>
      <c r="H102" s="1611">
        <f ca="1">IF(H$8="",0,OFFSET(Fuels!$E300,0,H$19))</f>
        <v>5.3285678596294488E-5</v>
      </c>
      <c r="I102" s="1611">
        <f ca="1">IF(I$8="",0,OFFSET(Fuels!$E300,0,I$19))</f>
        <v>5.3285678596294488E-5</v>
      </c>
      <c r="J102" s="1611">
        <f ca="1">IF(J$8="",0,OFFSET(Fuels!$E300,0,J$19))</f>
        <v>5.3285678596294488E-5</v>
      </c>
      <c r="K102" s="1611">
        <f ca="1">IF(K$8="",0,OFFSET(Fuels!$E300,0,K$19))</f>
        <v>0</v>
      </c>
      <c r="L102" s="1611">
        <f ca="1">IF(L$8="",0,OFFSET(Fuels!$E300,0,L$19))</f>
        <v>0</v>
      </c>
      <c r="M102" s="1611">
        <f ca="1">IF(M$8="",0,OFFSET(Fuels!$E300,0,M$19))</f>
        <v>0</v>
      </c>
      <c r="N102" s="1611">
        <f ca="1">IF(N$8="",0,OFFSET(Fuels!$E300,0,N$19))</f>
        <v>0</v>
      </c>
      <c r="O102" s="1611">
        <f ca="1">IF(O$8="",0,OFFSET(Fuels!$E300,0,O$19))</f>
        <v>0</v>
      </c>
      <c r="P102" s="1611">
        <f ca="1">IF(P$8="",0,OFFSET(Fuels!$E300,0,P$19))</f>
        <v>3.6730230962093611E-4</v>
      </c>
      <c r="Q102" s="1611">
        <f ca="1">IF(Q$8="",0,OFFSET(Fuels!$E300,0,Q$19))</f>
        <v>3.6730230962093611E-4</v>
      </c>
      <c r="R102" s="1611">
        <f ca="1">IF(R$8="",0,OFFSET(Fuels!$E300,0,R$19))</f>
        <v>0</v>
      </c>
      <c r="S102" s="1611">
        <f ca="1">IF(S$8="",0,OFFSET(Fuels!$E300,0,S$19))</f>
        <v>3.6730230962093611E-4</v>
      </c>
      <c r="T102" s="1611">
        <f ca="1">IF(T$8="",0,OFFSET(Fuels!$E300,0,T$19))</f>
        <v>0</v>
      </c>
      <c r="U102" s="1611">
        <f ca="1">IF(U$8="",0,OFFSET(Fuels!$E300,0,U$19))</f>
        <v>0</v>
      </c>
      <c r="V102" s="1611">
        <f ca="1">IF(V$8="",0,OFFSET(Fuels!$E300,0,V$19))</f>
        <v>0</v>
      </c>
      <c r="W102" s="1611">
        <f ca="1">IF(W$8="",0,OFFSET(Fuels!$E300,0,W$19))</f>
        <v>0</v>
      </c>
      <c r="X102" s="1611">
        <f ca="1">IF(X$8="",0,OFFSET(Fuels!$E300,0,X$19))</f>
        <v>0</v>
      </c>
      <c r="Y102" s="1611">
        <f ca="1">IF(Y$8="",0,OFFSET(Fuels!$E300,0,Y$19))</f>
        <v>0</v>
      </c>
      <c r="Z102" s="1611">
        <f ca="1">IF(Z$8="",0,OFFSET(Fuels!$E300,0,Z$19))</f>
        <v>5.2692757298118132E-5</v>
      </c>
      <c r="AA102" s="1611">
        <f ca="1">IF(AA$8="",0,OFFSET(Fuels!$E300,0,AA$19))</f>
        <v>0</v>
      </c>
      <c r="AB102" s="1611">
        <f ca="1">IF(AB$8="",0,OFFSET(Fuels!$E300,0,AB$19))</f>
        <v>0</v>
      </c>
      <c r="AC102" s="1611">
        <f ca="1">IF(AC$8="",0,OFFSET(Fuels!$E300,0,AC$19))</f>
        <v>0</v>
      </c>
      <c r="AD102" s="1611">
        <f ca="1">IF(AD$8="",0,OFFSET(Fuels!$E300,0,AD$19))</f>
        <v>0</v>
      </c>
      <c r="AE102" s="1611">
        <f ca="1">IF(AE$8="",0,OFFSET(Fuels!$E300,0,AE$19))</f>
        <v>0</v>
      </c>
      <c r="AF102" s="1611">
        <f ca="1">IF(AF$8="",0,OFFSET(Fuels!$E300,0,AF$19))</f>
        <v>5.2692757298118132E-5</v>
      </c>
      <c r="AG102" s="1611">
        <f ca="1">IF(AG$8="",0,OFFSET(Fuels!$E300,0,AG$19))</f>
        <v>0</v>
      </c>
      <c r="AH102" s="1611">
        <f ca="1">IF(AH$8="",0,OFFSET(Fuels!$E300,0,AH$19))</f>
        <v>0</v>
      </c>
      <c r="AI102" s="1611">
        <f ca="1">IF(AI$8="",0,OFFSET(Fuels!$E300,0,AI$19))</f>
        <v>0</v>
      </c>
      <c r="AJ102" s="1611">
        <f ca="1">IF(AJ$8="",0,OFFSET(Fuels!$E300,0,AJ$19))</f>
        <v>0</v>
      </c>
      <c r="AK102" s="1611">
        <f ca="1">IF(AK$8="",0,OFFSET(Fuels!$E300,0,AK$19))</f>
        <v>0</v>
      </c>
      <c r="AL102" s="1611">
        <f ca="1">IF(AL$8="",0,OFFSET(Fuels!$E300,0,AL$19))</f>
        <v>0</v>
      </c>
      <c r="AM102" s="1611">
        <f ca="1">IF(AM$8="",0,OFFSET(Fuels!$E300,0,AM$19))</f>
        <v>0</v>
      </c>
      <c r="AN102" s="1611">
        <f ca="1">IF(AN$8="",0,OFFSET(Fuels!$E300,0,AN$19))</f>
        <v>0</v>
      </c>
      <c r="AO102" s="1611">
        <f ca="1">IF(AO$8="",0,OFFSET(Fuels!$E300,0,AO$19))</f>
        <v>0</v>
      </c>
      <c r="AP102" s="1611">
        <f ca="1">IF(AP$8="",0,OFFSET(Fuels!$E300,0,AP$19))</f>
        <v>0</v>
      </c>
    </row>
    <row r="103" spans="4:42" outlineLevel="1">
      <c r="D103" s="716" t="s">
        <v>25</v>
      </c>
      <c r="E103" s="717" t="s">
        <v>348</v>
      </c>
      <c r="F103" s="1611">
        <f ca="1">IF(F$8="",0,OFFSET(Fuels!$E301,0,F$19))</f>
        <v>0</v>
      </c>
      <c r="G103" s="1611">
        <f ca="1">IF(G$8="",0,OFFSET(Fuels!$E301,0,G$19))</f>
        <v>0</v>
      </c>
      <c r="H103" s="1611">
        <f ca="1">IF(H$8="",0,OFFSET(Fuels!$E301,0,H$19))</f>
        <v>5.3901043635299239E-2</v>
      </c>
      <c r="I103" s="1611">
        <f ca="1">IF(I$8="",0,OFFSET(Fuels!$E301,0,I$19))</f>
        <v>5.3901043635299239E-2</v>
      </c>
      <c r="J103" s="1611">
        <f ca="1">IF(J$8="",0,OFFSET(Fuels!$E301,0,J$19))</f>
        <v>5.3901043635299239E-2</v>
      </c>
      <c r="K103" s="1611">
        <f ca="1">IF(K$8="",0,OFFSET(Fuels!$E301,0,K$19))</f>
        <v>0</v>
      </c>
      <c r="L103" s="1611">
        <f ca="1">IF(L$8="",0,OFFSET(Fuels!$E301,0,L$19))</f>
        <v>0</v>
      </c>
      <c r="M103" s="1611">
        <f ca="1">IF(M$8="",0,OFFSET(Fuels!$E301,0,M$19))</f>
        <v>0</v>
      </c>
      <c r="N103" s="1611">
        <f ca="1">IF(N$8="",0,OFFSET(Fuels!$E301,0,N$19))</f>
        <v>0</v>
      </c>
      <c r="O103" s="1611">
        <f ca="1">IF(O$8="",0,OFFSET(Fuels!$E301,0,O$19))</f>
        <v>0</v>
      </c>
      <c r="P103" s="1611">
        <f ca="1">IF(P$8="",0,OFFSET(Fuels!$E301,0,P$19))</f>
        <v>0.10851142062283206</v>
      </c>
      <c r="Q103" s="1611">
        <f ca="1">IF(Q$8="",0,OFFSET(Fuels!$E301,0,Q$19))</f>
        <v>0.10851142062283206</v>
      </c>
      <c r="R103" s="1611">
        <f ca="1">IF(R$8="",0,OFFSET(Fuels!$E301,0,R$19))</f>
        <v>0</v>
      </c>
      <c r="S103" s="1611">
        <f ca="1">IF(S$8="",0,OFFSET(Fuels!$E301,0,S$19))</f>
        <v>0.10851142062283206</v>
      </c>
      <c r="T103" s="1611">
        <f ca="1">IF(T$8="",0,OFFSET(Fuels!$E301,0,T$19))</f>
        <v>0</v>
      </c>
      <c r="U103" s="1611">
        <f ca="1">IF(U$8="",0,OFFSET(Fuels!$E301,0,U$19))</f>
        <v>0</v>
      </c>
      <c r="V103" s="1611">
        <f ca="1">IF(V$8="",0,OFFSET(Fuels!$E301,0,V$19))</f>
        <v>0</v>
      </c>
      <c r="W103" s="1611">
        <f ca="1">IF(W$8="",0,OFFSET(Fuels!$E301,0,W$19))</f>
        <v>0</v>
      </c>
      <c r="X103" s="1611">
        <f ca="1">IF(X$8="",0,OFFSET(Fuels!$E301,0,X$19))</f>
        <v>0</v>
      </c>
      <c r="Y103" s="1611">
        <f ca="1">IF(Y$8="",0,OFFSET(Fuels!$E301,0,Y$19))</f>
        <v>0</v>
      </c>
      <c r="Z103" s="1611">
        <f ca="1">IF(Z$8="",0,OFFSET(Fuels!$E301,0,Z$19))</f>
        <v>5.3286730528915228E-2</v>
      </c>
      <c r="AA103" s="1611">
        <f ca="1">IF(AA$8="",0,OFFSET(Fuels!$E301,0,AA$19))</f>
        <v>0</v>
      </c>
      <c r="AB103" s="1611">
        <f ca="1">IF(AB$8="",0,OFFSET(Fuels!$E301,0,AB$19))</f>
        <v>0</v>
      </c>
      <c r="AC103" s="1611">
        <f ca="1">IF(AC$8="",0,OFFSET(Fuels!$E301,0,AC$19))</f>
        <v>0</v>
      </c>
      <c r="AD103" s="1611">
        <f ca="1">IF(AD$8="",0,OFFSET(Fuels!$E301,0,AD$19))</f>
        <v>0</v>
      </c>
      <c r="AE103" s="1611">
        <f ca="1">IF(AE$8="",0,OFFSET(Fuels!$E301,0,AE$19))</f>
        <v>0</v>
      </c>
      <c r="AF103" s="1611">
        <f ca="1">IF(AF$8="",0,OFFSET(Fuels!$E301,0,AF$19))</f>
        <v>5.3286730528915228E-2</v>
      </c>
      <c r="AG103" s="1611">
        <f ca="1">IF(AG$8="",0,OFFSET(Fuels!$E301,0,AG$19))</f>
        <v>0</v>
      </c>
      <c r="AH103" s="1611">
        <f ca="1">IF(AH$8="",0,OFFSET(Fuels!$E301,0,AH$19))</f>
        <v>0</v>
      </c>
      <c r="AI103" s="1611">
        <f ca="1">IF(AI$8="",0,OFFSET(Fuels!$E301,0,AI$19))</f>
        <v>0</v>
      </c>
      <c r="AJ103" s="1611">
        <f ca="1">IF(AJ$8="",0,OFFSET(Fuels!$E301,0,AJ$19))</f>
        <v>0</v>
      </c>
      <c r="AK103" s="1611">
        <f ca="1">IF(AK$8="",0,OFFSET(Fuels!$E301,0,AK$19))</f>
        <v>0</v>
      </c>
      <c r="AL103" s="1611">
        <f ca="1">IF(AL$8="",0,OFFSET(Fuels!$E301,0,AL$19))</f>
        <v>0</v>
      </c>
      <c r="AM103" s="1611">
        <f ca="1">IF(AM$8="",0,OFFSET(Fuels!$E301,0,AM$19))</f>
        <v>0</v>
      </c>
      <c r="AN103" s="1611">
        <f ca="1">IF(AN$8="",0,OFFSET(Fuels!$E301,0,AN$19))</f>
        <v>0</v>
      </c>
      <c r="AO103" s="1611">
        <f ca="1">IF(AO$8="",0,OFFSET(Fuels!$E301,0,AO$19))</f>
        <v>0</v>
      </c>
      <c r="AP103" s="1611">
        <f ca="1">IF(AP$8="",0,OFFSET(Fuels!$E301,0,AP$19))</f>
        <v>0</v>
      </c>
    </row>
    <row r="104" spans="4:42" outlineLevel="1">
      <c r="D104" s="724" t="s">
        <v>45</v>
      </c>
      <c r="E104" s="725" t="s">
        <v>348</v>
      </c>
      <c r="F104" s="1612">
        <f ca="1">IF(F$8="",0,OFFSET(Fuels!$E302,0,F$19))</f>
        <v>0</v>
      </c>
      <c r="G104" s="1612">
        <f ca="1">IF(G$8="",0,OFFSET(Fuels!$E302,0,G$19))</f>
        <v>0</v>
      </c>
      <c r="H104" s="1612">
        <f ca="1">IF(H$8="",0,OFFSET(Fuels!$E302,0,H$19))</f>
        <v>2.0517988448664011E-5</v>
      </c>
      <c r="I104" s="1612">
        <f ca="1">IF(I$8="",0,OFFSET(Fuels!$E302,0,I$19))</f>
        <v>2.0517988448664011E-5</v>
      </c>
      <c r="J104" s="1612">
        <f ca="1">IF(J$8="",0,OFFSET(Fuels!$E302,0,J$19))</f>
        <v>2.0517988448664011E-5</v>
      </c>
      <c r="K104" s="1612">
        <f ca="1">IF(K$8="",0,OFFSET(Fuels!$E302,0,K$19))</f>
        <v>0</v>
      </c>
      <c r="L104" s="1612">
        <f ca="1">IF(L$8="",0,OFFSET(Fuels!$E302,0,L$19))</f>
        <v>0</v>
      </c>
      <c r="M104" s="1612">
        <f ca="1">IF(M$8="",0,OFFSET(Fuels!$E302,0,M$19))</f>
        <v>0</v>
      </c>
      <c r="N104" s="1612">
        <f ca="1">IF(N$8="",0,OFFSET(Fuels!$E302,0,N$19))</f>
        <v>0</v>
      </c>
      <c r="O104" s="1612">
        <f ca="1">IF(O$8="",0,OFFSET(Fuels!$E302,0,O$19))</f>
        <v>0</v>
      </c>
      <c r="P104" s="1612">
        <f ca="1">IF(P$8="",0,OFFSET(Fuels!$E302,0,P$19))</f>
        <v>1.1111111111111112E-4</v>
      </c>
      <c r="Q104" s="1612">
        <f ca="1">IF(Q$8="",0,OFFSET(Fuels!$E302,0,Q$19))</f>
        <v>1.1111111111111112E-4</v>
      </c>
      <c r="R104" s="1612">
        <f ca="1">IF(R$8="",0,OFFSET(Fuels!$E302,0,R$19))</f>
        <v>0</v>
      </c>
      <c r="S104" s="1612">
        <f ca="1">IF(S$8="",0,OFFSET(Fuels!$E302,0,S$19))</f>
        <v>1.1111111111111112E-4</v>
      </c>
      <c r="T104" s="1612">
        <f ca="1">IF(T$8="",0,OFFSET(Fuels!$E302,0,T$19))</f>
        <v>0</v>
      </c>
      <c r="U104" s="1612">
        <f ca="1">IF(U$8="",0,OFFSET(Fuels!$E302,0,U$19))</f>
        <v>0</v>
      </c>
      <c r="V104" s="1612">
        <f ca="1">IF(V$8="",0,OFFSET(Fuels!$E302,0,V$19))</f>
        <v>0</v>
      </c>
      <c r="W104" s="1612">
        <f ca="1">IF(W$8="",0,OFFSET(Fuels!$E302,0,W$19))</f>
        <v>0</v>
      </c>
      <c r="X104" s="1612">
        <f ca="1">IF(X$8="",0,OFFSET(Fuels!$E302,0,X$19))</f>
        <v>0</v>
      </c>
      <c r="Y104" s="1612">
        <f ca="1">IF(Y$8="",0,OFFSET(Fuels!$E302,0,Y$19))</f>
        <v>0</v>
      </c>
      <c r="Z104" s="1612">
        <f ca="1">IF(Z$8="",0,OFFSET(Fuels!$E302,0,Z$19))</f>
        <v>1.9193649762528854E-5</v>
      </c>
      <c r="AA104" s="1612">
        <f ca="1">IF(AA$8="",0,OFFSET(Fuels!$E302,0,AA$19))</f>
        <v>0</v>
      </c>
      <c r="AB104" s="1612">
        <f ca="1">IF(AB$8="",0,OFFSET(Fuels!$E302,0,AB$19))</f>
        <v>0</v>
      </c>
      <c r="AC104" s="1612">
        <f ca="1">IF(AC$8="",0,OFFSET(Fuels!$E302,0,AC$19))</f>
        <v>0</v>
      </c>
      <c r="AD104" s="1612">
        <f ca="1">IF(AD$8="",0,OFFSET(Fuels!$E302,0,AD$19))</f>
        <v>0</v>
      </c>
      <c r="AE104" s="1612">
        <f ca="1">IF(AE$8="",0,OFFSET(Fuels!$E302,0,AE$19))</f>
        <v>0</v>
      </c>
      <c r="AF104" s="1612">
        <f ca="1">IF(AF$8="",0,OFFSET(Fuels!$E302,0,AF$19))</f>
        <v>1.9193649762528854E-5</v>
      </c>
      <c r="AG104" s="1612">
        <f ca="1">IF(AG$8="",0,OFFSET(Fuels!$E302,0,AG$19))</f>
        <v>0</v>
      </c>
      <c r="AH104" s="1612">
        <f ca="1">IF(AH$8="",0,OFFSET(Fuels!$E302,0,AH$19))</f>
        <v>0</v>
      </c>
      <c r="AI104" s="1612">
        <f ca="1">IF(AI$8="",0,OFFSET(Fuels!$E302,0,AI$19))</f>
        <v>0</v>
      </c>
      <c r="AJ104" s="1612">
        <f ca="1">IF(AJ$8="",0,OFFSET(Fuels!$E302,0,AJ$19))</f>
        <v>0</v>
      </c>
      <c r="AK104" s="1612">
        <f ca="1">IF(AK$8="",0,OFFSET(Fuels!$E302,0,AK$19))</f>
        <v>0</v>
      </c>
      <c r="AL104" s="1612">
        <f ca="1">IF(AL$8="",0,OFFSET(Fuels!$E302,0,AL$19))</f>
        <v>0</v>
      </c>
      <c r="AM104" s="1612">
        <f ca="1">IF(AM$8="",0,OFFSET(Fuels!$E302,0,AM$19))</f>
        <v>0</v>
      </c>
      <c r="AN104" s="1612">
        <f ca="1">IF(AN$8="",0,OFFSET(Fuels!$E302,0,AN$19))</f>
        <v>0</v>
      </c>
      <c r="AO104" s="1612">
        <f ca="1">IF(AO$8="",0,OFFSET(Fuels!$E302,0,AO$19))</f>
        <v>0</v>
      </c>
      <c r="AP104" s="1612">
        <f ca="1">IF(AP$8="",0,OFFSET(Fuels!$E302,0,AP$19))</f>
        <v>0</v>
      </c>
    </row>
    <row r="105" spans="4:42" outlineLevel="1"/>
    <row r="106" spans="4:42" outlineLevel="1">
      <c r="D106" s="709" t="s">
        <v>842</v>
      </c>
      <c r="F106" s="721"/>
      <c r="G106" s="721"/>
      <c r="H106" s="721"/>
      <c r="I106" s="721"/>
      <c r="J106" s="721"/>
      <c r="K106" s="721"/>
      <c r="L106" s="721"/>
      <c r="M106" s="721"/>
      <c r="N106" s="721"/>
      <c r="O106" s="721"/>
      <c r="P106" s="721"/>
      <c r="Q106" s="721"/>
      <c r="R106" s="721"/>
      <c r="S106" s="721"/>
      <c r="T106" s="721"/>
      <c r="U106" s="721"/>
      <c r="V106" s="721"/>
      <c r="W106" s="721"/>
      <c r="X106" s="721"/>
      <c r="Y106" s="721"/>
      <c r="Z106" s="721"/>
      <c r="AA106" s="721"/>
      <c r="AB106" s="721"/>
      <c r="AC106" s="721"/>
      <c r="AD106" s="721"/>
      <c r="AE106" s="721"/>
      <c r="AF106" s="721"/>
      <c r="AG106" s="721"/>
      <c r="AH106" s="721"/>
      <c r="AI106" s="721"/>
      <c r="AJ106" s="721"/>
      <c r="AK106" s="721"/>
      <c r="AL106" s="721"/>
      <c r="AM106" s="721"/>
      <c r="AN106" s="721"/>
      <c r="AO106" s="721"/>
      <c r="AP106" s="721"/>
    </row>
    <row r="107" spans="4:42" outlineLevel="1">
      <c r="D107" s="722" t="s">
        <v>24</v>
      </c>
      <c r="E107" s="723" t="s">
        <v>348</v>
      </c>
      <c r="F107" s="1610">
        <f ca="1">OFFSET(Fuels!$E305,0,F$18)</f>
        <v>74</v>
      </c>
      <c r="G107" s="1610">
        <f ca="1">OFFSET(Fuels!$E305,0,G$18)</f>
        <v>72.8</v>
      </c>
      <c r="H107" s="1610">
        <f ca="1">OFFSET(Fuels!$E305,0,H$18)</f>
        <v>0</v>
      </c>
      <c r="I107" s="1610">
        <f ca="1">OFFSET(Fuels!$E305,0,I$18)</f>
        <v>0</v>
      </c>
      <c r="J107" s="1610">
        <f ca="1">OFFSET(Fuels!$E305,0,J$18)</f>
        <v>0</v>
      </c>
      <c r="K107" s="1610">
        <f ca="1">OFFSET(Fuels!$E305,0,K$18)</f>
        <v>0</v>
      </c>
      <c r="L107" s="1610">
        <f ca="1">OFFSET(Fuels!$E305,0,L$18)</f>
        <v>0</v>
      </c>
      <c r="M107" s="1610">
        <f ca="1">OFFSET(Fuels!$E305,0,M$18)</f>
        <v>0</v>
      </c>
      <c r="N107" s="1610">
        <f ca="1">OFFSET(Fuels!$E305,0,N$18)</f>
        <v>56.74</v>
      </c>
      <c r="O107" s="1610">
        <f ca="1">OFFSET(Fuels!$E305,0,O$18)</f>
        <v>0</v>
      </c>
      <c r="P107" s="1610">
        <f ca="1">OFFSET(Fuels!$E305,0,P$18)</f>
        <v>0</v>
      </c>
      <c r="Q107" s="1610">
        <f ca="1">OFFSET(Fuels!$E305,0,Q$18)</f>
        <v>0</v>
      </c>
      <c r="R107" s="1610">
        <f ca="1">OFFSET(Fuels!$E305,0,R$18)</f>
        <v>0</v>
      </c>
      <c r="S107" s="1610">
        <f ca="1">OFFSET(Fuels!$E305,0,S$18)</f>
        <v>72.8</v>
      </c>
      <c r="T107" s="1610">
        <f ca="1">OFFSET(Fuels!$E305,0,T$18)</f>
        <v>74</v>
      </c>
      <c r="U107" s="1610">
        <f ca="1">OFFSET(Fuels!$E305,0,U$18)</f>
        <v>72</v>
      </c>
      <c r="V107" s="1610">
        <f ca="1">OFFSET(Fuels!$E305,0,V$18)</f>
        <v>0</v>
      </c>
      <c r="W107" s="1610">
        <f ca="1">OFFSET(Fuels!$E305,0,W$18)</f>
        <v>78.900000000000006</v>
      </c>
      <c r="X107" s="1610">
        <f ca="1">OFFSET(Fuels!$E305,0,X$18)</f>
        <v>74</v>
      </c>
      <c r="Y107" s="1610">
        <f ca="1">OFFSET(Fuels!$E305,0,Y$18)</f>
        <v>0</v>
      </c>
      <c r="Z107" s="1610">
        <f ca="1">OFFSET(Fuels!$E305,0,Z$18)</f>
        <v>56.74</v>
      </c>
      <c r="AA107" s="1610">
        <f ca="1">OFFSET(Fuels!$E305,0,AA$18)</f>
        <v>74</v>
      </c>
      <c r="AB107" s="1610">
        <f ca="1">OFFSET(Fuels!$E305,0,AB$18)</f>
        <v>0</v>
      </c>
      <c r="AC107" s="1610">
        <f ca="1">OFFSET(Fuels!$E305,0,AC$18)</f>
        <v>0</v>
      </c>
      <c r="AD107" s="1610">
        <f ca="1">OFFSET(Fuels!$E305,0,AD$18)</f>
        <v>74</v>
      </c>
      <c r="AE107" s="1610">
        <f ca="1">OFFSET(Fuels!$E305,0,AE$18)</f>
        <v>0</v>
      </c>
      <c r="AF107" s="1610">
        <f ca="1">OFFSET(Fuels!$E305,0,AF$18)</f>
        <v>56.74</v>
      </c>
      <c r="AG107" s="1610">
        <f ca="1">OFFSET(Fuels!$E305,0,AG$18)</f>
        <v>74</v>
      </c>
      <c r="AH107" s="1610">
        <f ca="1">OFFSET(Fuels!$E305,0,AH$18)</f>
        <v>0</v>
      </c>
      <c r="AI107" s="1610">
        <f ca="1">OFFSET(Fuels!$E305,0,AI$18)</f>
        <v>56.74</v>
      </c>
      <c r="AJ107" s="1610">
        <f ca="1">OFFSET(Fuels!$E305,0,AJ$18)</f>
        <v>0</v>
      </c>
      <c r="AK107" s="1610">
        <f ca="1">OFFSET(Fuels!$E305,0,AK$18)</f>
        <v>74</v>
      </c>
      <c r="AL107" s="1610">
        <f ca="1">OFFSET(Fuels!$E305,0,AL$18)</f>
        <v>0</v>
      </c>
      <c r="AM107" s="1610">
        <f ca="1">OFFSET(Fuels!$E305,0,AM$18)</f>
        <v>56.74</v>
      </c>
      <c r="AN107" s="1610">
        <f ca="1">OFFSET(Fuels!$E305,0,AN$18)</f>
        <v>74</v>
      </c>
      <c r="AO107" s="1610">
        <f ca="1">OFFSET(Fuels!$E305,0,AO$18)</f>
        <v>0</v>
      </c>
      <c r="AP107" s="1610">
        <f ca="1">OFFSET(Fuels!$E305,0,AP$18)</f>
        <v>0</v>
      </c>
    </row>
    <row r="108" spans="4:42" outlineLevel="1">
      <c r="D108" s="716" t="s">
        <v>27</v>
      </c>
      <c r="E108" s="717" t="s">
        <v>348</v>
      </c>
      <c r="F108" s="1611">
        <f ca="1">OFFSET(Fuels!$E306,0,F$18)</f>
        <v>0</v>
      </c>
      <c r="G108" s="1611">
        <f ca="1">OFFSET(Fuels!$E306,0,G$18)</f>
        <v>0</v>
      </c>
      <c r="H108" s="1611">
        <f ca="1">OFFSET(Fuels!$E306,0,H$18)</f>
        <v>0</v>
      </c>
      <c r="I108" s="1611">
        <f ca="1">OFFSET(Fuels!$E306,0,I$18)</f>
        <v>0</v>
      </c>
      <c r="J108" s="1611">
        <f ca="1">OFFSET(Fuels!$E306,0,J$18)</f>
        <v>0</v>
      </c>
      <c r="K108" s="1611">
        <f ca="1">OFFSET(Fuels!$E306,0,K$18)</f>
        <v>0</v>
      </c>
      <c r="L108" s="1611">
        <f ca="1">OFFSET(Fuels!$E306,0,L$18)</f>
        <v>0</v>
      </c>
      <c r="M108" s="1611">
        <f ca="1">OFFSET(Fuels!$E306,0,M$18)</f>
        <v>0</v>
      </c>
      <c r="N108" s="1611">
        <f ca="1">OFFSET(Fuels!$E306,0,N$18)</f>
        <v>0</v>
      </c>
      <c r="O108" s="1611">
        <f ca="1">OFFSET(Fuels!$E306,0,O$18)</f>
        <v>0</v>
      </c>
      <c r="P108" s="1611">
        <f ca="1">OFFSET(Fuels!$E306,0,P$18)</f>
        <v>0</v>
      </c>
      <c r="Q108" s="1611">
        <f ca="1">OFFSET(Fuels!$E306,0,Q$18)</f>
        <v>0</v>
      </c>
      <c r="R108" s="1611">
        <f ca="1">OFFSET(Fuels!$E306,0,R$18)</f>
        <v>0</v>
      </c>
      <c r="S108" s="1611">
        <f ca="1">OFFSET(Fuels!$E306,0,S$18)</f>
        <v>0</v>
      </c>
      <c r="T108" s="1611">
        <f ca="1">OFFSET(Fuels!$E306,0,T$18)</f>
        <v>0</v>
      </c>
      <c r="U108" s="1611">
        <f ca="1">OFFSET(Fuels!$E306,0,U$18)</f>
        <v>0</v>
      </c>
      <c r="V108" s="1611">
        <f ca="1">OFFSET(Fuels!$E306,0,V$18)</f>
        <v>0</v>
      </c>
      <c r="W108" s="1611">
        <f ca="1">OFFSET(Fuels!$E306,0,W$18)</f>
        <v>0</v>
      </c>
      <c r="X108" s="1611">
        <f ca="1">OFFSET(Fuels!$E306,0,X$18)</f>
        <v>0</v>
      </c>
      <c r="Y108" s="1611">
        <f ca="1">OFFSET(Fuels!$E306,0,Y$18)</f>
        <v>0</v>
      </c>
      <c r="Z108" s="1611">
        <f ca="1">OFFSET(Fuels!$E306,0,Z$18)</f>
        <v>0</v>
      </c>
      <c r="AA108" s="1611">
        <f ca="1">OFFSET(Fuels!$E306,0,AA$18)</f>
        <v>0</v>
      </c>
      <c r="AB108" s="1611">
        <f ca="1">OFFSET(Fuels!$E306,0,AB$18)</f>
        <v>0</v>
      </c>
      <c r="AC108" s="1611">
        <f ca="1">OFFSET(Fuels!$E306,0,AC$18)</f>
        <v>0</v>
      </c>
      <c r="AD108" s="1611">
        <f ca="1">OFFSET(Fuels!$E306,0,AD$18)</f>
        <v>0</v>
      </c>
      <c r="AE108" s="1611">
        <f ca="1">OFFSET(Fuels!$E306,0,AE$18)</f>
        <v>0</v>
      </c>
      <c r="AF108" s="1611">
        <f ca="1">OFFSET(Fuels!$E306,0,AF$18)</f>
        <v>0</v>
      </c>
      <c r="AG108" s="1611">
        <f ca="1">OFFSET(Fuels!$E306,0,AG$18)</f>
        <v>0</v>
      </c>
      <c r="AH108" s="1611">
        <f ca="1">OFFSET(Fuels!$E306,0,AH$18)</f>
        <v>0</v>
      </c>
      <c r="AI108" s="1611">
        <f ca="1">OFFSET(Fuels!$E306,0,AI$18)</f>
        <v>0</v>
      </c>
      <c r="AJ108" s="1611">
        <f ca="1">OFFSET(Fuels!$E306,0,AJ$18)</f>
        <v>0</v>
      </c>
      <c r="AK108" s="1611">
        <f ca="1">OFFSET(Fuels!$E306,0,AK$18)</f>
        <v>0</v>
      </c>
      <c r="AL108" s="1611">
        <f ca="1">OFFSET(Fuels!$E306,0,AL$18)</f>
        <v>0</v>
      </c>
      <c r="AM108" s="1611">
        <f ca="1">OFFSET(Fuels!$E306,0,AM$18)</f>
        <v>0</v>
      </c>
      <c r="AN108" s="1611">
        <f ca="1">OFFSET(Fuels!$E306,0,AN$18)</f>
        <v>0</v>
      </c>
      <c r="AO108" s="1611">
        <f ca="1">OFFSET(Fuels!$E306,0,AO$18)</f>
        <v>0</v>
      </c>
      <c r="AP108" s="1611">
        <f ca="1">OFFSET(Fuels!$E306,0,AP$18)</f>
        <v>0</v>
      </c>
    </row>
    <row r="109" spans="4:42" outlineLevel="1">
      <c r="D109" s="716" t="s">
        <v>28</v>
      </c>
      <c r="E109" s="717" t="s">
        <v>348</v>
      </c>
      <c r="F109" s="1611">
        <f ca="1">OFFSET(Fuels!$E307,0,F$18)</f>
        <v>0</v>
      </c>
      <c r="G109" s="1611">
        <f ca="1">OFFSET(Fuels!$E307,0,G$18)</f>
        <v>0</v>
      </c>
      <c r="H109" s="1611">
        <f ca="1">OFFSET(Fuels!$E307,0,H$18)</f>
        <v>0</v>
      </c>
      <c r="I109" s="1611">
        <f ca="1">OFFSET(Fuels!$E307,0,I$18)</f>
        <v>0</v>
      </c>
      <c r="J109" s="1611">
        <f ca="1">OFFSET(Fuels!$E307,0,J$18)</f>
        <v>0</v>
      </c>
      <c r="K109" s="1611">
        <f ca="1">OFFSET(Fuels!$E307,0,K$18)</f>
        <v>0</v>
      </c>
      <c r="L109" s="1611">
        <f ca="1">OFFSET(Fuels!$E307,0,L$18)</f>
        <v>0</v>
      </c>
      <c r="M109" s="1611">
        <f ca="1">OFFSET(Fuels!$E307,0,M$18)</f>
        <v>0</v>
      </c>
      <c r="N109" s="1611">
        <f ca="1">OFFSET(Fuels!$E307,0,N$18)</f>
        <v>0</v>
      </c>
      <c r="O109" s="1611">
        <f ca="1">OFFSET(Fuels!$E307,0,O$18)</f>
        <v>0</v>
      </c>
      <c r="P109" s="1611">
        <f ca="1">OFFSET(Fuels!$E307,0,P$18)</f>
        <v>0</v>
      </c>
      <c r="Q109" s="1611">
        <f ca="1">OFFSET(Fuels!$E307,0,Q$18)</f>
        <v>0</v>
      </c>
      <c r="R109" s="1611">
        <f ca="1">OFFSET(Fuels!$E307,0,R$18)</f>
        <v>0</v>
      </c>
      <c r="S109" s="1611">
        <f ca="1">OFFSET(Fuels!$E307,0,S$18)</f>
        <v>0</v>
      </c>
      <c r="T109" s="1611">
        <f ca="1">OFFSET(Fuels!$E307,0,T$18)</f>
        <v>0</v>
      </c>
      <c r="U109" s="1611">
        <f ca="1">OFFSET(Fuels!$E307,0,U$18)</f>
        <v>0</v>
      </c>
      <c r="V109" s="1611">
        <f ca="1">OFFSET(Fuels!$E307,0,V$18)</f>
        <v>0</v>
      </c>
      <c r="W109" s="1611">
        <f ca="1">OFFSET(Fuels!$E307,0,W$18)</f>
        <v>0</v>
      </c>
      <c r="X109" s="1611">
        <f ca="1">OFFSET(Fuels!$E307,0,X$18)</f>
        <v>0</v>
      </c>
      <c r="Y109" s="1611">
        <f ca="1">OFFSET(Fuels!$E307,0,Y$18)</f>
        <v>0</v>
      </c>
      <c r="Z109" s="1611">
        <f ca="1">OFFSET(Fuels!$E307,0,Z$18)</f>
        <v>0</v>
      </c>
      <c r="AA109" s="1611">
        <f ca="1">OFFSET(Fuels!$E307,0,AA$18)</f>
        <v>0</v>
      </c>
      <c r="AB109" s="1611">
        <f ca="1">OFFSET(Fuels!$E307,0,AB$18)</f>
        <v>0</v>
      </c>
      <c r="AC109" s="1611">
        <f ca="1">OFFSET(Fuels!$E307,0,AC$18)</f>
        <v>0</v>
      </c>
      <c r="AD109" s="1611">
        <f ca="1">OFFSET(Fuels!$E307,0,AD$18)</f>
        <v>0</v>
      </c>
      <c r="AE109" s="1611">
        <f ca="1">OFFSET(Fuels!$E307,0,AE$18)</f>
        <v>0</v>
      </c>
      <c r="AF109" s="1611">
        <f ca="1">OFFSET(Fuels!$E307,0,AF$18)</f>
        <v>0</v>
      </c>
      <c r="AG109" s="1611">
        <f ca="1">OFFSET(Fuels!$E307,0,AG$18)</f>
        <v>0</v>
      </c>
      <c r="AH109" s="1611">
        <f ca="1">OFFSET(Fuels!$E307,0,AH$18)</f>
        <v>0</v>
      </c>
      <c r="AI109" s="1611">
        <f ca="1">OFFSET(Fuels!$E307,0,AI$18)</f>
        <v>0</v>
      </c>
      <c r="AJ109" s="1611">
        <f ca="1">OFFSET(Fuels!$E307,0,AJ$18)</f>
        <v>0</v>
      </c>
      <c r="AK109" s="1611">
        <f ca="1">OFFSET(Fuels!$E307,0,AK$18)</f>
        <v>0</v>
      </c>
      <c r="AL109" s="1611">
        <f ca="1">OFFSET(Fuels!$E307,0,AL$18)</f>
        <v>0</v>
      </c>
      <c r="AM109" s="1611">
        <f ca="1">OFFSET(Fuels!$E307,0,AM$18)</f>
        <v>0</v>
      </c>
      <c r="AN109" s="1611">
        <f ca="1">OFFSET(Fuels!$E307,0,AN$18)</f>
        <v>0</v>
      </c>
      <c r="AO109" s="1611">
        <f ca="1">OFFSET(Fuels!$E307,0,AO$18)</f>
        <v>0</v>
      </c>
      <c r="AP109" s="1611">
        <f ca="1">OFFSET(Fuels!$E307,0,AP$18)</f>
        <v>0</v>
      </c>
    </row>
    <row r="110" spans="4:42" outlineLevel="1">
      <c r="D110" s="716" t="s">
        <v>26</v>
      </c>
      <c r="E110" s="717" t="s">
        <v>348</v>
      </c>
      <c r="F110" s="1611">
        <f ca="1">OFFSET(Fuels!$E308,0,F$18)</f>
        <v>2.34192037470726E-3</v>
      </c>
      <c r="G110" s="1611">
        <f ca="1">OFFSET(Fuels!$E308,0,G$18)</f>
        <v>0</v>
      </c>
      <c r="H110" s="1611">
        <f ca="1">OFFSET(Fuels!$E308,0,H$18)</f>
        <v>0</v>
      </c>
      <c r="I110" s="1611">
        <f ca="1">OFFSET(Fuels!$E308,0,I$18)</f>
        <v>0</v>
      </c>
      <c r="J110" s="1611">
        <f ca="1">OFFSET(Fuels!$E308,0,J$18)</f>
        <v>0</v>
      </c>
      <c r="K110" s="1611">
        <f ca="1">OFFSET(Fuels!$E308,0,K$18)</f>
        <v>0</v>
      </c>
      <c r="L110" s="1611">
        <f ca="1">OFFSET(Fuels!$E308,0,L$18)</f>
        <v>0</v>
      </c>
      <c r="M110" s="1611">
        <f ca="1">OFFSET(Fuels!$E308,0,M$18)</f>
        <v>0</v>
      </c>
      <c r="N110" s="1611">
        <f ca="1">OFFSET(Fuels!$E308,0,N$18)</f>
        <v>0</v>
      </c>
      <c r="O110" s="1611">
        <f ca="1">OFFSET(Fuels!$E308,0,O$18)</f>
        <v>0</v>
      </c>
      <c r="P110" s="1611">
        <f ca="1">OFFSET(Fuels!$E308,0,P$18)</f>
        <v>0</v>
      </c>
      <c r="Q110" s="1611">
        <f ca="1">OFFSET(Fuels!$E308,0,Q$18)</f>
        <v>0</v>
      </c>
      <c r="R110" s="1611">
        <f ca="1">OFFSET(Fuels!$E308,0,R$18)</f>
        <v>0</v>
      </c>
      <c r="S110" s="1611">
        <f ca="1">OFFSET(Fuels!$E308,0,S$18)</f>
        <v>0</v>
      </c>
      <c r="T110" s="1611">
        <f ca="1">OFFSET(Fuels!$E308,0,T$18)</f>
        <v>2.34192037470726E-3</v>
      </c>
      <c r="U110" s="1611">
        <f ca="1">OFFSET(Fuels!$E308,0,U$18)</f>
        <v>0</v>
      </c>
      <c r="V110" s="1611">
        <f ca="1">OFFSET(Fuels!$E308,0,V$18)</f>
        <v>0</v>
      </c>
      <c r="W110" s="1611">
        <f ca="1">OFFSET(Fuels!$E308,0,W$18)</f>
        <v>0</v>
      </c>
      <c r="X110" s="1611">
        <f ca="1">OFFSET(Fuels!$E308,0,X$18)</f>
        <v>2.34192037470726E-3</v>
      </c>
      <c r="Y110" s="1611">
        <f ca="1">OFFSET(Fuels!$E308,0,Y$18)</f>
        <v>0</v>
      </c>
      <c r="Z110" s="1611">
        <f ca="1">OFFSET(Fuels!$E308,0,Z$18)</f>
        <v>0</v>
      </c>
      <c r="AA110" s="1611">
        <f ca="1">OFFSET(Fuels!$E308,0,AA$18)</f>
        <v>2.34192037470726E-3</v>
      </c>
      <c r="AB110" s="1611">
        <f ca="1">OFFSET(Fuels!$E308,0,AB$18)</f>
        <v>0</v>
      </c>
      <c r="AC110" s="1611">
        <f ca="1">OFFSET(Fuels!$E308,0,AC$18)</f>
        <v>0</v>
      </c>
      <c r="AD110" s="1611">
        <f ca="1">OFFSET(Fuels!$E308,0,AD$18)</f>
        <v>2.34192037470726E-3</v>
      </c>
      <c r="AE110" s="1611">
        <f ca="1">OFFSET(Fuels!$E308,0,AE$18)</f>
        <v>0</v>
      </c>
      <c r="AF110" s="1611">
        <f ca="1">OFFSET(Fuels!$E308,0,AF$18)</f>
        <v>0</v>
      </c>
      <c r="AG110" s="1611">
        <f ca="1">OFFSET(Fuels!$E308,0,AG$18)</f>
        <v>2.34192037470726E-3</v>
      </c>
      <c r="AH110" s="1611">
        <f ca="1">OFFSET(Fuels!$E308,0,AH$18)</f>
        <v>0</v>
      </c>
      <c r="AI110" s="1611">
        <f ca="1">OFFSET(Fuels!$E308,0,AI$18)</f>
        <v>0</v>
      </c>
      <c r="AJ110" s="1611">
        <f ca="1">OFFSET(Fuels!$E308,0,AJ$18)</f>
        <v>0</v>
      </c>
      <c r="AK110" s="1611">
        <f ca="1">OFFSET(Fuels!$E308,0,AK$18)</f>
        <v>2.34192037470726E-3</v>
      </c>
      <c r="AL110" s="1611">
        <f ca="1">OFFSET(Fuels!$E308,0,AL$18)</f>
        <v>0</v>
      </c>
      <c r="AM110" s="1611">
        <f ca="1">OFFSET(Fuels!$E308,0,AM$18)</f>
        <v>0</v>
      </c>
      <c r="AN110" s="1611">
        <f ca="1">OFFSET(Fuels!$E308,0,AN$18)</f>
        <v>2.34192037470726E-3</v>
      </c>
      <c r="AO110" s="1611">
        <f ca="1">OFFSET(Fuels!$E308,0,AO$18)</f>
        <v>0</v>
      </c>
      <c r="AP110" s="1611">
        <f ca="1">OFFSET(Fuels!$E308,0,AP$18)</f>
        <v>0</v>
      </c>
    </row>
    <row r="111" spans="4:42" outlineLevel="1">
      <c r="D111" s="716" t="s">
        <v>25</v>
      </c>
      <c r="E111" s="717" t="s">
        <v>348</v>
      </c>
      <c r="F111" s="1611">
        <f ca="1">OFFSET(Fuels!$E309,0,F$18)</f>
        <v>0</v>
      </c>
      <c r="G111" s="1611">
        <f ca="1">OFFSET(Fuels!$E309,0,G$18)</f>
        <v>0</v>
      </c>
      <c r="H111" s="1611">
        <f ca="1">OFFSET(Fuels!$E309,0,H$18)</f>
        <v>0</v>
      </c>
      <c r="I111" s="1611">
        <f ca="1">OFFSET(Fuels!$E309,0,I$18)</f>
        <v>0</v>
      </c>
      <c r="J111" s="1611">
        <f ca="1">OFFSET(Fuels!$E309,0,J$18)</f>
        <v>0</v>
      </c>
      <c r="K111" s="1611">
        <f ca="1">OFFSET(Fuels!$E309,0,K$18)</f>
        <v>0</v>
      </c>
      <c r="L111" s="1611">
        <f ca="1">OFFSET(Fuels!$E309,0,L$18)</f>
        <v>0</v>
      </c>
      <c r="M111" s="1611">
        <f ca="1">OFFSET(Fuels!$E309,0,M$18)</f>
        <v>0</v>
      </c>
      <c r="N111" s="1611">
        <f ca="1">OFFSET(Fuels!$E309,0,N$18)</f>
        <v>0</v>
      </c>
      <c r="O111" s="1611">
        <f ca="1">OFFSET(Fuels!$E309,0,O$18)</f>
        <v>0</v>
      </c>
      <c r="P111" s="1611">
        <f ca="1">OFFSET(Fuels!$E309,0,P$18)</f>
        <v>0</v>
      </c>
      <c r="Q111" s="1611">
        <f ca="1">OFFSET(Fuels!$E309,0,Q$18)</f>
        <v>0</v>
      </c>
      <c r="R111" s="1611">
        <f ca="1">OFFSET(Fuels!$E309,0,R$18)</f>
        <v>0</v>
      </c>
      <c r="S111" s="1611">
        <f ca="1">OFFSET(Fuels!$E309,0,S$18)</f>
        <v>0</v>
      </c>
      <c r="T111" s="1611">
        <f ca="1">OFFSET(Fuels!$E309,0,T$18)</f>
        <v>0</v>
      </c>
      <c r="U111" s="1611">
        <f ca="1">OFFSET(Fuels!$E309,0,U$18)</f>
        <v>0</v>
      </c>
      <c r="V111" s="1611">
        <f ca="1">OFFSET(Fuels!$E309,0,V$18)</f>
        <v>0</v>
      </c>
      <c r="W111" s="1611">
        <f ca="1">OFFSET(Fuels!$E309,0,W$18)</f>
        <v>0</v>
      </c>
      <c r="X111" s="1611">
        <f ca="1">OFFSET(Fuels!$E309,0,X$18)</f>
        <v>0</v>
      </c>
      <c r="Y111" s="1611">
        <f ca="1">OFFSET(Fuels!$E309,0,Y$18)</f>
        <v>0</v>
      </c>
      <c r="Z111" s="1611">
        <f ca="1">OFFSET(Fuels!$E309,0,Z$18)</f>
        <v>0</v>
      </c>
      <c r="AA111" s="1611">
        <f ca="1">OFFSET(Fuels!$E309,0,AA$18)</f>
        <v>0</v>
      </c>
      <c r="AB111" s="1611">
        <f ca="1">OFFSET(Fuels!$E309,0,AB$18)</f>
        <v>0</v>
      </c>
      <c r="AC111" s="1611">
        <f ca="1">OFFSET(Fuels!$E309,0,AC$18)</f>
        <v>0</v>
      </c>
      <c r="AD111" s="1611">
        <f ca="1">OFFSET(Fuels!$E309,0,AD$18)</f>
        <v>0</v>
      </c>
      <c r="AE111" s="1611">
        <f ca="1">OFFSET(Fuels!$E309,0,AE$18)</f>
        <v>0</v>
      </c>
      <c r="AF111" s="1611">
        <f ca="1">OFFSET(Fuels!$E309,0,AF$18)</f>
        <v>0</v>
      </c>
      <c r="AG111" s="1611">
        <f ca="1">OFFSET(Fuels!$E309,0,AG$18)</f>
        <v>0</v>
      </c>
      <c r="AH111" s="1611">
        <f ca="1">OFFSET(Fuels!$E309,0,AH$18)</f>
        <v>0</v>
      </c>
      <c r="AI111" s="1611">
        <f ca="1">OFFSET(Fuels!$E309,0,AI$18)</f>
        <v>0</v>
      </c>
      <c r="AJ111" s="1611">
        <f ca="1">OFFSET(Fuels!$E309,0,AJ$18)</f>
        <v>0</v>
      </c>
      <c r="AK111" s="1611">
        <f ca="1">OFFSET(Fuels!$E309,0,AK$18)</f>
        <v>0</v>
      </c>
      <c r="AL111" s="1611">
        <f ca="1">OFFSET(Fuels!$E309,0,AL$18)</f>
        <v>0</v>
      </c>
      <c r="AM111" s="1611">
        <f ca="1">OFFSET(Fuels!$E309,0,AM$18)</f>
        <v>0</v>
      </c>
      <c r="AN111" s="1611">
        <f ca="1">OFFSET(Fuels!$E309,0,AN$18)</f>
        <v>0</v>
      </c>
      <c r="AO111" s="1611">
        <f ca="1">OFFSET(Fuels!$E309,0,AO$18)</f>
        <v>0</v>
      </c>
      <c r="AP111" s="1611">
        <f ca="1">OFFSET(Fuels!$E309,0,AP$18)</f>
        <v>0</v>
      </c>
    </row>
    <row r="112" spans="4:42" outlineLevel="1">
      <c r="D112" s="724" t="s">
        <v>45</v>
      </c>
      <c r="E112" s="725" t="s">
        <v>348</v>
      </c>
      <c r="F112" s="1612">
        <f ca="1">OFFSET(Fuels!$E310,0,F$18)</f>
        <v>0</v>
      </c>
      <c r="G112" s="1612">
        <f ca="1">OFFSET(Fuels!$E310,0,G$18)</f>
        <v>0</v>
      </c>
      <c r="H112" s="1612">
        <f ca="1">OFFSET(Fuels!$E310,0,H$18)</f>
        <v>0</v>
      </c>
      <c r="I112" s="1612">
        <f ca="1">OFFSET(Fuels!$E310,0,I$18)</f>
        <v>0</v>
      </c>
      <c r="J112" s="1612">
        <f ca="1">OFFSET(Fuels!$E310,0,J$18)</f>
        <v>0</v>
      </c>
      <c r="K112" s="1612">
        <f ca="1">OFFSET(Fuels!$E310,0,K$18)</f>
        <v>0</v>
      </c>
      <c r="L112" s="1612">
        <f ca="1">OFFSET(Fuels!$E310,0,L$18)</f>
        <v>0</v>
      </c>
      <c r="M112" s="1612">
        <f ca="1">OFFSET(Fuels!$E310,0,M$18)</f>
        <v>0</v>
      </c>
      <c r="N112" s="1612">
        <f ca="1">OFFSET(Fuels!$E310,0,N$18)</f>
        <v>0</v>
      </c>
      <c r="O112" s="1612">
        <f ca="1">OFFSET(Fuels!$E310,0,O$18)</f>
        <v>0</v>
      </c>
      <c r="P112" s="1612">
        <f ca="1">OFFSET(Fuels!$E310,0,P$18)</f>
        <v>0</v>
      </c>
      <c r="Q112" s="1612">
        <f ca="1">OFFSET(Fuels!$E310,0,Q$18)</f>
        <v>0</v>
      </c>
      <c r="R112" s="1612">
        <f ca="1">OFFSET(Fuels!$E310,0,R$18)</f>
        <v>0</v>
      </c>
      <c r="S112" s="1612">
        <f ca="1">OFFSET(Fuels!$E310,0,S$18)</f>
        <v>0</v>
      </c>
      <c r="T112" s="1612">
        <f ca="1">OFFSET(Fuels!$E310,0,T$18)</f>
        <v>0</v>
      </c>
      <c r="U112" s="1612">
        <f ca="1">OFFSET(Fuels!$E310,0,U$18)</f>
        <v>0</v>
      </c>
      <c r="V112" s="1612">
        <f ca="1">OFFSET(Fuels!$E310,0,V$18)</f>
        <v>0</v>
      </c>
      <c r="W112" s="1612">
        <f ca="1">OFFSET(Fuels!$E310,0,W$18)</f>
        <v>0</v>
      </c>
      <c r="X112" s="1612">
        <f ca="1">OFFSET(Fuels!$E310,0,X$18)</f>
        <v>0</v>
      </c>
      <c r="Y112" s="1612">
        <f ca="1">OFFSET(Fuels!$E310,0,Y$18)</f>
        <v>0</v>
      </c>
      <c r="Z112" s="1612">
        <f ca="1">OFFSET(Fuels!$E310,0,Z$18)</f>
        <v>0</v>
      </c>
      <c r="AA112" s="1612">
        <f ca="1">OFFSET(Fuels!$E310,0,AA$18)</f>
        <v>0</v>
      </c>
      <c r="AB112" s="1612">
        <f ca="1">OFFSET(Fuels!$E310,0,AB$18)</f>
        <v>0</v>
      </c>
      <c r="AC112" s="1612">
        <f ca="1">OFFSET(Fuels!$E310,0,AC$18)</f>
        <v>0</v>
      </c>
      <c r="AD112" s="1612">
        <f ca="1">OFFSET(Fuels!$E310,0,AD$18)</f>
        <v>0</v>
      </c>
      <c r="AE112" s="1612">
        <f ca="1">OFFSET(Fuels!$E310,0,AE$18)</f>
        <v>0</v>
      </c>
      <c r="AF112" s="1612">
        <f ca="1">OFFSET(Fuels!$E310,0,AF$18)</f>
        <v>0</v>
      </c>
      <c r="AG112" s="1612">
        <f ca="1">OFFSET(Fuels!$E310,0,AG$18)</f>
        <v>0</v>
      </c>
      <c r="AH112" s="1612">
        <f ca="1">OFFSET(Fuels!$E310,0,AH$18)</f>
        <v>0</v>
      </c>
      <c r="AI112" s="1612">
        <f ca="1">OFFSET(Fuels!$E310,0,AI$18)</f>
        <v>0</v>
      </c>
      <c r="AJ112" s="1612">
        <f ca="1">OFFSET(Fuels!$E310,0,AJ$18)</f>
        <v>0</v>
      </c>
      <c r="AK112" s="1612">
        <f ca="1">OFFSET(Fuels!$E310,0,AK$18)</f>
        <v>0</v>
      </c>
      <c r="AL112" s="1612">
        <f ca="1">OFFSET(Fuels!$E310,0,AL$18)</f>
        <v>0</v>
      </c>
      <c r="AM112" s="1612">
        <f ca="1">OFFSET(Fuels!$E310,0,AM$18)</f>
        <v>0</v>
      </c>
      <c r="AN112" s="1612">
        <f ca="1">OFFSET(Fuels!$E310,0,AN$18)</f>
        <v>0</v>
      </c>
      <c r="AO112" s="1612">
        <f ca="1">OFFSET(Fuels!$E310,0,AO$18)</f>
        <v>0</v>
      </c>
      <c r="AP112" s="1612">
        <f ca="1">OFFSET(Fuels!$E310,0,AP$18)</f>
        <v>0</v>
      </c>
    </row>
    <row r="113" spans="1:42" outlineLevel="1"/>
    <row r="114" spans="1:42" outlineLevel="1">
      <c r="D114" s="709" t="s">
        <v>843</v>
      </c>
      <c r="J114" s="726"/>
      <c r="K114" s="726"/>
    </row>
    <row r="115" spans="1:42" outlineLevel="1">
      <c r="D115" s="722" t="s">
        <v>24</v>
      </c>
      <c r="E115" s="723" t="s">
        <v>348</v>
      </c>
      <c r="F115" s="1610">
        <f ca="1">OFFSET(Fuels!$E305,0,F$19)</f>
        <v>0</v>
      </c>
      <c r="G115" s="1610">
        <f ca="1">OFFSET(Fuels!$E305,0,G$19)</f>
        <v>0</v>
      </c>
      <c r="H115" s="1610">
        <f ca="1">OFFSET(Fuels!$E305,0,H$19)</f>
        <v>72.8</v>
      </c>
      <c r="I115" s="1610">
        <f ca="1">OFFSET(Fuels!$E305,0,I$19)</f>
        <v>72.8</v>
      </c>
      <c r="J115" s="1610">
        <f ca="1">OFFSET(Fuels!$E305,0,J$19)</f>
        <v>72.8</v>
      </c>
      <c r="K115" s="1610">
        <f ca="1">OFFSET(Fuels!$E305,0,K$19)</f>
        <v>0</v>
      </c>
      <c r="L115" s="1610">
        <f ca="1">OFFSET(Fuels!$E305,0,L$19)</f>
        <v>0</v>
      </c>
      <c r="M115" s="1610">
        <f ca="1">OFFSET(Fuels!$E305,0,M$19)</f>
        <v>0</v>
      </c>
      <c r="N115" s="1610">
        <f ca="1">OFFSET(Fuels!$E305,0,N$19)</f>
        <v>0</v>
      </c>
      <c r="O115" s="1610">
        <f ca="1">OFFSET(Fuels!$E305,0,O$19)</f>
        <v>0</v>
      </c>
      <c r="P115" s="1610">
        <f ca="1">OFFSET(Fuels!$E305,0,P$19)</f>
        <v>0</v>
      </c>
      <c r="Q115" s="1610">
        <f ca="1">OFFSET(Fuels!$E305,0,Q$19)</f>
        <v>0</v>
      </c>
      <c r="R115" s="1610">
        <f ca="1">OFFSET(Fuels!$E305,0,R$19)</f>
        <v>0</v>
      </c>
      <c r="S115" s="1610">
        <f ca="1">OFFSET(Fuels!$E305,0,S$19)</f>
        <v>0</v>
      </c>
      <c r="T115" s="1610">
        <f ca="1">OFFSET(Fuels!$E305,0,T$19)</f>
        <v>0</v>
      </c>
      <c r="U115" s="1610">
        <f ca="1">OFFSET(Fuels!$E305,0,U$19)</f>
        <v>0</v>
      </c>
      <c r="V115" s="1610">
        <f ca="1">OFFSET(Fuels!$E305,0,V$19)</f>
        <v>0</v>
      </c>
      <c r="W115" s="1610">
        <f ca="1">OFFSET(Fuels!$E305,0,W$19)</f>
        <v>0</v>
      </c>
      <c r="X115" s="1610">
        <f ca="1">OFFSET(Fuels!$E305,0,X$19)</f>
        <v>0</v>
      </c>
      <c r="Y115" s="1610">
        <f ca="1">OFFSET(Fuels!$E305,0,Y$19)</f>
        <v>0</v>
      </c>
      <c r="Z115" s="1610">
        <f ca="1">OFFSET(Fuels!$E305,0,Z$19)</f>
        <v>74</v>
      </c>
      <c r="AA115" s="1610">
        <f ca="1">OFFSET(Fuels!$E305,0,AA$19)</f>
        <v>0</v>
      </c>
      <c r="AB115" s="1610">
        <f ca="1">OFFSET(Fuels!$E305,0,AB$19)</f>
        <v>0</v>
      </c>
      <c r="AC115" s="1610">
        <f ca="1">OFFSET(Fuels!$E305,0,AC$19)</f>
        <v>0</v>
      </c>
      <c r="AD115" s="1610">
        <f ca="1">OFFSET(Fuels!$E305,0,AD$19)</f>
        <v>0</v>
      </c>
      <c r="AE115" s="1610">
        <f ca="1">OFFSET(Fuels!$E305,0,AE$19)</f>
        <v>0</v>
      </c>
      <c r="AF115" s="1610">
        <f ca="1">OFFSET(Fuels!$E305,0,AF$19)</f>
        <v>74</v>
      </c>
      <c r="AG115" s="1610">
        <f ca="1">OFFSET(Fuels!$E305,0,AG$19)</f>
        <v>0</v>
      </c>
      <c r="AH115" s="1610">
        <f ca="1">OFFSET(Fuels!$E305,0,AH$19)</f>
        <v>0</v>
      </c>
      <c r="AI115" s="1610">
        <f ca="1">OFFSET(Fuels!$E305,0,AI$19)</f>
        <v>0</v>
      </c>
      <c r="AJ115" s="1610">
        <f ca="1">OFFSET(Fuels!$E305,0,AJ$19)</f>
        <v>0</v>
      </c>
      <c r="AK115" s="1610">
        <f ca="1">OFFSET(Fuels!$E305,0,AK$19)</f>
        <v>0</v>
      </c>
      <c r="AL115" s="1610">
        <f ca="1">OFFSET(Fuels!$E305,0,AL$19)</f>
        <v>0</v>
      </c>
      <c r="AM115" s="1610">
        <f ca="1">OFFSET(Fuels!$E305,0,AM$19)</f>
        <v>0</v>
      </c>
      <c r="AN115" s="1610">
        <f ca="1">OFFSET(Fuels!$E305,0,AN$19)</f>
        <v>0</v>
      </c>
      <c r="AO115" s="1610">
        <f ca="1">OFFSET(Fuels!$E305,0,AO$19)</f>
        <v>0</v>
      </c>
      <c r="AP115" s="1610">
        <f ca="1">OFFSET(Fuels!$E305,0,AP$19)</f>
        <v>0</v>
      </c>
    </row>
    <row r="116" spans="1:42" outlineLevel="1">
      <c r="D116" s="716" t="s">
        <v>27</v>
      </c>
      <c r="E116" s="717" t="s">
        <v>348</v>
      </c>
      <c r="F116" s="1611">
        <f ca="1">OFFSET(Fuels!$E306,0,F$19)</f>
        <v>0</v>
      </c>
      <c r="G116" s="1611">
        <f ca="1">OFFSET(Fuels!$E306,0,G$19)</f>
        <v>0</v>
      </c>
      <c r="H116" s="1611">
        <f ca="1">OFFSET(Fuels!$E306,0,H$19)</f>
        <v>0</v>
      </c>
      <c r="I116" s="1611">
        <f ca="1">OFFSET(Fuels!$E306,0,I$19)</f>
        <v>0</v>
      </c>
      <c r="J116" s="1611">
        <f ca="1">OFFSET(Fuels!$E306,0,J$19)</f>
        <v>0</v>
      </c>
      <c r="K116" s="1611">
        <f ca="1">OFFSET(Fuels!$E306,0,K$19)</f>
        <v>0</v>
      </c>
      <c r="L116" s="1611">
        <f ca="1">OFFSET(Fuels!$E306,0,L$19)</f>
        <v>0</v>
      </c>
      <c r="M116" s="1611">
        <f ca="1">OFFSET(Fuels!$E306,0,M$19)</f>
        <v>0</v>
      </c>
      <c r="N116" s="1611">
        <f ca="1">OFFSET(Fuels!$E306,0,N$19)</f>
        <v>0</v>
      </c>
      <c r="O116" s="1611">
        <f ca="1">OFFSET(Fuels!$E306,0,O$19)</f>
        <v>0</v>
      </c>
      <c r="P116" s="1611">
        <f ca="1">OFFSET(Fuels!$E306,0,P$19)</f>
        <v>0</v>
      </c>
      <c r="Q116" s="1611">
        <f ca="1">OFFSET(Fuels!$E306,0,Q$19)</f>
        <v>0</v>
      </c>
      <c r="R116" s="1611">
        <f ca="1">OFFSET(Fuels!$E306,0,R$19)</f>
        <v>0</v>
      </c>
      <c r="S116" s="1611">
        <f ca="1">OFFSET(Fuels!$E306,0,S$19)</f>
        <v>0</v>
      </c>
      <c r="T116" s="1611">
        <f ca="1">OFFSET(Fuels!$E306,0,T$19)</f>
        <v>0</v>
      </c>
      <c r="U116" s="1611">
        <f ca="1">OFFSET(Fuels!$E306,0,U$19)</f>
        <v>0</v>
      </c>
      <c r="V116" s="1611">
        <f ca="1">OFFSET(Fuels!$E306,0,V$19)</f>
        <v>0</v>
      </c>
      <c r="W116" s="1611">
        <f ca="1">OFFSET(Fuels!$E306,0,W$19)</f>
        <v>0</v>
      </c>
      <c r="X116" s="1611">
        <f ca="1">OFFSET(Fuels!$E306,0,X$19)</f>
        <v>0</v>
      </c>
      <c r="Y116" s="1611">
        <f ca="1">OFFSET(Fuels!$E306,0,Y$19)</f>
        <v>0</v>
      </c>
      <c r="Z116" s="1611">
        <f ca="1">OFFSET(Fuels!$E306,0,Z$19)</f>
        <v>0</v>
      </c>
      <c r="AA116" s="1611">
        <f ca="1">OFFSET(Fuels!$E306,0,AA$19)</f>
        <v>0</v>
      </c>
      <c r="AB116" s="1611">
        <f ca="1">OFFSET(Fuels!$E306,0,AB$19)</f>
        <v>0</v>
      </c>
      <c r="AC116" s="1611">
        <f ca="1">OFFSET(Fuels!$E306,0,AC$19)</f>
        <v>0</v>
      </c>
      <c r="AD116" s="1611">
        <f ca="1">OFFSET(Fuels!$E306,0,AD$19)</f>
        <v>0</v>
      </c>
      <c r="AE116" s="1611">
        <f ca="1">OFFSET(Fuels!$E306,0,AE$19)</f>
        <v>0</v>
      </c>
      <c r="AF116" s="1611">
        <f ca="1">OFFSET(Fuels!$E306,0,AF$19)</f>
        <v>0</v>
      </c>
      <c r="AG116" s="1611">
        <f ca="1">OFFSET(Fuels!$E306,0,AG$19)</f>
        <v>0</v>
      </c>
      <c r="AH116" s="1611">
        <f ca="1">OFFSET(Fuels!$E306,0,AH$19)</f>
        <v>0</v>
      </c>
      <c r="AI116" s="1611">
        <f ca="1">OFFSET(Fuels!$E306,0,AI$19)</f>
        <v>0</v>
      </c>
      <c r="AJ116" s="1611">
        <f ca="1">OFFSET(Fuels!$E306,0,AJ$19)</f>
        <v>0</v>
      </c>
      <c r="AK116" s="1611">
        <f ca="1">OFFSET(Fuels!$E306,0,AK$19)</f>
        <v>0</v>
      </c>
      <c r="AL116" s="1611">
        <f ca="1">OFFSET(Fuels!$E306,0,AL$19)</f>
        <v>0</v>
      </c>
      <c r="AM116" s="1611">
        <f ca="1">OFFSET(Fuels!$E306,0,AM$19)</f>
        <v>0</v>
      </c>
      <c r="AN116" s="1611">
        <f ca="1">OFFSET(Fuels!$E306,0,AN$19)</f>
        <v>0</v>
      </c>
      <c r="AO116" s="1611">
        <f ca="1">OFFSET(Fuels!$E306,0,AO$19)</f>
        <v>0</v>
      </c>
      <c r="AP116" s="1611">
        <f ca="1">OFFSET(Fuels!$E306,0,AP$19)</f>
        <v>0</v>
      </c>
    </row>
    <row r="117" spans="1:42" outlineLevel="1">
      <c r="D117" s="716" t="s">
        <v>28</v>
      </c>
      <c r="E117" s="717" t="s">
        <v>348</v>
      </c>
      <c r="F117" s="1611">
        <f ca="1">OFFSET(Fuels!$E307,0,F$19)</f>
        <v>0</v>
      </c>
      <c r="G117" s="1611">
        <f ca="1">OFFSET(Fuels!$E307,0,G$19)</f>
        <v>0</v>
      </c>
      <c r="H117" s="1611">
        <f ca="1">OFFSET(Fuels!$E307,0,H$19)</f>
        <v>0</v>
      </c>
      <c r="I117" s="1611">
        <f ca="1">OFFSET(Fuels!$E307,0,I$19)</f>
        <v>0</v>
      </c>
      <c r="J117" s="1611">
        <f ca="1">OFFSET(Fuels!$E307,0,J$19)</f>
        <v>0</v>
      </c>
      <c r="K117" s="1611">
        <f ca="1">OFFSET(Fuels!$E307,0,K$19)</f>
        <v>0</v>
      </c>
      <c r="L117" s="1611">
        <f ca="1">OFFSET(Fuels!$E307,0,L$19)</f>
        <v>0</v>
      </c>
      <c r="M117" s="1611">
        <f ca="1">OFFSET(Fuels!$E307,0,M$19)</f>
        <v>0</v>
      </c>
      <c r="N117" s="1611">
        <f ca="1">OFFSET(Fuels!$E307,0,N$19)</f>
        <v>0</v>
      </c>
      <c r="O117" s="1611">
        <f ca="1">OFFSET(Fuels!$E307,0,O$19)</f>
        <v>0</v>
      </c>
      <c r="P117" s="1611">
        <f ca="1">OFFSET(Fuels!$E307,0,P$19)</f>
        <v>0</v>
      </c>
      <c r="Q117" s="1611">
        <f ca="1">OFFSET(Fuels!$E307,0,Q$19)</f>
        <v>0</v>
      </c>
      <c r="R117" s="1611">
        <f ca="1">OFFSET(Fuels!$E307,0,R$19)</f>
        <v>0</v>
      </c>
      <c r="S117" s="1611">
        <f ca="1">OFFSET(Fuels!$E307,0,S$19)</f>
        <v>0</v>
      </c>
      <c r="T117" s="1611">
        <f ca="1">OFFSET(Fuels!$E307,0,T$19)</f>
        <v>0</v>
      </c>
      <c r="U117" s="1611">
        <f ca="1">OFFSET(Fuels!$E307,0,U$19)</f>
        <v>0</v>
      </c>
      <c r="V117" s="1611">
        <f ca="1">OFFSET(Fuels!$E307,0,V$19)</f>
        <v>0</v>
      </c>
      <c r="W117" s="1611">
        <f ca="1">OFFSET(Fuels!$E307,0,W$19)</f>
        <v>0</v>
      </c>
      <c r="X117" s="1611">
        <f ca="1">OFFSET(Fuels!$E307,0,X$19)</f>
        <v>0</v>
      </c>
      <c r="Y117" s="1611">
        <f ca="1">OFFSET(Fuels!$E307,0,Y$19)</f>
        <v>0</v>
      </c>
      <c r="Z117" s="1611">
        <f ca="1">OFFSET(Fuels!$E307,0,Z$19)</f>
        <v>0</v>
      </c>
      <c r="AA117" s="1611">
        <f ca="1">OFFSET(Fuels!$E307,0,AA$19)</f>
        <v>0</v>
      </c>
      <c r="AB117" s="1611">
        <f ca="1">OFFSET(Fuels!$E307,0,AB$19)</f>
        <v>0</v>
      </c>
      <c r="AC117" s="1611">
        <f ca="1">OFFSET(Fuels!$E307,0,AC$19)</f>
        <v>0</v>
      </c>
      <c r="AD117" s="1611">
        <f ca="1">OFFSET(Fuels!$E307,0,AD$19)</f>
        <v>0</v>
      </c>
      <c r="AE117" s="1611">
        <f ca="1">OFFSET(Fuels!$E307,0,AE$19)</f>
        <v>0</v>
      </c>
      <c r="AF117" s="1611">
        <f ca="1">OFFSET(Fuels!$E307,0,AF$19)</f>
        <v>0</v>
      </c>
      <c r="AG117" s="1611">
        <f ca="1">OFFSET(Fuels!$E307,0,AG$19)</f>
        <v>0</v>
      </c>
      <c r="AH117" s="1611">
        <f ca="1">OFFSET(Fuels!$E307,0,AH$19)</f>
        <v>0</v>
      </c>
      <c r="AI117" s="1611">
        <f ca="1">OFFSET(Fuels!$E307,0,AI$19)</f>
        <v>0</v>
      </c>
      <c r="AJ117" s="1611">
        <f ca="1">OFFSET(Fuels!$E307,0,AJ$19)</f>
        <v>0</v>
      </c>
      <c r="AK117" s="1611">
        <f ca="1">OFFSET(Fuels!$E307,0,AK$19)</f>
        <v>0</v>
      </c>
      <c r="AL117" s="1611">
        <f ca="1">OFFSET(Fuels!$E307,0,AL$19)</f>
        <v>0</v>
      </c>
      <c r="AM117" s="1611">
        <f ca="1">OFFSET(Fuels!$E307,0,AM$19)</f>
        <v>0</v>
      </c>
      <c r="AN117" s="1611">
        <f ca="1">OFFSET(Fuels!$E307,0,AN$19)</f>
        <v>0</v>
      </c>
      <c r="AO117" s="1611">
        <f ca="1">OFFSET(Fuels!$E307,0,AO$19)</f>
        <v>0</v>
      </c>
      <c r="AP117" s="1611">
        <f ca="1">OFFSET(Fuels!$E307,0,AP$19)</f>
        <v>0</v>
      </c>
    </row>
    <row r="118" spans="1:42" outlineLevel="1">
      <c r="D118" s="716" t="s">
        <v>26</v>
      </c>
      <c r="E118" s="717" t="s">
        <v>348</v>
      </c>
      <c r="F118" s="1611">
        <f ca="1">OFFSET(Fuels!$E308,0,F$19)</f>
        <v>0</v>
      </c>
      <c r="G118" s="1611">
        <f ca="1">OFFSET(Fuels!$E308,0,G$19)</f>
        <v>0</v>
      </c>
      <c r="H118" s="1611">
        <f ca="1">OFFSET(Fuels!$E308,0,H$19)</f>
        <v>0</v>
      </c>
      <c r="I118" s="1611">
        <f ca="1">OFFSET(Fuels!$E308,0,I$19)</f>
        <v>0</v>
      </c>
      <c r="J118" s="1611">
        <f ca="1">OFFSET(Fuels!$E308,0,J$19)</f>
        <v>0</v>
      </c>
      <c r="K118" s="1611">
        <f ca="1">OFFSET(Fuels!$E308,0,K$19)</f>
        <v>0</v>
      </c>
      <c r="L118" s="1611">
        <f ca="1">OFFSET(Fuels!$E308,0,L$19)</f>
        <v>0</v>
      </c>
      <c r="M118" s="1611">
        <f ca="1">OFFSET(Fuels!$E308,0,M$19)</f>
        <v>0</v>
      </c>
      <c r="N118" s="1611">
        <f ca="1">OFFSET(Fuels!$E308,0,N$19)</f>
        <v>0</v>
      </c>
      <c r="O118" s="1611">
        <f ca="1">OFFSET(Fuels!$E308,0,O$19)</f>
        <v>0</v>
      </c>
      <c r="P118" s="1611">
        <f ca="1">OFFSET(Fuels!$E308,0,P$19)</f>
        <v>0</v>
      </c>
      <c r="Q118" s="1611">
        <f ca="1">OFFSET(Fuels!$E308,0,Q$19)</f>
        <v>0</v>
      </c>
      <c r="R118" s="1611">
        <f ca="1">OFFSET(Fuels!$E308,0,R$19)</f>
        <v>0</v>
      </c>
      <c r="S118" s="1611">
        <f ca="1">OFFSET(Fuels!$E308,0,S$19)</f>
        <v>0</v>
      </c>
      <c r="T118" s="1611">
        <f ca="1">OFFSET(Fuels!$E308,0,T$19)</f>
        <v>0</v>
      </c>
      <c r="U118" s="1611">
        <f ca="1">OFFSET(Fuels!$E308,0,U$19)</f>
        <v>0</v>
      </c>
      <c r="V118" s="1611">
        <f ca="1">OFFSET(Fuels!$E308,0,V$19)</f>
        <v>0</v>
      </c>
      <c r="W118" s="1611">
        <f ca="1">OFFSET(Fuels!$E308,0,W$19)</f>
        <v>0</v>
      </c>
      <c r="X118" s="1611">
        <f ca="1">OFFSET(Fuels!$E308,0,X$19)</f>
        <v>0</v>
      </c>
      <c r="Y118" s="1611">
        <f ca="1">OFFSET(Fuels!$E308,0,Y$19)</f>
        <v>0</v>
      </c>
      <c r="Z118" s="1611">
        <f ca="1">OFFSET(Fuels!$E308,0,Z$19)</f>
        <v>2.34192037470726E-3</v>
      </c>
      <c r="AA118" s="1611">
        <f ca="1">OFFSET(Fuels!$E308,0,AA$19)</f>
        <v>0</v>
      </c>
      <c r="AB118" s="1611">
        <f ca="1">OFFSET(Fuels!$E308,0,AB$19)</f>
        <v>0</v>
      </c>
      <c r="AC118" s="1611">
        <f ca="1">OFFSET(Fuels!$E308,0,AC$19)</f>
        <v>0</v>
      </c>
      <c r="AD118" s="1611">
        <f ca="1">OFFSET(Fuels!$E308,0,AD$19)</f>
        <v>0</v>
      </c>
      <c r="AE118" s="1611">
        <f ca="1">OFFSET(Fuels!$E308,0,AE$19)</f>
        <v>0</v>
      </c>
      <c r="AF118" s="1611">
        <f ca="1">OFFSET(Fuels!$E308,0,AF$19)</f>
        <v>2.34192037470726E-3</v>
      </c>
      <c r="AG118" s="1611">
        <f ca="1">OFFSET(Fuels!$E308,0,AG$19)</f>
        <v>0</v>
      </c>
      <c r="AH118" s="1611">
        <f ca="1">OFFSET(Fuels!$E308,0,AH$19)</f>
        <v>0</v>
      </c>
      <c r="AI118" s="1611">
        <f ca="1">OFFSET(Fuels!$E308,0,AI$19)</f>
        <v>0</v>
      </c>
      <c r="AJ118" s="1611">
        <f ca="1">OFFSET(Fuels!$E308,0,AJ$19)</f>
        <v>0</v>
      </c>
      <c r="AK118" s="1611">
        <f ca="1">OFFSET(Fuels!$E308,0,AK$19)</f>
        <v>0</v>
      </c>
      <c r="AL118" s="1611">
        <f ca="1">OFFSET(Fuels!$E308,0,AL$19)</f>
        <v>0</v>
      </c>
      <c r="AM118" s="1611">
        <f ca="1">OFFSET(Fuels!$E308,0,AM$19)</f>
        <v>0</v>
      </c>
      <c r="AN118" s="1611">
        <f ca="1">OFFSET(Fuels!$E308,0,AN$19)</f>
        <v>0</v>
      </c>
      <c r="AO118" s="1611">
        <f ca="1">OFFSET(Fuels!$E308,0,AO$19)</f>
        <v>0</v>
      </c>
      <c r="AP118" s="1611">
        <f ca="1">OFFSET(Fuels!$E308,0,AP$19)</f>
        <v>0</v>
      </c>
    </row>
    <row r="119" spans="1:42" outlineLevel="1">
      <c r="D119" s="716" t="s">
        <v>25</v>
      </c>
      <c r="E119" s="717" t="s">
        <v>348</v>
      </c>
      <c r="F119" s="1611">
        <f ca="1">OFFSET(Fuels!$E309,0,F$19)</f>
        <v>0</v>
      </c>
      <c r="G119" s="1611">
        <f ca="1">OFFSET(Fuels!$E309,0,G$19)</f>
        <v>0</v>
      </c>
      <c r="H119" s="1611">
        <f ca="1">OFFSET(Fuels!$E309,0,H$19)</f>
        <v>0</v>
      </c>
      <c r="I119" s="1611">
        <f ca="1">OFFSET(Fuels!$E309,0,I$19)</f>
        <v>0</v>
      </c>
      <c r="J119" s="1611">
        <f ca="1">OFFSET(Fuels!$E309,0,J$19)</f>
        <v>0</v>
      </c>
      <c r="K119" s="1611">
        <f ca="1">OFFSET(Fuels!$E309,0,K$19)</f>
        <v>0</v>
      </c>
      <c r="L119" s="1611">
        <f ca="1">OFFSET(Fuels!$E309,0,L$19)</f>
        <v>0</v>
      </c>
      <c r="M119" s="1611">
        <f ca="1">OFFSET(Fuels!$E309,0,M$19)</f>
        <v>0</v>
      </c>
      <c r="N119" s="1611">
        <f ca="1">OFFSET(Fuels!$E309,0,N$19)</f>
        <v>0</v>
      </c>
      <c r="O119" s="1611">
        <f ca="1">OFFSET(Fuels!$E309,0,O$19)</f>
        <v>0</v>
      </c>
      <c r="P119" s="1611">
        <f ca="1">OFFSET(Fuels!$E309,0,P$19)</f>
        <v>0</v>
      </c>
      <c r="Q119" s="1611">
        <f ca="1">OFFSET(Fuels!$E309,0,Q$19)</f>
        <v>0</v>
      </c>
      <c r="R119" s="1611">
        <f ca="1">OFFSET(Fuels!$E309,0,R$19)</f>
        <v>0</v>
      </c>
      <c r="S119" s="1611">
        <f ca="1">OFFSET(Fuels!$E309,0,S$19)</f>
        <v>0</v>
      </c>
      <c r="T119" s="1611">
        <f ca="1">OFFSET(Fuels!$E309,0,T$19)</f>
        <v>0</v>
      </c>
      <c r="U119" s="1611">
        <f ca="1">OFFSET(Fuels!$E309,0,U$19)</f>
        <v>0</v>
      </c>
      <c r="V119" s="1611">
        <f ca="1">OFFSET(Fuels!$E309,0,V$19)</f>
        <v>0</v>
      </c>
      <c r="W119" s="1611">
        <f ca="1">OFFSET(Fuels!$E309,0,W$19)</f>
        <v>0</v>
      </c>
      <c r="X119" s="1611">
        <f ca="1">OFFSET(Fuels!$E309,0,X$19)</f>
        <v>0</v>
      </c>
      <c r="Y119" s="1611">
        <f ca="1">OFFSET(Fuels!$E309,0,Y$19)</f>
        <v>0</v>
      </c>
      <c r="Z119" s="1611">
        <f ca="1">OFFSET(Fuels!$E309,0,Z$19)</f>
        <v>0</v>
      </c>
      <c r="AA119" s="1611">
        <f ca="1">OFFSET(Fuels!$E309,0,AA$19)</f>
        <v>0</v>
      </c>
      <c r="AB119" s="1611">
        <f ca="1">OFFSET(Fuels!$E309,0,AB$19)</f>
        <v>0</v>
      </c>
      <c r="AC119" s="1611">
        <f ca="1">OFFSET(Fuels!$E309,0,AC$19)</f>
        <v>0</v>
      </c>
      <c r="AD119" s="1611">
        <f ca="1">OFFSET(Fuels!$E309,0,AD$19)</f>
        <v>0</v>
      </c>
      <c r="AE119" s="1611">
        <f ca="1">OFFSET(Fuels!$E309,0,AE$19)</f>
        <v>0</v>
      </c>
      <c r="AF119" s="1611">
        <f ca="1">OFFSET(Fuels!$E309,0,AF$19)</f>
        <v>0</v>
      </c>
      <c r="AG119" s="1611">
        <f ca="1">OFFSET(Fuels!$E309,0,AG$19)</f>
        <v>0</v>
      </c>
      <c r="AH119" s="1611">
        <f ca="1">OFFSET(Fuels!$E309,0,AH$19)</f>
        <v>0</v>
      </c>
      <c r="AI119" s="1611">
        <f ca="1">OFFSET(Fuels!$E309,0,AI$19)</f>
        <v>0</v>
      </c>
      <c r="AJ119" s="1611">
        <f ca="1">OFFSET(Fuels!$E309,0,AJ$19)</f>
        <v>0</v>
      </c>
      <c r="AK119" s="1611">
        <f ca="1">OFFSET(Fuels!$E309,0,AK$19)</f>
        <v>0</v>
      </c>
      <c r="AL119" s="1611">
        <f ca="1">OFFSET(Fuels!$E309,0,AL$19)</f>
        <v>0</v>
      </c>
      <c r="AM119" s="1611">
        <f ca="1">OFFSET(Fuels!$E309,0,AM$19)</f>
        <v>0</v>
      </c>
      <c r="AN119" s="1611">
        <f ca="1">OFFSET(Fuels!$E309,0,AN$19)</f>
        <v>0</v>
      </c>
      <c r="AO119" s="1611">
        <f ca="1">OFFSET(Fuels!$E309,0,AO$19)</f>
        <v>0</v>
      </c>
      <c r="AP119" s="1611">
        <f ca="1">OFFSET(Fuels!$E309,0,AP$19)</f>
        <v>0</v>
      </c>
    </row>
    <row r="120" spans="1:42" outlineLevel="1">
      <c r="D120" s="724" t="s">
        <v>45</v>
      </c>
      <c r="E120" s="725" t="s">
        <v>348</v>
      </c>
      <c r="F120" s="1612">
        <f ca="1">OFFSET(Fuels!$E310,0,F$19)</f>
        <v>0</v>
      </c>
      <c r="G120" s="1612">
        <f ca="1">OFFSET(Fuels!$E310,0,G$19)</f>
        <v>0</v>
      </c>
      <c r="H120" s="1612">
        <f ca="1">OFFSET(Fuels!$E310,0,H$19)</f>
        <v>0</v>
      </c>
      <c r="I120" s="1612">
        <f ca="1">OFFSET(Fuels!$E310,0,I$19)</f>
        <v>0</v>
      </c>
      <c r="J120" s="1612">
        <f ca="1">OFFSET(Fuels!$E310,0,J$19)</f>
        <v>0</v>
      </c>
      <c r="K120" s="1612">
        <f ca="1">OFFSET(Fuels!$E310,0,K$19)</f>
        <v>0</v>
      </c>
      <c r="L120" s="1612">
        <f ca="1">OFFSET(Fuels!$E310,0,L$19)</f>
        <v>0</v>
      </c>
      <c r="M120" s="1612">
        <f ca="1">OFFSET(Fuels!$E310,0,M$19)</f>
        <v>0</v>
      </c>
      <c r="N120" s="1612">
        <f ca="1">OFFSET(Fuels!$E310,0,N$19)</f>
        <v>0</v>
      </c>
      <c r="O120" s="1612">
        <f ca="1">OFFSET(Fuels!$E310,0,O$19)</f>
        <v>0</v>
      </c>
      <c r="P120" s="1612">
        <f ca="1">OFFSET(Fuels!$E310,0,P$19)</f>
        <v>0</v>
      </c>
      <c r="Q120" s="1612">
        <f ca="1">OFFSET(Fuels!$E310,0,Q$19)</f>
        <v>0</v>
      </c>
      <c r="R120" s="1612">
        <f ca="1">OFFSET(Fuels!$E310,0,R$19)</f>
        <v>0</v>
      </c>
      <c r="S120" s="1612">
        <f ca="1">OFFSET(Fuels!$E310,0,S$19)</f>
        <v>0</v>
      </c>
      <c r="T120" s="1612">
        <f ca="1">OFFSET(Fuels!$E310,0,T$19)</f>
        <v>0</v>
      </c>
      <c r="U120" s="1612">
        <f ca="1">OFFSET(Fuels!$E310,0,U$19)</f>
        <v>0</v>
      </c>
      <c r="V120" s="1612">
        <f ca="1">OFFSET(Fuels!$E310,0,V$19)</f>
        <v>0</v>
      </c>
      <c r="W120" s="1612">
        <f ca="1">OFFSET(Fuels!$E310,0,W$19)</f>
        <v>0</v>
      </c>
      <c r="X120" s="1612">
        <f ca="1">OFFSET(Fuels!$E310,0,X$19)</f>
        <v>0</v>
      </c>
      <c r="Y120" s="1612">
        <f ca="1">OFFSET(Fuels!$E310,0,Y$19)</f>
        <v>0</v>
      </c>
      <c r="Z120" s="1612">
        <f ca="1">OFFSET(Fuels!$E310,0,Z$19)</f>
        <v>0</v>
      </c>
      <c r="AA120" s="1612">
        <f ca="1">OFFSET(Fuels!$E310,0,AA$19)</f>
        <v>0</v>
      </c>
      <c r="AB120" s="1612">
        <f ca="1">OFFSET(Fuels!$E310,0,AB$19)</f>
        <v>0</v>
      </c>
      <c r="AC120" s="1612">
        <f ca="1">OFFSET(Fuels!$E310,0,AC$19)</f>
        <v>0</v>
      </c>
      <c r="AD120" s="1612">
        <f ca="1">OFFSET(Fuels!$E310,0,AD$19)</f>
        <v>0</v>
      </c>
      <c r="AE120" s="1612">
        <f ca="1">OFFSET(Fuels!$E310,0,AE$19)</f>
        <v>0</v>
      </c>
      <c r="AF120" s="1612">
        <f ca="1">OFFSET(Fuels!$E310,0,AF$19)</f>
        <v>0</v>
      </c>
      <c r="AG120" s="1612">
        <f ca="1">OFFSET(Fuels!$E310,0,AG$19)</f>
        <v>0</v>
      </c>
      <c r="AH120" s="1612">
        <f ca="1">OFFSET(Fuels!$E310,0,AH$19)</f>
        <v>0</v>
      </c>
      <c r="AI120" s="1612">
        <f ca="1">OFFSET(Fuels!$E310,0,AI$19)</f>
        <v>0</v>
      </c>
      <c r="AJ120" s="1612">
        <f ca="1">OFFSET(Fuels!$E310,0,AJ$19)</f>
        <v>0</v>
      </c>
      <c r="AK120" s="1612">
        <f ca="1">OFFSET(Fuels!$E310,0,AK$19)</f>
        <v>0</v>
      </c>
      <c r="AL120" s="1612">
        <f ca="1">OFFSET(Fuels!$E310,0,AL$19)</f>
        <v>0</v>
      </c>
      <c r="AM120" s="1612">
        <f ca="1">OFFSET(Fuels!$E310,0,AM$19)</f>
        <v>0</v>
      </c>
      <c r="AN120" s="1612">
        <f ca="1">OFFSET(Fuels!$E310,0,AN$19)</f>
        <v>0</v>
      </c>
      <c r="AO120" s="1612">
        <f ca="1">OFFSET(Fuels!$E310,0,AO$19)</f>
        <v>0</v>
      </c>
      <c r="AP120" s="1612">
        <f ca="1">OFFSET(Fuels!$E310,0,AP$19)</f>
        <v>0</v>
      </c>
    </row>
    <row r="121" spans="1:42" outlineLevel="1">
      <c r="M121" s="721"/>
    </row>
    <row r="122" spans="1:42" outlineLevel="1">
      <c r="A122" s="699"/>
      <c r="D122" s="709" t="s">
        <v>830</v>
      </c>
      <c r="G122" s="727"/>
      <c r="H122" s="727"/>
      <c r="I122" s="727"/>
      <c r="J122" s="727"/>
      <c r="K122" s="727"/>
      <c r="L122" s="727"/>
      <c r="M122" s="721"/>
      <c r="N122" s="727"/>
      <c r="O122" s="727"/>
      <c r="P122" s="727"/>
      <c r="Q122" s="727"/>
      <c r="R122" s="727"/>
      <c r="S122" s="727"/>
      <c r="T122" s="727"/>
      <c r="U122" s="727"/>
      <c r="V122" s="727"/>
      <c r="W122" s="727"/>
      <c r="X122" s="727"/>
      <c r="Y122" s="727"/>
      <c r="Z122" s="727"/>
      <c r="AA122" s="727"/>
      <c r="AB122" s="727"/>
      <c r="AC122" s="727"/>
      <c r="AD122" s="727"/>
      <c r="AE122" s="727"/>
      <c r="AF122" s="727"/>
      <c r="AG122" s="727"/>
      <c r="AH122" s="727"/>
      <c r="AI122" s="727"/>
      <c r="AJ122" s="727"/>
      <c r="AK122" s="727"/>
      <c r="AL122" s="727"/>
      <c r="AM122" s="727"/>
      <c r="AN122" s="727"/>
      <c r="AO122" s="727"/>
      <c r="AP122" s="727"/>
    </row>
    <row r="123" spans="1:42" s="664" customFormat="1" outlineLevel="1">
      <c r="A123" s="699">
        <f>ROW('Std benzin motor'!$A47)</f>
        <v>47</v>
      </c>
      <c r="B123" s="699">
        <f>COLUMN('Std benzin motor'!$D251)-1+chosenYear</f>
        <v>4</v>
      </c>
      <c r="D123" s="686" t="s">
        <v>24</v>
      </c>
      <c r="E123" s="680" t="s">
        <v>348</v>
      </c>
      <c r="F123" s="1594"/>
      <c r="G123" s="1594"/>
      <c r="H123" s="1594"/>
      <c r="I123" s="1594"/>
      <c r="J123" s="1594"/>
      <c r="K123" s="1594"/>
      <c r="L123" s="1594"/>
      <c r="M123" s="1594"/>
      <c r="N123" s="1594"/>
      <c r="O123" s="1594"/>
      <c r="P123" s="1594"/>
      <c r="Q123" s="1594"/>
      <c r="R123" s="1594"/>
      <c r="S123" s="1594"/>
      <c r="T123" s="1594"/>
      <c r="U123" s="1594"/>
      <c r="V123" s="1594"/>
      <c r="W123" s="1594"/>
      <c r="X123" s="1594"/>
      <c r="Y123" s="1594"/>
      <c r="Z123" s="1594"/>
      <c r="AA123" s="1594"/>
      <c r="AB123" s="1594"/>
      <c r="AC123" s="1594"/>
      <c r="AD123" s="1594"/>
      <c r="AE123" s="1594"/>
      <c r="AF123" s="1594"/>
      <c r="AG123" s="1594"/>
      <c r="AH123" s="1594"/>
      <c r="AI123" s="1594"/>
      <c r="AJ123" s="1594"/>
      <c r="AK123" s="1594"/>
      <c r="AL123" s="1594"/>
      <c r="AM123" s="1594"/>
      <c r="AN123" s="1594"/>
      <c r="AO123" s="1594"/>
      <c r="AP123" s="1594"/>
    </row>
    <row r="124" spans="1:42" s="664" customFormat="1" outlineLevel="1">
      <c r="A124" s="699">
        <f>ROW('Std benzin motor'!$A48)</f>
        <v>48</v>
      </c>
      <c r="B124" s="699">
        <f>COLUMN('Std benzin motor'!$D252)-1+chosenYear</f>
        <v>4</v>
      </c>
      <c r="D124" s="682" t="s">
        <v>27</v>
      </c>
      <c r="E124" s="694" t="s">
        <v>348</v>
      </c>
      <c r="F124" s="1596">
        <f t="shared" ref="F124:O128" ca="1" si="68">IF(F$9&lt;&gt;"",INDIRECT(ADDRESS($A124,$B124,,,F$9)),0)</f>
        <v>3.0769230769230771E-2</v>
      </c>
      <c r="G124" s="1596">
        <f t="shared" ca="1" si="68"/>
        <v>1.5144344533838144E-2</v>
      </c>
      <c r="H124" s="1596">
        <f t="shared" ca="1" si="68"/>
        <v>1.5144344533838144E-2</v>
      </c>
      <c r="I124" s="1596">
        <f t="shared" ca="1" si="68"/>
        <v>1.5144344533838144E-2</v>
      </c>
      <c r="J124" s="1596">
        <f t="shared" ca="1" si="68"/>
        <v>1.5144344533838144E-2</v>
      </c>
      <c r="K124" s="1596">
        <f t="shared" ca="1" si="68"/>
        <v>3.0769230769230771E-2</v>
      </c>
      <c r="L124" s="1596">
        <f t="shared" ca="1" si="68"/>
        <v>3.0769230769230771E-2</v>
      </c>
      <c r="M124" s="1596">
        <f t="shared" ca="1" si="68"/>
        <v>2.9103608847497093E-2</v>
      </c>
      <c r="N124" s="1596">
        <f t="shared" ca="1" si="68"/>
        <v>3.6898099747862984E-2</v>
      </c>
      <c r="O124" s="1596">
        <f t="shared" ca="1" si="68"/>
        <v>3.6898099747862984E-2</v>
      </c>
      <c r="P124" s="1596">
        <f t="shared" ref="P124:Y128" ca="1" si="69">IF(P$9&lt;&gt;"",INDIRECT(ADDRESS($A124,$B124,,,P$9)),0)</f>
        <v>0</v>
      </c>
      <c r="Q124" s="1596">
        <f t="shared" ca="1" si="69"/>
        <v>0</v>
      </c>
      <c r="R124" s="1596">
        <f t="shared" ca="1" si="69"/>
        <v>0</v>
      </c>
      <c r="S124" s="1596">
        <f t="shared" ca="1" si="69"/>
        <v>0</v>
      </c>
      <c r="T124" s="1596">
        <f t="shared" ca="1" si="69"/>
        <v>0</v>
      </c>
      <c r="U124" s="1596">
        <f t="shared" ca="1" si="69"/>
        <v>0</v>
      </c>
      <c r="V124" s="1596">
        <f t="shared" ca="1" si="69"/>
        <v>0</v>
      </c>
      <c r="W124" s="1596">
        <f t="shared" ca="1" si="69"/>
        <v>0</v>
      </c>
      <c r="X124" s="1596">
        <f t="shared" ca="1" si="69"/>
        <v>0</v>
      </c>
      <c r="Y124" s="1596">
        <f t="shared" ca="1" si="69"/>
        <v>0</v>
      </c>
      <c r="Z124" s="1596">
        <f t="shared" ref="Z124:AP128" ca="1" si="70">IF(Z$9&lt;&gt;"",INDIRECT(ADDRESS($A124,$B124,,,Z$9)),0)</f>
        <v>0.14308855291576675</v>
      </c>
      <c r="AA124" s="1596">
        <f t="shared" ca="1" si="70"/>
        <v>0</v>
      </c>
      <c r="AB124" s="1596">
        <f t="shared" ca="1" si="70"/>
        <v>0</v>
      </c>
      <c r="AC124" s="1596">
        <f t="shared" ca="1" si="70"/>
        <v>0</v>
      </c>
      <c r="AD124" s="1596">
        <f t="shared" ca="1" si="70"/>
        <v>0</v>
      </c>
      <c r="AE124" s="1596">
        <f t="shared" ca="1" si="70"/>
        <v>0</v>
      </c>
      <c r="AF124" s="1596">
        <f t="shared" ca="1" si="70"/>
        <v>0</v>
      </c>
      <c r="AG124" s="1596">
        <f t="shared" ca="1" si="70"/>
        <v>5.70067229895981E-4</v>
      </c>
      <c r="AH124" s="1596">
        <f t="shared" ca="1" si="70"/>
        <v>5.70067229895981E-4</v>
      </c>
      <c r="AI124" s="1596">
        <f ca="1">IF(AI$9&lt;&gt;"",INDIRECT(ADDRESS($A124,$B124,,,AI$9)),0)</f>
        <v>9.5042763677897296E-2</v>
      </c>
      <c r="AJ124" s="1596">
        <f t="shared" ca="1" si="70"/>
        <v>5.70067229895981E-4</v>
      </c>
      <c r="AK124" s="1596">
        <f t="shared" ca="1" si="70"/>
        <v>3.6492051807463747E-4</v>
      </c>
      <c r="AL124" s="1596">
        <f t="shared" ca="1" si="70"/>
        <v>3.6492051807463747E-4</v>
      </c>
      <c r="AM124" s="1596">
        <f t="shared" ca="1" si="70"/>
        <v>7.4463222787503627E-2</v>
      </c>
      <c r="AN124" s="1596">
        <f t="shared" ca="1" si="70"/>
        <v>3.6492051807463747E-4</v>
      </c>
      <c r="AO124" s="1596">
        <f t="shared" ca="1" si="70"/>
        <v>0</v>
      </c>
      <c r="AP124" s="1596">
        <f t="shared" ca="1" si="70"/>
        <v>0</v>
      </c>
    </row>
    <row r="125" spans="1:42" s="664" customFormat="1" outlineLevel="1">
      <c r="A125" s="699">
        <f>ROW('Std benzin motor'!$A49)</f>
        <v>49</v>
      </c>
      <c r="B125" s="699">
        <f>COLUMN('Std benzin motor'!$D253)-1+chosenYear</f>
        <v>4</v>
      </c>
      <c r="D125" s="682" t="s">
        <v>28</v>
      </c>
      <c r="E125" s="694" t="s">
        <v>348</v>
      </c>
      <c r="F125" s="1596">
        <f t="shared" ca="1" si="68"/>
        <v>0</v>
      </c>
      <c r="G125" s="1596">
        <f t="shared" ca="1" si="68"/>
        <v>0</v>
      </c>
      <c r="H125" s="1596">
        <f t="shared" ca="1" si="68"/>
        <v>0</v>
      </c>
      <c r="I125" s="1596">
        <f t="shared" ca="1" si="68"/>
        <v>0</v>
      </c>
      <c r="J125" s="1596">
        <f t="shared" ca="1" si="68"/>
        <v>0</v>
      </c>
      <c r="K125" s="1596">
        <f t="shared" ca="1" si="68"/>
        <v>0</v>
      </c>
      <c r="L125" s="1596">
        <f t="shared" ca="1" si="68"/>
        <v>0</v>
      </c>
      <c r="M125" s="1596">
        <f t="shared" ca="1" si="68"/>
        <v>0</v>
      </c>
      <c r="N125" s="1596">
        <f t="shared" ca="1" si="68"/>
        <v>0</v>
      </c>
      <c r="O125" s="1596">
        <f t="shared" ca="1" si="68"/>
        <v>0</v>
      </c>
      <c r="P125" s="1596">
        <f t="shared" ca="1" si="69"/>
        <v>0</v>
      </c>
      <c r="Q125" s="1596">
        <f t="shared" ca="1" si="69"/>
        <v>0</v>
      </c>
      <c r="R125" s="1596">
        <f t="shared" ca="1" si="69"/>
        <v>0</v>
      </c>
      <c r="S125" s="1596">
        <f t="shared" ca="1" si="69"/>
        <v>0</v>
      </c>
      <c r="T125" s="1596">
        <f t="shared" ca="1" si="69"/>
        <v>0</v>
      </c>
      <c r="U125" s="1596">
        <f t="shared" ca="1" si="69"/>
        <v>0</v>
      </c>
      <c r="V125" s="1596">
        <f t="shared" ca="1" si="69"/>
        <v>0</v>
      </c>
      <c r="W125" s="1596">
        <f t="shared" ca="1" si="69"/>
        <v>0</v>
      </c>
      <c r="X125" s="1596">
        <f t="shared" ca="1" si="69"/>
        <v>0</v>
      </c>
      <c r="Y125" s="1596">
        <f t="shared" ca="1" si="69"/>
        <v>0</v>
      </c>
      <c r="Z125" s="1596">
        <f t="shared" ca="1" si="70"/>
        <v>0</v>
      </c>
      <c r="AA125" s="1596">
        <f t="shared" ca="1" si="70"/>
        <v>0</v>
      </c>
      <c r="AB125" s="1596">
        <f t="shared" ca="1" si="70"/>
        <v>0</v>
      </c>
      <c r="AC125" s="1596">
        <f t="shared" ca="1" si="70"/>
        <v>0</v>
      </c>
      <c r="AD125" s="1596">
        <f t="shared" ca="1" si="70"/>
        <v>0</v>
      </c>
      <c r="AE125" s="1596">
        <f t="shared" ca="1" si="70"/>
        <v>0</v>
      </c>
      <c r="AF125" s="1596">
        <f t="shared" ca="1" si="70"/>
        <v>0</v>
      </c>
      <c r="AG125" s="1596">
        <f t="shared" ca="1" si="70"/>
        <v>3.3862691824031407E-3</v>
      </c>
      <c r="AH125" s="1596">
        <f t="shared" ca="1" si="70"/>
        <v>3.3862691824031407E-3</v>
      </c>
      <c r="AI125" s="1596">
        <f ca="1">IF(AI$9&lt;&gt;"",INDIRECT(ADDRESS($A125,$B125,,,AI$9)),0)</f>
        <v>3.3862691824031407E-3</v>
      </c>
      <c r="AJ125" s="1596">
        <f t="shared" ca="1" si="70"/>
        <v>3.3862691824031407E-3</v>
      </c>
      <c r="AK125" s="1596">
        <f t="shared" ca="1" si="70"/>
        <v>2.8831426319335706E-3</v>
      </c>
      <c r="AL125" s="1596">
        <f t="shared" ca="1" si="70"/>
        <v>2.8831426319335706E-3</v>
      </c>
      <c r="AM125" s="1596">
        <f t="shared" ca="1" si="70"/>
        <v>2.8831426319335706E-3</v>
      </c>
      <c r="AN125" s="1596">
        <f t="shared" ca="1" si="70"/>
        <v>2.8831426319335706E-3</v>
      </c>
      <c r="AO125" s="1596">
        <f t="shared" ca="1" si="70"/>
        <v>0</v>
      </c>
      <c r="AP125" s="1596">
        <f t="shared" ca="1" si="70"/>
        <v>0</v>
      </c>
    </row>
    <row r="126" spans="1:42" s="664" customFormat="1" outlineLevel="1">
      <c r="A126" s="699">
        <f>ROW('Std benzin motor'!$A50)</f>
        <v>50</v>
      </c>
      <c r="B126" s="699">
        <f>COLUMN('Std benzin motor'!$D254)-1+chosenYear</f>
        <v>4</v>
      </c>
      <c r="D126" s="682" t="s">
        <v>26</v>
      </c>
      <c r="E126" s="694" t="s">
        <v>348</v>
      </c>
      <c r="F126" s="1596">
        <f t="shared" ca="1" si="68"/>
        <v>0</v>
      </c>
      <c r="G126" s="1596">
        <f t="shared" ca="1" si="68"/>
        <v>0</v>
      </c>
      <c r="H126" s="1596">
        <f t="shared" ca="1" si="68"/>
        <v>0</v>
      </c>
      <c r="I126" s="1596">
        <f t="shared" ca="1" si="68"/>
        <v>0</v>
      </c>
      <c r="J126" s="1596">
        <f t="shared" ca="1" si="68"/>
        <v>0</v>
      </c>
      <c r="K126" s="1596">
        <f t="shared" ca="1" si="68"/>
        <v>0</v>
      </c>
      <c r="L126" s="1596">
        <f t="shared" ca="1" si="68"/>
        <v>0</v>
      </c>
      <c r="M126" s="1596">
        <f t="shared" ca="1" si="68"/>
        <v>0</v>
      </c>
      <c r="N126" s="1596">
        <f t="shared" ca="1" si="68"/>
        <v>0</v>
      </c>
      <c r="O126" s="1596">
        <f t="shared" ca="1" si="68"/>
        <v>0</v>
      </c>
      <c r="P126" s="1596">
        <f t="shared" ca="1" si="69"/>
        <v>0</v>
      </c>
      <c r="Q126" s="1596">
        <f t="shared" ca="1" si="69"/>
        <v>0</v>
      </c>
      <c r="R126" s="1596">
        <f t="shared" ca="1" si="69"/>
        <v>0</v>
      </c>
      <c r="S126" s="1596">
        <f t="shared" ca="1" si="69"/>
        <v>0</v>
      </c>
      <c r="T126" s="1596">
        <f t="shared" ca="1" si="69"/>
        <v>0.18082431888384828</v>
      </c>
      <c r="U126" s="1596">
        <f t="shared" ca="1" si="69"/>
        <v>0</v>
      </c>
      <c r="V126" s="1596">
        <f t="shared" ca="1" si="69"/>
        <v>0</v>
      </c>
      <c r="W126" s="1596">
        <f t="shared" ca="1" si="69"/>
        <v>1.8082431888384853</v>
      </c>
      <c r="X126" s="1596">
        <f t="shared" ca="1" si="69"/>
        <v>0.18082431888384828</v>
      </c>
      <c r="Y126" s="1596">
        <f ca="1">IF(Y$9&lt;&gt;"",INDIRECT(ADDRESS($A126,$B126,,,Y$9)),0)</f>
        <v>0.18082431888384828</v>
      </c>
      <c r="Z126" s="1596">
        <f t="shared" ca="1" si="70"/>
        <v>0.11023622047244094</v>
      </c>
      <c r="AA126" s="1596">
        <f t="shared" ca="1" si="70"/>
        <v>0</v>
      </c>
      <c r="AB126" s="1596">
        <f t="shared" ca="1" si="70"/>
        <v>0</v>
      </c>
      <c r="AC126" s="1596">
        <f t="shared" ca="1" si="70"/>
        <v>0</v>
      </c>
      <c r="AD126" s="1596">
        <f t="shared" ca="1" si="70"/>
        <v>0</v>
      </c>
      <c r="AE126" s="1596">
        <f t="shared" ca="1" si="70"/>
        <v>0</v>
      </c>
      <c r="AF126" s="1596">
        <f t="shared" ca="1" si="70"/>
        <v>0</v>
      </c>
      <c r="AG126" s="1596">
        <f t="shared" ca="1" si="70"/>
        <v>4.6837408023728819E-4</v>
      </c>
      <c r="AH126" s="1596">
        <f t="shared" ca="1" si="70"/>
        <v>4.2579461839753469E-4</v>
      </c>
      <c r="AI126" s="1596">
        <f ca="1">IF(AI$9&lt;&gt;"",INDIRECT(ADDRESS($A126,$B126,,,AI$9)),0)</f>
        <v>4.6837408023728814E-4</v>
      </c>
      <c r="AJ126" s="1596">
        <f t="shared" ca="1" si="70"/>
        <v>4.6837408023728819E-4</v>
      </c>
      <c r="AK126" s="1596">
        <f t="shared" ca="1" si="70"/>
        <v>4.6837408023728803E-4</v>
      </c>
      <c r="AL126" s="1596">
        <f t="shared" ca="1" si="70"/>
        <v>4.6837408023728803E-4</v>
      </c>
      <c r="AM126" s="1596">
        <f t="shared" ca="1" si="70"/>
        <v>4.6837408023728803E-4</v>
      </c>
      <c r="AN126" s="1596">
        <f t="shared" ca="1" si="70"/>
        <v>4.6837408023728803E-4</v>
      </c>
      <c r="AO126" s="1596">
        <f t="shared" ca="1" si="70"/>
        <v>0.18082431888384828</v>
      </c>
      <c r="AP126" s="1596">
        <f t="shared" ca="1" si="70"/>
        <v>0</v>
      </c>
    </row>
    <row r="127" spans="1:42" s="664" customFormat="1" outlineLevel="1">
      <c r="A127" s="699">
        <f>ROW('Std benzin motor'!$A51)</f>
        <v>51</v>
      </c>
      <c r="B127" s="699">
        <f>COLUMN('Std benzin motor'!$D255)-1+chosenYear</f>
        <v>4</v>
      </c>
      <c r="D127" s="682" t="s">
        <v>25</v>
      </c>
      <c r="E127" s="694" t="s">
        <v>348</v>
      </c>
      <c r="F127" s="1596">
        <f t="shared" ca="1" si="68"/>
        <v>0.11076923076923076</v>
      </c>
      <c r="G127" s="1596">
        <f t="shared" ca="1" si="68"/>
        <v>2.8395646000946521E-2</v>
      </c>
      <c r="H127" s="1596">
        <f t="shared" ca="1" si="68"/>
        <v>2.8395646000946521E-2</v>
      </c>
      <c r="I127" s="1596">
        <f t="shared" ca="1" si="68"/>
        <v>2.8395646000946521E-2</v>
      </c>
      <c r="J127" s="1596">
        <f t="shared" ca="1" si="68"/>
        <v>2.8395646000946521E-2</v>
      </c>
      <c r="K127" s="1596">
        <f t="shared" ca="1" si="68"/>
        <v>0.11076923076923076</v>
      </c>
      <c r="L127" s="1596">
        <f t="shared" ca="1" si="68"/>
        <v>0.11076923076923076</v>
      </c>
      <c r="M127" s="1596">
        <f t="shared" ca="1" si="68"/>
        <v>0.10477299185098952</v>
      </c>
      <c r="N127" s="1596">
        <f t="shared" ca="1" si="68"/>
        <v>2.582866982350409E-2</v>
      </c>
      <c r="O127" s="1596">
        <f t="shared" ca="1" si="68"/>
        <v>2.582866982350409E-2</v>
      </c>
      <c r="P127" s="1596">
        <f t="shared" ca="1" si="69"/>
        <v>0</v>
      </c>
      <c r="Q127" s="1596">
        <f t="shared" ca="1" si="69"/>
        <v>0</v>
      </c>
      <c r="R127" s="1596">
        <f t="shared" ca="1" si="69"/>
        <v>0</v>
      </c>
      <c r="S127" s="1596">
        <f t="shared" ca="1" si="69"/>
        <v>0</v>
      </c>
      <c r="T127" s="1596">
        <f t="shared" ca="1" si="69"/>
        <v>0.46916621568366396</v>
      </c>
      <c r="U127" s="1596">
        <f t="shared" ca="1" si="69"/>
        <v>0.30429157516640282</v>
      </c>
      <c r="V127" s="1596">
        <f t="shared" ca="1" si="69"/>
        <v>0.30429157516640282</v>
      </c>
      <c r="W127" s="1596">
        <f t="shared" ca="1" si="69"/>
        <v>0.46916621568366396</v>
      </c>
      <c r="X127" s="1596">
        <f t="shared" ca="1" si="69"/>
        <v>0.46916621568366396</v>
      </c>
      <c r="Y127" s="1596">
        <f t="shared" ca="1" si="69"/>
        <v>0.46916621568366396</v>
      </c>
      <c r="Z127" s="1596">
        <f t="shared" ca="1" si="70"/>
        <v>7.4684858218409991E-2</v>
      </c>
      <c r="AA127" s="1596">
        <f t="shared" ca="1" si="70"/>
        <v>1.3888888888888888</v>
      </c>
      <c r="AB127" s="1596">
        <f t="shared" ca="1" si="70"/>
        <v>1.3888888888888888</v>
      </c>
      <c r="AC127" s="1596">
        <f t="shared" ca="1" si="70"/>
        <v>0</v>
      </c>
      <c r="AD127" s="1596">
        <f t="shared" ca="1" si="70"/>
        <v>1.3277777777777777</v>
      </c>
      <c r="AE127" s="1596">
        <f t="shared" ca="1" si="70"/>
        <v>1.3277777777777777</v>
      </c>
      <c r="AF127" s="1596">
        <f t="shared" ca="1" si="70"/>
        <v>1.3277777777777777</v>
      </c>
      <c r="AG127" s="1596">
        <f t="shared" ca="1" si="70"/>
        <v>0.34889924166526276</v>
      </c>
      <c r="AH127" s="1596">
        <f t="shared" ca="1" si="70"/>
        <v>0.41867908999831532</v>
      </c>
      <c r="AI127" s="1596">
        <f ca="1">IF(AI$9&lt;&gt;"",INDIRECT(ADDRESS($A127,$B127,,,AI$9)),0)</f>
        <v>0.34889924166526276</v>
      </c>
      <c r="AJ127" s="1596">
        <f t="shared" ca="1" si="70"/>
        <v>0.34889924166526276</v>
      </c>
      <c r="AK127" s="1596">
        <f t="shared" ca="1" si="70"/>
        <v>0.42120742294108487</v>
      </c>
      <c r="AL127" s="1596">
        <f t="shared" ca="1" si="70"/>
        <v>0.42120742294108487</v>
      </c>
      <c r="AM127" s="1596">
        <f t="shared" ca="1" si="70"/>
        <v>0.42120742294108487</v>
      </c>
      <c r="AN127" s="1596">
        <f t="shared" ca="1" si="70"/>
        <v>0.42120742294108487</v>
      </c>
      <c r="AO127" s="1596">
        <f t="shared" ca="1" si="70"/>
        <v>0.46916621568366396</v>
      </c>
      <c r="AP127" s="1596">
        <f t="shared" ca="1" si="70"/>
        <v>0</v>
      </c>
    </row>
    <row r="128" spans="1:42" s="664" customFormat="1" outlineLevel="1">
      <c r="A128" s="699">
        <f>ROW('Std benzin motor'!$A52)</f>
        <v>52</v>
      </c>
      <c r="B128" s="699">
        <f>COLUMN('Std benzin motor'!$D256)-1+chosenYear</f>
        <v>4</v>
      </c>
      <c r="D128" s="683" t="s">
        <v>45</v>
      </c>
      <c r="E128" s="684" t="s">
        <v>348</v>
      </c>
      <c r="F128" s="1597">
        <f t="shared" ca="1" si="68"/>
        <v>3.0769230769230769E-3</v>
      </c>
      <c r="G128" s="1597">
        <f t="shared" ca="1" si="68"/>
        <v>2.3663038334122101E-3</v>
      </c>
      <c r="H128" s="1597">
        <f t="shared" ca="1" si="68"/>
        <v>2.3663038334122101E-3</v>
      </c>
      <c r="I128" s="1597">
        <f t="shared" ca="1" si="68"/>
        <v>2.3663038334122101E-3</v>
      </c>
      <c r="J128" s="1597">
        <f t="shared" ca="1" si="68"/>
        <v>2.3663038334122101E-3</v>
      </c>
      <c r="K128" s="1597">
        <f t="shared" ca="1" si="68"/>
        <v>3.0769230769230769E-3</v>
      </c>
      <c r="L128" s="1597">
        <f t="shared" ca="1" si="68"/>
        <v>3.0769230769230769E-3</v>
      </c>
      <c r="M128" s="1597">
        <f t="shared" ca="1" si="68"/>
        <v>2.9103608847497091E-3</v>
      </c>
      <c r="N128" s="1597">
        <f t="shared" ca="1" si="68"/>
        <v>2.1523891519586742E-3</v>
      </c>
      <c r="O128" s="1597">
        <f t="shared" ca="1" si="68"/>
        <v>2.1523891519586742E-3</v>
      </c>
      <c r="P128" s="1597">
        <f t="shared" ca="1" si="69"/>
        <v>0</v>
      </c>
      <c r="Q128" s="1597">
        <f t="shared" ca="1" si="69"/>
        <v>0</v>
      </c>
      <c r="R128" s="1597">
        <f t="shared" ca="1" si="69"/>
        <v>0</v>
      </c>
      <c r="S128" s="1597">
        <f t="shared" ca="1" si="69"/>
        <v>0</v>
      </c>
      <c r="T128" s="1597">
        <f t="shared" ca="1" si="69"/>
        <v>9.2415311823227084E-2</v>
      </c>
      <c r="U128" s="1597">
        <f t="shared" ca="1" si="69"/>
        <v>0</v>
      </c>
      <c r="V128" s="1597">
        <f t="shared" ca="1" si="69"/>
        <v>0</v>
      </c>
      <c r="W128" s="1597">
        <f t="shared" ca="1" si="69"/>
        <v>0.2532179543956421</v>
      </c>
      <c r="X128" s="1597">
        <f t="shared" ca="1" si="69"/>
        <v>9.2415311823227084E-2</v>
      </c>
      <c r="Y128" s="1597">
        <f t="shared" ca="1" si="69"/>
        <v>9.2415311823227084E-2</v>
      </c>
      <c r="Z128" s="1597">
        <f t="shared" ca="1" si="70"/>
        <v>1.3385826771653547E-2</v>
      </c>
      <c r="AA128" s="1597">
        <f t="shared" ca="1" si="70"/>
        <v>2.777777777777778E-2</v>
      </c>
      <c r="AB128" s="1597">
        <f t="shared" ca="1" si="70"/>
        <v>2.777777777777778E-2</v>
      </c>
      <c r="AC128" s="1597">
        <f t="shared" ca="1" si="70"/>
        <v>0</v>
      </c>
      <c r="AD128" s="1597">
        <f t="shared" ca="1" si="70"/>
        <v>1.3333333333333332E-2</v>
      </c>
      <c r="AE128" s="1597">
        <f t="shared" ca="1" si="70"/>
        <v>1.3333333333333332E-2</v>
      </c>
      <c r="AF128" s="1597">
        <f t="shared" ca="1" si="70"/>
        <v>1.3333333333333332E-2</v>
      </c>
      <c r="AG128" s="1597">
        <f t="shared" ca="1" si="70"/>
        <v>3.2979813853448933E-3</v>
      </c>
      <c r="AH128" s="1597">
        <f t="shared" ca="1" si="70"/>
        <v>3.2979813853448933E-3</v>
      </c>
      <c r="AI128" s="1597">
        <f ca="1">IF(AI$9&lt;&gt;"",INDIRECT(ADDRESS($A128,$B128,,,AI$9)),0)</f>
        <v>3.2979813853448933E-3</v>
      </c>
      <c r="AJ128" s="1597">
        <f t="shared" ca="1" si="70"/>
        <v>3.2979813853448933E-3</v>
      </c>
      <c r="AK128" s="1597">
        <f t="shared" ca="1" si="70"/>
        <v>3.2868980174215008E-3</v>
      </c>
      <c r="AL128" s="1597">
        <f t="shared" ca="1" si="70"/>
        <v>3.2868980174215008E-3</v>
      </c>
      <c r="AM128" s="1597">
        <f t="shared" ca="1" si="70"/>
        <v>3.2868980174215008E-3</v>
      </c>
      <c r="AN128" s="1597">
        <f t="shared" ca="1" si="70"/>
        <v>3.2868980174215008E-3</v>
      </c>
      <c r="AO128" s="1597">
        <f t="shared" ca="1" si="70"/>
        <v>9.2415311823227084E-2</v>
      </c>
      <c r="AP128" s="1597">
        <f t="shared" ca="1" si="70"/>
        <v>0</v>
      </c>
    </row>
    <row r="129" spans="1:42" outlineLevel="1">
      <c r="D129" s="728" t="s">
        <v>56</v>
      </c>
      <c r="E129" s="729" t="s">
        <v>7</v>
      </c>
      <c r="F129" s="730"/>
      <c r="G129" s="730"/>
      <c r="H129" s="730"/>
      <c r="I129" s="730"/>
      <c r="J129" s="730"/>
      <c r="K129" s="730"/>
      <c r="L129" s="730"/>
      <c r="M129" s="730"/>
      <c r="N129" s="730"/>
      <c r="O129" s="730"/>
      <c r="P129" s="730"/>
      <c r="Q129" s="730"/>
      <c r="R129" s="730"/>
      <c r="S129" s="730"/>
      <c r="T129" s="730"/>
      <c r="U129" s="730"/>
      <c r="V129" s="730"/>
      <c r="W129" s="730"/>
      <c r="X129" s="730"/>
      <c r="Y129" s="730"/>
      <c r="Z129" s="730"/>
      <c r="AA129" s="730"/>
      <c r="AB129" s="730"/>
      <c r="AC129" s="730"/>
      <c r="AD129" s="730"/>
      <c r="AE129" s="730"/>
      <c r="AF129" s="730"/>
      <c r="AG129" s="730"/>
      <c r="AH129" s="730"/>
      <c r="AI129" s="730"/>
      <c r="AJ129" s="730"/>
      <c r="AK129" s="730"/>
      <c r="AL129" s="730"/>
      <c r="AM129" s="730"/>
      <c r="AN129" s="730"/>
      <c r="AO129" s="730"/>
      <c r="AP129" s="730"/>
    </row>
    <row r="130" spans="1:42" outlineLevel="1">
      <c r="D130" s="716"/>
      <c r="E130" s="717"/>
      <c r="F130" s="718"/>
      <c r="G130" s="718"/>
      <c r="H130" s="718"/>
      <c r="I130" s="718"/>
      <c r="J130" s="718"/>
      <c r="K130" s="718"/>
      <c r="L130" s="718"/>
      <c r="M130" s="718"/>
      <c r="N130" s="718"/>
      <c r="O130" s="718"/>
      <c r="P130" s="718"/>
      <c r="Q130" s="718"/>
      <c r="R130" s="718"/>
      <c r="S130" s="718"/>
      <c r="T130" s="718"/>
      <c r="U130" s="718"/>
      <c r="V130" s="718"/>
      <c r="W130" s="718"/>
      <c r="X130" s="718"/>
      <c r="Y130" s="718"/>
      <c r="Z130" s="718"/>
      <c r="AA130" s="718"/>
      <c r="AB130" s="718"/>
      <c r="AC130" s="718"/>
      <c r="AD130" s="718"/>
      <c r="AE130" s="718"/>
      <c r="AF130" s="718"/>
      <c r="AG130" s="718"/>
      <c r="AH130" s="718"/>
      <c r="AI130" s="718"/>
      <c r="AJ130" s="718"/>
      <c r="AK130" s="718"/>
      <c r="AL130" s="718"/>
      <c r="AM130" s="718"/>
      <c r="AN130" s="718"/>
      <c r="AO130" s="718"/>
      <c r="AP130" s="718"/>
    </row>
    <row r="131" spans="1:42" outlineLevel="1">
      <c r="A131" s="699"/>
      <c r="D131" s="709" t="s">
        <v>831</v>
      </c>
    </row>
    <row r="132" spans="1:42" s="664" customFormat="1" outlineLevel="1">
      <c r="A132" s="699">
        <f>ROW('Std benzin motor'!$A55)</f>
        <v>55</v>
      </c>
      <c r="B132" s="699">
        <f>COLUMN('Std benzin motor'!$D260)-1+chosenYear</f>
        <v>4</v>
      </c>
      <c r="D132" s="686" t="s">
        <v>24</v>
      </c>
      <c r="E132" s="680" t="s">
        <v>348</v>
      </c>
      <c r="F132" s="1594"/>
      <c r="G132" s="1594"/>
      <c r="H132" s="1594"/>
      <c r="I132" s="1594"/>
      <c r="J132" s="1594"/>
      <c r="K132" s="1594"/>
      <c r="L132" s="1594"/>
      <c r="M132" s="1594"/>
      <c r="N132" s="1594"/>
      <c r="O132" s="1594"/>
      <c r="P132" s="1594"/>
      <c r="Q132" s="1594"/>
      <c r="R132" s="1594"/>
      <c r="S132" s="1594"/>
      <c r="T132" s="1594"/>
      <c r="U132" s="1594"/>
      <c r="V132" s="1594"/>
      <c r="W132" s="1594"/>
      <c r="X132" s="1594"/>
      <c r="Y132" s="1594"/>
      <c r="Z132" s="1594"/>
      <c r="AA132" s="1594"/>
      <c r="AB132" s="1594"/>
      <c r="AC132" s="1594"/>
      <c r="AD132" s="1594"/>
      <c r="AE132" s="1594"/>
      <c r="AF132" s="1594"/>
      <c r="AG132" s="1594"/>
      <c r="AH132" s="1594"/>
      <c r="AI132" s="1594"/>
      <c r="AJ132" s="1594"/>
      <c r="AK132" s="1594"/>
      <c r="AL132" s="1594"/>
      <c r="AM132" s="1594"/>
      <c r="AN132" s="1594"/>
      <c r="AO132" s="1594"/>
      <c r="AP132" s="1594"/>
    </row>
    <row r="133" spans="1:42" s="664" customFormat="1" outlineLevel="1">
      <c r="A133" s="699">
        <f>ROW('Std benzin motor'!$A56)</f>
        <v>56</v>
      </c>
      <c r="B133" s="699">
        <f>COLUMN('Std benzin motor'!$D261)-1+chosenYear</f>
        <v>4</v>
      </c>
      <c r="D133" s="682" t="s">
        <v>27</v>
      </c>
      <c r="E133" s="694" t="s">
        <v>348</v>
      </c>
      <c r="F133" s="1596">
        <f t="shared" ref="F133:O137" ca="1" si="71">IF(F$9&lt;&gt;"",INDIRECT(ADDRESS($A133,$B133,,,F$9)),0)</f>
        <v>3.0769230769230771E-2</v>
      </c>
      <c r="G133" s="1596">
        <f t="shared" ca="1" si="71"/>
        <v>1.5144344533838144E-2</v>
      </c>
      <c r="H133" s="1596">
        <f t="shared" ca="1" si="71"/>
        <v>1.5144344533838144E-2</v>
      </c>
      <c r="I133" s="1596">
        <f t="shared" ca="1" si="71"/>
        <v>1.5144344533838144E-2</v>
      </c>
      <c r="J133" s="1596">
        <f t="shared" ca="1" si="71"/>
        <v>1.5144344533838144E-2</v>
      </c>
      <c r="K133" s="1596">
        <f t="shared" ca="1" si="71"/>
        <v>3.0769230769230771E-2</v>
      </c>
      <c r="L133" s="1596">
        <f t="shared" ca="1" si="71"/>
        <v>3.0769230769230771E-2</v>
      </c>
      <c r="M133" s="1596">
        <f t="shared" ca="1" si="71"/>
        <v>2.9103608847497093E-2</v>
      </c>
      <c r="N133" s="1596">
        <f t="shared" ca="1" si="71"/>
        <v>3.6898099747862984E-2</v>
      </c>
      <c r="O133" s="1596">
        <f t="shared" ca="1" si="71"/>
        <v>3.6898099747862984E-2</v>
      </c>
      <c r="P133" s="1596">
        <f t="shared" ref="P133:Y137" ca="1" si="72">IF(P$9&lt;&gt;"",INDIRECT(ADDRESS($A133,$B133,,,P$9)),0)</f>
        <v>0</v>
      </c>
      <c r="Q133" s="1596">
        <f t="shared" ca="1" si="72"/>
        <v>0</v>
      </c>
      <c r="R133" s="1596">
        <f t="shared" ca="1" si="72"/>
        <v>0</v>
      </c>
      <c r="S133" s="1596">
        <f t="shared" ca="1" si="72"/>
        <v>0</v>
      </c>
      <c r="T133" s="1596">
        <f t="shared" ca="1" si="72"/>
        <v>0</v>
      </c>
      <c r="U133" s="1596">
        <f t="shared" ca="1" si="72"/>
        <v>0</v>
      </c>
      <c r="V133" s="1596">
        <f t="shared" ca="1" si="72"/>
        <v>0</v>
      </c>
      <c r="W133" s="1596">
        <f t="shared" ca="1" si="72"/>
        <v>0</v>
      </c>
      <c r="X133" s="1596">
        <f t="shared" ca="1" si="72"/>
        <v>0</v>
      </c>
      <c r="Y133" s="1596">
        <f t="shared" ca="1" si="72"/>
        <v>0</v>
      </c>
      <c r="Z133" s="1596">
        <f t="shared" ref="Z133:AP137" ca="1" si="73">IF(Z$9&lt;&gt;"",INDIRECT(ADDRESS($A133,$B133,,,Z$9)),0)</f>
        <v>0.14308855291576675</v>
      </c>
      <c r="AA133" s="1596">
        <f t="shared" ca="1" si="73"/>
        <v>0</v>
      </c>
      <c r="AB133" s="1596">
        <f t="shared" ca="1" si="73"/>
        <v>0</v>
      </c>
      <c r="AC133" s="1596">
        <f t="shared" ca="1" si="73"/>
        <v>0</v>
      </c>
      <c r="AD133" s="1596">
        <f t="shared" ca="1" si="73"/>
        <v>0</v>
      </c>
      <c r="AE133" s="1596">
        <f t="shared" ca="1" si="73"/>
        <v>0</v>
      </c>
      <c r="AF133" s="1596">
        <f t="shared" ca="1" si="73"/>
        <v>0</v>
      </c>
      <c r="AG133" s="1596">
        <f t="shared" ca="1" si="73"/>
        <v>5.70067229895981E-4</v>
      </c>
      <c r="AH133" s="1596">
        <f t="shared" ca="1" si="73"/>
        <v>5.70067229895981E-4</v>
      </c>
      <c r="AI133" s="1596">
        <f ca="1">IF(AI$9&lt;&gt;"",INDIRECT(ADDRESS($A133,$B133,,,AI$9)),0)</f>
        <v>9.5042763677897296E-2</v>
      </c>
      <c r="AJ133" s="1596">
        <f t="shared" ca="1" si="73"/>
        <v>5.70067229895981E-4</v>
      </c>
      <c r="AK133" s="1596">
        <f t="shared" ca="1" si="73"/>
        <v>3.6492051807463747E-4</v>
      </c>
      <c r="AL133" s="1596">
        <f t="shared" ca="1" si="73"/>
        <v>3.6492051807463747E-4</v>
      </c>
      <c r="AM133" s="1596">
        <f t="shared" ca="1" si="73"/>
        <v>7.4463222787503627E-2</v>
      </c>
      <c r="AN133" s="1596">
        <f t="shared" ca="1" si="73"/>
        <v>3.6492051807463747E-4</v>
      </c>
      <c r="AO133" s="1596">
        <f t="shared" ca="1" si="73"/>
        <v>0</v>
      </c>
      <c r="AP133" s="1596">
        <f t="shared" ca="1" si="73"/>
        <v>0</v>
      </c>
    </row>
    <row r="134" spans="1:42" s="664" customFormat="1" outlineLevel="1">
      <c r="A134" s="699">
        <f>ROW('Std benzin motor'!$A57)</f>
        <v>57</v>
      </c>
      <c r="B134" s="699">
        <f>COLUMN('Std benzin motor'!$D262)-1+chosenYear</f>
        <v>4</v>
      </c>
      <c r="D134" s="682" t="s">
        <v>28</v>
      </c>
      <c r="E134" s="694" t="s">
        <v>348</v>
      </c>
      <c r="F134" s="1596">
        <f t="shared" ca="1" si="71"/>
        <v>0</v>
      </c>
      <c r="G134" s="1596">
        <f t="shared" ca="1" si="71"/>
        <v>0</v>
      </c>
      <c r="H134" s="1596">
        <f t="shared" ca="1" si="71"/>
        <v>0</v>
      </c>
      <c r="I134" s="1596">
        <f t="shared" ca="1" si="71"/>
        <v>0</v>
      </c>
      <c r="J134" s="1596">
        <f t="shared" ca="1" si="71"/>
        <v>0</v>
      </c>
      <c r="K134" s="1596">
        <f t="shared" ca="1" si="71"/>
        <v>0</v>
      </c>
      <c r="L134" s="1596">
        <f t="shared" ca="1" si="71"/>
        <v>0</v>
      </c>
      <c r="M134" s="1596">
        <f t="shared" ca="1" si="71"/>
        <v>0</v>
      </c>
      <c r="N134" s="1596">
        <f t="shared" ca="1" si="71"/>
        <v>0</v>
      </c>
      <c r="O134" s="1596">
        <f t="shared" ca="1" si="71"/>
        <v>0</v>
      </c>
      <c r="P134" s="1596">
        <f t="shared" ca="1" si="72"/>
        <v>0</v>
      </c>
      <c r="Q134" s="1596">
        <f t="shared" ca="1" si="72"/>
        <v>0</v>
      </c>
      <c r="R134" s="1596">
        <f t="shared" ca="1" si="72"/>
        <v>0</v>
      </c>
      <c r="S134" s="1596">
        <f t="shared" ca="1" si="72"/>
        <v>0</v>
      </c>
      <c r="T134" s="1596">
        <f t="shared" ca="1" si="72"/>
        <v>0</v>
      </c>
      <c r="U134" s="1596">
        <f t="shared" ca="1" si="72"/>
        <v>0</v>
      </c>
      <c r="V134" s="1596">
        <f t="shared" ca="1" si="72"/>
        <v>0</v>
      </c>
      <c r="W134" s="1596">
        <f t="shared" ca="1" si="72"/>
        <v>0</v>
      </c>
      <c r="X134" s="1596">
        <f t="shared" ca="1" si="72"/>
        <v>0</v>
      </c>
      <c r="Y134" s="1596">
        <f t="shared" ca="1" si="72"/>
        <v>0</v>
      </c>
      <c r="Z134" s="1596">
        <f t="shared" ca="1" si="73"/>
        <v>0</v>
      </c>
      <c r="AA134" s="1596">
        <f t="shared" ca="1" si="73"/>
        <v>0</v>
      </c>
      <c r="AB134" s="1596">
        <f t="shared" ca="1" si="73"/>
        <v>0</v>
      </c>
      <c r="AC134" s="1596">
        <f t="shared" ca="1" si="73"/>
        <v>0</v>
      </c>
      <c r="AD134" s="1596">
        <f t="shared" ca="1" si="73"/>
        <v>0</v>
      </c>
      <c r="AE134" s="1596">
        <f t="shared" ca="1" si="73"/>
        <v>0</v>
      </c>
      <c r="AF134" s="1596">
        <f t="shared" ca="1" si="73"/>
        <v>0</v>
      </c>
      <c r="AG134" s="1596">
        <f t="shared" ca="1" si="73"/>
        <v>3.3862691824031407E-3</v>
      </c>
      <c r="AH134" s="1596">
        <f t="shared" ca="1" si="73"/>
        <v>3.3862691824031407E-3</v>
      </c>
      <c r="AI134" s="1596">
        <f ca="1">IF(AI$9&lt;&gt;"",INDIRECT(ADDRESS($A134,$B134,,,AI$9)),0)</f>
        <v>3.3862691824031407E-3</v>
      </c>
      <c r="AJ134" s="1596">
        <f t="shared" ca="1" si="73"/>
        <v>3.3862691824031407E-3</v>
      </c>
      <c r="AK134" s="1596">
        <f t="shared" ca="1" si="73"/>
        <v>2.8831426319335706E-3</v>
      </c>
      <c r="AL134" s="1596">
        <f t="shared" ca="1" si="73"/>
        <v>2.8831426319335706E-3</v>
      </c>
      <c r="AM134" s="1596">
        <f t="shared" ca="1" si="73"/>
        <v>2.8831426319335706E-3</v>
      </c>
      <c r="AN134" s="1596">
        <f t="shared" ca="1" si="73"/>
        <v>2.8831426319335706E-3</v>
      </c>
      <c r="AO134" s="1596">
        <f t="shared" ca="1" si="73"/>
        <v>0</v>
      </c>
      <c r="AP134" s="1596">
        <f t="shared" ca="1" si="73"/>
        <v>0</v>
      </c>
    </row>
    <row r="135" spans="1:42" s="664" customFormat="1" outlineLevel="1">
      <c r="A135" s="699">
        <f>ROW('Std benzin motor'!$A58)</f>
        <v>58</v>
      </c>
      <c r="B135" s="699">
        <f>COLUMN('Std benzin motor'!$D263)-1+chosenYear</f>
        <v>4</v>
      </c>
      <c r="D135" s="682" t="s">
        <v>26</v>
      </c>
      <c r="E135" s="694" t="s">
        <v>348</v>
      </c>
      <c r="F135" s="1596">
        <f t="shared" ca="1" si="71"/>
        <v>0</v>
      </c>
      <c r="G135" s="1596">
        <f t="shared" ca="1" si="71"/>
        <v>0</v>
      </c>
      <c r="H135" s="1596">
        <f t="shared" ca="1" si="71"/>
        <v>0</v>
      </c>
      <c r="I135" s="1596">
        <f t="shared" ca="1" si="71"/>
        <v>0</v>
      </c>
      <c r="J135" s="1596">
        <f t="shared" ca="1" si="71"/>
        <v>0</v>
      </c>
      <c r="K135" s="1596">
        <f t="shared" ca="1" si="71"/>
        <v>0</v>
      </c>
      <c r="L135" s="1596">
        <f t="shared" ca="1" si="71"/>
        <v>0</v>
      </c>
      <c r="M135" s="1596">
        <f t="shared" ca="1" si="71"/>
        <v>0</v>
      </c>
      <c r="N135" s="1596">
        <f t="shared" ca="1" si="71"/>
        <v>0</v>
      </c>
      <c r="O135" s="1596">
        <f t="shared" ca="1" si="71"/>
        <v>0</v>
      </c>
      <c r="P135" s="1596">
        <f t="shared" ca="1" si="72"/>
        <v>0</v>
      </c>
      <c r="Q135" s="1596">
        <f t="shared" ca="1" si="72"/>
        <v>0</v>
      </c>
      <c r="R135" s="1596">
        <f t="shared" ca="1" si="72"/>
        <v>0</v>
      </c>
      <c r="S135" s="1596">
        <f t="shared" ca="1" si="72"/>
        <v>0</v>
      </c>
      <c r="T135" s="1596">
        <f t="shared" ca="1" si="72"/>
        <v>0.18082431888384828</v>
      </c>
      <c r="U135" s="1596">
        <f t="shared" ca="1" si="72"/>
        <v>0</v>
      </c>
      <c r="V135" s="1596">
        <f t="shared" ca="1" si="72"/>
        <v>0</v>
      </c>
      <c r="W135" s="1596">
        <f t="shared" ca="1" si="72"/>
        <v>1.8082431888384853</v>
      </c>
      <c r="X135" s="1596">
        <f t="shared" ca="1" si="72"/>
        <v>0.18082431888384828</v>
      </c>
      <c r="Y135" s="1596">
        <f t="shared" ca="1" si="72"/>
        <v>0.18082431888384828</v>
      </c>
      <c r="Z135" s="1596">
        <f t="shared" ca="1" si="73"/>
        <v>0.11023622047244094</v>
      </c>
      <c r="AA135" s="1596">
        <f t="shared" ca="1" si="73"/>
        <v>0</v>
      </c>
      <c r="AB135" s="1596">
        <f t="shared" ca="1" si="73"/>
        <v>0</v>
      </c>
      <c r="AC135" s="1596">
        <f t="shared" ca="1" si="73"/>
        <v>0</v>
      </c>
      <c r="AD135" s="1596">
        <f t="shared" ca="1" si="73"/>
        <v>0</v>
      </c>
      <c r="AE135" s="1596">
        <f t="shared" ca="1" si="73"/>
        <v>0</v>
      </c>
      <c r="AF135" s="1596">
        <f t="shared" ca="1" si="73"/>
        <v>0</v>
      </c>
      <c r="AG135" s="1596">
        <f t="shared" ca="1" si="73"/>
        <v>4.6837408023728819E-4</v>
      </c>
      <c r="AH135" s="1596">
        <f t="shared" ca="1" si="73"/>
        <v>4.2579461839753469E-4</v>
      </c>
      <c r="AI135" s="1596">
        <f ca="1">IF(AI$9&lt;&gt;"",INDIRECT(ADDRESS($A135,$B135,,,AI$9)),0)</f>
        <v>4.6837408023728814E-4</v>
      </c>
      <c r="AJ135" s="1596">
        <f t="shared" ca="1" si="73"/>
        <v>4.6837408023728819E-4</v>
      </c>
      <c r="AK135" s="1596">
        <f t="shared" ca="1" si="73"/>
        <v>4.6837408023728803E-4</v>
      </c>
      <c r="AL135" s="1596">
        <f t="shared" ca="1" si="73"/>
        <v>4.6837408023728803E-4</v>
      </c>
      <c r="AM135" s="1596">
        <f t="shared" ca="1" si="73"/>
        <v>4.6837408023728803E-4</v>
      </c>
      <c r="AN135" s="1596">
        <f t="shared" ca="1" si="73"/>
        <v>4.6837408023728803E-4</v>
      </c>
      <c r="AO135" s="1596">
        <f t="shared" ca="1" si="73"/>
        <v>0.18082431888384828</v>
      </c>
      <c r="AP135" s="1596">
        <f t="shared" ca="1" si="73"/>
        <v>0</v>
      </c>
    </row>
    <row r="136" spans="1:42" s="664" customFormat="1" outlineLevel="1">
      <c r="A136" s="699">
        <f>ROW('Std benzin motor'!$A59)</f>
        <v>59</v>
      </c>
      <c r="B136" s="699">
        <f>COLUMN('Std benzin motor'!$D264)-1+chosenYear</f>
        <v>4</v>
      </c>
      <c r="D136" s="682" t="s">
        <v>25</v>
      </c>
      <c r="E136" s="694" t="s">
        <v>348</v>
      </c>
      <c r="F136" s="1596">
        <f t="shared" ca="1" si="71"/>
        <v>0.11076923076923076</v>
      </c>
      <c r="G136" s="1596">
        <f t="shared" ca="1" si="71"/>
        <v>2.8395646000946521E-2</v>
      </c>
      <c r="H136" s="1596">
        <f t="shared" ca="1" si="71"/>
        <v>2.8395646000946521E-2</v>
      </c>
      <c r="I136" s="1596">
        <f t="shared" ca="1" si="71"/>
        <v>2.8395646000946521E-2</v>
      </c>
      <c r="J136" s="1596">
        <f t="shared" ca="1" si="71"/>
        <v>2.8395646000946521E-2</v>
      </c>
      <c r="K136" s="1596">
        <f t="shared" ca="1" si="71"/>
        <v>0.11076923076923076</v>
      </c>
      <c r="L136" s="1596">
        <f t="shared" ca="1" si="71"/>
        <v>0.11076923076923076</v>
      </c>
      <c r="M136" s="1596">
        <f t="shared" ca="1" si="71"/>
        <v>0.10477299185098952</v>
      </c>
      <c r="N136" s="1596">
        <f t="shared" ca="1" si="71"/>
        <v>2.582866982350409E-2</v>
      </c>
      <c r="O136" s="1596">
        <f t="shared" ca="1" si="71"/>
        <v>2.582866982350409E-2</v>
      </c>
      <c r="P136" s="1596">
        <f t="shared" ca="1" si="72"/>
        <v>0</v>
      </c>
      <c r="Q136" s="1596">
        <f t="shared" ca="1" si="72"/>
        <v>0</v>
      </c>
      <c r="R136" s="1596">
        <f t="shared" ca="1" si="72"/>
        <v>0</v>
      </c>
      <c r="S136" s="1596">
        <f t="shared" ca="1" si="72"/>
        <v>0</v>
      </c>
      <c r="T136" s="1596">
        <f t="shared" ca="1" si="72"/>
        <v>0.46916621568366396</v>
      </c>
      <c r="U136" s="1596">
        <f t="shared" ca="1" si="72"/>
        <v>0.30429157516640282</v>
      </c>
      <c r="V136" s="1596">
        <f t="shared" ca="1" si="72"/>
        <v>0.30429157516640282</v>
      </c>
      <c r="W136" s="1596">
        <f t="shared" ca="1" si="72"/>
        <v>0.46916621568366396</v>
      </c>
      <c r="X136" s="1596">
        <f t="shared" ca="1" si="72"/>
        <v>0.46916621568366396</v>
      </c>
      <c r="Y136" s="1596">
        <f t="shared" ca="1" si="72"/>
        <v>0.46916621568366396</v>
      </c>
      <c r="Z136" s="1596">
        <f t="shared" ca="1" si="73"/>
        <v>7.4684858218409991E-2</v>
      </c>
      <c r="AA136" s="1596">
        <f t="shared" ca="1" si="73"/>
        <v>1.3888888888888888</v>
      </c>
      <c r="AB136" s="1596">
        <f t="shared" ca="1" si="73"/>
        <v>1.3888888888888888</v>
      </c>
      <c r="AC136" s="1596">
        <f t="shared" ca="1" si="73"/>
        <v>0</v>
      </c>
      <c r="AD136" s="1596">
        <f t="shared" ca="1" si="73"/>
        <v>1.3277777777777777</v>
      </c>
      <c r="AE136" s="1596">
        <f t="shared" ca="1" si="73"/>
        <v>1.3277777777777777</v>
      </c>
      <c r="AF136" s="1596">
        <f t="shared" ca="1" si="73"/>
        <v>1.3277777777777777</v>
      </c>
      <c r="AG136" s="1596">
        <f t="shared" ca="1" si="73"/>
        <v>0.34889924166526276</v>
      </c>
      <c r="AH136" s="1596">
        <f t="shared" ca="1" si="73"/>
        <v>0.41867908999831532</v>
      </c>
      <c r="AI136" s="1596">
        <f ca="1">IF(AI$9&lt;&gt;"",INDIRECT(ADDRESS($A136,$B136,,,AI$9)),0)</f>
        <v>0.34889924166526276</v>
      </c>
      <c r="AJ136" s="1596">
        <f t="shared" ca="1" si="73"/>
        <v>0.34889924166526276</v>
      </c>
      <c r="AK136" s="1596">
        <f t="shared" ca="1" si="73"/>
        <v>0.42120742294108487</v>
      </c>
      <c r="AL136" s="1596">
        <f t="shared" ca="1" si="73"/>
        <v>0.42120742294108487</v>
      </c>
      <c r="AM136" s="1596">
        <f t="shared" ca="1" si="73"/>
        <v>0.42120742294108487</v>
      </c>
      <c r="AN136" s="1596">
        <f t="shared" ca="1" si="73"/>
        <v>0.42120742294108487</v>
      </c>
      <c r="AO136" s="1596">
        <f t="shared" ca="1" si="73"/>
        <v>0.46916621568366396</v>
      </c>
      <c r="AP136" s="1596">
        <f t="shared" ca="1" si="73"/>
        <v>0</v>
      </c>
    </row>
    <row r="137" spans="1:42" s="664" customFormat="1" outlineLevel="1">
      <c r="A137" s="699">
        <f>ROW('Std benzin motor'!$A60)</f>
        <v>60</v>
      </c>
      <c r="B137" s="699">
        <f>COLUMN('Std benzin motor'!$D265)-1+chosenYear</f>
        <v>4</v>
      </c>
      <c r="D137" s="683" t="s">
        <v>45</v>
      </c>
      <c r="E137" s="684" t="s">
        <v>348</v>
      </c>
      <c r="F137" s="1597">
        <f t="shared" ca="1" si="71"/>
        <v>3.0769230769230769E-3</v>
      </c>
      <c r="G137" s="1597">
        <f t="shared" ca="1" si="71"/>
        <v>2.3663038334122101E-3</v>
      </c>
      <c r="H137" s="1597">
        <f t="shared" ca="1" si="71"/>
        <v>2.3663038334122101E-3</v>
      </c>
      <c r="I137" s="1597">
        <f t="shared" ca="1" si="71"/>
        <v>2.3663038334122101E-3</v>
      </c>
      <c r="J137" s="1597">
        <f t="shared" ca="1" si="71"/>
        <v>2.3663038334122101E-3</v>
      </c>
      <c r="K137" s="1597">
        <f t="shared" ca="1" si="71"/>
        <v>3.0769230769230769E-3</v>
      </c>
      <c r="L137" s="1597">
        <f t="shared" ca="1" si="71"/>
        <v>3.0769230769230769E-3</v>
      </c>
      <c r="M137" s="1597">
        <f t="shared" ca="1" si="71"/>
        <v>2.9103608847497091E-3</v>
      </c>
      <c r="N137" s="1597">
        <f t="shared" ca="1" si="71"/>
        <v>2.1523891519586742E-3</v>
      </c>
      <c r="O137" s="1597">
        <f t="shared" ca="1" si="71"/>
        <v>2.1523891519586742E-3</v>
      </c>
      <c r="P137" s="1597">
        <f t="shared" ca="1" si="72"/>
        <v>0</v>
      </c>
      <c r="Q137" s="1597">
        <f t="shared" ca="1" si="72"/>
        <v>0</v>
      </c>
      <c r="R137" s="1597">
        <f t="shared" ca="1" si="72"/>
        <v>0</v>
      </c>
      <c r="S137" s="1597">
        <f t="shared" ca="1" si="72"/>
        <v>0</v>
      </c>
      <c r="T137" s="1597">
        <f t="shared" ca="1" si="72"/>
        <v>9.2415311823227084E-2</v>
      </c>
      <c r="U137" s="1597">
        <f t="shared" ca="1" si="72"/>
        <v>0</v>
      </c>
      <c r="V137" s="1597">
        <f t="shared" ca="1" si="72"/>
        <v>0</v>
      </c>
      <c r="W137" s="1597">
        <f t="shared" ca="1" si="72"/>
        <v>0.2532179543956421</v>
      </c>
      <c r="X137" s="1597">
        <f t="shared" ca="1" si="72"/>
        <v>9.2415311823227084E-2</v>
      </c>
      <c r="Y137" s="1597">
        <f t="shared" ca="1" si="72"/>
        <v>9.2415311823227084E-2</v>
      </c>
      <c r="Z137" s="1597">
        <f t="shared" ca="1" si="73"/>
        <v>1.3385826771653547E-2</v>
      </c>
      <c r="AA137" s="1597">
        <f t="shared" ca="1" si="73"/>
        <v>2.777777777777778E-2</v>
      </c>
      <c r="AB137" s="1597">
        <f t="shared" ca="1" si="73"/>
        <v>2.777777777777778E-2</v>
      </c>
      <c r="AC137" s="1597">
        <f t="shared" ca="1" si="73"/>
        <v>0</v>
      </c>
      <c r="AD137" s="1597">
        <f t="shared" ca="1" si="73"/>
        <v>1.3333333333333332E-2</v>
      </c>
      <c r="AE137" s="1597">
        <f t="shared" ca="1" si="73"/>
        <v>1.3333333333333332E-2</v>
      </c>
      <c r="AF137" s="1597">
        <f t="shared" ca="1" si="73"/>
        <v>1.3333333333333332E-2</v>
      </c>
      <c r="AG137" s="1597">
        <f t="shared" ca="1" si="73"/>
        <v>3.2979813853448933E-3</v>
      </c>
      <c r="AH137" s="1597">
        <f t="shared" ca="1" si="73"/>
        <v>3.2979813853448933E-3</v>
      </c>
      <c r="AI137" s="1597">
        <f ca="1">IF(AI$9&lt;&gt;"",INDIRECT(ADDRESS($A137,$B137,,,AI$9)),0)</f>
        <v>3.2979813853448933E-3</v>
      </c>
      <c r="AJ137" s="1597">
        <f t="shared" ca="1" si="73"/>
        <v>3.2979813853448933E-3</v>
      </c>
      <c r="AK137" s="1597">
        <f t="shared" ca="1" si="73"/>
        <v>3.2868980174215008E-3</v>
      </c>
      <c r="AL137" s="1597">
        <f t="shared" ca="1" si="73"/>
        <v>3.2868980174215008E-3</v>
      </c>
      <c r="AM137" s="1597">
        <f t="shared" ca="1" si="73"/>
        <v>3.2868980174215008E-3</v>
      </c>
      <c r="AN137" s="1597">
        <f t="shared" ca="1" si="73"/>
        <v>3.2868980174215008E-3</v>
      </c>
      <c r="AO137" s="1597">
        <f t="shared" ca="1" si="73"/>
        <v>9.2415311823227084E-2</v>
      </c>
      <c r="AP137" s="1597">
        <f t="shared" ca="1" si="73"/>
        <v>0</v>
      </c>
    </row>
    <row r="138" spans="1:42" outlineLevel="1">
      <c r="D138" s="728" t="s">
        <v>56</v>
      </c>
      <c r="E138" s="729" t="s">
        <v>7</v>
      </c>
      <c r="F138" s="730"/>
      <c r="G138" s="730"/>
      <c r="H138" s="730"/>
      <c r="I138" s="730"/>
      <c r="J138" s="730"/>
      <c r="K138" s="730"/>
      <c r="L138" s="730"/>
      <c r="M138" s="730"/>
      <c r="N138" s="730"/>
      <c r="O138" s="730"/>
      <c r="P138" s="730"/>
      <c r="Q138" s="730"/>
      <c r="R138" s="730"/>
      <c r="S138" s="730"/>
      <c r="T138" s="730"/>
      <c r="U138" s="730"/>
      <c r="V138" s="730"/>
      <c r="W138" s="730"/>
      <c r="X138" s="730"/>
      <c r="Y138" s="730"/>
      <c r="Z138" s="730"/>
      <c r="AA138" s="730"/>
      <c r="AB138" s="730"/>
      <c r="AC138" s="730"/>
      <c r="AD138" s="730"/>
      <c r="AE138" s="730"/>
      <c r="AF138" s="730"/>
      <c r="AG138" s="730"/>
      <c r="AH138" s="730"/>
      <c r="AI138" s="730"/>
      <c r="AJ138" s="730"/>
      <c r="AK138" s="730"/>
      <c r="AL138" s="730"/>
      <c r="AM138" s="730"/>
      <c r="AN138" s="730"/>
      <c r="AO138" s="730"/>
      <c r="AP138" s="730"/>
    </row>
    <row r="139" spans="1:42" outlineLevel="1">
      <c r="D139" s="716"/>
      <c r="E139" s="717"/>
      <c r="F139" s="718"/>
      <c r="G139" s="718"/>
      <c r="H139" s="731"/>
      <c r="I139" s="731"/>
      <c r="J139" s="731"/>
      <c r="K139" s="731"/>
      <c r="L139" s="731"/>
      <c r="M139" s="731"/>
      <c r="N139" s="718"/>
      <c r="O139" s="718"/>
      <c r="P139" s="718"/>
      <c r="Q139" s="718"/>
      <c r="R139" s="718"/>
      <c r="S139" s="718"/>
      <c r="T139" s="718"/>
      <c r="U139" s="718"/>
      <c r="V139" s="718"/>
      <c r="W139" s="718"/>
      <c r="X139" s="718"/>
      <c r="Y139" s="718"/>
      <c r="Z139" s="718"/>
      <c r="AA139" s="718"/>
      <c r="AB139" s="718"/>
      <c r="AC139" s="718"/>
      <c r="AD139" s="718"/>
      <c r="AE139" s="718"/>
      <c r="AF139" s="718"/>
      <c r="AG139" s="718"/>
      <c r="AH139" s="718"/>
      <c r="AI139" s="718"/>
      <c r="AJ139" s="718"/>
      <c r="AK139" s="718"/>
      <c r="AL139" s="718"/>
      <c r="AM139" s="718"/>
      <c r="AN139" s="718"/>
      <c r="AO139" s="718"/>
      <c r="AP139" s="718"/>
    </row>
    <row r="140" spans="1:42" outlineLevel="1">
      <c r="D140" s="709" t="s">
        <v>847</v>
      </c>
      <c r="F140" s="721"/>
      <c r="G140" s="721"/>
      <c r="H140" s="721"/>
      <c r="I140" s="721"/>
      <c r="J140" s="721"/>
      <c r="K140" s="721"/>
      <c r="L140" s="721"/>
      <c r="M140" s="721"/>
      <c r="N140" s="721"/>
      <c r="O140" s="721"/>
      <c r="P140" s="721"/>
      <c r="Q140" s="721"/>
      <c r="R140" s="721"/>
      <c r="S140" s="721"/>
      <c r="T140" s="721"/>
      <c r="U140" s="721"/>
      <c r="V140" s="721"/>
      <c r="W140" s="721"/>
      <c r="X140" s="721"/>
      <c r="Y140" s="721"/>
      <c r="Z140" s="721"/>
      <c r="AA140" s="721"/>
      <c r="AB140" s="721"/>
      <c r="AC140" s="721"/>
      <c r="AD140" s="721"/>
      <c r="AE140" s="721"/>
      <c r="AF140" s="721"/>
      <c r="AG140" s="721"/>
      <c r="AH140" s="721"/>
      <c r="AI140" s="721"/>
      <c r="AJ140" s="721"/>
      <c r="AK140" s="721"/>
      <c r="AL140" s="721"/>
      <c r="AM140" s="721"/>
      <c r="AN140" s="721"/>
      <c r="AO140" s="721"/>
      <c r="AP140" s="721"/>
    </row>
    <row r="141" spans="1:42" outlineLevel="1">
      <c r="D141" s="722" t="s">
        <v>24</v>
      </c>
      <c r="E141" s="723" t="s">
        <v>348</v>
      </c>
      <c r="F141" s="732">
        <f t="shared" ref="F141:AN141" ca="1" si="74">(F91+F107+F123)*F$11</f>
        <v>82.767315326162759</v>
      </c>
      <c r="G141" s="732">
        <f t="shared" ca="1" si="74"/>
        <v>81.665136642379011</v>
      </c>
      <c r="H141" s="732">
        <f t="shared" ca="1" si="74"/>
        <v>293.07660886505334</v>
      </c>
      <c r="I141" s="732">
        <f t="shared" ca="1" si="74"/>
        <v>371.56221611235486</v>
      </c>
      <c r="J141" s="732">
        <f t="shared" ca="1" si="74"/>
        <v>-2.7875376826663949</v>
      </c>
      <c r="K141" s="732">
        <f t="shared" ca="1" si="74"/>
        <v>349.07737163809958</v>
      </c>
      <c r="L141" s="732">
        <f t="shared" ca="1" si="74"/>
        <v>-29.031160535782838</v>
      </c>
      <c r="M141" s="732">
        <f t="shared" ca="1" si="74"/>
        <v>-29.035930469665718</v>
      </c>
      <c r="N141" s="732">
        <f t="shared" ca="1" si="74"/>
        <v>62.988220524148581</v>
      </c>
      <c r="O141" s="732">
        <f t="shared" ca="1" si="74"/>
        <v>-54.741551886802831</v>
      </c>
      <c r="P141" s="732">
        <f t="shared" ca="1" si="74"/>
        <v>-9.0068134619618423</v>
      </c>
      <c r="Q141" s="732">
        <f t="shared" ca="1" si="74"/>
        <v>3.0756138010916731</v>
      </c>
      <c r="R141" s="732">
        <f t="shared" ca="1" si="74"/>
        <v>5.7003274307270049</v>
      </c>
      <c r="S141" s="732">
        <f t="shared" ca="1" si="74"/>
        <v>53.898990183970149</v>
      </c>
      <c r="T141" s="732">
        <f t="shared" ca="1" si="74"/>
        <v>82.767315326162759</v>
      </c>
      <c r="U141" s="732">
        <f t="shared" ca="1" si="74"/>
        <v>81.381185377960549</v>
      </c>
      <c r="V141" s="732">
        <f t="shared" ca="1" si="74"/>
        <v>-89.65990884059029</v>
      </c>
      <c r="W141" s="732">
        <f t="shared" ca="1" si="74"/>
        <v>85.84506130853363</v>
      </c>
      <c r="X141" s="732">
        <f t="shared" ca="1" si="74"/>
        <v>82.767315326162759</v>
      </c>
      <c r="Y141" s="732">
        <f t="shared" ca="1" si="74"/>
        <v>-29.031160535782838</v>
      </c>
      <c r="Z141" s="732">
        <f t="shared" ca="1" si="74"/>
        <v>68.537149304812829</v>
      </c>
      <c r="AA141" s="732">
        <f t="shared" ca="1" si="74"/>
        <v>82.767315326162759</v>
      </c>
      <c r="AB141" s="732">
        <f t="shared" ca="1" si="74"/>
        <v>-29.031160535782838</v>
      </c>
      <c r="AC141" s="732">
        <f t="shared" ca="1" si="74"/>
        <v>5.400310197530847</v>
      </c>
      <c r="AD141" s="732">
        <f t="shared" ca="1" si="74"/>
        <v>82.767315326162759</v>
      </c>
      <c r="AE141" s="732">
        <f t="shared" ca="1" si="74"/>
        <v>-29.031160535782838</v>
      </c>
      <c r="AF141" s="732">
        <f t="shared" ca="1" si="74"/>
        <v>65.620674866310168</v>
      </c>
      <c r="AG141" s="732">
        <f t="shared" ca="1" si="74"/>
        <v>82.767315326162759</v>
      </c>
      <c r="AH141" s="732">
        <f t="shared" ref="AH141" ca="1" si="75">(AH91+AH107+AH123)*AH$11</f>
        <v>349.07737163809958</v>
      </c>
      <c r="AI141" s="732">
        <f t="shared" ref="AI141:AI146" ca="1" si="76">(AI91+AI107+AI123)*AI$11</f>
        <v>62.988220524148581</v>
      </c>
      <c r="AJ141" s="732">
        <f t="shared" ca="1" si="74"/>
        <v>-29.035930469665718</v>
      </c>
      <c r="AK141" s="732">
        <f t="shared" ref="AK141" ca="1" si="77">(AK91+AK107+AK123)*AK$11</f>
        <v>82.767315326162759</v>
      </c>
      <c r="AL141" s="732">
        <f t="shared" ca="1" si="74"/>
        <v>349.07737163809958</v>
      </c>
      <c r="AM141" s="732">
        <f t="shared" ca="1" si="74"/>
        <v>62.988220524148581</v>
      </c>
      <c r="AN141" s="732">
        <f t="shared" ca="1" si="74"/>
        <v>82.767315326162759</v>
      </c>
      <c r="AO141" s="732">
        <f t="shared" ref="AO141:AP141" ca="1" si="78">(AO91+AO107+AO123)*AO$11</f>
        <v>-29.031160535782838</v>
      </c>
      <c r="AP141" s="732">
        <f t="shared" ca="1" si="78"/>
        <v>9.9213348422312038</v>
      </c>
    </row>
    <row r="142" spans="1:42" outlineLevel="1">
      <c r="D142" s="716" t="s">
        <v>27</v>
      </c>
      <c r="E142" s="717" t="s">
        <v>348</v>
      </c>
      <c r="F142" s="733">
        <f t="shared" ref="F142:AN142" ca="1" si="79">(F92+F108+F124)*F$11</f>
        <v>3.0780396736781721E-2</v>
      </c>
      <c r="G142" s="733">
        <f t="shared" ca="1" si="79"/>
        <v>1.5156097319682092E-2</v>
      </c>
      <c r="H142" s="733">
        <f t="shared" ca="1" si="79"/>
        <v>1.4058440816855861E-2</v>
      </c>
      <c r="I142" s="733">
        <f t="shared" ca="1" si="79"/>
        <v>1.1450506959178141E-2</v>
      </c>
      <c r="J142" s="733">
        <f t="shared" ca="1" si="79"/>
        <v>7.8598868710507783E-3</v>
      </c>
      <c r="K142" s="733">
        <f t="shared" ca="1" si="79"/>
        <v>3.1182066694157504E-2</v>
      </c>
      <c r="L142" s="733">
        <f t="shared" ca="1" si="79"/>
        <v>2.6469126847744603E-2</v>
      </c>
      <c r="M142" s="733">
        <f t="shared" ca="1" si="79"/>
        <v>2.3725012710685639E-2</v>
      </c>
      <c r="N142" s="733">
        <f t="shared" ca="1" si="79"/>
        <v>3.690159974786298E-2</v>
      </c>
      <c r="O142" s="733">
        <f t="shared" ca="1" si="79"/>
        <v>0.1443228663612898</v>
      </c>
      <c r="P142" s="733">
        <f t="shared" ca="1" si="79"/>
        <v>-1.6773799244273497E-3</v>
      </c>
      <c r="Q142" s="733">
        <f t="shared" ca="1" si="79"/>
        <v>5.9950041631973355E-5</v>
      </c>
      <c r="R142" s="733">
        <f t="shared" ca="1" si="79"/>
        <v>1.1111111111111112E-4</v>
      </c>
      <c r="S142" s="733">
        <f t="shared" ca="1" si="79"/>
        <v>7.7568386570058851E-6</v>
      </c>
      <c r="T142" s="733">
        <f t="shared" ca="1" si="79"/>
        <v>1.1165967550949995E-5</v>
      </c>
      <c r="U142" s="733">
        <f t="shared" ca="1" si="79"/>
        <v>1.1763379834234609E-5</v>
      </c>
      <c r="V142" s="733">
        <f t="shared" ca="1" si="79"/>
        <v>-7.2712659559828778E-3</v>
      </c>
      <c r="W142" s="733">
        <f t="shared" ca="1" si="79"/>
        <v>9.4648864156709324E-6</v>
      </c>
      <c r="X142" s="733">
        <f t="shared" ca="1" si="79"/>
        <v>1.1165967550949995E-5</v>
      </c>
      <c r="Y142" s="733">
        <f t="shared" ca="1" si="79"/>
        <v>-4.3001039214861691E-3</v>
      </c>
      <c r="Z142" s="733">
        <f t="shared" ca="1" si="79"/>
        <v>0.13452017984777259</v>
      </c>
      <c r="AA142" s="733">
        <f t="shared" ca="1" si="79"/>
        <v>1.1165967550949995E-5</v>
      </c>
      <c r="AB142" s="733">
        <f t="shared" ca="1" si="79"/>
        <v>-4.3001039214861691E-3</v>
      </c>
      <c r="AC142" s="733">
        <f t="shared" ca="1" si="79"/>
        <v>1.0526315789473685E-4</v>
      </c>
      <c r="AD142" s="733">
        <f t="shared" ca="1" si="79"/>
        <v>1.1165967550949995E-5</v>
      </c>
      <c r="AE142" s="733">
        <f t="shared" ca="1" si="79"/>
        <v>-4.3001039214861691E-3</v>
      </c>
      <c r="AF142" s="733">
        <f t="shared" ca="1" si="79"/>
        <v>1.6219251336898398E-5</v>
      </c>
      <c r="AG142" s="733">
        <f t="shared" ca="1" si="79"/>
        <v>5.8123319744693099E-4</v>
      </c>
      <c r="AH142" s="733">
        <f t="shared" ref="AH142" ca="1" si="80">(AH92+AH108+AH124)*AH$11</f>
        <v>9.8290315482271349E-4</v>
      </c>
      <c r="AI142" s="733">
        <f t="shared" ca="1" si="76"/>
        <v>9.50462636778973E-2</v>
      </c>
      <c r="AJ142" s="733">
        <f t="shared" ca="1" si="79"/>
        <v>-4.8085289069154736E-3</v>
      </c>
      <c r="AK142" s="733">
        <f t="shared" ref="AK142" ca="1" si="81">(AK92+AK108+AK124)*AK$11</f>
        <v>3.7608648562558746E-4</v>
      </c>
      <c r="AL142" s="733">
        <f t="shared" ca="1" si="79"/>
        <v>7.7775644300136985E-4</v>
      </c>
      <c r="AM142" s="733">
        <f t="shared" ca="1" si="79"/>
        <v>7.4466722787503631E-2</v>
      </c>
      <c r="AN142" s="733">
        <f t="shared" ca="1" si="79"/>
        <v>3.7608648562558746E-4</v>
      </c>
      <c r="AO142" s="733">
        <f t="shared" ref="AO142:AP142" ca="1" si="82">(AO92+AO108+AO124)*AO$11</f>
        <v>-4.3001039214861691E-3</v>
      </c>
      <c r="AP142" s="733">
        <f t="shared" ca="1" si="82"/>
        <v>1.933872310708818E-4</v>
      </c>
    </row>
    <row r="143" spans="1:42" outlineLevel="1">
      <c r="D143" s="716" t="s">
        <v>28</v>
      </c>
      <c r="E143" s="717" t="s">
        <v>348</v>
      </c>
      <c r="F143" s="733">
        <f t="shared" ref="F143:AN143" ca="1" si="83">(F93+F109+F125)*F$11</f>
        <v>8.832634217616661E-6</v>
      </c>
      <c r="G143" s="733">
        <f t="shared" ca="1" si="83"/>
        <v>9.2050841696712929E-6</v>
      </c>
      <c r="H143" s="733">
        <f t="shared" ca="1" si="83"/>
        <v>1.1419638386879141E-4</v>
      </c>
      <c r="I143" s="733">
        <f t="shared" ca="1" si="83"/>
        <v>-2.1311378186278944E-5</v>
      </c>
      <c r="J143" s="733">
        <f t="shared" ca="1" si="83"/>
        <v>-2.0770885492413203E-4</v>
      </c>
      <c r="K143" s="733">
        <f t="shared" ca="1" si="83"/>
        <v>2.6825955406750324E-5</v>
      </c>
      <c r="L143" s="733">
        <f t="shared" ca="1" si="83"/>
        <v>-2.2709242076219397E-4</v>
      </c>
      <c r="M143" s="733">
        <f t="shared" ca="1" si="83"/>
        <v>-2.713761600286901E-4</v>
      </c>
      <c r="N143" s="733">
        <f t="shared" ca="1" si="83"/>
        <v>3.5000000000000004E-6</v>
      </c>
      <c r="O143" s="733">
        <f t="shared" ca="1" si="83"/>
        <v>4.8562525606980533E-5</v>
      </c>
      <c r="P143" s="733">
        <f t="shared" ca="1" si="83"/>
        <v>-8.4264603308758967E-5</v>
      </c>
      <c r="Q143" s="733">
        <f t="shared" ca="1" si="83"/>
        <v>5.9950041631973355E-5</v>
      </c>
      <c r="R143" s="733">
        <f t="shared" ca="1" si="83"/>
        <v>1.1111111111111112E-4</v>
      </c>
      <c r="S143" s="733">
        <f t="shared" ca="1" si="83"/>
        <v>6.0753555519830534E-6</v>
      </c>
      <c r="T143" s="733">
        <f t="shared" ca="1" si="83"/>
        <v>8.832634217616661E-6</v>
      </c>
      <c r="U143" s="733">
        <f t="shared" ca="1" si="83"/>
        <v>9.3418063843923003E-6</v>
      </c>
      <c r="V143" s="733">
        <f t="shared" ca="1" si="83"/>
        <v>-3.7541716898212854E-4</v>
      </c>
      <c r="W143" s="733">
        <f t="shared" ca="1" si="83"/>
        <v>7.3640254070608454E-6</v>
      </c>
      <c r="X143" s="733">
        <f t="shared" ca="1" si="83"/>
        <v>8.832634217616661E-6</v>
      </c>
      <c r="Y143" s="733">
        <f t="shared" ca="1" si="83"/>
        <v>-2.2709242076219397E-4</v>
      </c>
      <c r="Z143" s="733">
        <f t="shared" ca="1" si="83"/>
        <v>1.6940106951871659E-5</v>
      </c>
      <c r="AA143" s="733">
        <f t="shared" ca="1" si="83"/>
        <v>8.832634217616661E-6</v>
      </c>
      <c r="AB143" s="733">
        <f t="shared" ca="1" si="83"/>
        <v>-2.2709242076219397E-4</v>
      </c>
      <c r="AC143" s="733">
        <f t="shared" ca="1" si="83"/>
        <v>1.0526315789473685E-4</v>
      </c>
      <c r="AD143" s="733">
        <f t="shared" ca="1" si="83"/>
        <v>8.832634217616661E-6</v>
      </c>
      <c r="AE143" s="733">
        <f t="shared" ca="1" si="83"/>
        <v>-2.2709242076219397E-4</v>
      </c>
      <c r="AF143" s="733">
        <f t="shared" ca="1" si="83"/>
        <v>1.6219251336898398E-5</v>
      </c>
      <c r="AG143" s="733">
        <f t="shared" ca="1" si="83"/>
        <v>3.3951018166207573E-3</v>
      </c>
      <c r="AH143" s="733">
        <f t="shared" ref="AH143" ca="1" si="84">(AH93+AH109+AH125)*AH$11</f>
        <v>3.4130951378098912E-3</v>
      </c>
      <c r="AI143" s="733">
        <f t="shared" ca="1" si="76"/>
        <v>3.3897691824031407E-3</v>
      </c>
      <c r="AJ143" s="733">
        <f t="shared" ca="1" si="83"/>
        <v>3.1148930223744505E-3</v>
      </c>
      <c r="AK143" s="733">
        <f t="shared" ref="AK143" ca="1" si="85">(AK93+AK109+AK125)*AK$11</f>
        <v>2.8919752661511872E-3</v>
      </c>
      <c r="AL143" s="733">
        <f t="shared" ca="1" si="83"/>
        <v>2.9099685873403211E-3</v>
      </c>
      <c r="AM143" s="733">
        <f t="shared" ca="1" si="83"/>
        <v>2.8866426319335706E-3</v>
      </c>
      <c r="AN143" s="733">
        <f t="shared" ca="1" si="83"/>
        <v>2.8919752661511872E-3</v>
      </c>
      <c r="AO143" s="733">
        <f t="shared" ref="AO143:AP143" ca="1" si="86">(AO93+AO109+AO125)*AO$11</f>
        <v>-2.2709242076219397E-4</v>
      </c>
      <c r="AP143" s="733">
        <f t="shared" ca="1" si="86"/>
        <v>1.933872310708818E-4</v>
      </c>
    </row>
    <row r="144" spans="1:42" outlineLevel="1">
      <c r="D144" s="716" t="s">
        <v>26</v>
      </c>
      <c r="E144" s="717" t="s">
        <v>348</v>
      </c>
      <c r="F144" s="733">
        <f t="shared" ref="F144:AN144" ca="1" si="87">(F94+F110+F126)*F$11</f>
        <v>2.3946131320053783E-3</v>
      </c>
      <c r="G144" s="733">
        <f t="shared" ca="1" si="87"/>
        <v>5.3285678596294488E-5</v>
      </c>
      <c r="H144" s="733">
        <f t="shared" ca="1" si="87"/>
        <v>5.0161278162327043E-3</v>
      </c>
      <c r="I144" s="733">
        <f t="shared" ca="1" si="87"/>
        <v>-1.1637621550893711E-3</v>
      </c>
      <c r="J144" s="733">
        <f t="shared" ca="1" si="87"/>
        <v>-9.6942415373796158E-3</v>
      </c>
      <c r="K144" s="733">
        <f t="shared" ca="1" si="87"/>
        <v>1.0818262928434434E-3</v>
      </c>
      <c r="L144" s="733">
        <f t="shared" ca="1" si="87"/>
        <v>-1.0148696975070658E-2</v>
      </c>
      <c r="M144" s="733">
        <f t="shared" ca="1" si="87"/>
        <v>-1.2721102125391449E-2</v>
      </c>
      <c r="N144" s="733">
        <f t="shared" ca="1" si="87"/>
        <v>2.4390015205271157E-5</v>
      </c>
      <c r="O144" s="733">
        <f t="shared" ca="1" si="87"/>
        <v>1.7784494189828871E-3</v>
      </c>
      <c r="P144" s="733">
        <f t="shared" ca="1" si="87"/>
        <v>-3.9688284292938329E-3</v>
      </c>
      <c r="Q144" s="733">
        <f t="shared" ca="1" si="87"/>
        <v>1.9817809877965579E-4</v>
      </c>
      <c r="R144" s="733">
        <f t="shared" ca="1" si="87"/>
        <v>3.6730230962093611E-4</v>
      </c>
      <c r="S144" s="733">
        <f t="shared" ca="1" si="87"/>
        <v>3.5168547873554364E-5</v>
      </c>
      <c r="T144" s="733">
        <f t="shared" ca="1" si="87"/>
        <v>0.18321893201585365</v>
      </c>
      <c r="U144" s="733">
        <f t="shared" ca="1" si="87"/>
        <v>5.6380204299158847E-5</v>
      </c>
      <c r="V144" s="733">
        <f t="shared" ca="1" si="87"/>
        <v>-1.7145828250523382E-2</v>
      </c>
      <c r="W144" s="733">
        <f t="shared" ca="1" si="87"/>
        <v>1.8082849363074467</v>
      </c>
      <c r="X144" s="733">
        <f t="shared" ca="1" si="87"/>
        <v>0.18321893201585365</v>
      </c>
      <c r="Y144" s="733">
        <f ca="1">(Y94+Y110+Y126)*Y$11</f>
        <v>0.17067562190877764</v>
      </c>
      <c r="Z144" s="733">
        <f t="shared" ca="1" si="87"/>
        <v>0.10368683185831155</v>
      </c>
      <c r="AA144" s="733">
        <f t="shared" ca="1" si="87"/>
        <v>2.3946131320053783E-3</v>
      </c>
      <c r="AB144" s="733">
        <f t="shared" ca="1" si="87"/>
        <v>-1.0148696975070658E-2</v>
      </c>
      <c r="AC144" s="733">
        <f t="shared" ca="1" si="87"/>
        <v>3.4797060911457108E-4</v>
      </c>
      <c r="AD144" s="733">
        <f t="shared" ca="1" si="87"/>
        <v>2.3946131320053783E-3</v>
      </c>
      <c r="AE144" s="733">
        <f t="shared" ca="1" si="87"/>
        <v>-1.0148696975070658E-2</v>
      </c>
      <c r="AF144" s="733">
        <f t="shared" ca="1" si="87"/>
        <v>6.2027822122720901E-5</v>
      </c>
      <c r="AG144" s="733">
        <f t="shared" ca="1" si="87"/>
        <v>2.8629872122426666E-3</v>
      </c>
      <c r="AH144" s="733">
        <f t="shared" ref="AH144" ca="1" si="88">(AH94+AH110+AH126)*AH$11</f>
        <v>1.5076209112409782E-3</v>
      </c>
      <c r="AI144" s="733">
        <f t="shared" ca="1" si="76"/>
        <v>4.9276409544255927E-4</v>
      </c>
      <c r="AJ144" s="733">
        <f t="shared" ca="1" si="87"/>
        <v>-1.2252728045154161E-2</v>
      </c>
      <c r="AK144" s="733">
        <f t="shared" ref="AK144" ca="1" si="89">(AK94+AK110+AK126)*AK$11</f>
        <v>2.8629872122426661E-3</v>
      </c>
      <c r="AL144" s="733">
        <f t="shared" ca="1" si="87"/>
        <v>1.5502003730807315E-3</v>
      </c>
      <c r="AM144" s="733">
        <f t="shared" ca="1" si="87"/>
        <v>4.9276409544255916E-4</v>
      </c>
      <c r="AN144" s="733">
        <f t="shared" ca="1" si="87"/>
        <v>2.8629872122426661E-3</v>
      </c>
      <c r="AO144" s="733">
        <f t="shared" ref="AO144:AP144" ca="1" si="90">(AO94+AO110+AO126)*AO$11</f>
        <v>0.17067562190877764</v>
      </c>
      <c r="AP144" s="733">
        <f t="shared" ca="1" si="90"/>
        <v>6.392841896117929E-4</v>
      </c>
    </row>
    <row r="145" spans="4:42" outlineLevel="1">
      <c r="D145" s="716" t="s">
        <v>25</v>
      </c>
      <c r="E145" s="717" t="s">
        <v>348</v>
      </c>
      <c r="F145" s="733">
        <f t="shared" ref="F145:AN145" ca="1" si="91">(F95+F111+F127)*F$11</f>
        <v>0.16405596129814598</v>
      </c>
      <c r="G145" s="733">
        <f t="shared" ca="1" si="91"/>
        <v>8.2296689636245757E-2</v>
      </c>
      <c r="H145" s="733">
        <f t="shared" ca="1" si="91"/>
        <v>0.13278312196787903</v>
      </c>
      <c r="I145" s="733">
        <f t="shared" ca="1" si="91"/>
        <v>0.11631740027427105</v>
      </c>
      <c r="J145" s="733">
        <f t="shared" ca="1" si="91"/>
        <v>6.2933894288486197E-2</v>
      </c>
      <c r="K145" s="733">
        <f t="shared" ca="1" si="91"/>
        <v>0.27990849394630057</v>
      </c>
      <c r="L145" s="733">
        <f t="shared" ca="1" si="91"/>
        <v>0.16233796072857651</v>
      </c>
      <c r="M145" s="733">
        <f t="shared" ca="1" si="91"/>
        <v>0.1398185068752964</v>
      </c>
      <c r="N145" s="733">
        <f t="shared" ca="1" si="91"/>
        <v>3.0300172611137134E-2</v>
      </c>
      <c r="O145" s="733">
        <f t="shared" ca="1" si="91"/>
        <v>6.135309427324169E-2</v>
      </c>
      <c r="P145" s="733">
        <f t="shared" ca="1" si="91"/>
        <v>1.0919234923501466E-2</v>
      </c>
      <c r="Q145" s="733">
        <f t="shared" ca="1" si="91"/>
        <v>5.8547377654950196E-2</v>
      </c>
      <c r="R145" s="733">
        <f t="shared" ca="1" si="91"/>
        <v>0.10851142062283206</v>
      </c>
      <c r="S145" s="733">
        <f t="shared" ca="1" si="91"/>
        <v>3.5574688799297496E-2</v>
      </c>
      <c r="T145" s="733">
        <f t="shared" ca="1" si="91"/>
        <v>0.52245294621257921</v>
      </c>
      <c r="U145" s="733">
        <f t="shared" ca="1" si="91"/>
        <v>0.3613014512588506</v>
      </c>
      <c r="V145" s="733">
        <f t="shared" ca="1" si="91"/>
        <v>0.39639260663235137</v>
      </c>
      <c r="W145" s="733">
        <f t="shared" ca="1" si="91"/>
        <v>0.51140399778957069</v>
      </c>
      <c r="X145" s="733">
        <f t="shared" ca="1" si="91"/>
        <v>0.52245294621257921</v>
      </c>
      <c r="Y145" s="733">
        <f t="shared" ca="1" si="91"/>
        <v>0.52073494564300971</v>
      </c>
      <c r="Z145" s="733">
        <f t="shared" ca="1" si="91"/>
        <v>8.1231427281856255E-2</v>
      </c>
      <c r="AA145" s="733">
        <f t="shared" ca="1" si="91"/>
        <v>1.4421756194178041</v>
      </c>
      <c r="AB145" s="733">
        <f t="shared" ca="1" si="91"/>
        <v>1.4404576188482345</v>
      </c>
      <c r="AC145" s="733">
        <f t="shared" ca="1" si="91"/>
        <v>0.10280029322163038</v>
      </c>
      <c r="AD145" s="733">
        <f t="shared" ca="1" si="91"/>
        <v>1.381064508306693</v>
      </c>
      <c r="AE145" s="733">
        <f t="shared" ca="1" si="91"/>
        <v>1.3793465077371234</v>
      </c>
      <c r="AF145" s="733">
        <f t="shared" ca="1" si="91"/>
        <v>1.2055583984052083</v>
      </c>
      <c r="AG145" s="733">
        <f t="shared" ca="1" si="91"/>
        <v>0.40218597219417801</v>
      </c>
      <c r="AH145" s="733">
        <f t="shared" ref="AH145" ca="1" si="92">(AH95+AH111+AH127)*AH$11</f>
        <v>0.58781835317538511</v>
      </c>
      <c r="AI145" s="733">
        <f t="shared" ca="1" si="76"/>
        <v>0.35337074445289579</v>
      </c>
      <c r="AJ145" s="733">
        <f t="shared" ca="1" si="91"/>
        <v>0.38394475668956962</v>
      </c>
      <c r="AK145" s="733">
        <f t="shared" ref="AK145" ca="1" si="93">(AK95+AK111+AK127)*AK$11</f>
        <v>0.47449415347000012</v>
      </c>
      <c r="AL145" s="733">
        <f t="shared" ca="1" si="91"/>
        <v>0.59034668611815466</v>
      </c>
      <c r="AM145" s="733">
        <f t="shared" ca="1" si="91"/>
        <v>0.42567892572871791</v>
      </c>
      <c r="AN145" s="733">
        <f t="shared" ca="1" si="91"/>
        <v>0.47449415347000012</v>
      </c>
      <c r="AO145" s="733">
        <f t="shared" ref="AO145:AP145" ca="1" si="94">(AO95+AO111+AO127)*AO$11</f>
        <v>0.52073494564300971</v>
      </c>
      <c r="AP145" s="733">
        <f t="shared" ca="1" si="94"/>
        <v>0.18886250856435546</v>
      </c>
    </row>
    <row r="146" spans="4:42" outlineLevel="1">
      <c r="D146" s="724" t="s">
        <v>45</v>
      </c>
      <c r="E146" s="725" t="s">
        <v>348</v>
      </c>
      <c r="F146" s="734">
        <f t="shared" ref="F146:AN146" ca="1" si="95">(F96+F112+F128)*F$11</f>
        <v>3.0961167266856057E-3</v>
      </c>
      <c r="G146" s="734">
        <f t="shared" ca="1" si="95"/>
        <v>2.386821821860874E-3</v>
      </c>
      <c r="H146" s="734">
        <f t="shared" ca="1" si="95"/>
        <v>2.4048544038300793E-3</v>
      </c>
      <c r="I146" s="734">
        <f t="shared" ca="1" si="95"/>
        <v>1.7586059638300794E-3</v>
      </c>
      <c r="J146" s="734">
        <f t="shared" ca="1" si="95"/>
        <v>8.6898222383007939E-4</v>
      </c>
      <c r="K146" s="734">
        <f t="shared" ca="1" si="95"/>
        <v>3.1952282663909488E-3</v>
      </c>
      <c r="L146" s="734">
        <f t="shared" ca="1" si="95"/>
        <v>2.0183285369124336E-3</v>
      </c>
      <c r="M146" s="734">
        <f t="shared" ca="1" si="95"/>
        <v>1.6025843364471152E-3</v>
      </c>
      <c r="N146" s="734">
        <f t="shared" ca="1" si="95"/>
        <v>2.1558891519586742E-3</v>
      </c>
      <c r="O146" s="734">
        <f t="shared" ca="1" si="95"/>
        <v>2.3438054465907527E-3</v>
      </c>
      <c r="P146" s="734">
        <f t="shared" ca="1" si="95"/>
        <v>-4.0640117395879423E-4</v>
      </c>
      <c r="Q146" s="734">
        <f t="shared" ca="1" si="95"/>
        <v>5.9950041631973355E-5</v>
      </c>
      <c r="R146" s="734">
        <f t="shared" ca="1" si="95"/>
        <v>1.1111111111111112E-4</v>
      </c>
      <c r="S146" s="734">
        <f t="shared" ca="1" si="95"/>
        <v>1.3541872376118248E-5</v>
      </c>
      <c r="T146" s="734">
        <f t="shared" ca="1" si="95"/>
        <v>9.2434505472989606E-2</v>
      </c>
      <c r="U146" s="734">
        <f t="shared" ca="1" si="95"/>
        <v>2.0094646451662072E-5</v>
      </c>
      <c r="V146" s="734">
        <f t="shared" ca="1" si="95"/>
        <v>-1.7896724562686784E-3</v>
      </c>
      <c r="W146" s="734">
        <f t="shared" ca="1" si="95"/>
        <v>0.25323464715829253</v>
      </c>
      <c r="X146" s="734">
        <f t="shared" ca="1" si="95"/>
        <v>9.2434505472989606E-2</v>
      </c>
      <c r="Y146" s="734">
        <f t="shared" ca="1" si="95"/>
        <v>9.135671728321644E-2</v>
      </c>
      <c r="Z146" s="734">
        <f t="shared" ca="1" si="95"/>
        <v>1.2599617272306206E-2</v>
      </c>
      <c r="AA146" s="734">
        <f t="shared" ca="1" si="95"/>
        <v>2.7796971427540309E-2</v>
      </c>
      <c r="AB146" s="734">
        <f t="shared" ca="1" si="95"/>
        <v>2.6719183237767136E-2</v>
      </c>
      <c r="AC146" s="734">
        <f t="shared" ca="1" si="95"/>
        <v>1.0526315789473685E-4</v>
      </c>
      <c r="AD146" s="734">
        <f t="shared" ca="1" si="95"/>
        <v>1.3352526983095862E-2</v>
      </c>
      <c r="AE146" s="734">
        <f t="shared" ca="1" si="95"/>
        <v>1.2274738793322689E-2</v>
      </c>
      <c r="AF146" s="734">
        <f t="shared" ca="1" si="95"/>
        <v>1.2016219251336897E-2</v>
      </c>
      <c r="AG146" s="734">
        <f t="shared" ca="1" si="95"/>
        <v>3.3171750351074221E-3</v>
      </c>
      <c r="AH146" s="734">
        <f t="shared" ref="AH146" ca="1" si="96">(AH96+AH112+AH128)*AH$11</f>
        <v>3.4162865748127652E-3</v>
      </c>
      <c r="AI146" s="734">
        <f t="shared" ca="1" si="76"/>
        <v>3.3014813853448934E-3</v>
      </c>
      <c r="AJ146" s="734">
        <f t="shared" ca="1" si="95"/>
        <v>1.9902048370422994E-3</v>
      </c>
      <c r="AK146" s="734">
        <f t="shared" ref="AK146" ca="1" si="97">(AK96+AK112+AK128)*AK$11</f>
        <v>3.3060916671840295E-3</v>
      </c>
      <c r="AL146" s="734">
        <f t="shared" ca="1" si="95"/>
        <v>3.4052032068893727E-3</v>
      </c>
      <c r="AM146" s="734">
        <f t="shared" ca="1" si="95"/>
        <v>3.2903980174215008E-3</v>
      </c>
      <c r="AN146" s="734">
        <f t="shared" ca="1" si="95"/>
        <v>3.3060916671840295E-3</v>
      </c>
      <c r="AO146" s="734">
        <f t="shared" ref="AO146:AP146" ca="1" si="98">(AO96+AO112+AO128)*AO$11</f>
        <v>9.135671728321644E-2</v>
      </c>
      <c r="AP146" s="734">
        <f t="shared" ca="1" si="98"/>
        <v>1.933872310708818E-4</v>
      </c>
    </row>
    <row r="147" spans="4:42" outlineLevel="1">
      <c r="D147" s="719" t="s">
        <v>851</v>
      </c>
    </row>
    <row r="148" spans="4:42" outlineLevel="1"/>
    <row r="149" spans="4:42" outlineLevel="1">
      <c r="D149" s="709" t="s">
        <v>846</v>
      </c>
    </row>
    <row r="150" spans="4:42" outlineLevel="1">
      <c r="D150" s="722" t="s">
        <v>24</v>
      </c>
      <c r="E150" s="723" t="s">
        <v>348</v>
      </c>
      <c r="F150" s="732">
        <f t="shared" ref="F150:AN150" ca="1" si="99">+(F99+F115+F132)*F$12</f>
        <v>0</v>
      </c>
      <c r="G150" s="732">
        <f t="shared" ca="1" si="99"/>
        <v>0</v>
      </c>
      <c r="H150" s="732">
        <f t="shared" ca="1" si="99"/>
        <v>17.149678694899592</v>
      </c>
      <c r="I150" s="732">
        <f t="shared" ca="1" si="99"/>
        <v>17.149678694899592</v>
      </c>
      <c r="J150" s="732">
        <f t="shared" ca="1" si="99"/>
        <v>17.149678694899592</v>
      </c>
      <c r="K150" s="732">
        <f t="shared" ca="1" si="99"/>
        <v>0</v>
      </c>
      <c r="L150" s="732">
        <f t="shared" ca="1" si="99"/>
        <v>0</v>
      </c>
      <c r="M150" s="732">
        <f t="shared" ca="1" si="99"/>
        <v>0</v>
      </c>
      <c r="N150" s="732">
        <f t="shared" ca="1" si="99"/>
        <v>0</v>
      </c>
      <c r="O150" s="732">
        <f t="shared" ca="1" si="99"/>
        <v>0</v>
      </c>
      <c r="P150" s="732">
        <f t="shared" ca="1" si="99"/>
        <v>3.933225927201633</v>
      </c>
      <c r="Q150" s="732">
        <f t="shared" ca="1" si="99"/>
        <v>3.933225927201633</v>
      </c>
      <c r="R150" s="732">
        <f t="shared" ca="1" si="99"/>
        <v>0</v>
      </c>
      <c r="S150" s="732">
        <f t="shared" ca="1" si="99"/>
        <v>1.9381113264471819</v>
      </c>
      <c r="T150" s="732">
        <f t="shared" ca="1" si="99"/>
        <v>0</v>
      </c>
      <c r="U150" s="732">
        <f t="shared" ca="1" si="99"/>
        <v>0</v>
      </c>
      <c r="V150" s="732">
        <f t="shared" ca="1" si="99"/>
        <v>0</v>
      </c>
      <c r="W150" s="732">
        <f t="shared" ca="1" si="99"/>
        <v>0</v>
      </c>
      <c r="X150" s="732">
        <f t="shared" ca="1" si="99"/>
        <v>0</v>
      </c>
      <c r="Y150" s="732">
        <f t="shared" ca="1" si="99"/>
        <v>0</v>
      </c>
      <c r="Z150" s="732">
        <f t="shared" ca="1" si="99"/>
        <v>4.9660389195697654</v>
      </c>
      <c r="AA150" s="732">
        <f t="shared" ca="1" si="99"/>
        <v>0</v>
      </c>
      <c r="AB150" s="732">
        <f t="shared" ca="1" si="99"/>
        <v>0</v>
      </c>
      <c r="AC150" s="732">
        <f t="shared" ca="1" si="99"/>
        <v>0</v>
      </c>
      <c r="AD150" s="732">
        <f t="shared" ca="1" si="99"/>
        <v>0</v>
      </c>
      <c r="AE150" s="732">
        <f t="shared" ca="1" si="99"/>
        <v>0</v>
      </c>
      <c r="AF150" s="732">
        <f t="shared" ca="1" si="99"/>
        <v>8.2767315326162763</v>
      </c>
      <c r="AG150" s="732">
        <f t="shared" ca="1" si="99"/>
        <v>0</v>
      </c>
      <c r="AH150" s="732">
        <f t="shared" ref="AH150" ca="1" si="100">+(AH99+AH115+AH132)*AH$12</f>
        <v>0</v>
      </c>
      <c r="AI150" s="732">
        <f t="shared" ref="AI150:AI155" ca="1" si="101">+(AI99+AI115+AI132)*AI$12</f>
        <v>0</v>
      </c>
      <c r="AJ150" s="732">
        <f t="shared" ca="1" si="99"/>
        <v>0</v>
      </c>
      <c r="AK150" s="732">
        <f t="shared" ref="AK150" ca="1" si="102">+(AK99+AK115+AK132)*AK$12</f>
        <v>0</v>
      </c>
      <c r="AL150" s="732">
        <f t="shared" ca="1" si="99"/>
        <v>0</v>
      </c>
      <c r="AM150" s="732">
        <f t="shared" ca="1" si="99"/>
        <v>0</v>
      </c>
      <c r="AN150" s="732">
        <f t="shared" ca="1" si="99"/>
        <v>0</v>
      </c>
      <c r="AO150" s="732">
        <f t="shared" ref="AO150:AP150" ca="1" si="103">+(AO99+AO115+AO132)*AO$12</f>
        <v>0</v>
      </c>
      <c r="AP150" s="732">
        <f t="shared" ca="1" si="103"/>
        <v>0</v>
      </c>
    </row>
    <row r="151" spans="4:42" outlineLevel="1">
      <c r="D151" s="716" t="s">
        <v>27</v>
      </c>
      <c r="E151" s="717" t="s">
        <v>348</v>
      </c>
      <c r="F151" s="733">
        <f t="shared" ref="F151:AN151" ca="1" si="104">+(F100+F116+F133)*F$12</f>
        <v>0</v>
      </c>
      <c r="G151" s="733">
        <f t="shared" ca="1" si="104"/>
        <v>0</v>
      </c>
      <c r="H151" s="733">
        <f t="shared" ca="1" si="104"/>
        <v>3.182780437133239E-3</v>
      </c>
      <c r="I151" s="733">
        <f t="shared" ca="1" si="104"/>
        <v>3.182780437133239E-3</v>
      </c>
      <c r="J151" s="733">
        <f t="shared" ca="1" si="104"/>
        <v>3.182780437133239E-3</v>
      </c>
      <c r="K151" s="733">
        <f t="shared" ca="1" si="104"/>
        <v>0</v>
      </c>
      <c r="L151" s="733">
        <f t="shared" ca="1" si="104"/>
        <v>0</v>
      </c>
      <c r="M151" s="733">
        <f t="shared" ca="1" si="104"/>
        <v>0</v>
      </c>
      <c r="N151" s="733">
        <f t="shared" ca="1" si="104"/>
        <v>0</v>
      </c>
      <c r="O151" s="733">
        <f t="shared" ca="1" si="104"/>
        <v>0</v>
      </c>
      <c r="P151" s="733">
        <f t="shared" ca="1" si="104"/>
        <v>7.6666666666666669E-5</v>
      </c>
      <c r="Q151" s="733">
        <f t="shared" ca="1" si="104"/>
        <v>7.6666666666666669E-5</v>
      </c>
      <c r="R151" s="733">
        <f t="shared" ca="1" si="104"/>
        <v>0</v>
      </c>
      <c r="S151" s="733">
        <f t="shared" ca="1" si="104"/>
        <v>3.7777777777777785E-5</v>
      </c>
      <c r="T151" s="733">
        <f t="shared" ca="1" si="104"/>
        <v>0</v>
      </c>
      <c r="U151" s="733">
        <f t="shared" ca="1" si="104"/>
        <v>0</v>
      </c>
      <c r="V151" s="733">
        <f t="shared" ca="1" si="104"/>
        <v>0</v>
      </c>
      <c r="W151" s="733">
        <f t="shared" ca="1" si="104"/>
        <v>0</v>
      </c>
      <c r="X151" s="733">
        <f t="shared" ca="1" si="104"/>
        <v>0</v>
      </c>
      <c r="Y151" s="733">
        <f t="shared" ca="1" si="104"/>
        <v>0</v>
      </c>
      <c r="Z151" s="733">
        <f t="shared" ca="1" si="104"/>
        <v>8.5859831329990616E-3</v>
      </c>
      <c r="AA151" s="733">
        <f t="shared" ca="1" si="104"/>
        <v>0</v>
      </c>
      <c r="AB151" s="733">
        <f t="shared" ca="1" si="104"/>
        <v>0</v>
      </c>
      <c r="AC151" s="733">
        <f t="shared" ca="1" si="104"/>
        <v>0</v>
      </c>
      <c r="AD151" s="733">
        <f t="shared" ca="1" si="104"/>
        <v>0</v>
      </c>
      <c r="AE151" s="733">
        <f t="shared" ca="1" si="104"/>
        <v>0</v>
      </c>
      <c r="AF151" s="733">
        <f t="shared" ca="1" si="104"/>
        <v>1.1165967550949994E-6</v>
      </c>
      <c r="AG151" s="733">
        <f t="shared" ca="1" si="104"/>
        <v>0</v>
      </c>
      <c r="AH151" s="733">
        <f t="shared" ref="AH151" ca="1" si="105">+(AH100+AH116+AH133)*AH$12</f>
        <v>0</v>
      </c>
      <c r="AI151" s="733">
        <f t="shared" ca="1" si="101"/>
        <v>0</v>
      </c>
      <c r="AJ151" s="733">
        <f t="shared" ca="1" si="104"/>
        <v>0</v>
      </c>
      <c r="AK151" s="733">
        <f t="shared" ref="AK151" ca="1" si="106">+(AK100+AK116+AK133)*AK$12</f>
        <v>0</v>
      </c>
      <c r="AL151" s="733">
        <f t="shared" ca="1" si="104"/>
        <v>0</v>
      </c>
      <c r="AM151" s="733">
        <f t="shared" ca="1" si="104"/>
        <v>0</v>
      </c>
      <c r="AN151" s="733">
        <f t="shared" ca="1" si="104"/>
        <v>0</v>
      </c>
      <c r="AO151" s="733">
        <f t="shared" ref="AO151:AP151" ca="1" si="107">+(AO100+AO116+AO133)*AO$12</f>
        <v>0</v>
      </c>
      <c r="AP151" s="733">
        <f t="shared" ca="1" si="107"/>
        <v>0</v>
      </c>
    </row>
    <row r="152" spans="4:42" outlineLevel="1">
      <c r="D152" s="716" t="s">
        <v>28</v>
      </c>
      <c r="E152" s="717" t="s">
        <v>348</v>
      </c>
      <c r="F152" s="733">
        <f t="shared" ref="F152:AN152" ca="1" si="108">+(F101+F117+F134)*F$12</f>
        <v>0</v>
      </c>
      <c r="G152" s="733">
        <f t="shared" ca="1" si="108"/>
        <v>0</v>
      </c>
      <c r="H152" s="733">
        <f t="shared" ca="1" si="108"/>
        <v>1.9330676756309713E-6</v>
      </c>
      <c r="I152" s="733">
        <f t="shared" ca="1" si="108"/>
        <v>1.9330676756309713E-6</v>
      </c>
      <c r="J152" s="733">
        <f t="shared" ca="1" si="108"/>
        <v>1.9330676756309713E-6</v>
      </c>
      <c r="K152" s="733">
        <f t="shared" ca="1" si="108"/>
        <v>0</v>
      </c>
      <c r="L152" s="733">
        <f t="shared" ca="1" si="108"/>
        <v>0</v>
      </c>
      <c r="M152" s="733">
        <f t="shared" ca="1" si="108"/>
        <v>0</v>
      </c>
      <c r="N152" s="733">
        <f t="shared" ca="1" si="108"/>
        <v>0</v>
      </c>
      <c r="O152" s="733">
        <f t="shared" ca="1" si="108"/>
        <v>0</v>
      </c>
      <c r="P152" s="733">
        <f t="shared" ca="1" si="108"/>
        <v>7.6666666666666669E-5</v>
      </c>
      <c r="Q152" s="733">
        <f t="shared" ca="1" si="108"/>
        <v>7.6666666666666669E-5</v>
      </c>
      <c r="R152" s="733">
        <f t="shared" ca="1" si="108"/>
        <v>0</v>
      </c>
      <c r="S152" s="733">
        <f t="shared" ca="1" si="108"/>
        <v>3.7777777777777785E-5</v>
      </c>
      <c r="T152" s="733">
        <f t="shared" ca="1" si="108"/>
        <v>0</v>
      </c>
      <c r="U152" s="733">
        <f t="shared" ca="1" si="108"/>
        <v>0</v>
      </c>
      <c r="V152" s="733">
        <f t="shared" ca="1" si="108"/>
        <v>0</v>
      </c>
      <c r="W152" s="733">
        <f t="shared" ca="1" si="108"/>
        <v>0</v>
      </c>
      <c r="X152" s="733">
        <f t="shared" ca="1" si="108"/>
        <v>0</v>
      </c>
      <c r="Y152" s="733">
        <f t="shared" ca="1" si="108"/>
        <v>0</v>
      </c>
      <c r="Z152" s="733">
        <f t="shared" ca="1" si="108"/>
        <v>5.2995805305699959E-7</v>
      </c>
      <c r="AA152" s="733">
        <f t="shared" ca="1" si="108"/>
        <v>0</v>
      </c>
      <c r="AB152" s="733">
        <f t="shared" ca="1" si="108"/>
        <v>0</v>
      </c>
      <c r="AC152" s="733">
        <f t="shared" ca="1" si="108"/>
        <v>0</v>
      </c>
      <c r="AD152" s="733">
        <f t="shared" ca="1" si="108"/>
        <v>0</v>
      </c>
      <c r="AE152" s="733">
        <f t="shared" ca="1" si="108"/>
        <v>0</v>
      </c>
      <c r="AF152" s="733">
        <f t="shared" ca="1" si="108"/>
        <v>8.8326342176166617E-7</v>
      </c>
      <c r="AG152" s="733">
        <f t="shared" ca="1" si="108"/>
        <v>0</v>
      </c>
      <c r="AH152" s="733">
        <f t="shared" ref="AH152" ca="1" si="109">+(AH101+AH117+AH134)*AH$12</f>
        <v>0</v>
      </c>
      <c r="AI152" s="733">
        <f t="shared" ca="1" si="101"/>
        <v>0</v>
      </c>
      <c r="AJ152" s="733">
        <f t="shared" ca="1" si="108"/>
        <v>0</v>
      </c>
      <c r="AK152" s="733">
        <f t="shared" ref="AK152" ca="1" si="110">+(AK101+AK117+AK134)*AK$12</f>
        <v>0</v>
      </c>
      <c r="AL152" s="733">
        <f t="shared" ca="1" si="108"/>
        <v>0</v>
      </c>
      <c r="AM152" s="733">
        <f t="shared" ca="1" si="108"/>
        <v>0</v>
      </c>
      <c r="AN152" s="733">
        <f t="shared" ca="1" si="108"/>
        <v>0</v>
      </c>
      <c r="AO152" s="733">
        <f t="shared" ref="AO152:AP152" ca="1" si="111">+(AO101+AO117+AO134)*AO$12</f>
        <v>0</v>
      </c>
      <c r="AP152" s="733">
        <f t="shared" ca="1" si="111"/>
        <v>0</v>
      </c>
    </row>
    <row r="153" spans="4:42" outlineLevel="1">
      <c r="D153" s="716" t="s">
        <v>26</v>
      </c>
      <c r="E153" s="717" t="s">
        <v>348</v>
      </c>
      <c r="F153" s="733">
        <f t="shared" ref="F153:AN153" ca="1" si="112">+(F102+F118+F135)*F$12</f>
        <v>0</v>
      </c>
      <c r="G153" s="733">
        <f t="shared" ca="1" si="112"/>
        <v>0</v>
      </c>
      <c r="H153" s="733">
        <f t="shared" ca="1" si="112"/>
        <v>1.1189992505221842E-5</v>
      </c>
      <c r="I153" s="733">
        <f t="shared" ca="1" si="112"/>
        <v>1.1189992505221842E-5</v>
      </c>
      <c r="J153" s="733">
        <f t="shared" ca="1" si="112"/>
        <v>1.1189992505221842E-5</v>
      </c>
      <c r="K153" s="733">
        <f t="shared" ca="1" si="112"/>
        <v>0</v>
      </c>
      <c r="L153" s="733">
        <f t="shared" ca="1" si="112"/>
        <v>0</v>
      </c>
      <c r="M153" s="733">
        <f t="shared" ca="1" si="112"/>
        <v>0</v>
      </c>
      <c r="N153" s="733">
        <f t="shared" ca="1" si="112"/>
        <v>0</v>
      </c>
      <c r="O153" s="733">
        <f t="shared" ca="1" si="112"/>
        <v>0</v>
      </c>
      <c r="P153" s="733">
        <f t="shared" ca="1" si="112"/>
        <v>2.5343859363844589E-4</v>
      </c>
      <c r="Q153" s="733">
        <f t="shared" ca="1" si="112"/>
        <v>2.5343859363844589E-4</v>
      </c>
      <c r="R153" s="733">
        <f t="shared" ca="1" si="112"/>
        <v>0</v>
      </c>
      <c r="S153" s="733">
        <f t="shared" ca="1" si="112"/>
        <v>1.2488278527111827E-4</v>
      </c>
      <c r="T153" s="733">
        <f t="shared" ca="1" si="112"/>
        <v>0</v>
      </c>
      <c r="U153" s="733">
        <f t="shared" ca="1" si="112"/>
        <v>0</v>
      </c>
      <c r="V153" s="733">
        <f t="shared" ca="1" si="112"/>
        <v>0</v>
      </c>
      <c r="W153" s="733">
        <f t="shared" ca="1" si="112"/>
        <v>0</v>
      </c>
      <c r="X153" s="733">
        <f t="shared" ca="1" si="112"/>
        <v>0</v>
      </c>
      <c r="Y153" s="733">
        <f t="shared" ca="1" si="112"/>
        <v>0</v>
      </c>
      <c r="Z153" s="733">
        <f t="shared" ca="1" si="112"/>
        <v>6.7578500162667797E-3</v>
      </c>
      <c r="AA153" s="733">
        <f t="shared" ca="1" si="112"/>
        <v>0</v>
      </c>
      <c r="AB153" s="733">
        <f t="shared" ca="1" si="112"/>
        <v>0</v>
      </c>
      <c r="AC153" s="733">
        <f t="shared" ca="1" si="112"/>
        <v>0</v>
      </c>
      <c r="AD153" s="733">
        <f t="shared" ca="1" si="112"/>
        <v>0</v>
      </c>
      <c r="AE153" s="733">
        <f t="shared" ca="1" si="112"/>
        <v>0</v>
      </c>
      <c r="AF153" s="733">
        <f t="shared" ca="1" si="112"/>
        <v>2.3946131320053783E-4</v>
      </c>
      <c r="AG153" s="733">
        <f t="shared" ca="1" si="112"/>
        <v>0</v>
      </c>
      <c r="AH153" s="733">
        <f t="shared" ref="AH153" ca="1" si="113">+(AH102+AH118+AH135)*AH$12</f>
        <v>0</v>
      </c>
      <c r="AI153" s="733">
        <f t="shared" ca="1" si="101"/>
        <v>0</v>
      </c>
      <c r="AJ153" s="733">
        <f t="shared" ca="1" si="112"/>
        <v>0</v>
      </c>
      <c r="AK153" s="733">
        <f t="shared" ref="AK153" ca="1" si="114">+(AK102+AK118+AK135)*AK$12</f>
        <v>0</v>
      </c>
      <c r="AL153" s="733">
        <f t="shared" ca="1" si="112"/>
        <v>0</v>
      </c>
      <c r="AM153" s="733">
        <f t="shared" ca="1" si="112"/>
        <v>0</v>
      </c>
      <c r="AN153" s="733">
        <f t="shared" ca="1" si="112"/>
        <v>0</v>
      </c>
      <c r="AO153" s="733">
        <f t="shared" ref="AO153:AP153" ca="1" si="115">+(AO102+AO118+AO135)*AO$12</f>
        <v>0</v>
      </c>
      <c r="AP153" s="733">
        <f t="shared" ca="1" si="115"/>
        <v>0</v>
      </c>
    </row>
    <row r="154" spans="4:42" outlineLevel="1">
      <c r="D154" s="716" t="s">
        <v>25</v>
      </c>
      <c r="E154" s="717" t="s">
        <v>348</v>
      </c>
      <c r="F154" s="733">
        <f t="shared" ref="F154:AN154" ca="1" si="116">+(F103+F119+F136)*F$12</f>
        <v>0</v>
      </c>
      <c r="G154" s="733">
        <f t="shared" ca="1" si="116"/>
        <v>0</v>
      </c>
      <c r="H154" s="733">
        <f t="shared" ca="1" si="116"/>
        <v>1.7282304823611608E-2</v>
      </c>
      <c r="I154" s="733">
        <f t="shared" ca="1" si="116"/>
        <v>1.7282304823611608E-2</v>
      </c>
      <c r="J154" s="733">
        <f t="shared" ca="1" si="116"/>
        <v>1.7282304823611608E-2</v>
      </c>
      <c r="K154" s="733">
        <f t="shared" ca="1" si="116"/>
        <v>0</v>
      </c>
      <c r="L154" s="733">
        <f t="shared" ca="1" si="116"/>
        <v>0</v>
      </c>
      <c r="M154" s="733">
        <f t="shared" ca="1" si="116"/>
        <v>0</v>
      </c>
      <c r="N154" s="733">
        <f t="shared" ca="1" si="116"/>
        <v>0</v>
      </c>
      <c r="O154" s="733">
        <f t="shared" ca="1" si="116"/>
        <v>0</v>
      </c>
      <c r="P154" s="733">
        <f t="shared" ca="1" si="116"/>
        <v>7.4872880229754121E-2</v>
      </c>
      <c r="Q154" s="733">
        <f t="shared" ca="1" si="116"/>
        <v>7.4872880229754121E-2</v>
      </c>
      <c r="R154" s="733">
        <f t="shared" ca="1" si="116"/>
        <v>0</v>
      </c>
      <c r="S154" s="733">
        <f t="shared" ca="1" si="116"/>
        <v>3.6893883011762905E-2</v>
      </c>
      <c r="T154" s="733">
        <f t="shared" ca="1" si="116"/>
        <v>0</v>
      </c>
      <c r="U154" s="733">
        <f t="shared" ca="1" si="116"/>
        <v>0</v>
      </c>
      <c r="V154" s="733">
        <f t="shared" ca="1" si="116"/>
        <v>0</v>
      </c>
      <c r="W154" s="733">
        <f t="shared" ca="1" si="116"/>
        <v>0</v>
      </c>
      <c r="X154" s="733">
        <f t="shared" ca="1" si="116"/>
        <v>0</v>
      </c>
      <c r="Y154" s="733">
        <f t="shared" ca="1" si="116"/>
        <v>0</v>
      </c>
      <c r="Z154" s="733">
        <f t="shared" ca="1" si="116"/>
        <v>7.6782953248395137E-3</v>
      </c>
      <c r="AA154" s="733">
        <f t="shared" ca="1" si="116"/>
        <v>0</v>
      </c>
      <c r="AB154" s="733">
        <f t="shared" ca="1" si="116"/>
        <v>0</v>
      </c>
      <c r="AC154" s="733">
        <f t="shared" ca="1" si="116"/>
        <v>0</v>
      </c>
      <c r="AD154" s="733">
        <f t="shared" ca="1" si="116"/>
        <v>0</v>
      </c>
      <c r="AE154" s="733">
        <f t="shared" ca="1" si="116"/>
        <v>0</v>
      </c>
      <c r="AF154" s="733">
        <f t="shared" ca="1" si="116"/>
        <v>0.1381064508306693</v>
      </c>
      <c r="AG154" s="733">
        <f t="shared" ca="1" si="116"/>
        <v>0</v>
      </c>
      <c r="AH154" s="733">
        <f t="shared" ref="AH154" ca="1" si="117">+(AH103+AH119+AH136)*AH$12</f>
        <v>0</v>
      </c>
      <c r="AI154" s="733">
        <f t="shared" ca="1" si="101"/>
        <v>0</v>
      </c>
      <c r="AJ154" s="733">
        <f t="shared" ca="1" si="116"/>
        <v>0</v>
      </c>
      <c r="AK154" s="733">
        <f t="shared" ref="AK154" ca="1" si="118">+(AK103+AK119+AK136)*AK$12</f>
        <v>0</v>
      </c>
      <c r="AL154" s="733">
        <f t="shared" ca="1" si="116"/>
        <v>0</v>
      </c>
      <c r="AM154" s="733">
        <f t="shared" ca="1" si="116"/>
        <v>0</v>
      </c>
      <c r="AN154" s="733">
        <f t="shared" ca="1" si="116"/>
        <v>0</v>
      </c>
      <c r="AO154" s="733">
        <f t="shared" ref="AO154:AP154" ca="1" si="119">+(AO103+AO119+AO136)*AO$12</f>
        <v>0</v>
      </c>
      <c r="AP154" s="733">
        <f t="shared" ca="1" si="119"/>
        <v>0</v>
      </c>
    </row>
    <row r="155" spans="4:42" outlineLevel="1">
      <c r="D155" s="724" t="s">
        <v>45</v>
      </c>
      <c r="E155" s="725" t="s">
        <v>348</v>
      </c>
      <c r="F155" s="734">
        <f t="shared" ref="F155:AN155" ca="1" si="120">+(F104+F120+F137)*F$12</f>
        <v>0</v>
      </c>
      <c r="G155" s="734">
        <f t="shared" ca="1" si="120"/>
        <v>0</v>
      </c>
      <c r="H155" s="734">
        <f t="shared" ca="1" si="120"/>
        <v>5.0123258259078356E-4</v>
      </c>
      <c r="I155" s="734">
        <f t="shared" ca="1" si="120"/>
        <v>5.0123258259078356E-4</v>
      </c>
      <c r="J155" s="734">
        <f t="shared" ca="1" si="120"/>
        <v>5.0123258259078356E-4</v>
      </c>
      <c r="K155" s="734">
        <f t="shared" ca="1" si="120"/>
        <v>0</v>
      </c>
      <c r="L155" s="734">
        <f t="shared" ca="1" si="120"/>
        <v>0</v>
      </c>
      <c r="M155" s="734">
        <f t="shared" ca="1" si="120"/>
        <v>0</v>
      </c>
      <c r="N155" s="734">
        <f t="shared" ca="1" si="120"/>
        <v>0</v>
      </c>
      <c r="O155" s="734">
        <f t="shared" ca="1" si="120"/>
        <v>0</v>
      </c>
      <c r="P155" s="734">
        <f t="shared" ca="1" si="120"/>
        <v>7.6666666666666669E-5</v>
      </c>
      <c r="Q155" s="734">
        <f t="shared" ca="1" si="120"/>
        <v>7.6666666666666669E-5</v>
      </c>
      <c r="R155" s="734">
        <f t="shared" ca="1" si="120"/>
        <v>0</v>
      </c>
      <c r="S155" s="734">
        <f t="shared" ca="1" si="120"/>
        <v>3.7777777777777785E-5</v>
      </c>
      <c r="T155" s="734">
        <f t="shared" ca="1" si="120"/>
        <v>0</v>
      </c>
      <c r="U155" s="734">
        <f t="shared" ca="1" si="120"/>
        <v>0</v>
      </c>
      <c r="V155" s="734">
        <f t="shared" ca="1" si="120"/>
        <v>0</v>
      </c>
      <c r="W155" s="734">
        <f t="shared" ca="1" si="120"/>
        <v>0</v>
      </c>
      <c r="X155" s="734">
        <f t="shared" ca="1" si="120"/>
        <v>0</v>
      </c>
      <c r="Y155" s="734">
        <f t="shared" ca="1" si="120"/>
        <v>0</v>
      </c>
      <c r="Z155" s="734">
        <f t="shared" ca="1" si="120"/>
        <v>8.0430122528496451E-4</v>
      </c>
      <c r="AA155" s="734">
        <f t="shared" ca="1" si="120"/>
        <v>0</v>
      </c>
      <c r="AB155" s="734">
        <f t="shared" ca="1" si="120"/>
        <v>0</v>
      </c>
      <c r="AC155" s="734">
        <f t="shared" ca="1" si="120"/>
        <v>0</v>
      </c>
      <c r="AD155" s="734">
        <f t="shared" ca="1" si="120"/>
        <v>0</v>
      </c>
      <c r="AE155" s="734">
        <f t="shared" ca="1" si="120"/>
        <v>0</v>
      </c>
      <c r="AF155" s="734">
        <f t="shared" ca="1" si="120"/>
        <v>1.3352526983095863E-3</v>
      </c>
      <c r="AG155" s="734">
        <f t="shared" ca="1" si="120"/>
        <v>0</v>
      </c>
      <c r="AH155" s="734">
        <f t="shared" ref="AH155" ca="1" si="121">+(AH104+AH120+AH137)*AH$12</f>
        <v>0</v>
      </c>
      <c r="AI155" s="734">
        <f t="shared" ca="1" si="101"/>
        <v>0</v>
      </c>
      <c r="AJ155" s="734">
        <f t="shared" ca="1" si="120"/>
        <v>0</v>
      </c>
      <c r="AK155" s="734">
        <f t="shared" ref="AK155" ca="1" si="122">+(AK104+AK120+AK137)*AK$12</f>
        <v>0</v>
      </c>
      <c r="AL155" s="734">
        <f t="shared" ca="1" si="120"/>
        <v>0</v>
      </c>
      <c r="AM155" s="734">
        <f t="shared" ca="1" si="120"/>
        <v>0</v>
      </c>
      <c r="AN155" s="734">
        <f t="shared" ca="1" si="120"/>
        <v>0</v>
      </c>
      <c r="AO155" s="734">
        <f t="shared" ref="AO155:AP155" ca="1" si="123">+(AO104+AO120+AO137)*AO$12</f>
        <v>0</v>
      </c>
      <c r="AP155" s="734">
        <f t="shared" ca="1" si="123"/>
        <v>0</v>
      </c>
    </row>
    <row r="156" spans="4:42" outlineLevel="1">
      <c r="D156" s="719" t="s">
        <v>851</v>
      </c>
    </row>
    <row r="157" spans="4:42" outlineLevel="1"/>
    <row r="158" spans="4:42" s="664" customFormat="1" outlineLevel="1">
      <c r="D158" s="668" t="s">
        <v>2602</v>
      </c>
      <c r="E158" s="667"/>
      <c r="J158" s="742"/>
      <c r="K158" s="742"/>
    </row>
    <row r="159" spans="4:42" s="664" customFormat="1" outlineLevel="1">
      <c r="D159" s="686" t="s">
        <v>24</v>
      </c>
      <c r="E159" s="680" t="s">
        <v>348</v>
      </c>
      <c r="F159" s="743">
        <f ca="1">F$11*(F107+F123)+F$12*(F115+F132)</f>
        <v>74</v>
      </c>
      <c r="G159" s="743">
        <f t="shared" ref="G159:AN159" ca="1" si="124">G$11*(G107+G123)+G$12*(G115+G132)</f>
        <v>72.8</v>
      </c>
      <c r="H159" s="743">
        <f t="shared" ca="1" si="124"/>
        <v>15.287999999999998</v>
      </c>
      <c r="I159" s="743">
        <f t="shared" ca="1" si="124"/>
        <v>15.287999999999998</v>
      </c>
      <c r="J159" s="743">
        <f t="shared" ca="1" si="124"/>
        <v>15.287999999999998</v>
      </c>
      <c r="K159" s="743">
        <f t="shared" ca="1" si="124"/>
        <v>0</v>
      </c>
      <c r="L159" s="743">
        <f t="shared" ca="1" si="124"/>
        <v>0</v>
      </c>
      <c r="M159" s="743">
        <f t="shared" ca="1" si="124"/>
        <v>0</v>
      </c>
      <c r="N159" s="743">
        <f t="shared" ca="1" si="124"/>
        <v>56.74</v>
      </c>
      <c r="O159" s="743">
        <f t="shared" ca="1" si="124"/>
        <v>0</v>
      </c>
      <c r="P159" s="743">
        <f t="shared" ca="1" si="124"/>
        <v>0</v>
      </c>
      <c r="Q159" s="743">
        <f t="shared" ca="1" si="124"/>
        <v>0</v>
      </c>
      <c r="R159" s="743">
        <f t="shared" ca="1" si="124"/>
        <v>0</v>
      </c>
      <c r="S159" s="743">
        <f t="shared" ca="1" si="124"/>
        <v>48.048000000000002</v>
      </c>
      <c r="T159" s="743">
        <f t="shared" ca="1" si="124"/>
        <v>74</v>
      </c>
      <c r="U159" s="743">
        <f t="shared" ca="1" si="124"/>
        <v>72</v>
      </c>
      <c r="V159" s="743">
        <f t="shared" ca="1" si="124"/>
        <v>0</v>
      </c>
      <c r="W159" s="743">
        <f t="shared" ca="1" si="124"/>
        <v>78.900000000000006</v>
      </c>
      <c r="X159" s="743">
        <f t="shared" ca="1" si="124"/>
        <v>74</v>
      </c>
      <c r="Y159" s="743">
        <f t="shared" ca="1" si="124"/>
        <v>0</v>
      </c>
      <c r="Z159" s="743">
        <f t="shared" ca="1" si="124"/>
        <v>57.775599999999997</v>
      </c>
      <c r="AA159" s="743">
        <f t="shared" ca="1" si="124"/>
        <v>74</v>
      </c>
      <c r="AB159" s="743">
        <f t="shared" ca="1" si="124"/>
        <v>0</v>
      </c>
      <c r="AC159" s="743">
        <f t="shared" ca="1" si="124"/>
        <v>0</v>
      </c>
      <c r="AD159" s="743">
        <f t="shared" ca="1" si="124"/>
        <v>74</v>
      </c>
      <c r="AE159" s="743">
        <f t="shared" ca="1" si="124"/>
        <v>0</v>
      </c>
      <c r="AF159" s="743">
        <f t="shared" ca="1" si="124"/>
        <v>58.466000000000001</v>
      </c>
      <c r="AG159" s="743">
        <f t="shared" ca="1" si="124"/>
        <v>74</v>
      </c>
      <c r="AH159" s="743">
        <f t="shared" ca="1" si="124"/>
        <v>0</v>
      </c>
      <c r="AI159" s="743">
        <f t="shared" ca="1" si="124"/>
        <v>56.74</v>
      </c>
      <c r="AJ159" s="743">
        <f t="shared" ca="1" si="124"/>
        <v>0</v>
      </c>
      <c r="AK159" s="743">
        <f t="shared" ca="1" si="124"/>
        <v>74</v>
      </c>
      <c r="AL159" s="743">
        <f t="shared" ca="1" si="124"/>
        <v>0</v>
      </c>
      <c r="AM159" s="743">
        <f t="shared" ca="1" si="124"/>
        <v>56.74</v>
      </c>
      <c r="AN159" s="743">
        <f t="shared" ca="1" si="124"/>
        <v>74</v>
      </c>
      <c r="AO159" s="743">
        <f t="shared" ref="AO159:AP159" ca="1" si="125">AO$11*(AO107+AO123)+AO$12*(AO115+AO132)</f>
        <v>0</v>
      </c>
      <c r="AP159" s="743">
        <f t="shared" ca="1" si="125"/>
        <v>0</v>
      </c>
    </row>
    <row r="160" spans="4:42" s="664" customFormat="1" outlineLevel="1">
      <c r="D160" s="682" t="s">
        <v>27</v>
      </c>
      <c r="E160" s="694" t="s">
        <v>348</v>
      </c>
      <c r="F160" s="744">
        <f t="shared" ref="F160:AN160" ca="1" si="126">F$11*(F108+F124)+F$12*(F116+F133)</f>
        <v>3.0769230769230771E-2</v>
      </c>
      <c r="G160" s="744">
        <f t="shared" ca="1" si="126"/>
        <v>1.5144344533838144E-2</v>
      </c>
      <c r="H160" s="744">
        <f t="shared" ca="1" si="126"/>
        <v>1.5144344533838144E-2</v>
      </c>
      <c r="I160" s="744">
        <f t="shared" ca="1" si="126"/>
        <v>1.5144344533838144E-2</v>
      </c>
      <c r="J160" s="744">
        <f t="shared" ca="1" si="126"/>
        <v>1.5144344533838144E-2</v>
      </c>
      <c r="K160" s="744">
        <f t="shared" ca="1" si="126"/>
        <v>3.0769230769230771E-2</v>
      </c>
      <c r="L160" s="744">
        <f t="shared" ca="1" si="126"/>
        <v>3.0769230769230771E-2</v>
      </c>
      <c r="M160" s="744">
        <f t="shared" ca="1" si="126"/>
        <v>2.9103608847497093E-2</v>
      </c>
      <c r="N160" s="744">
        <f t="shared" ca="1" si="126"/>
        <v>3.6898099747862984E-2</v>
      </c>
      <c r="O160" s="744">
        <f t="shared" ca="1" si="126"/>
        <v>3.6898099747862984E-2</v>
      </c>
      <c r="P160" s="744">
        <f t="shared" ca="1" si="126"/>
        <v>0</v>
      </c>
      <c r="Q160" s="744">
        <f t="shared" ca="1" si="126"/>
        <v>0</v>
      </c>
      <c r="R160" s="744">
        <f t="shared" ca="1" si="126"/>
        <v>0</v>
      </c>
      <c r="S160" s="744">
        <f t="shared" ca="1" si="126"/>
        <v>0</v>
      </c>
      <c r="T160" s="744">
        <f t="shared" ca="1" si="126"/>
        <v>0</v>
      </c>
      <c r="U160" s="744">
        <f t="shared" ca="1" si="126"/>
        <v>0</v>
      </c>
      <c r="V160" s="744">
        <f t="shared" ca="1" si="126"/>
        <v>0</v>
      </c>
      <c r="W160" s="744">
        <f t="shared" ca="1" si="126"/>
        <v>0</v>
      </c>
      <c r="X160" s="744">
        <f t="shared" ca="1" si="126"/>
        <v>0</v>
      </c>
      <c r="Y160" s="744">
        <f t="shared" ca="1" si="126"/>
        <v>0</v>
      </c>
      <c r="Z160" s="744">
        <f t="shared" ca="1" si="126"/>
        <v>0.14308855291576675</v>
      </c>
      <c r="AA160" s="744">
        <f t="shared" ca="1" si="126"/>
        <v>0</v>
      </c>
      <c r="AB160" s="744">
        <f t="shared" ca="1" si="126"/>
        <v>0</v>
      </c>
      <c r="AC160" s="744">
        <f t="shared" ca="1" si="126"/>
        <v>0</v>
      </c>
      <c r="AD160" s="744">
        <f t="shared" ca="1" si="126"/>
        <v>0</v>
      </c>
      <c r="AE160" s="744">
        <f t="shared" ca="1" si="126"/>
        <v>0</v>
      </c>
      <c r="AF160" s="744">
        <f t="shared" ca="1" si="126"/>
        <v>0</v>
      </c>
      <c r="AG160" s="744">
        <f t="shared" ca="1" si="126"/>
        <v>5.70067229895981E-4</v>
      </c>
      <c r="AH160" s="744">
        <f t="shared" ca="1" si="126"/>
        <v>5.70067229895981E-4</v>
      </c>
      <c r="AI160" s="744">
        <f t="shared" ca="1" si="126"/>
        <v>9.5042763677897296E-2</v>
      </c>
      <c r="AJ160" s="744">
        <f t="shared" ca="1" si="126"/>
        <v>5.70067229895981E-4</v>
      </c>
      <c r="AK160" s="744">
        <f t="shared" ca="1" si="126"/>
        <v>3.6492051807463747E-4</v>
      </c>
      <c r="AL160" s="744">
        <f t="shared" ca="1" si="126"/>
        <v>3.6492051807463747E-4</v>
      </c>
      <c r="AM160" s="744">
        <f t="shared" ca="1" si="126"/>
        <v>7.4463222787503627E-2</v>
      </c>
      <c r="AN160" s="744">
        <f t="shared" ca="1" si="126"/>
        <v>3.6492051807463747E-4</v>
      </c>
      <c r="AO160" s="744">
        <f t="shared" ref="AO160:AP160" ca="1" si="127">AO$11*(AO108+AO124)+AO$12*(AO116+AO133)</f>
        <v>0</v>
      </c>
      <c r="AP160" s="744">
        <f t="shared" ca="1" si="127"/>
        <v>0</v>
      </c>
    </row>
    <row r="161" spans="1:42" s="664" customFormat="1" outlineLevel="1">
      <c r="D161" s="682" t="s">
        <v>28</v>
      </c>
      <c r="E161" s="694" t="s">
        <v>348</v>
      </c>
      <c r="F161" s="744">
        <f t="shared" ref="F161:AN161" ca="1" si="128">F$11*(F109+F125)+F$12*(F117+F134)</f>
        <v>0</v>
      </c>
      <c r="G161" s="744">
        <f t="shared" ca="1" si="128"/>
        <v>0</v>
      </c>
      <c r="H161" s="744">
        <f t="shared" ca="1" si="128"/>
        <v>0</v>
      </c>
      <c r="I161" s="744">
        <f t="shared" ca="1" si="128"/>
        <v>0</v>
      </c>
      <c r="J161" s="744">
        <f t="shared" ca="1" si="128"/>
        <v>0</v>
      </c>
      <c r="K161" s="744">
        <f t="shared" ca="1" si="128"/>
        <v>0</v>
      </c>
      <c r="L161" s="744">
        <f t="shared" ca="1" si="128"/>
        <v>0</v>
      </c>
      <c r="M161" s="744">
        <f t="shared" ca="1" si="128"/>
        <v>0</v>
      </c>
      <c r="N161" s="744">
        <f t="shared" ca="1" si="128"/>
        <v>0</v>
      </c>
      <c r="O161" s="744">
        <f t="shared" ca="1" si="128"/>
        <v>0</v>
      </c>
      <c r="P161" s="744">
        <f t="shared" ca="1" si="128"/>
        <v>0</v>
      </c>
      <c r="Q161" s="744">
        <f t="shared" ca="1" si="128"/>
        <v>0</v>
      </c>
      <c r="R161" s="744">
        <f t="shared" ca="1" si="128"/>
        <v>0</v>
      </c>
      <c r="S161" s="744">
        <f t="shared" ca="1" si="128"/>
        <v>0</v>
      </c>
      <c r="T161" s="744">
        <f t="shared" ca="1" si="128"/>
        <v>0</v>
      </c>
      <c r="U161" s="744">
        <f t="shared" ca="1" si="128"/>
        <v>0</v>
      </c>
      <c r="V161" s="744">
        <f t="shared" ca="1" si="128"/>
        <v>0</v>
      </c>
      <c r="W161" s="744">
        <f t="shared" ca="1" si="128"/>
        <v>0</v>
      </c>
      <c r="X161" s="744">
        <f t="shared" ca="1" si="128"/>
        <v>0</v>
      </c>
      <c r="Y161" s="744">
        <f t="shared" ca="1" si="128"/>
        <v>0</v>
      </c>
      <c r="Z161" s="744">
        <f t="shared" ca="1" si="128"/>
        <v>0</v>
      </c>
      <c r="AA161" s="744">
        <f t="shared" ca="1" si="128"/>
        <v>0</v>
      </c>
      <c r="AB161" s="744">
        <f t="shared" ca="1" si="128"/>
        <v>0</v>
      </c>
      <c r="AC161" s="744">
        <f t="shared" ca="1" si="128"/>
        <v>0</v>
      </c>
      <c r="AD161" s="744">
        <f t="shared" ca="1" si="128"/>
        <v>0</v>
      </c>
      <c r="AE161" s="744">
        <f t="shared" ca="1" si="128"/>
        <v>0</v>
      </c>
      <c r="AF161" s="744">
        <f t="shared" ca="1" si="128"/>
        <v>0</v>
      </c>
      <c r="AG161" s="744">
        <f t="shared" ca="1" si="128"/>
        <v>3.3862691824031407E-3</v>
      </c>
      <c r="AH161" s="744">
        <f t="shared" ca="1" si="128"/>
        <v>3.3862691824031407E-3</v>
      </c>
      <c r="AI161" s="744">
        <f t="shared" ca="1" si="128"/>
        <v>3.3862691824031407E-3</v>
      </c>
      <c r="AJ161" s="744">
        <f t="shared" ca="1" si="128"/>
        <v>3.3862691824031407E-3</v>
      </c>
      <c r="AK161" s="744">
        <f t="shared" ca="1" si="128"/>
        <v>2.8831426319335706E-3</v>
      </c>
      <c r="AL161" s="744">
        <f t="shared" ca="1" si="128"/>
        <v>2.8831426319335706E-3</v>
      </c>
      <c r="AM161" s="744">
        <f t="shared" ca="1" si="128"/>
        <v>2.8831426319335706E-3</v>
      </c>
      <c r="AN161" s="744">
        <f t="shared" ca="1" si="128"/>
        <v>2.8831426319335706E-3</v>
      </c>
      <c r="AO161" s="744">
        <f t="shared" ref="AO161:AP161" ca="1" si="129">AO$11*(AO109+AO125)+AO$12*(AO117+AO134)</f>
        <v>0</v>
      </c>
      <c r="AP161" s="744">
        <f t="shared" ca="1" si="129"/>
        <v>0</v>
      </c>
    </row>
    <row r="162" spans="1:42" s="664" customFormat="1" outlineLevel="1">
      <c r="D162" s="682" t="s">
        <v>26</v>
      </c>
      <c r="E162" s="694" t="s">
        <v>348</v>
      </c>
      <c r="F162" s="744">
        <f t="shared" ref="F162:AN162" ca="1" si="130">F$11*(F110+F126)+F$12*(F118+F135)</f>
        <v>2.34192037470726E-3</v>
      </c>
      <c r="G162" s="744">
        <f t="shared" ca="1" si="130"/>
        <v>0</v>
      </c>
      <c r="H162" s="744">
        <f t="shared" ca="1" si="130"/>
        <v>0</v>
      </c>
      <c r="I162" s="744">
        <f t="shared" ca="1" si="130"/>
        <v>0</v>
      </c>
      <c r="J162" s="744">
        <f t="shared" ca="1" si="130"/>
        <v>0</v>
      </c>
      <c r="K162" s="744">
        <f t="shared" ca="1" si="130"/>
        <v>0</v>
      </c>
      <c r="L162" s="744">
        <f t="shared" ca="1" si="130"/>
        <v>0</v>
      </c>
      <c r="M162" s="744">
        <f t="shared" ca="1" si="130"/>
        <v>0</v>
      </c>
      <c r="N162" s="744">
        <f t="shared" ca="1" si="130"/>
        <v>0</v>
      </c>
      <c r="O162" s="744">
        <f t="shared" ca="1" si="130"/>
        <v>0</v>
      </c>
      <c r="P162" s="744">
        <f t="shared" ca="1" si="130"/>
        <v>0</v>
      </c>
      <c r="Q162" s="744">
        <f t="shared" ca="1" si="130"/>
        <v>0</v>
      </c>
      <c r="R162" s="744">
        <f t="shared" ca="1" si="130"/>
        <v>0</v>
      </c>
      <c r="S162" s="744">
        <f t="shared" ca="1" si="130"/>
        <v>0</v>
      </c>
      <c r="T162" s="744">
        <f t="shared" ca="1" si="130"/>
        <v>0.18316623925855555</v>
      </c>
      <c r="U162" s="744">
        <f t="shared" ca="1" si="130"/>
        <v>0</v>
      </c>
      <c r="V162" s="744">
        <f t="shared" ca="1" si="130"/>
        <v>0</v>
      </c>
      <c r="W162" s="744">
        <f t="shared" ca="1" si="130"/>
        <v>1.8082431888384853</v>
      </c>
      <c r="X162" s="744">
        <f t="shared" ca="1" si="130"/>
        <v>0.18316623925855555</v>
      </c>
      <c r="Y162" s="744">
        <f t="shared" ca="1" si="130"/>
        <v>0.18082431888384828</v>
      </c>
      <c r="Z162" s="744">
        <f t="shared" ca="1" si="130"/>
        <v>0.11037673569492337</v>
      </c>
      <c r="AA162" s="744">
        <f t="shared" ca="1" si="130"/>
        <v>2.34192037470726E-3</v>
      </c>
      <c r="AB162" s="744">
        <f t="shared" ca="1" si="130"/>
        <v>0</v>
      </c>
      <c r="AC162" s="744">
        <f t="shared" ca="1" si="130"/>
        <v>0</v>
      </c>
      <c r="AD162" s="744">
        <f t="shared" ca="1" si="130"/>
        <v>2.34192037470726E-3</v>
      </c>
      <c r="AE162" s="744">
        <f t="shared" ca="1" si="130"/>
        <v>0</v>
      </c>
      <c r="AF162" s="744">
        <f t="shared" ca="1" si="130"/>
        <v>2.34192037470726E-4</v>
      </c>
      <c r="AG162" s="744">
        <f t="shared" ca="1" si="130"/>
        <v>2.8102944549445483E-3</v>
      </c>
      <c r="AH162" s="744">
        <f t="shared" ca="1" si="130"/>
        <v>4.2579461839753469E-4</v>
      </c>
      <c r="AI162" s="744">
        <f t="shared" ca="1" si="130"/>
        <v>4.6837408023728814E-4</v>
      </c>
      <c r="AJ162" s="744">
        <f t="shared" ca="1" si="130"/>
        <v>4.6837408023728819E-4</v>
      </c>
      <c r="AK162" s="744">
        <f t="shared" ca="1" si="130"/>
        <v>2.8102944549445478E-3</v>
      </c>
      <c r="AL162" s="744">
        <f t="shared" ca="1" si="130"/>
        <v>4.6837408023728803E-4</v>
      </c>
      <c r="AM162" s="744">
        <f t="shared" ca="1" si="130"/>
        <v>4.6837408023728803E-4</v>
      </c>
      <c r="AN162" s="744">
        <f t="shared" ca="1" si="130"/>
        <v>2.8102944549445478E-3</v>
      </c>
      <c r="AO162" s="744">
        <f t="shared" ref="AO162:AP162" ca="1" si="131">AO$11*(AO110+AO126)+AO$12*(AO118+AO135)</f>
        <v>0.18082431888384828</v>
      </c>
      <c r="AP162" s="744">
        <f t="shared" ca="1" si="131"/>
        <v>0</v>
      </c>
    </row>
    <row r="163" spans="1:42" s="664" customFormat="1" outlineLevel="1">
      <c r="D163" s="682" t="s">
        <v>25</v>
      </c>
      <c r="E163" s="694" t="s">
        <v>348</v>
      </c>
      <c r="F163" s="744">
        <f t="shared" ref="F163:AN163" ca="1" si="132">F$11*(F111+F127)+F$12*(F119+F136)</f>
        <v>0.11076923076923076</v>
      </c>
      <c r="G163" s="744">
        <f t="shared" ca="1" si="132"/>
        <v>2.8395646000946521E-2</v>
      </c>
      <c r="H163" s="744">
        <f t="shared" ca="1" si="132"/>
        <v>2.8395646000946524E-2</v>
      </c>
      <c r="I163" s="744">
        <f t="shared" ca="1" si="132"/>
        <v>2.8395646000946524E-2</v>
      </c>
      <c r="J163" s="744">
        <f t="shared" ca="1" si="132"/>
        <v>2.8395646000946524E-2</v>
      </c>
      <c r="K163" s="744">
        <f t="shared" ca="1" si="132"/>
        <v>0.11076923076923076</v>
      </c>
      <c r="L163" s="744">
        <f t="shared" ca="1" si="132"/>
        <v>0.11076923076923076</v>
      </c>
      <c r="M163" s="744">
        <f t="shared" ca="1" si="132"/>
        <v>0.10477299185098952</v>
      </c>
      <c r="N163" s="744">
        <f t="shared" ca="1" si="132"/>
        <v>2.582866982350409E-2</v>
      </c>
      <c r="O163" s="744">
        <f t="shared" ca="1" si="132"/>
        <v>2.582866982350409E-2</v>
      </c>
      <c r="P163" s="744">
        <f t="shared" ca="1" si="132"/>
        <v>0</v>
      </c>
      <c r="Q163" s="744">
        <f t="shared" ca="1" si="132"/>
        <v>0</v>
      </c>
      <c r="R163" s="744">
        <f t="shared" ca="1" si="132"/>
        <v>0</v>
      </c>
      <c r="S163" s="744">
        <f t="shared" ca="1" si="132"/>
        <v>0</v>
      </c>
      <c r="T163" s="744">
        <f t="shared" ca="1" si="132"/>
        <v>0.46916621568366396</v>
      </c>
      <c r="U163" s="744">
        <f t="shared" ca="1" si="132"/>
        <v>0.30429157516640282</v>
      </c>
      <c r="V163" s="744">
        <f t="shared" ca="1" si="132"/>
        <v>0.30429157516640282</v>
      </c>
      <c r="W163" s="744">
        <f t="shared" ca="1" si="132"/>
        <v>0.46916621568366396</v>
      </c>
      <c r="X163" s="744">
        <f t="shared" ca="1" si="132"/>
        <v>0.46916621568366396</v>
      </c>
      <c r="Y163" s="744">
        <f t="shared" ca="1" si="132"/>
        <v>0.46916621568366396</v>
      </c>
      <c r="Z163" s="744">
        <f t="shared" ca="1" si="132"/>
        <v>7.4684858218409991E-2</v>
      </c>
      <c r="AA163" s="744">
        <f t="shared" ca="1" si="132"/>
        <v>1.3888888888888888</v>
      </c>
      <c r="AB163" s="744">
        <f t="shared" ca="1" si="132"/>
        <v>1.3888888888888888</v>
      </c>
      <c r="AC163" s="744">
        <f t="shared" ca="1" si="132"/>
        <v>0</v>
      </c>
      <c r="AD163" s="744">
        <f t="shared" ca="1" si="132"/>
        <v>1.3277777777777777</v>
      </c>
      <c r="AE163" s="744">
        <f t="shared" ca="1" si="132"/>
        <v>1.3277777777777777</v>
      </c>
      <c r="AF163" s="744">
        <f t="shared" ca="1" si="132"/>
        <v>1.3277777777777779</v>
      </c>
      <c r="AG163" s="744">
        <f t="shared" ca="1" si="132"/>
        <v>0.34889924166526276</v>
      </c>
      <c r="AH163" s="744">
        <f t="shared" ca="1" si="132"/>
        <v>0.41867908999831532</v>
      </c>
      <c r="AI163" s="744">
        <f t="shared" ca="1" si="132"/>
        <v>0.34889924166526276</v>
      </c>
      <c r="AJ163" s="744">
        <f t="shared" ca="1" si="132"/>
        <v>0.34889924166526276</v>
      </c>
      <c r="AK163" s="744">
        <f t="shared" ca="1" si="132"/>
        <v>0.42120742294108487</v>
      </c>
      <c r="AL163" s="744">
        <f t="shared" ca="1" si="132"/>
        <v>0.42120742294108487</v>
      </c>
      <c r="AM163" s="744">
        <f t="shared" ca="1" si="132"/>
        <v>0.42120742294108487</v>
      </c>
      <c r="AN163" s="744">
        <f t="shared" ca="1" si="132"/>
        <v>0.42120742294108487</v>
      </c>
      <c r="AO163" s="744">
        <f t="shared" ref="AO163:AP163" ca="1" si="133">AO$11*(AO111+AO127)+AO$12*(AO119+AO136)</f>
        <v>0.46916621568366396</v>
      </c>
      <c r="AP163" s="744">
        <f t="shared" ca="1" si="133"/>
        <v>0</v>
      </c>
    </row>
    <row r="164" spans="1:42" s="664" customFormat="1" outlineLevel="1">
      <c r="D164" s="683" t="s">
        <v>45</v>
      </c>
      <c r="E164" s="684" t="s">
        <v>348</v>
      </c>
      <c r="F164" s="745">
        <f t="shared" ref="F164:AN164" ca="1" si="134">F$11*(F112+F128)+F$12*(F120+F137)</f>
        <v>3.0769230769230769E-3</v>
      </c>
      <c r="G164" s="745">
        <f t="shared" ca="1" si="134"/>
        <v>2.3663038334122101E-3</v>
      </c>
      <c r="H164" s="745">
        <f t="shared" ca="1" si="134"/>
        <v>2.3663038334122101E-3</v>
      </c>
      <c r="I164" s="745">
        <f t="shared" ca="1" si="134"/>
        <v>2.3663038334122101E-3</v>
      </c>
      <c r="J164" s="745">
        <f t="shared" ca="1" si="134"/>
        <v>2.3663038334122101E-3</v>
      </c>
      <c r="K164" s="745">
        <f t="shared" ca="1" si="134"/>
        <v>3.0769230769230769E-3</v>
      </c>
      <c r="L164" s="745">
        <f t="shared" ca="1" si="134"/>
        <v>3.0769230769230769E-3</v>
      </c>
      <c r="M164" s="745">
        <f t="shared" ca="1" si="134"/>
        <v>2.9103608847497091E-3</v>
      </c>
      <c r="N164" s="745">
        <f t="shared" ca="1" si="134"/>
        <v>2.1523891519586742E-3</v>
      </c>
      <c r="O164" s="745">
        <f t="shared" ca="1" si="134"/>
        <v>2.1523891519586742E-3</v>
      </c>
      <c r="P164" s="745">
        <f t="shared" ca="1" si="134"/>
        <v>0</v>
      </c>
      <c r="Q164" s="745">
        <f t="shared" ca="1" si="134"/>
        <v>0</v>
      </c>
      <c r="R164" s="745">
        <f t="shared" ca="1" si="134"/>
        <v>0</v>
      </c>
      <c r="S164" s="745">
        <f t="shared" ca="1" si="134"/>
        <v>0</v>
      </c>
      <c r="T164" s="745">
        <f t="shared" ca="1" si="134"/>
        <v>9.2415311823227084E-2</v>
      </c>
      <c r="U164" s="745">
        <f t="shared" ca="1" si="134"/>
        <v>0</v>
      </c>
      <c r="V164" s="745">
        <f t="shared" ca="1" si="134"/>
        <v>0</v>
      </c>
      <c r="W164" s="745">
        <f t="shared" ca="1" si="134"/>
        <v>0.2532179543956421</v>
      </c>
      <c r="X164" s="745">
        <f t="shared" ca="1" si="134"/>
        <v>9.2415311823227084E-2</v>
      </c>
      <c r="Y164" s="745">
        <f t="shared" ca="1" si="134"/>
        <v>9.2415311823227084E-2</v>
      </c>
      <c r="Z164" s="745">
        <f t="shared" ca="1" si="134"/>
        <v>1.3385826771653547E-2</v>
      </c>
      <c r="AA164" s="745">
        <f t="shared" ca="1" si="134"/>
        <v>2.777777777777778E-2</v>
      </c>
      <c r="AB164" s="745">
        <f t="shared" ca="1" si="134"/>
        <v>2.777777777777778E-2</v>
      </c>
      <c r="AC164" s="745">
        <f t="shared" ca="1" si="134"/>
        <v>0</v>
      </c>
      <c r="AD164" s="745">
        <f t="shared" ca="1" si="134"/>
        <v>1.3333333333333332E-2</v>
      </c>
      <c r="AE164" s="745">
        <f t="shared" ca="1" si="134"/>
        <v>1.3333333333333332E-2</v>
      </c>
      <c r="AF164" s="745">
        <f t="shared" ca="1" si="134"/>
        <v>1.3333333333333334E-2</v>
      </c>
      <c r="AG164" s="745">
        <f t="shared" ca="1" si="134"/>
        <v>3.2979813853448933E-3</v>
      </c>
      <c r="AH164" s="745">
        <f t="shared" ca="1" si="134"/>
        <v>3.2979813853448933E-3</v>
      </c>
      <c r="AI164" s="745">
        <f t="shared" ca="1" si="134"/>
        <v>3.2979813853448933E-3</v>
      </c>
      <c r="AJ164" s="745">
        <f t="shared" ca="1" si="134"/>
        <v>3.2979813853448933E-3</v>
      </c>
      <c r="AK164" s="745">
        <f t="shared" ca="1" si="134"/>
        <v>3.2868980174215008E-3</v>
      </c>
      <c r="AL164" s="745">
        <f t="shared" ca="1" si="134"/>
        <v>3.2868980174215008E-3</v>
      </c>
      <c r="AM164" s="745">
        <f t="shared" ca="1" si="134"/>
        <v>3.2868980174215008E-3</v>
      </c>
      <c r="AN164" s="745">
        <f t="shared" ca="1" si="134"/>
        <v>3.2868980174215008E-3</v>
      </c>
      <c r="AO164" s="745">
        <f t="shared" ref="AO164:AP164" ca="1" si="135">AO$11*(AO112+AO128)+AO$12*(AO120+AO137)</f>
        <v>9.2415311823227084E-2</v>
      </c>
      <c r="AP164" s="745">
        <f t="shared" ca="1" si="135"/>
        <v>0</v>
      </c>
    </row>
    <row r="165" spans="1:42" s="664" customFormat="1" outlineLevel="1">
      <c r="D165" s="686"/>
      <c r="E165" s="680"/>
      <c r="F165" s="746"/>
      <c r="G165" s="746"/>
      <c r="H165" s="746"/>
      <c r="I165" s="746"/>
      <c r="J165" s="746"/>
      <c r="K165" s="746"/>
      <c r="L165" s="746"/>
      <c r="M165" s="746"/>
      <c r="N165" s="746"/>
      <c r="O165" s="746"/>
      <c r="P165" s="746"/>
      <c r="Q165" s="746"/>
      <c r="R165" s="746"/>
      <c r="S165" s="746"/>
      <c r="T165" s="746"/>
      <c r="U165" s="746"/>
      <c r="V165" s="746"/>
      <c r="W165" s="746"/>
      <c r="X165" s="746"/>
      <c r="Y165" s="746"/>
      <c r="Z165" s="746"/>
      <c r="AA165" s="746"/>
      <c r="AB165" s="746"/>
      <c r="AC165" s="746"/>
      <c r="AD165" s="746"/>
      <c r="AE165" s="746"/>
      <c r="AF165" s="746"/>
      <c r="AG165" s="746"/>
      <c r="AH165" s="746"/>
      <c r="AI165" s="746"/>
      <c r="AJ165" s="746"/>
      <c r="AK165" s="746"/>
      <c r="AL165" s="746"/>
      <c r="AM165" s="746"/>
      <c r="AN165" s="746"/>
      <c r="AO165" s="746"/>
      <c r="AP165" s="746"/>
    </row>
    <row r="166" spans="1:42" s="1720" customFormat="1" outlineLevel="1">
      <c r="D166" s="682"/>
      <c r="E166" s="694"/>
      <c r="F166" s="744"/>
      <c r="G166" s="744"/>
      <c r="H166" s="744"/>
      <c r="I166" s="744"/>
      <c r="J166" s="744"/>
      <c r="K166" s="744"/>
      <c r="L166" s="744"/>
      <c r="M166" s="744"/>
      <c r="N166" s="744"/>
      <c r="O166" s="744"/>
      <c r="P166" s="744"/>
      <c r="Q166" s="744"/>
      <c r="R166" s="744"/>
      <c r="S166" s="744"/>
      <c r="T166" s="744"/>
      <c r="U166" s="744"/>
      <c r="V166" s="744"/>
      <c r="W166" s="744"/>
      <c r="X166" s="744"/>
      <c r="Y166" s="744"/>
      <c r="Z166" s="744"/>
      <c r="AA166" s="744"/>
      <c r="AB166" s="744"/>
      <c r="AC166" s="744"/>
      <c r="AD166" s="744"/>
      <c r="AE166" s="744"/>
      <c r="AF166" s="744"/>
      <c r="AG166" s="744"/>
      <c r="AH166" s="744"/>
      <c r="AI166" s="744"/>
      <c r="AJ166" s="744"/>
      <c r="AK166" s="744"/>
      <c r="AL166" s="744"/>
      <c r="AM166" s="744"/>
      <c r="AN166" s="744"/>
      <c r="AO166" s="744"/>
      <c r="AP166" s="744"/>
    </row>
    <row r="167" spans="1:42" s="664" customFormat="1" outlineLevel="1">
      <c r="D167" s="682"/>
      <c r="E167" s="694"/>
      <c r="F167" s="744"/>
      <c r="G167" s="744"/>
      <c r="H167" s="744"/>
      <c r="I167" s="744"/>
      <c r="J167" s="744"/>
      <c r="K167" s="744"/>
      <c r="L167" s="744"/>
      <c r="M167" s="744"/>
      <c r="N167" s="744"/>
      <c r="O167" s="744"/>
      <c r="P167" s="744"/>
      <c r="Q167" s="744"/>
      <c r="R167" s="744"/>
      <c r="S167" s="744"/>
      <c r="T167" s="744"/>
      <c r="U167" s="744"/>
      <c r="V167" s="744"/>
      <c r="W167" s="744"/>
      <c r="X167" s="744"/>
      <c r="Y167" s="744"/>
      <c r="Z167" s="744"/>
      <c r="AA167" s="744"/>
      <c r="AB167" s="744"/>
      <c r="AC167" s="744"/>
      <c r="AD167" s="744"/>
      <c r="AE167" s="744"/>
      <c r="AF167" s="744"/>
      <c r="AG167" s="744"/>
      <c r="AH167" s="744"/>
      <c r="AI167" s="744"/>
      <c r="AJ167" s="744"/>
      <c r="AK167" s="744"/>
      <c r="AL167" s="744"/>
      <c r="AM167" s="744"/>
      <c r="AN167" s="744"/>
      <c r="AO167" s="744"/>
      <c r="AP167" s="744"/>
    </row>
    <row r="168" spans="1:42" outlineLevel="1">
      <c r="A168" s="699">
        <f>ROW('Std benzin motor'!$A$23)</f>
        <v>23</v>
      </c>
      <c r="B168" s="699">
        <f>COLUMN('Std benzin motor'!$D267)-1+chosenYear</f>
        <v>4</v>
      </c>
      <c r="D168" s="722" t="s">
        <v>844</v>
      </c>
      <c r="E168" s="723" t="s">
        <v>350</v>
      </c>
      <c r="F168" s="735">
        <f t="shared" ref="F168:O169" ca="1" si="136">IF(F$9&lt;&gt;"",INDIRECT(ADDRESS($A168,$B168,,,F$9)),0)</f>
        <v>0.255</v>
      </c>
      <c r="G168" s="735">
        <f t="shared" ca="1" si="136"/>
        <v>0.18</v>
      </c>
      <c r="H168" s="735">
        <f t="shared" ca="1" si="136"/>
        <v>0.18</v>
      </c>
      <c r="I168" s="735">
        <f t="shared" ca="1" si="136"/>
        <v>0.18</v>
      </c>
      <c r="J168" s="735">
        <f t="shared" ca="1" si="136"/>
        <v>0.18</v>
      </c>
      <c r="K168" s="735">
        <f t="shared" ca="1" si="136"/>
        <v>0.255</v>
      </c>
      <c r="L168" s="735">
        <f t="shared" ca="1" si="136"/>
        <v>0.255</v>
      </c>
      <c r="M168" s="735">
        <f t="shared" ca="1" si="136"/>
        <v>0.255</v>
      </c>
      <c r="N168" s="735">
        <f t="shared" ca="1" si="136"/>
        <v>0.17997574865352448</v>
      </c>
      <c r="O168" s="735">
        <f t="shared" ca="1" si="136"/>
        <v>0.17997574865352448</v>
      </c>
      <c r="P168" s="735">
        <f t="shared" ref="P168:Y169" ca="1" si="137">IF(P$9&lt;&gt;"",INDIRECT(ADDRESS($A168,$B168,,,P$9)),0)</f>
        <v>0.39</v>
      </c>
      <c r="Q168" s="735">
        <f t="shared" ca="1" si="137"/>
        <v>0.56448821165977348</v>
      </c>
      <c r="R168" s="735">
        <f t="shared" ca="1" si="137"/>
        <v>0.87168797542226217</v>
      </c>
      <c r="S168" s="735">
        <f t="shared" ca="1" si="137"/>
        <v>0.24656348348786536</v>
      </c>
      <c r="T168" s="735">
        <f t="shared" ca="1" si="137"/>
        <v>0.40147206423553028</v>
      </c>
      <c r="U168" s="735">
        <f t="shared" ca="1" si="137"/>
        <v>0.48</v>
      </c>
      <c r="V168" s="735">
        <f t="shared" ca="1" si="137"/>
        <v>0.48</v>
      </c>
      <c r="W168" s="735">
        <f t="shared" ca="1" si="137"/>
        <v>0.50897060694744889</v>
      </c>
      <c r="X168" s="735">
        <f t="shared" ca="1" si="137"/>
        <v>0.48453524993943314</v>
      </c>
      <c r="Y168" s="735">
        <f t="shared" ca="1" si="137"/>
        <v>0.48453524993943314</v>
      </c>
      <c r="Z168" s="735">
        <f t="shared" ref="Z168:AP169" ca="1" si="138">IF(Z$9&lt;&gt;"",INDIRECT(ADDRESS($A168,$B168,,,Z$9)),0)</f>
        <v>0.45329203339251323</v>
      </c>
      <c r="AA168" s="735">
        <f t="shared" ca="1" si="138"/>
        <v>0.32</v>
      </c>
      <c r="AB168" s="735">
        <f t="shared" ca="1" si="138"/>
        <v>0.32</v>
      </c>
      <c r="AC168" s="735">
        <f t="shared" ca="1" si="138"/>
        <v>0.87168797542226217</v>
      </c>
      <c r="AD168" s="735">
        <f t="shared" ca="1" si="138"/>
        <v>0.32</v>
      </c>
      <c r="AE168" s="735">
        <f t="shared" ca="1" si="138"/>
        <v>0.32</v>
      </c>
      <c r="AF168" s="735">
        <f t="shared" ca="1" si="138"/>
        <v>0.32</v>
      </c>
      <c r="AG168" s="735">
        <f t="shared" ca="1" si="138"/>
        <v>0.4</v>
      </c>
      <c r="AH168" s="735">
        <f t="shared" ca="1" si="138"/>
        <v>0.4</v>
      </c>
      <c r="AI168" s="735">
        <f ca="1">IF(AI$9&lt;&gt;"",INDIRECT(ADDRESS($A168,$B168,,,AI$9)),0)</f>
        <v>0.3110490447640275</v>
      </c>
      <c r="AJ168" s="735">
        <f t="shared" ca="1" si="138"/>
        <v>0.4</v>
      </c>
      <c r="AK168" s="735">
        <f t="shared" ca="1" si="138"/>
        <v>0.32307692307692304</v>
      </c>
      <c r="AL168" s="735">
        <f t="shared" ca="1" si="138"/>
        <v>0.32307692307692304</v>
      </c>
      <c r="AM168" s="735">
        <f t="shared" ca="1" si="138"/>
        <v>0.24369782003183005</v>
      </c>
      <c r="AN168" s="735">
        <f t="shared" ca="1" si="138"/>
        <v>0.42</v>
      </c>
      <c r="AO168" s="735">
        <f t="shared" ca="1" si="138"/>
        <v>0.40147206423553028</v>
      </c>
      <c r="AP168" s="735">
        <f t="shared" ca="1" si="138"/>
        <v>0.56448821165977348</v>
      </c>
    </row>
    <row r="169" spans="1:42" outlineLevel="1">
      <c r="A169" s="699">
        <f>ROW('Std benzin motor'!$A$24)</f>
        <v>24</v>
      </c>
      <c r="B169" s="699">
        <f>COLUMN('Std benzin motor'!$D268)-1+chosenYear</f>
        <v>4</v>
      </c>
      <c r="D169" s="724" t="s">
        <v>845</v>
      </c>
      <c r="E169" s="725" t="s">
        <v>350</v>
      </c>
      <c r="F169" s="736">
        <f t="shared" ca="1" si="136"/>
        <v>0.255</v>
      </c>
      <c r="G169" s="736">
        <f t="shared" ca="1" si="136"/>
        <v>0.18</v>
      </c>
      <c r="H169" s="736">
        <f t="shared" ca="1" si="136"/>
        <v>0.18</v>
      </c>
      <c r="I169" s="736">
        <f t="shared" ca="1" si="136"/>
        <v>0.18</v>
      </c>
      <c r="J169" s="736">
        <f t="shared" ca="1" si="136"/>
        <v>0.18</v>
      </c>
      <c r="K169" s="736">
        <f t="shared" ca="1" si="136"/>
        <v>0.255</v>
      </c>
      <c r="L169" s="736">
        <f t="shared" ca="1" si="136"/>
        <v>0.255</v>
      </c>
      <c r="M169" s="736">
        <f t="shared" ca="1" si="136"/>
        <v>0.255</v>
      </c>
      <c r="N169" s="736">
        <f t="shared" ca="1" si="136"/>
        <v>0.17997574865352448</v>
      </c>
      <c r="O169" s="736">
        <f t="shared" ca="1" si="136"/>
        <v>0.17997574865352448</v>
      </c>
      <c r="P169" s="736">
        <f t="shared" ca="1" si="137"/>
        <v>0.87168797542226217</v>
      </c>
      <c r="Q169" s="736">
        <f t="shared" ca="1" si="137"/>
        <v>0.87168797542226217</v>
      </c>
      <c r="R169" s="736">
        <f t="shared" ca="1" si="137"/>
        <v>0.87168797542226217</v>
      </c>
      <c r="S169" s="736">
        <f t="shared" ca="1" si="137"/>
        <v>0.87168797542226217</v>
      </c>
      <c r="T169" s="736">
        <f t="shared" ca="1" si="137"/>
        <v>0.40147206423553028</v>
      </c>
      <c r="U169" s="736">
        <f t="shared" ca="1" si="137"/>
        <v>0.48</v>
      </c>
      <c r="V169" s="736">
        <f t="shared" ca="1" si="137"/>
        <v>0.48</v>
      </c>
      <c r="W169" s="736">
        <f t="shared" ca="1" si="137"/>
        <v>0.50897060694744889</v>
      </c>
      <c r="X169" s="736">
        <f t="shared" ca="1" si="137"/>
        <v>0.48453524993943314</v>
      </c>
      <c r="Y169" s="736">
        <f t="shared" ca="1" si="137"/>
        <v>0.48453524993943314</v>
      </c>
      <c r="Z169" s="736">
        <f t="shared" ca="1" si="138"/>
        <v>0.45329203339251323</v>
      </c>
      <c r="AA169" s="736">
        <f t="shared" ca="1" si="138"/>
        <v>0.32</v>
      </c>
      <c r="AB169" s="736">
        <f t="shared" ca="1" si="138"/>
        <v>0.32</v>
      </c>
      <c r="AC169" s="736">
        <f t="shared" ca="1" si="138"/>
        <v>0.87168797542226217</v>
      </c>
      <c r="AD169" s="736">
        <f t="shared" ca="1" si="138"/>
        <v>0.32</v>
      </c>
      <c r="AE169" s="736">
        <f t="shared" ca="1" si="138"/>
        <v>0.32</v>
      </c>
      <c r="AF169" s="736">
        <f t="shared" ca="1" si="138"/>
        <v>0.32</v>
      </c>
      <c r="AG169" s="736">
        <f t="shared" ca="1" si="138"/>
        <v>0.4</v>
      </c>
      <c r="AH169" s="736">
        <f t="shared" ca="1" si="138"/>
        <v>0.4</v>
      </c>
      <c r="AI169" s="736">
        <f ca="1">IF(AI$9&lt;&gt;"",INDIRECT(ADDRESS($A169,$B169,,,AI$9)),0)</f>
        <v>0.3110490447640275</v>
      </c>
      <c r="AJ169" s="736">
        <f t="shared" ca="1" si="138"/>
        <v>0.4</v>
      </c>
      <c r="AK169" s="736">
        <f t="shared" ca="1" si="138"/>
        <v>0.32307692307692304</v>
      </c>
      <c r="AL169" s="736">
        <f t="shared" ca="1" si="138"/>
        <v>0.32307692307692304</v>
      </c>
      <c r="AM169" s="736">
        <f t="shared" ca="1" si="138"/>
        <v>0.24369782003183005</v>
      </c>
      <c r="AN169" s="736">
        <f t="shared" ca="1" si="138"/>
        <v>0.42</v>
      </c>
      <c r="AO169" s="736">
        <f t="shared" ca="1" si="138"/>
        <v>0.40147206423553028</v>
      </c>
      <c r="AP169" s="736">
        <f t="shared" ca="1" si="138"/>
        <v>0.56448821165977348</v>
      </c>
    </row>
    <row r="170" spans="1:42" outlineLevel="1">
      <c r="F170" s="737"/>
      <c r="G170" s="737"/>
      <c r="H170" s="737"/>
      <c r="I170" s="737"/>
      <c r="J170" s="737"/>
      <c r="K170" s="737"/>
      <c r="L170" s="737"/>
      <c r="M170" s="737"/>
      <c r="N170" s="737"/>
      <c r="O170" s="737"/>
      <c r="P170" s="737"/>
      <c r="Q170" s="737"/>
      <c r="R170" s="737"/>
      <c r="S170" s="737"/>
      <c r="T170" s="737"/>
      <c r="U170" s="737"/>
      <c r="V170" s="737"/>
      <c r="W170" s="737"/>
      <c r="X170" s="737"/>
      <c r="Y170" s="737"/>
      <c r="Z170" s="737"/>
      <c r="AA170" s="737"/>
      <c r="AB170" s="737"/>
      <c r="AC170" s="737"/>
      <c r="AD170" s="737"/>
      <c r="AE170" s="737"/>
      <c r="AF170" s="737"/>
      <c r="AG170" s="737"/>
      <c r="AH170" s="737"/>
      <c r="AI170" s="737"/>
      <c r="AJ170" s="737"/>
      <c r="AK170" s="737"/>
      <c r="AL170" s="737"/>
      <c r="AM170" s="737"/>
      <c r="AN170" s="737"/>
      <c r="AO170" s="737"/>
      <c r="AP170" s="737"/>
    </row>
    <row r="171" spans="1:42" outlineLevel="1">
      <c r="D171" s="709" t="s">
        <v>791</v>
      </c>
      <c r="F171" s="721"/>
      <c r="G171" s="721"/>
      <c r="H171" s="721"/>
      <c r="I171" s="721"/>
      <c r="J171" s="721"/>
      <c r="K171" s="721"/>
      <c r="L171" s="721"/>
      <c r="M171" s="721"/>
      <c r="N171" s="721"/>
      <c r="O171" s="721"/>
      <c r="P171" s="721"/>
      <c r="Q171" s="721"/>
      <c r="R171" s="721"/>
      <c r="S171" s="721"/>
      <c r="T171" s="721"/>
      <c r="U171" s="721"/>
      <c r="V171" s="721"/>
      <c r="W171" s="721"/>
      <c r="X171" s="721"/>
      <c r="Y171" s="721"/>
      <c r="Z171" s="721"/>
      <c r="AA171" s="721"/>
      <c r="AB171" s="721"/>
      <c r="AC171" s="721"/>
      <c r="AD171" s="721"/>
      <c r="AE171" s="721"/>
      <c r="AF171" s="721"/>
      <c r="AG171" s="721"/>
      <c r="AH171" s="721"/>
      <c r="AI171" s="721"/>
      <c r="AJ171" s="721"/>
      <c r="AK171" s="721"/>
      <c r="AL171" s="721"/>
      <c r="AM171" s="721"/>
      <c r="AN171" s="721"/>
      <c r="AO171" s="721"/>
      <c r="AP171" s="721"/>
    </row>
    <row r="172" spans="1:42" s="664" customFormat="1" outlineLevel="1">
      <c r="D172" s="686" t="s">
        <v>24</v>
      </c>
      <c r="E172" s="680" t="s">
        <v>53</v>
      </c>
      <c r="F172" s="738">
        <f t="shared" ref="F172:AN172" ca="1" si="139">F141/F$168+F150/F$169</f>
        <v>324.57770716142255</v>
      </c>
      <c r="G172" s="738">
        <f t="shared" ca="1" si="139"/>
        <v>453.69520356877229</v>
      </c>
      <c r="H172" s="738">
        <f t="shared" ca="1" si="139"/>
        <v>1723.4793753330719</v>
      </c>
      <c r="I172" s="738">
        <f t="shared" ca="1" si="139"/>
        <v>2159.5105267069694</v>
      </c>
      <c r="J172" s="738">
        <f t="shared" ca="1" si="139"/>
        <v>79.789672290184427</v>
      </c>
      <c r="K172" s="738">
        <f t="shared" ca="1" si="139"/>
        <v>1368.930869169018</v>
      </c>
      <c r="L172" s="738">
        <f t="shared" ca="1" si="139"/>
        <v>-113.84768837561897</v>
      </c>
      <c r="M172" s="738">
        <f t="shared" ca="1" si="139"/>
        <v>-113.86639399868909</v>
      </c>
      <c r="N172" s="738">
        <f t="shared" ca="1" si="139"/>
        <v>349.98171139939905</v>
      </c>
      <c r="O172" s="738">
        <f t="shared" ca="1" si="139"/>
        <v>-304.16071218676842</v>
      </c>
      <c r="P172" s="738">
        <f t="shared" ca="1" si="139"/>
        <v>-18.582198718275627</v>
      </c>
      <c r="Q172" s="738">
        <f t="shared" ca="1" si="139"/>
        <v>9.9606943839586677</v>
      </c>
      <c r="R172" s="738">
        <f t="shared" ca="1" si="139"/>
        <v>6.5394127158466979</v>
      </c>
      <c r="S172" s="738">
        <f t="shared" ca="1" si="139"/>
        <v>220.82426295527387</v>
      </c>
      <c r="T172" s="738">
        <f t="shared" ca="1" si="139"/>
        <v>206.15958792491708</v>
      </c>
      <c r="U172" s="738">
        <f t="shared" ca="1" si="139"/>
        <v>169.54413620408448</v>
      </c>
      <c r="V172" s="738">
        <f t="shared" ca="1" si="139"/>
        <v>-186.79147675122977</v>
      </c>
      <c r="W172" s="738">
        <f t="shared" ca="1" si="139"/>
        <v>168.66408420594141</v>
      </c>
      <c r="X172" s="738">
        <f t="shared" ca="1" si="139"/>
        <v>170.81794428064555</v>
      </c>
      <c r="Y172" s="738">
        <f t="shared" ca="1" si="139"/>
        <v>-59.915476819099808</v>
      </c>
      <c r="Z172" s="738">
        <f t="shared" ca="1" si="139"/>
        <v>162.15415848867332</v>
      </c>
      <c r="AA172" s="738">
        <f t="shared" ca="1" si="139"/>
        <v>258.6478603942586</v>
      </c>
      <c r="AB172" s="738">
        <f t="shared" ca="1" si="139"/>
        <v>-90.722376674321367</v>
      </c>
      <c r="AC172" s="738">
        <f t="shared" ca="1" si="139"/>
        <v>6.1952330992231879</v>
      </c>
      <c r="AD172" s="738">
        <f t="shared" ca="1" si="139"/>
        <v>258.6478603942586</v>
      </c>
      <c r="AE172" s="738">
        <f t="shared" ca="1" si="139"/>
        <v>-90.722376674321367</v>
      </c>
      <c r="AF172" s="738">
        <f t="shared" ca="1" si="139"/>
        <v>230.92939499664513</v>
      </c>
      <c r="AG172" s="738">
        <f t="shared" ca="1" si="139"/>
        <v>206.9182883154069</v>
      </c>
      <c r="AH172" s="738">
        <f t="shared" ref="AH172" ca="1" si="140">AH141/AH$168+AH150/AH$169</f>
        <v>872.69342909524892</v>
      </c>
      <c r="AI172" s="738">
        <f t="shared" ref="AI172:AI177" ca="1" si="141">AI141/AI$168+AI150/AI$169</f>
        <v>202.50253644705327</v>
      </c>
      <c r="AJ172" s="738">
        <f t="shared" ca="1" si="139"/>
        <v>-72.589826174164287</v>
      </c>
      <c r="AK172" s="738">
        <f t="shared" ref="AK172" ca="1" si="142">AK141/AK$168+AK150/AK$169</f>
        <v>256.18454743812288</v>
      </c>
      <c r="AL172" s="738">
        <f t="shared" ca="1" si="139"/>
        <v>1080.4775788798322</v>
      </c>
      <c r="AM172" s="738">
        <f t="shared" ca="1" si="139"/>
        <v>258.46854319797166</v>
      </c>
      <c r="AN172" s="738">
        <f t="shared" ca="1" si="139"/>
        <v>197.06503649086372</v>
      </c>
      <c r="AO172" s="738">
        <f t="shared" ref="AO172:AP172" ca="1" si="143">AO141/AO$168+AO150/AO$169</f>
        <v>-72.31178236787909</v>
      </c>
      <c r="AP172" s="738">
        <f t="shared" ca="1" si="143"/>
        <v>17.575805193627247</v>
      </c>
    </row>
    <row r="173" spans="1:42" s="664" customFormat="1" outlineLevel="1">
      <c r="D173" s="682" t="s">
        <v>27</v>
      </c>
      <c r="E173" s="694" t="s">
        <v>53</v>
      </c>
      <c r="F173" s="739">
        <f t="shared" ref="F173:AN173" ca="1" si="144">F142/F$168+F151/F$169</f>
        <v>0.12070743818345772</v>
      </c>
      <c r="G173" s="739">
        <f t="shared" ca="1" si="144"/>
        <v>8.4200540664900514E-2</v>
      </c>
      <c r="H173" s="739">
        <f t="shared" ca="1" si="144"/>
        <v>9.5784562522161665E-2</v>
      </c>
      <c r="I173" s="739">
        <f t="shared" ca="1" si="144"/>
        <v>8.1296041090618776E-2</v>
      </c>
      <c r="J173" s="739">
        <f t="shared" ca="1" si="144"/>
        <v>6.1348151712133432E-2</v>
      </c>
      <c r="K173" s="739">
        <f t="shared" ca="1" si="144"/>
        <v>0.12228261448689216</v>
      </c>
      <c r="L173" s="739">
        <f t="shared" ca="1" si="144"/>
        <v>0.10380049744213569</v>
      </c>
      <c r="M173" s="739">
        <f t="shared" ca="1" si="144"/>
        <v>9.303926553210054E-2</v>
      </c>
      <c r="N173" s="739">
        <f t="shared" ca="1" si="144"/>
        <v>0.20503651199641965</v>
      </c>
      <c r="O173" s="739">
        <f t="shared" ca="1" si="144"/>
        <v>0.80190174199041186</v>
      </c>
      <c r="P173" s="739">
        <f t="shared" ca="1" si="144"/>
        <v>-4.2130222043725244E-3</v>
      </c>
      <c r="Q173" s="739">
        <f t="shared" ca="1" si="144"/>
        <v>1.9415442952874388E-4</v>
      </c>
      <c r="R173" s="739">
        <f t="shared" ca="1" si="144"/>
        <v>1.2746660989247532E-4</v>
      </c>
      <c r="S173" s="739">
        <f t="shared" ca="1" si="144"/>
        <v>7.4798450523578429E-5</v>
      </c>
      <c r="T173" s="739">
        <f t="shared" ca="1" si="144"/>
        <v>2.7812564174824612E-5</v>
      </c>
      <c r="U173" s="739">
        <f t="shared" ca="1" si="144"/>
        <v>2.4507041321322104E-5</v>
      </c>
      <c r="V173" s="739">
        <f t="shared" ca="1" si="144"/>
        <v>-1.5148470741630995E-2</v>
      </c>
      <c r="W173" s="739">
        <f t="shared" ca="1" si="144"/>
        <v>1.8596135585189461E-5</v>
      </c>
      <c r="X173" s="739">
        <f t="shared" ca="1" si="144"/>
        <v>2.304469603056896E-5</v>
      </c>
      <c r="Y173" s="739">
        <f t="shared" ca="1" si="144"/>
        <v>-8.874697809960537E-3</v>
      </c>
      <c r="Z173" s="739">
        <f t="shared" ca="1" si="144"/>
        <v>0.31570412104916395</v>
      </c>
      <c r="AA173" s="739">
        <f t="shared" ca="1" si="144"/>
        <v>3.4893648596718732E-5</v>
      </c>
      <c r="AB173" s="739">
        <f t="shared" ca="1" si="144"/>
        <v>-1.3437824754644279E-2</v>
      </c>
      <c r="AC173" s="739">
        <f t="shared" ca="1" si="144"/>
        <v>1.207578409507661E-4</v>
      </c>
      <c r="AD173" s="739">
        <f t="shared" ca="1" si="144"/>
        <v>3.4893648596718732E-5</v>
      </c>
      <c r="AE173" s="739">
        <f t="shared" ca="1" si="144"/>
        <v>-1.3437824754644279E-2</v>
      </c>
      <c r="AF173" s="739">
        <f t="shared" ca="1" si="144"/>
        <v>5.4174525287479367E-5</v>
      </c>
      <c r="AG173" s="739">
        <f t="shared" ca="1" si="144"/>
        <v>1.4530829936173274E-3</v>
      </c>
      <c r="AH173" s="739">
        <f t="shared" ref="AH173" ca="1" si="145">AH142/AH$168+AH151/AH$169</f>
        <v>2.4572578870567835E-3</v>
      </c>
      <c r="AI173" s="739">
        <f t="shared" ca="1" si="141"/>
        <v>0.30556680780036688</v>
      </c>
      <c r="AJ173" s="739">
        <f t="shared" ca="1" si="144"/>
        <v>-1.2021322267288683E-2</v>
      </c>
      <c r="AK173" s="739">
        <f t="shared" ref="AK173" ca="1" si="146">AK142/AK$168+AK151/AK$169</f>
        <v>1.1640772174125328E-3</v>
      </c>
      <c r="AL173" s="739">
        <f t="shared" ca="1" si="144"/>
        <v>2.4073413711947164E-3</v>
      </c>
      <c r="AM173" s="739">
        <f t="shared" ca="1" si="144"/>
        <v>0.30556991760442226</v>
      </c>
      <c r="AN173" s="739">
        <f t="shared" ca="1" si="144"/>
        <v>8.9544401339425588E-4</v>
      </c>
      <c r="AO173" s="739">
        <f t="shared" ref="AO173:AP173" ca="1" si="147">AO142/AO$168+AO151/AO$169</f>
        <v>-1.0710842184435132E-2</v>
      </c>
      <c r="AP173" s="739">
        <f t="shared" ca="1" si="147"/>
        <v>3.4258860871914812E-4</v>
      </c>
    </row>
    <row r="174" spans="1:42" s="664" customFormat="1" outlineLevel="1">
      <c r="D174" s="682" t="s">
        <v>28</v>
      </c>
      <c r="E174" s="694" t="s">
        <v>53</v>
      </c>
      <c r="F174" s="739">
        <f t="shared" ref="F174:AN174" ca="1" si="148">F143/F$168+F152/F$169</f>
        <v>3.4637781245555533E-5</v>
      </c>
      <c r="G174" s="739">
        <f t="shared" ca="1" si="148"/>
        <v>5.1139356498173849E-5</v>
      </c>
      <c r="H174" s="739">
        <f t="shared" ca="1" si="148"/>
        <v>6.4516361969123553E-4</v>
      </c>
      <c r="I174" s="739">
        <f t="shared" ca="1" si="148"/>
        <v>-1.0765728061471097E-4</v>
      </c>
      <c r="J174" s="739">
        <f t="shared" ca="1" si="148"/>
        <v>-1.1431988180472283E-3</v>
      </c>
      <c r="K174" s="739">
        <f t="shared" ca="1" si="148"/>
        <v>1.0519982512451107E-4</v>
      </c>
      <c r="L174" s="739">
        <f t="shared" ca="1" si="148"/>
        <v>-8.9055851279291746E-4</v>
      </c>
      <c r="M174" s="739">
        <f t="shared" ca="1" si="148"/>
        <v>-1.0642202354066278E-3</v>
      </c>
      <c r="N174" s="739">
        <f t="shared" ca="1" si="148"/>
        <v>1.9447064541667402E-5</v>
      </c>
      <c r="O174" s="739">
        <f t="shared" ca="1" si="148"/>
        <v>2.6982816279580749E-4</v>
      </c>
      <c r="P174" s="739">
        <f t="shared" ca="1" si="148"/>
        <v>-1.2811112458126629E-4</v>
      </c>
      <c r="Q174" s="739">
        <f t="shared" ca="1" si="148"/>
        <v>1.9415442952874388E-4</v>
      </c>
      <c r="R174" s="739">
        <f t="shared" ca="1" si="148"/>
        <v>1.2746660989247532E-4</v>
      </c>
      <c r="S174" s="739">
        <f t="shared" ca="1" si="148"/>
        <v>6.7978774384854559E-5</v>
      </c>
      <c r="T174" s="739">
        <f t="shared" ca="1" si="148"/>
        <v>2.2000619730380165E-5</v>
      </c>
      <c r="U174" s="739">
        <f t="shared" ca="1" si="148"/>
        <v>1.9462096634150627E-5</v>
      </c>
      <c r="V174" s="739">
        <f t="shared" ca="1" si="148"/>
        <v>-7.8211910204610113E-4</v>
      </c>
      <c r="W174" s="739">
        <f t="shared" ca="1" si="148"/>
        <v>1.4468468918522794E-5</v>
      </c>
      <c r="X174" s="739">
        <f t="shared" ca="1" si="148"/>
        <v>1.822908491945785E-5</v>
      </c>
      <c r="Y174" s="739">
        <f t="shared" ca="1" si="148"/>
        <v>-4.6868090771637458E-4</v>
      </c>
      <c r="Z174" s="739">
        <f t="shared" ca="1" si="148"/>
        <v>3.8540419239623018E-5</v>
      </c>
      <c r="AA174" s="739">
        <f t="shared" ca="1" si="148"/>
        <v>2.7601981930052065E-5</v>
      </c>
      <c r="AB174" s="739">
        <f t="shared" ca="1" si="148"/>
        <v>-7.0966381488185614E-4</v>
      </c>
      <c r="AC174" s="739">
        <f t="shared" ca="1" si="148"/>
        <v>1.207578409507661E-4</v>
      </c>
      <c r="AD174" s="739">
        <f t="shared" ca="1" si="148"/>
        <v>2.7601981930052065E-5</v>
      </c>
      <c r="AE174" s="739">
        <f t="shared" ca="1" si="148"/>
        <v>-7.0966381488185614E-4</v>
      </c>
      <c r="AF174" s="739">
        <f t="shared" ca="1" si="148"/>
        <v>5.34453586208127E-5</v>
      </c>
      <c r="AG174" s="739">
        <f t="shared" ca="1" si="148"/>
        <v>8.487754541551892E-3</v>
      </c>
      <c r="AH174" s="739">
        <f t="shared" ref="AH174" ca="1" si="149">AH143/AH$168+AH152/AH$169</f>
        <v>8.5327378445247282E-3</v>
      </c>
      <c r="AI174" s="739">
        <f t="shared" ca="1" si="141"/>
        <v>1.0897860769753324E-2</v>
      </c>
      <c r="AJ174" s="739">
        <f t="shared" ca="1" si="148"/>
        <v>7.787232555936126E-3</v>
      </c>
      <c r="AK174" s="739">
        <f t="shared" ref="AK174" ca="1" si="150">AK143/AK$168+AK152/AK$169</f>
        <v>8.9513520142774847E-3</v>
      </c>
      <c r="AL174" s="739">
        <f t="shared" ca="1" si="148"/>
        <v>9.0070456274819466E-3</v>
      </c>
      <c r="AM174" s="739">
        <f t="shared" ca="1" si="148"/>
        <v>1.1845172154418691E-2</v>
      </c>
      <c r="AN174" s="739">
        <f t="shared" ca="1" si="148"/>
        <v>6.8856553955980648E-3</v>
      </c>
      <c r="AO174" s="739">
        <f t="shared" ref="AO174:AP174" ca="1" si="151">AO143/AO$168+AO152/AO$169</f>
        <v>-5.6564937138183142E-4</v>
      </c>
      <c r="AP174" s="739">
        <f t="shared" ca="1" si="151"/>
        <v>3.4258860871914812E-4</v>
      </c>
    </row>
    <row r="175" spans="1:42" s="664" customFormat="1" outlineLevel="1">
      <c r="D175" s="682" t="s">
        <v>26</v>
      </c>
      <c r="E175" s="694" t="s">
        <v>53</v>
      </c>
      <c r="F175" s="739">
        <f t="shared" ref="F175:AN175" ca="1" si="152">F144/F$168+F153/F$169</f>
        <v>9.390639733354425E-3</v>
      </c>
      <c r="G175" s="739">
        <f t="shared" ca="1" si="152"/>
        <v>2.9603154775719159E-4</v>
      </c>
      <c r="H175" s="739">
        <f t="shared" ca="1" si="152"/>
        <v>2.7929543381877368E-2</v>
      </c>
      <c r="I175" s="739">
        <f t="shared" ca="1" si="152"/>
        <v>-6.403178681023052E-3</v>
      </c>
      <c r="J175" s="739">
        <f t="shared" ca="1" si="152"/>
        <v>-5.3794730804857749E-2</v>
      </c>
      <c r="K175" s="739">
        <f t="shared" ca="1" si="152"/>
        <v>4.2424560503664449E-3</v>
      </c>
      <c r="L175" s="739">
        <f t="shared" ca="1" si="152"/>
        <v>-3.9798811666943761E-2</v>
      </c>
      <c r="M175" s="739">
        <f t="shared" ca="1" si="152"/>
        <v>-4.988667500153509E-2</v>
      </c>
      <c r="N175" s="739">
        <f t="shared" ca="1" si="152"/>
        <v>1.3551834281975926E-4</v>
      </c>
      <c r="O175" s="739">
        <f t="shared" ca="1" si="152"/>
        <v>9.8816058957288833E-3</v>
      </c>
      <c r="P175" s="739">
        <f t="shared" ca="1" si="152"/>
        <v>-9.8857385269123851E-3</v>
      </c>
      <c r="Q175" s="739">
        <f t="shared" ca="1" si="152"/>
        <v>6.4182033350138621E-4</v>
      </c>
      <c r="R175" s="739">
        <f t="shared" ca="1" si="152"/>
        <v>4.2136902191751343E-4</v>
      </c>
      <c r="S175" s="739">
        <f t="shared" ca="1" si="152"/>
        <v>2.8590032714838316E-4</v>
      </c>
      <c r="T175" s="739">
        <f t="shared" ca="1" si="152"/>
        <v>0.45636782316282215</v>
      </c>
      <c r="U175" s="739">
        <f t="shared" ca="1" si="152"/>
        <v>1.1745875895658093E-4</v>
      </c>
      <c r="V175" s="739">
        <f t="shared" ca="1" si="152"/>
        <v>-3.5720475521923714E-2</v>
      </c>
      <c r="W175" s="739">
        <f t="shared" ca="1" si="152"/>
        <v>3.552827828610055</v>
      </c>
      <c r="X175" s="739">
        <f t="shared" ca="1" si="152"/>
        <v>0.37813333919205261</v>
      </c>
      <c r="Y175" s="739">
        <f t="shared" ca="1" si="152"/>
        <v>0.35224603768273222</v>
      </c>
      <c r="Z175" s="739">
        <f t="shared" ca="1" si="152"/>
        <v>0.24365017193880931</v>
      </c>
      <c r="AA175" s="739">
        <f t="shared" ca="1" si="152"/>
        <v>7.4831660375168068E-3</v>
      </c>
      <c r="AB175" s="739">
        <f t="shared" ca="1" si="152"/>
        <v>-3.171467804709581E-2</v>
      </c>
      <c r="AC175" s="739">
        <f t="shared" ca="1" si="152"/>
        <v>3.9919170497448647E-4</v>
      </c>
      <c r="AD175" s="739">
        <f t="shared" ca="1" si="152"/>
        <v>7.4831660375168068E-3</v>
      </c>
      <c r="AE175" s="739">
        <f t="shared" ca="1" si="152"/>
        <v>-3.171467804709581E-2</v>
      </c>
      <c r="AF175" s="739">
        <f t="shared" ca="1" si="152"/>
        <v>9.4215354788518345E-4</v>
      </c>
      <c r="AG175" s="739">
        <f t="shared" ca="1" si="152"/>
        <v>7.1574680306066658E-3</v>
      </c>
      <c r="AH175" s="739">
        <f t="shared" ref="AH175" ca="1" si="153">AH144/AH$168+AH153/AH$169</f>
        <v>3.7690522781024453E-3</v>
      </c>
      <c r="AI175" s="739">
        <f t="shared" ca="1" si="141"/>
        <v>1.5842006388940594E-3</v>
      </c>
      <c r="AJ175" s="739">
        <f t="shared" ca="1" si="152"/>
        <v>-3.06318201128854E-2</v>
      </c>
      <c r="AK175" s="739">
        <f t="shared" ref="AK175" ca="1" si="154">AK144/AK$168+AK153/AK$169</f>
        <v>8.8616270855130155E-3</v>
      </c>
      <c r="AL175" s="739">
        <f t="shared" ca="1" si="152"/>
        <v>4.7982392500117883E-3</v>
      </c>
      <c r="AM175" s="739">
        <f t="shared" ca="1" si="152"/>
        <v>2.0220291481400938E-3</v>
      </c>
      <c r="AN175" s="739">
        <f t="shared" ca="1" si="152"/>
        <v>6.816636219625396E-3</v>
      </c>
      <c r="AO175" s="739">
        <f t="shared" ref="AO175:AP175" ca="1" si="155">AO144/AO$168+AO153/AO$169</f>
        <v>0.4251245282377803</v>
      </c>
      <c r="AP175" s="739">
        <f t="shared" ca="1" si="155"/>
        <v>1.1325022850912966E-3</v>
      </c>
    </row>
    <row r="176" spans="1:42" s="664" customFormat="1" outlineLevel="1">
      <c r="D176" s="682" t="s">
        <v>25</v>
      </c>
      <c r="E176" s="694" t="s">
        <v>53</v>
      </c>
      <c r="F176" s="739">
        <f t="shared" ref="F176:AN176" ca="1" si="156">F145/F$168+F154/F$169</f>
        <v>0.64335671097312153</v>
      </c>
      <c r="G176" s="739">
        <f t="shared" ca="1" si="156"/>
        <v>0.45720383131247644</v>
      </c>
      <c r="H176" s="739">
        <f t="shared" ca="1" si="156"/>
        <v>0.83369681550828134</v>
      </c>
      <c r="I176" s="739">
        <f t="shared" ca="1" si="156"/>
        <v>0.74222058387712586</v>
      </c>
      <c r="J176" s="739">
        <f t="shared" ca="1" si="156"/>
        <v>0.44564555062276562</v>
      </c>
      <c r="K176" s="739">
        <f t="shared" ca="1" si="156"/>
        <v>1.097680368416865</v>
      </c>
      <c r="L176" s="739">
        <f t="shared" ca="1" si="156"/>
        <v>0.63661945383755492</v>
      </c>
      <c r="M176" s="739">
        <f t="shared" ca="1" si="156"/>
        <v>0.54830787009920157</v>
      </c>
      <c r="N176" s="739">
        <f t="shared" ca="1" si="156"/>
        <v>0.16835697496927046</v>
      </c>
      <c r="O176" s="739">
        <f t="shared" ca="1" si="156"/>
        <v>0.34089645261792445</v>
      </c>
      <c r="P176" s="739">
        <f t="shared" ca="1" si="156"/>
        <v>0.11389216820733725</v>
      </c>
      <c r="Q176" s="739">
        <f t="shared" ca="1" si="156"/>
        <v>0.1896117567154158</v>
      </c>
      <c r="R176" s="739">
        <f t="shared" ca="1" si="156"/>
        <v>0.12448424629267953</v>
      </c>
      <c r="S176" s="739">
        <f t="shared" ca="1" si="156"/>
        <v>0.18660670974564086</v>
      </c>
      <c r="T176" s="739">
        <f t="shared" ca="1" si="156"/>
        <v>1.3013432135244993</v>
      </c>
      <c r="U176" s="739">
        <f t="shared" ca="1" si="156"/>
        <v>0.75271135678927215</v>
      </c>
      <c r="V176" s="739">
        <f t="shared" ca="1" si="156"/>
        <v>0.82581793048406538</v>
      </c>
      <c r="W176" s="739">
        <f t="shared" ca="1" si="156"/>
        <v>1.0047810046570589</v>
      </c>
      <c r="X176" s="739">
        <f t="shared" ca="1" si="156"/>
        <v>1.0782558054917279</v>
      </c>
      <c r="Y176" s="739">
        <f t="shared" ca="1" si="156"/>
        <v>1.0747101386495648</v>
      </c>
      <c r="Z176" s="739">
        <f t="shared" ca="1" si="156"/>
        <v>0.19614225721392139</v>
      </c>
      <c r="AA176" s="739">
        <f t="shared" ca="1" si="156"/>
        <v>4.506798810680638</v>
      </c>
      <c r="AB176" s="739">
        <f t="shared" ca="1" si="156"/>
        <v>4.5014300589007332</v>
      </c>
      <c r="AC176" s="739">
        <f t="shared" ca="1" si="156"/>
        <v>0.11793244385622272</v>
      </c>
      <c r="AD176" s="739">
        <f t="shared" ca="1" si="156"/>
        <v>4.3158265884584157</v>
      </c>
      <c r="AE176" s="739">
        <f t="shared" ca="1" si="156"/>
        <v>4.3104578366785109</v>
      </c>
      <c r="AF176" s="739">
        <f t="shared" ca="1" si="156"/>
        <v>4.1989526538621176</v>
      </c>
      <c r="AG176" s="739">
        <f t="shared" ca="1" si="156"/>
        <v>1.0054649304854451</v>
      </c>
      <c r="AH176" s="739">
        <f t="shared" ref="AH176" ca="1" si="157">AH145/AH$168+AH154/AH$169</f>
        <v>1.4695458829384627</v>
      </c>
      <c r="AI176" s="739">
        <f t="shared" ca="1" si="141"/>
        <v>1.1360611787796198</v>
      </c>
      <c r="AJ176" s="739">
        <f t="shared" ca="1" si="156"/>
        <v>0.959861891723924</v>
      </c>
      <c r="AK176" s="739">
        <f t="shared" ref="AK176" ca="1" si="158">AK145/AK$168+AK154/AK$169</f>
        <v>1.4686723797880958</v>
      </c>
      <c r="AL176" s="739">
        <f t="shared" ca="1" si="156"/>
        <v>1.827263552270479</v>
      </c>
      <c r="AM176" s="739">
        <f t="shared" ca="1" si="156"/>
        <v>1.7467490093802185</v>
      </c>
      <c r="AN176" s="739">
        <f t="shared" ca="1" si="156"/>
        <v>1.1297479844523812</v>
      </c>
      <c r="AO176" s="739">
        <f t="shared" ref="AO176:AP176" ca="1" si="159">AO145/AO$168+AO154/AO$169</f>
        <v>1.2970639604391301</v>
      </c>
      <c r="AP176" s="739">
        <f t="shared" ca="1" si="159"/>
        <v>0.33457298959182885</v>
      </c>
    </row>
    <row r="177" spans="1:42" s="664" customFormat="1" outlineLevel="1">
      <c r="D177" s="683" t="s">
        <v>45</v>
      </c>
      <c r="E177" s="684" t="s">
        <v>53</v>
      </c>
      <c r="F177" s="740">
        <f t="shared" ref="F177:AN177" ca="1" si="160">F146/F$168+F155/F$169</f>
        <v>1.2141634222296492E-2</v>
      </c>
      <c r="G177" s="740">
        <f t="shared" ca="1" si="160"/>
        <v>1.3260121232560412E-2</v>
      </c>
      <c r="H177" s="740">
        <f t="shared" ca="1" si="160"/>
        <v>1.6144927702338129E-2</v>
      </c>
      <c r="I177" s="740">
        <f t="shared" ca="1" si="160"/>
        <v>1.2554658591227019E-2</v>
      </c>
      <c r="J177" s="740">
        <f t="shared" ca="1" si="160"/>
        <v>7.6123044801159057E-3</v>
      </c>
      <c r="K177" s="740">
        <f t="shared" ca="1" si="160"/>
        <v>1.2530306927023329E-2</v>
      </c>
      <c r="L177" s="740">
        <f t="shared" ca="1" si="160"/>
        <v>7.9150138702448383E-3</v>
      </c>
      <c r="M177" s="740">
        <f t="shared" ca="1" si="160"/>
        <v>6.2846444566553531E-3</v>
      </c>
      <c r="N177" s="740">
        <f t="shared" ca="1" si="160"/>
        <v>1.1978775852234553E-2</v>
      </c>
      <c r="O177" s="740">
        <f t="shared" ca="1" si="160"/>
        <v>1.3022895940846272E-2</v>
      </c>
      <c r="P177" s="740">
        <f t="shared" ca="1" si="160"/>
        <v>-9.541023313762284E-4</v>
      </c>
      <c r="Q177" s="740">
        <f t="shared" ca="1" si="160"/>
        <v>1.9415442952874388E-4</v>
      </c>
      <c r="R177" s="740">
        <f t="shared" ca="1" si="160"/>
        <v>1.2746660989247532E-4</v>
      </c>
      <c r="S177" s="740">
        <f t="shared" ca="1" si="160"/>
        <v>9.8261104592533744E-5</v>
      </c>
      <c r="T177" s="740">
        <f t="shared" ca="1" si="160"/>
        <v>0.23023894738230494</v>
      </c>
      <c r="U177" s="740">
        <f t="shared" ca="1" si="160"/>
        <v>4.1863846774295988E-5</v>
      </c>
      <c r="V177" s="740">
        <f t="shared" ca="1" si="160"/>
        <v>-3.7284842838930803E-3</v>
      </c>
      <c r="W177" s="740">
        <f t="shared" ca="1" si="160"/>
        <v>0.49754277300425515</v>
      </c>
      <c r="X177" s="740">
        <f t="shared" ca="1" si="160"/>
        <v>0.19076941354533836</v>
      </c>
      <c r="Y177" s="740">
        <f t="shared" ca="1" si="160"/>
        <v>0.18854503835301151</v>
      </c>
      <c r="Z177" s="740">
        <f t="shared" ca="1" si="160"/>
        <v>2.9570161198894246E-2</v>
      </c>
      <c r="AA177" s="740">
        <f t="shared" ca="1" si="160"/>
        <v>8.6865535711063466E-2</v>
      </c>
      <c r="AB177" s="740">
        <f t="shared" ca="1" si="160"/>
        <v>8.3497447618022302E-2</v>
      </c>
      <c r="AC177" s="740">
        <f t="shared" ca="1" si="160"/>
        <v>1.207578409507661E-4</v>
      </c>
      <c r="AD177" s="740">
        <f t="shared" ca="1" si="160"/>
        <v>4.1726646822174564E-2</v>
      </c>
      <c r="AE177" s="740">
        <f t="shared" ca="1" si="160"/>
        <v>3.83585587291334E-2</v>
      </c>
      <c r="AF177" s="740">
        <f t="shared" ca="1" si="160"/>
        <v>4.1723349842645259E-2</v>
      </c>
      <c r="AG177" s="740">
        <f t="shared" ca="1" si="160"/>
        <v>8.2929375877685545E-3</v>
      </c>
      <c r="AH177" s="740">
        <f t="shared" ref="AH177" ca="1" si="161">AH146/AH$168+AH155/AH$169</f>
        <v>8.5407164370319127E-3</v>
      </c>
      <c r="AI177" s="740">
        <f t="shared" ca="1" si="141"/>
        <v>1.0614021939368149E-2</v>
      </c>
      <c r="AJ177" s="740">
        <f t="shared" ca="1" si="160"/>
        <v>4.9755120926057482E-3</v>
      </c>
      <c r="AK177" s="740">
        <f t="shared" ref="AK177" ca="1" si="162">AK146/AK$168+AK155/AK$169</f>
        <v>1.0233140874617236E-2</v>
      </c>
      <c r="AL177" s="740">
        <f t="shared" ca="1" si="160"/>
        <v>1.0539914687990917E-2</v>
      </c>
      <c r="AM177" s="740">
        <f t="shared" ca="1" si="160"/>
        <v>1.3501959176293547E-2</v>
      </c>
      <c r="AN177" s="740">
        <f t="shared" ca="1" si="160"/>
        <v>7.8716468266286418E-3</v>
      </c>
      <c r="AO177" s="740">
        <f t="shared" ref="AO177:AP177" ca="1" si="163">AO146/AO$168+AO155/AO$169</f>
        <v>0.22755435663294496</v>
      </c>
      <c r="AP177" s="740">
        <f t="shared" ca="1" si="163"/>
        <v>3.4258860871914812E-4</v>
      </c>
    </row>
    <row r="178" spans="1:42" s="664" customFormat="1" outlineLevel="1">
      <c r="D178" s="666"/>
      <c r="E178" s="667"/>
    </row>
    <row r="179" spans="1:42" s="664" customFormat="1" outlineLevel="1">
      <c r="A179" s="699">
        <f>ROW('Std benzin motor'!$A$67)</f>
        <v>67</v>
      </c>
      <c r="B179" s="699">
        <f>COLUMN('Std benzin motor'!$D277)-1+chosenYear</f>
        <v>4</v>
      </c>
      <c r="D179" s="679" t="s">
        <v>266</v>
      </c>
      <c r="E179" s="671" t="s">
        <v>489</v>
      </c>
      <c r="F179" s="1595">
        <f t="shared" ref="F179:AP179" ca="1" si="164">IF(F$9&lt;&gt;"",INDIRECT(ADDRESS($A179,$B179,,,F$9)),0)</f>
        <v>0.39776015267175568</v>
      </c>
      <c r="G179" s="1595">
        <f t="shared" ca="1" si="164"/>
        <v>0.38034000000000001</v>
      </c>
      <c r="H179" s="1595">
        <f t="shared" ca="1" si="164"/>
        <v>0.38034000000000001</v>
      </c>
      <c r="I179" s="1595">
        <f t="shared" ca="1" si="164"/>
        <v>0.38034000000000001</v>
      </c>
      <c r="J179" s="1595">
        <f t="shared" ca="1" si="164"/>
        <v>0.38034000000000001</v>
      </c>
      <c r="K179" s="1595">
        <f t="shared" ca="1" si="164"/>
        <v>0.39776015267175568</v>
      </c>
      <c r="L179" s="1595">
        <f t="shared" ca="1" si="164"/>
        <v>0.39776015267175568</v>
      </c>
      <c r="M179" s="1595">
        <f t="shared" ca="1" si="164"/>
        <v>0.42040635114503816</v>
      </c>
      <c r="N179" s="1595">
        <f t="shared" ca="1" si="164"/>
        <v>0.41808366412213738</v>
      </c>
      <c r="O179" s="1595">
        <f t="shared" ca="1" si="164"/>
        <v>0.41808366412213738</v>
      </c>
      <c r="P179" s="1595">
        <f t="shared" ca="1" si="164"/>
        <v>0.43318112977099232</v>
      </c>
      <c r="Q179" s="1595">
        <f t="shared" ca="1" si="164"/>
        <v>0.42330970992366412</v>
      </c>
      <c r="R179" s="1595">
        <f t="shared" ca="1" si="164"/>
        <v>0.35711312977099235</v>
      </c>
      <c r="S179" s="1595">
        <f t="shared" ca="1" si="164"/>
        <v>0.44943993893129769</v>
      </c>
      <c r="T179" s="1595">
        <f t="shared" ca="1" si="164"/>
        <v>1699.1026131091178</v>
      </c>
      <c r="U179" s="1595">
        <f t="shared" ca="1" si="164"/>
        <v>48.130318579039901</v>
      </c>
      <c r="V179" s="1595">
        <f t="shared" ca="1" si="164"/>
        <v>48.130318579039901</v>
      </c>
      <c r="W179" s="1595">
        <f t="shared" ca="1" si="164"/>
        <v>3333.5925822206018</v>
      </c>
      <c r="X179" s="1595">
        <f t="shared" ca="1" si="164"/>
        <v>3173.5489102404558</v>
      </c>
      <c r="Y179" s="1595">
        <f t="shared" ca="1" si="164"/>
        <v>3173.5489102404558</v>
      </c>
      <c r="Z179" s="1595">
        <f t="shared" ca="1" si="164"/>
        <v>3108.4280907585944</v>
      </c>
      <c r="AA179" s="1595">
        <f t="shared" ca="1" si="164"/>
        <v>12.622438400000002</v>
      </c>
      <c r="AB179" s="1595">
        <f t="shared" ca="1" si="164"/>
        <v>12.622438400000002</v>
      </c>
      <c r="AC179" s="1595">
        <f t="shared" ca="1" si="164"/>
        <v>16.132852373925061</v>
      </c>
      <c r="AD179" s="1595">
        <f t="shared" ca="1" si="164"/>
        <v>10.3274496</v>
      </c>
      <c r="AE179" s="1595">
        <f t="shared" ca="1" si="164"/>
        <v>10.3274496</v>
      </c>
      <c r="AF179" s="1595">
        <f t="shared" ca="1" si="164"/>
        <v>10.3274496</v>
      </c>
      <c r="AG179" s="1595">
        <f t="shared" ca="1" si="164"/>
        <v>5.6484926400000006</v>
      </c>
      <c r="AH179" s="1595">
        <f t="shared" ca="1" si="164"/>
        <v>5.6484926400000006</v>
      </c>
      <c r="AI179" s="1595">
        <f ca="1">IF(AI$9&lt;&gt;"",INDIRECT(ADDRESS($A179,$B179,,,AI$9)),0)</f>
        <v>5.6484926399999997</v>
      </c>
      <c r="AJ179" s="1595">
        <f t="shared" ca="1" si="164"/>
        <v>5.6484926400000006</v>
      </c>
      <c r="AK179" s="1595">
        <f t="shared" ca="1" si="164"/>
        <v>4.8206591999999997</v>
      </c>
      <c r="AL179" s="1595">
        <f t="shared" ca="1" si="164"/>
        <v>4.8206591999999997</v>
      </c>
      <c r="AM179" s="1595">
        <f t="shared" ca="1" si="164"/>
        <v>4.8206591999999997</v>
      </c>
      <c r="AN179" s="1595">
        <f t="shared" ca="1" si="164"/>
        <v>4.8206591999999997</v>
      </c>
      <c r="AO179" s="1595">
        <f t="shared" ca="1" si="164"/>
        <v>1699.1026131091178</v>
      </c>
      <c r="AP179" s="1595">
        <f t="shared" ca="1" si="164"/>
        <v>0.42330970992366412</v>
      </c>
    </row>
    <row r="180" spans="1:42" s="664" customFormat="1" outlineLevel="1">
      <c r="D180" s="666"/>
      <c r="E180" s="667"/>
      <c r="F180" s="741"/>
      <c r="G180" s="741"/>
      <c r="H180" s="741"/>
      <c r="I180" s="741"/>
      <c r="J180" s="741"/>
      <c r="K180" s="741"/>
      <c r="L180" s="741"/>
      <c r="M180" s="741"/>
      <c r="N180" s="741"/>
      <c r="O180" s="741"/>
      <c r="P180" s="741"/>
      <c r="Q180" s="741"/>
      <c r="R180" s="741"/>
      <c r="S180" s="741"/>
      <c r="T180" s="741"/>
      <c r="U180" s="741"/>
      <c r="V180" s="741"/>
      <c r="W180" s="741"/>
      <c r="X180" s="741"/>
      <c r="Y180" s="741"/>
      <c r="Z180" s="741"/>
      <c r="AA180" s="741"/>
      <c r="AB180" s="741"/>
      <c r="AC180" s="741"/>
      <c r="AD180" s="741"/>
      <c r="AE180" s="741"/>
      <c r="AF180" s="741"/>
      <c r="AG180" s="741"/>
      <c r="AH180" s="741"/>
      <c r="AI180" s="741"/>
      <c r="AJ180" s="741"/>
      <c r="AK180" s="741"/>
      <c r="AL180" s="741"/>
      <c r="AM180" s="741"/>
      <c r="AN180" s="741"/>
      <c r="AO180" s="741"/>
      <c r="AP180" s="741"/>
    </row>
    <row r="181" spans="1:42" s="664" customFormat="1" outlineLevel="1">
      <c r="D181" s="668" t="s">
        <v>792</v>
      </c>
      <c r="E181" s="667"/>
      <c r="J181" s="742"/>
      <c r="K181" s="742"/>
    </row>
    <row r="182" spans="1:42" s="664" customFormat="1" outlineLevel="1">
      <c r="D182" s="686" t="s">
        <v>24</v>
      </c>
      <c r="E182" s="680" t="s">
        <v>7</v>
      </c>
      <c r="F182" s="743">
        <f t="shared" ref="F182:AN182" ca="1" si="165">F172*F$179</f>
        <v>129.10407835437584</v>
      </c>
      <c r="G182" s="743">
        <f t="shared" ca="1" si="165"/>
        <v>172.55843372534684</v>
      </c>
      <c r="H182" s="743">
        <f t="shared" ca="1" si="165"/>
        <v>655.50814561418053</v>
      </c>
      <c r="I182" s="743">
        <f t="shared" ca="1" si="165"/>
        <v>821.34823372772871</v>
      </c>
      <c r="J182" s="743">
        <f t="shared" ca="1" si="165"/>
        <v>30.347203958848745</v>
      </c>
      <c r="K182" s="743">
        <f t="shared" ca="1" si="165"/>
        <v>544.50615151774787</v>
      </c>
      <c r="L182" s="743">
        <f t="shared" ca="1" si="165"/>
        <v>-45.284073909612665</v>
      </c>
      <c r="M182" s="743">
        <f t="shared" ca="1" si="165"/>
        <v>-47.870155219032149</v>
      </c>
      <c r="N182" s="743">
        <f t="shared" ca="1" si="165"/>
        <v>146.32163627759718</v>
      </c>
      <c r="O182" s="743">
        <f t="shared" ca="1" si="165"/>
        <v>-127.16462503304298</v>
      </c>
      <c r="P182" s="743">
        <f t="shared" ca="1" si="165"/>
        <v>-8.0494578344117222</v>
      </c>
      <c r="Q182" s="743">
        <f t="shared" ca="1" si="165"/>
        <v>4.2164586503118135</v>
      </c>
      <c r="R182" s="743">
        <f t="shared" ca="1" si="165"/>
        <v>2.3353101418202393</v>
      </c>
      <c r="S182" s="743">
        <f t="shared" ca="1" si="165"/>
        <v>99.247243257167113</v>
      </c>
      <c r="T182" s="743">
        <f t="shared" ca="1" si="165"/>
        <v>350286.29456072551</v>
      </c>
      <c r="U182" s="743">
        <f t="shared" ca="1" si="165"/>
        <v>8160.2132887107191</v>
      </c>
      <c r="V182" s="743">
        <f t="shared" ca="1" si="165"/>
        <v>-8990.3332838860133</v>
      </c>
      <c r="W182" s="743">
        <f t="shared" ca="1" si="165"/>
        <v>562257.33999595721</v>
      </c>
      <c r="X182" s="743">
        <f t="shared" ca="1" si="165"/>
        <v>542099.10092135763</v>
      </c>
      <c r="Y182" s="743">
        <f t="shared" ca="1" si="165"/>
        <v>-190144.69616579148</v>
      </c>
      <c r="Z182" s="743">
        <f t="shared" ca="1" si="165"/>
        <v>504044.54127951333</v>
      </c>
      <c r="AA182" s="743">
        <f t="shared" ca="1" si="165"/>
        <v>3264.7666851183294</v>
      </c>
      <c r="AB182" s="743">
        <f t="shared" ca="1" si="165"/>
        <v>-1145.1376110732185</v>
      </c>
      <c r="AC182" s="743">
        <f t="shared" ca="1" si="165"/>
        <v>99.946781011821926</v>
      </c>
      <c r="AD182" s="743">
        <f t="shared" ca="1" si="165"/>
        <v>2671.1727423695415</v>
      </c>
      <c r="AE182" s="743">
        <f t="shared" ca="1" si="165"/>
        <v>-936.93077269626951</v>
      </c>
      <c r="AF182" s="743">
        <f t="shared" ca="1" si="165"/>
        <v>2384.9116879863445</v>
      </c>
      <c r="AG182" s="743">
        <f t="shared" ca="1" si="165"/>
        <v>1168.7764286309739</v>
      </c>
      <c r="AH182" s="743">
        <f t="shared" ref="AH182" ca="1" si="166">AH172*AH$179</f>
        <v>4929.4024112208763</v>
      </c>
      <c r="AI182" s="743">
        <f t="shared" ref="AI182:AI187" ca="1" si="167">AI172*AI$179</f>
        <v>1143.8340867025122</v>
      </c>
      <c r="AJ182" s="743">
        <f t="shared" ca="1" si="165"/>
        <v>-410.02309888364636</v>
      </c>
      <c r="AK182" s="743">
        <f t="shared" ref="AK182" ca="1" si="168">AK172*AK$179</f>
        <v>1234.9783955054234</v>
      </c>
      <c r="AL182" s="743">
        <f t="shared" ca="1" si="165"/>
        <v>5208.6141810207882</v>
      </c>
      <c r="AM182" s="743">
        <f t="shared" ca="1" si="165"/>
        <v>1245.9887606778993</v>
      </c>
      <c r="AN182" s="743">
        <f t="shared" ca="1" si="165"/>
        <v>949.98338115801789</v>
      </c>
      <c r="AO182" s="743">
        <f t="shared" ref="AO182:AP182" ca="1" si="169">AO172*AO$179</f>
        <v>-122865.13837984118</v>
      </c>
      <c r="AP182" s="743">
        <f t="shared" ca="1" si="169"/>
        <v>7.440008998189179</v>
      </c>
    </row>
    <row r="183" spans="1:42" s="664" customFormat="1" outlineLevel="1">
      <c r="D183" s="682" t="s">
        <v>27</v>
      </c>
      <c r="E183" s="694" t="s">
        <v>7</v>
      </c>
      <c r="F183" s="744">
        <f t="shared" ref="F183:AN183" ca="1" si="170">F173*F$179</f>
        <v>4.8012609040468654E-2</v>
      </c>
      <c r="G183" s="744">
        <f t="shared" ca="1" si="170"/>
        <v>3.202483363648826E-2</v>
      </c>
      <c r="H183" s="744">
        <f t="shared" ca="1" si="170"/>
        <v>3.6430700509678969E-2</v>
      </c>
      <c r="I183" s="744">
        <f t="shared" ca="1" si="170"/>
        <v>3.0920136268405948E-2</v>
      </c>
      <c r="J183" s="744">
        <f t="shared" ca="1" si="170"/>
        <v>2.3333156022192832E-2</v>
      </c>
      <c r="K183" s="744">
        <f t="shared" ca="1" si="170"/>
        <v>4.8639151407407669E-2</v>
      </c>
      <c r="L183" s="744">
        <f t="shared" ca="1" si="170"/>
        <v>4.1287701709988078E-2</v>
      </c>
      <c r="M183" s="744">
        <f t="shared" ca="1" si="170"/>
        <v>3.9114298135564704E-2</v>
      </c>
      <c r="N183" s="744">
        <f t="shared" ca="1" si="170"/>
        <v>8.5722416214285696E-2</v>
      </c>
      <c r="O183" s="744">
        <f t="shared" ca="1" si="170"/>
        <v>0.33526201855727622</v>
      </c>
      <c r="P183" s="744">
        <f t="shared" ca="1" si="170"/>
        <v>-1.8250017182403666E-3</v>
      </c>
      <c r="Q183" s="744">
        <f t="shared" ca="1" si="170"/>
        <v>8.2187455244207055E-5</v>
      </c>
      <c r="R183" s="744">
        <f t="shared" ca="1" si="170"/>
        <v>4.5519999999999998E-5</v>
      </c>
      <c r="S183" s="744">
        <f t="shared" ca="1" si="170"/>
        <v>3.3617411035472782E-5</v>
      </c>
      <c r="T183" s="744">
        <f t="shared" ca="1" si="170"/>
        <v>4.7256400466709536E-2</v>
      </c>
      <c r="U183" s="744">
        <f t="shared" ca="1" si="170"/>
        <v>1.1795317062249279E-3</v>
      </c>
      <c r="V183" s="744">
        <f t="shared" ca="1" si="170"/>
        <v>-0.72910072277996463</v>
      </c>
      <c r="W183" s="744">
        <f t="shared" ca="1" si="170"/>
        <v>6.1991939644756161E-2</v>
      </c>
      <c r="X183" s="744">
        <f t="shared" ca="1" si="170"/>
        <v>7.3133469974634685E-2</v>
      </c>
      <c r="Y183" s="744">
        <f t="shared" ca="1" si="170"/>
        <v>-28.164287563513621</v>
      </c>
      <c r="Z183" s="744">
        <f t="shared" ca="1" si="170"/>
        <v>981.34355823747285</v>
      </c>
      <c r="AA183" s="744">
        <f t="shared" ca="1" si="170"/>
        <v>4.4044292996332871E-4</v>
      </c>
      <c r="AB183" s="744">
        <f t="shared" ca="1" si="170"/>
        <v>-0.16961811519549255</v>
      </c>
      <c r="AC183" s="744">
        <f t="shared" ca="1" si="170"/>
        <v>1.9481684210526319E-3</v>
      </c>
      <c r="AD183" s="744">
        <f t="shared" ca="1" si="170"/>
        <v>3.6036239724272339E-4</v>
      </c>
      <c r="AE183" s="744">
        <f t="shared" ca="1" si="170"/>
        <v>-0.13877845788722115</v>
      </c>
      <c r="AF183" s="744">
        <f t="shared" ca="1" si="170"/>
        <v>5.5948467951036861E-4</v>
      </c>
      <c r="AG183" s="744">
        <f t="shared" ca="1" si="170"/>
        <v>8.2077285947566407E-3</v>
      </c>
      <c r="AH183" s="744">
        <f t="shared" ref="AH183" ca="1" si="171">AH173*AH$179</f>
        <v>1.3879803089622195E-2</v>
      </c>
      <c r="AI183" s="744">
        <f t="shared" ca="1" si="167"/>
        <v>1.7259918648886667</v>
      </c>
      <c r="AJ183" s="744">
        <f t="shared" ca="1" si="170"/>
        <v>-6.7902350349848248E-2</v>
      </c>
      <c r="AK183" s="744">
        <f t="shared" ref="AK183" ca="1" si="172">AK173*AK$179</f>
        <v>5.6116195476301261E-3</v>
      </c>
      <c r="AL183" s="744">
        <f t="shared" ca="1" si="170"/>
        <v>1.1604972328590424E-2</v>
      </c>
      <c r="AM183" s="744">
        <f t="shared" ca="1" si="170"/>
        <v>1.4730484345429999</v>
      </c>
      <c r="AN183" s="744">
        <f t="shared" ca="1" si="170"/>
        <v>4.3166304212539424E-3</v>
      </c>
      <c r="AO183" s="744">
        <f t="shared" ref="AO183:AP183" ca="1" si="173">AO173*AO$179</f>
        <v>-18.198819944173103</v>
      </c>
      <c r="AP183" s="744">
        <f t="shared" ca="1" si="173"/>
        <v>1.4502108458005426E-4</v>
      </c>
    </row>
    <row r="184" spans="1:42" s="664" customFormat="1" outlineLevel="1">
      <c r="D184" s="682" t="s">
        <v>28</v>
      </c>
      <c r="E184" s="694" t="s">
        <v>7</v>
      </c>
      <c r="F184" s="744">
        <f t="shared" ref="F184:AN184" ca="1" si="174">F174*F$179</f>
        <v>1.3777529156443044E-5</v>
      </c>
      <c r="G184" s="744">
        <f t="shared" ca="1" si="174"/>
        <v>1.9450342850515443E-5</v>
      </c>
      <c r="H184" s="744">
        <f t="shared" ca="1" si="174"/>
        <v>2.4538153111336452E-4</v>
      </c>
      <c r="I184" s="744">
        <f t="shared" ca="1" si="174"/>
        <v>-4.094637010899917E-5</v>
      </c>
      <c r="J184" s="744">
        <f t="shared" ca="1" si="174"/>
        <v>-4.3480423845608279E-4</v>
      </c>
      <c r="K184" s="744">
        <f t="shared" ca="1" si="174"/>
        <v>4.1844298502567521E-5</v>
      </c>
      <c r="L184" s="744">
        <f t="shared" ca="1" si="174"/>
        <v>-3.5422869001164255E-4</v>
      </c>
      <c r="M184" s="744">
        <f t="shared" ca="1" si="174"/>
        <v>-4.4740494598201396E-4</v>
      </c>
      <c r="N184" s="744">
        <f t="shared" ca="1" si="174"/>
        <v>8.1305000000000012E-6</v>
      </c>
      <c r="O184" s="744">
        <f t="shared" ca="1" si="174"/>
        <v>1.1281074698501578E-4</v>
      </c>
      <c r="P184" s="744">
        <f t="shared" ca="1" si="174"/>
        <v>-5.5495321682345274E-5</v>
      </c>
      <c r="Q184" s="744">
        <f t="shared" ca="1" si="174"/>
        <v>8.2187455244207055E-5</v>
      </c>
      <c r="R184" s="744">
        <f t="shared" ca="1" si="174"/>
        <v>4.5519999999999998E-5</v>
      </c>
      <c r="S184" s="744">
        <f t="shared" ca="1" si="174"/>
        <v>3.0552376208153498E-5</v>
      </c>
      <c r="T184" s="744">
        <f t="shared" ca="1" si="174"/>
        <v>3.7381310473908955E-2</v>
      </c>
      <c r="U184" s="744">
        <f t="shared" ca="1" si="174"/>
        <v>9.3671691121772983E-4</v>
      </c>
      <c r="V184" s="744">
        <f t="shared" ca="1" si="174"/>
        <v>-3.7643641548231466E-2</v>
      </c>
      <c r="W184" s="744">
        <f t="shared" ca="1" si="174"/>
        <v>4.8231980662876921E-2</v>
      </c>
      <c r="X184" s="744">
        <f t="shared" ca="1" si="174"/>
        <v>5.7850892580826187E-2</v>
      </c>
      <c r="Y184" s="744">
        <f t="shared" ca="1" si="174"/>
        <v>-1.4873817839338082</v>
      </c>
      <c r="Z184" s="744">
        <f t="shared" ca="1" si="174"/>
        <v>0.11980012179405718</v>
      </c>
      <c r="AA184" s="744">
        <f t="shared" ca="1" si="174"/>
        <v>3.4840431662999536E-4</v>
      </c>
      <c r="AB184" s="744">
        <f t="shared" ca="1" si="174"/>
        <v>-8.9576877880552328E-3</v>
      </c>
      <c r="AC184" s="744">
        <f t="shared" ca="1" si="174"/>
        <v>1.9481684210526319E-3</v>
      </c>
      <c r="AD184" s="744">
        <f t="shared" ca="1" si="174"/>
        <v>2.8505807724272343E-4</v>
      </c>
      <c r="AE184" s="744">
        <f t="shared" ca="1" si="174"/>
        <v>-7.3290172811360989E-3</v>
      </c>
      <c r="AF184" s="744">
        <f t="shared" ca="1" si="174"/>
        <v>5.5195424751036865E-4</v>
      </c>
      <c r="AG184" s="744">
        <f t="shared" ca="1" si="174"/>
        <v>4.7943019058082438E-2</v>
      </c>
      <c r="AH184" s="744">
        <f t="shared" ref="AH184" ca="1" si="175">AH174*AH$179</f>
        <v>4.8197106913847397E-2</v>
      </c>
      <c r="AI184" s="744">
        <f t="shared" ca="1" si="167"/>
        <v>6.1556486349696383E-2</v>
      </c>
      <c r="AJ184" s="744">
        <f t="shared" ca="1" si="174"/>
        <v>4.3986125778173603E-2</v>
      </c>
      <c r="AK184" s="744">
        <f t="shared" ref="AK184" ca="1" si="176">AK174*AK$179</f>
        <v>4.3151417440065287E-2</v>
      </c>
      <c r="AL184" s="744">
        <f t="shared" ca="1" si="174"/>
        <v>4.3419897368940613E-2</v>
      </c>
      <c r="AM184" s="744">
        <f t="shared" ca="1" si="174"/>
        <v>5.7101538121782279E-2</v>
      </c>
      <c r="AN184" s="744">
        <f t="shared" ca="1" si="174"/>
        <v>3.319339803081945E-2</v>
      </c>
      <c r="AO184" s="744">
        <f t="shared" ref="AO184:AP184" ca="1" si="177">AO174*AO$179</f>
        <v>-0.96109632501839959</v>
      </c>
      <c r="AP184" s="744">
        <f t="shared" ca="1" si="177"/>
        <v>1.4502108458005426E-4</v>
      </c>
    </row>
    <row r="185" spans="1:42" s="664" customFormat="1" outlineLevel="1">
      <c r="D185" s="682" t="s">
        <v>26</v>
      </c>
      <c r="E185" s="694" t="s">
        <v>7</v>
      </c>
      <c r="F185" s="744">
        <f t="shared" ref="F185:AN185" ca="1" si="178">F175*F$179</f>
        <v>3.7352222940245112E-3</v>
      </c>
      <c r="G185" s="744">
        <f t="shared" ca="1" si="178"/>
        <v>1.1259263887397026E-4</v>
      </c>
      <c r="H185" s="744">
        <f t="shared" ca="1" si="178"/>
        <v>1.0622722529863238E-2</v>
      </c>
      <c r="I185" s="744">
        <f t="shared" ca="1" si="178"/>
        <v>-2.4353849795403079E-3</v>
      </c>
      <c r="J185" s="744">
        <f t="shared" ca="1" si="178"/>
        <v>-2.0460287914319596E-2</v>
      </c>
      <c r="K185" s="744">
        <f t="shared" ca="1" si="178"/>
        <v>1.6874799662969708E-3</v>
      </c>
      <c r="L185" s="744">
        <f t="shared" ca="1" si="178"/>
        <v>-1.5830381404798002E-2</v>
      </c>
      <c r="M185" s="744">
        <f t="shared" ca="1" si="178"/>
        <v>-2.0972675008153759E-2</v>
      </c>
      <c r="N185" s="744">
        <f t="shared" ca="1" si="178"/>
        <v>5.6658005321844899E-5</v>
      </c>
      <c r="O185" s="744">
        <f t="shared" ca="1" si="178"/>
        <v>4.1313380002972466E-3</v>
      </c>
      <c r="P185" s="744">
        <f t="shared" ca="1" si="178"/>
        <v>-4.282315383708532E-3</v>
      </c>
      <c r="Q185" s="744">
        <f t="shared" ca="1" si="178"/>
        <v>2.7168877919758115E-4</v>
      </c>
      <c r="R185" s="744">
        <f t="shared" ca="1" si="178"/>
        <v>1.5047641020550509E-4</v>
      </c>
      <c r="S185" s="744">
        <f t="shared" ca="1" si="178"/>
        <v>1.2849502557400736E-4</v>
      </c>
      <c r="T185" s="744">
        <f t="shared" ca="1" si="178"/>
        <v>775.4157608748709</v>
      </c>
      <c r="U185" s="744">
        <f t="shared" ca="1" si="178"/>
        <v>5.6533274884788967E-3</v>
      </c>
      <c r="V185" s="744">
        <f t="shared" ca="1" si="178"/>
        <v>-1.719237866664985</v>
      </c>
      <c r="W185" s="744">
        <f t="shared" ca="1" si="178"/>
        <v>11843.680495361406</v>
      </c>
      <c r="X185" s="744">
        <f t="shared" ca="1" si="178"/>
        <v>1200.0246465185232</v>
      </c>
      <c r="Y185" s="744">
        <f t="shared" ca="1" si="178"/>
        <v>1117.8700290245533</v>
      </c>
      <c r="Z185" s="744">
        <f t="shared" ca="1" si="178"/>
        <v>757.36903877275631</v>
      </c>
      <c r="AA185" s="744">
        <f t="shared" ca="1" si="178"/>
        <v>9.4455802345528E-2</v>
      </c>
      <c r="AB185" s="744">
        <f t="shared" ca="1" si="178"/>
        <v>-0.40031657002529919</v>
      </c>
      <c r="AC185" s="744">
        <f t="shared" ca="1" si="178"/>
        <v>6.4401008452488369E-3</v>
      </c>
      <c r="AD185" s="744">
        <f t="shared" ca="1" si="178"/>
        <v>7.7282020100886528E-2</v>
      </c>
      <c r="AE185" s="744">
        <f t="shared" ca="1" si="178"/>
        <v>-0.32753173911160838</v>
      </c>
      <c r="AF185" s="744">
        <f t="shared" ca="1" si="178"/>
        <v>9.7300432812454183E-3</v>
      </c>
      <c r="AG185" s="744">
        <f t="shared" ca="1" si="178"/>
        <v>4.042890549191705E-2</v>
      </c>
      <c r="AH185" s="744">
        <f t="shared" ref="AH185" ca="1" si="179">AH175*AH$179</f>
        <v>2.1289464052636899E-2</v>
      </c>
      <c r="AI185" s="744">
        <f t="shared" ca="1" si="167"/>
        <v>8.9483456490763915E-3</v>
      </c>
      <c r="AJ185" s="744">
        <f t="shared" ca="1" si="178"/>
        <v>-0.17302361045743717</v>
      </c>
      <c r="AK185" s="744">
        <f t="shared" ref="AK185" ca="1" si="180">AK175*AK$179</f>
        <v>4.2718884136747501E-2</v>
      </c>
      <c r="AL185" s="744">
        <f t="shared" ca="1" si="178"/>
        <v>2.3130676184370424E-2</v>
      </c>
      <c r="AM185" s="744">
        <f t="shared" ca="1" si="178"/>
        <v>9.7475134156497049E-3</v>
      </c>
      <c r="AN185" s="744">
        <f t="shared" ca="1" si="178"/>
        <v>3.2860680105190387E-2</v>
      </c>
      <c r="AO185" s="744">
        <f t="shared" ref="AO185:AP185" ca="1" si="181">AO175*AO$179</f>
        <v>722.33019682559348</v>
      </c>
      <c r="AP185" s="744">
        <f t="shared" ca="1" si="181"/>
        <v>4.7939921378988351E-4</v>
      </c>
    </row>
    <row r="186" spans="1:42" s="664" customFormat="1" outlineLevel="1">
      <c r="D186" s="682" t="s">
        <v>25</v>
      </c>
      <c r="E186" s="694" t="s">
        <v>7</v>
      </c>
      <c r="F186" s="744">
        <f t="shared" ref="F186:AN186" ca="1" si="182">F176*F$179</f>
        <v>0.25590166357906741</v>
      </c>
      <c r="G186" s="744">
        <f t="shared" ca="1" si="182"/>
        <v>0.17389290520138728</v>
      </c>
      <c r="H186" s="744">
        <f t="shared" ca="1" si="182"/>
        <v>0.31708824681041975</v>
      </c>
      <c r="I186" s="744">
        <f t="shared" ca="1" si="182"/>
        <v>0.28229617687182607</v>
      </c>
      <c r="J186" s="744">
        <f t="shared" ca="1" si="182"/>
        <v>0.16949682872386268</v>
      </c>
      <c r="K186" s="744">
        <f t="shared" ca="1" si="182"/>
        <v>0.43661351092628126</v>
      </c>
      <c r="L186" s="744">
        <f t="shared" ca="1" si="182"/>
        <v>0.25322185115223556</v>
      </c>
      <c r="M186" s="744">
        <f t="shared" ca="1" si="182"/>
        <v>0.2305121109725129</v>
      </c>
      <c r="N186" s="744">
        <f t="shared" ca="1" si="182"/>
        <v>7.0387300975671557E-2</v>
      </c>
      <c r="O186" s="744">
        <f t="shared" ca="1" si="182"/>
        <v>0.14252323799674044</v>
      </c>
      <c r="P186" s="744">
        <f t="shared" ca="1" si="182"/>
        <v>4.9335938096122245E-2</v>
      </c>
      <c r="Q186" s="744">
        <f t="shared" ca="1" si="182"/>
        <v>8.0264497733319035E-2</v>
      </c>
      <c r="R186" s="744">
        <f t="shared" ca="1" si="182"/>
        <v>4.4454958800761835E-2</v>
      </c>
      <c r="S186" s="744">
        <f t="shared" ca="1" si="182"/>
        <v>8.3868508232251227E-2</v>
      </c>
      <c r="T186" s="744">
        <f t="shared" ca="1" si="182"/>
        <v>2211.1156546512934</v>
      </c>
      <c r="U186" s="744">
        <f t="shared" ca="1" si="182"/>
        <v>36.228237400329036</v>
      </c>
      <c r="V186" s="744">
        <f t="shared" ca="1" si="182"/>
        <v>39.746880082481496</v>
      </c>
      <c r="W186" s="744">
        <f t="shared" ca="1" si="182"/>
        <v>3349.5305038809356</v>
      </c>
      <c r="X186" s="744">
        <f t="shared" ca="1" si="182"/>
        <v>3421.8975364787179</v>
      </c>
      <c r="Y186" s="744">
        <f t="shared" ca="1" si="182"/>
        <v>3410.6451893356952</v>
      </c>
      <c r="Z186" s="744">
        <f t="shared" ca="1" si="182"/>
        <v>609.69410210855085</v>
      </c>
      <c r="AA186" s="744">
        <f t="shared" ca="1" si="182"/>
        <v>56.886790369009624</v>
      </c>
      <c r="AB186" s="744">
        <f t="shared" ca="1" si="182"/>
        <v>56.819023630382887</v>
      </c>
      <c r="AC186" s="744">
        <f t="shared" ca="1" si="182"/>
        <v>1.9025867068286466</v>
      </c>
      <c r="AD186" s="744">
        <f t="shared" ca="1" si="182"/>
        <v>44.571481574644231</v>
      </c>
      <c r="AE186" s="744">
        <f t="shared" ca="1" si="182"/>
        <v>44.516036061222351</v>
      </c>
      <c r="AF186" s="744">
        <f t="shared" ca="1" si="182"/>
        <v>43.364471905547262</v>
      </c>
      <c r="AG186" s="744">
        <f t="shared" ca="1" si="182"/>
        <v>5.679361259625149</v>
      </c>
      <c r="AH186" s="744">
        <f t="shared" ref="AH186" ca="1" si="183">AH176*AH$179</f>
        <v>8.3007191039202084</v>
      </c>
      <c r="AI186" s="744">
        <f t="shared" ca="1" si="167"/>
        <v>6.4170332069264058</v>
      </c>
      <c r="AJ186" s="744">
        <f t="shared" ca="1" si="182"/>
        <v>5.4217728308190622</v>
      </c>
      <c r="AK186" s="744">
        <f t="shared" ref="AK186" ca="1" si="184">AK176*AK$179</f>
        <v>7.0799690194113776</v>
      </c>
      <c r="AL186" s="744">
        <f t="shared" ca="1" si="182"/>
        <v>8.8086148540773657</v>
      </c>
      <c r="AM186" s="744">
        <f t="shared" ca="1" si="182"/>
        <v>8.420481682159636</v>
      </c>
      <c r="AN186" s="744">
        <f t="shared" ca="1" si="182"/>
        <v>5.4461300149318284</v>
      </c>
      <c r="AO186" s="744">
        <f t="shared" ref="AO186:AP186" ca="1" si="185">AO176*AO$179</f>
        <v>2203.8447645517872</v>
      </c>
      <c r="AP186" s="744">
        <f t="shared" ca="1" si="185"/>
        <v>0.14162799517241018</v>
      </c>
    </row>
    <row r="187" spans="1:42" s="664" customFormat="1" outlineLevel="1">
      <c r="D187" s="683" t="s">
        <v>45</v>
      </c>
      <c r="E187" s="684" t="s">
        <v>7</v>
      </c>
      <c r="F187" s="745">
        <f t="shared" ref="F187:AN187" ca="1" si="186">F177*F$179</f>
        <v>4.8294582819452666E-3</v>
      </c>
      <c r="G187" s="745">
        <f t="shared" ca="1" si="186"/>
        <v>5.0433545095920273E-3</v>
      </c>
      <c r="H187" s="745">
        <f t="shared" ca="1" si="186"/>
        <v>6.1405618023072841E-3</v>
      </c>
      <c r="I187" s="745">
        <f t="shared" ca="1" si="186"/>
        <v>4.7750388485872843E-3</v>
      </c>
      <c r="J187" s="745">
        <f t="shared" ca="1" si="186"/>
        <v>2.8952638859672838E-3</v>
      </c>
      <c r="K187" s="745">
        <f t="shared" ca="1" si="186"/>
        <v>4.9840567963167571E-3</v>
      </c>
      <c r="L187" s="745">
        <f t="shared" ca="1" si="186"/>
        <v>3.1482771254276506E-3</v>
      </c>
      <c r="M187" s="745">
        <f t="shared" ca="1" si="186"/>
        <v>2.6421044442663678E-3</v>
      </c>
      <c r="N187" s="745">
        <f t="shared" ca="1" si="186"/>
        <v>5.008130500000001E-3</v>
      </c>
      <c r="O187" s="745">
        <f t="shared" ca="1" si="186"/>
        <v>5.4446600524303192E-3</v>
      </c>
      <c r="P187" s="745">
        <f t="shared" ca="1" si="186"/>
        <v>-4.1329912582269233E-4</v>
      </c>
      <c r="Q187" s="745">
        <f t="shared" ca="1" si="186"/>
        <v>8.2187455244207055E-5</v>
      </c>
      <c r="R187" s="745">
        <f t="shared" ca="1" si="186"/>
        <v>4.5519999999999998E-5</v>
      </c>
      <c r="S187" s="745">
        <f t="shared" ca="1" si="186"/>
        <v>4.4162464847390223E-5</v>
      </c>
      <c r="T187" s="745">
        <f t="shared" ca="1" si="186"/>
        <v>391.19959713676701</v>
      </c>
      <c r="U187" s="745">
        <f t="shared" ca="1" si="186"/>
        <v>2.014920282190978E-3</v>
      </c>
      <c r="V187" s="745">
        <f t="shared" ca="1" si="186"/>
        <v>-0.17945313640071742</v>
      </c>
      <c r="W187" s="745">
        <f t="shared" ca="1" si="186"/>
        <v>1658.6048974244536</v>
      </c>
      <c r="X187" s="745">
        <f t="shared" ca="1" si="186"/>
        <v>605.41606446401943</v>
      </c>
      <c r="Y187" s="745">
        <f t="shared" ca="1" si="186"/>
        <v>598.35690099644466</v>
      </c>
      <c r="Z187" s="745">
        <f t="shared" ca="1" si="186"/>
        <v>91.916719718902712</v>
      </c>
      <c r="AA187" s="745">
        <f t="shared" ca="1" si="186"/>
        <v>1.096454873595899</v>
      </c>
      <c r="AB187" s="745">
        <f t="shared" ca="1" si="186"/>
        <v>1.0539413891157134</v>
      </c>
      <c r="AC187" s="745">
        <f t="shared" ca="1" si="186"/>
        <v>1.9481684210526319E-3</v>
      </c>
      <c r="AD187" s="745">
        <f t="shared" ca="1" si="186"/>
        <v>0.43092984203300794</v>
      </c>
      <c r="AE187" s="745">
        <f t="shared" ca="1" si="186"/>
        <v>0.39614608200376522</v>
      </c>
      <c r="AF187" s="745">
        <f t="shared" ca="1" si="186"/>
        <v>0.43089579264308681</v>
      </c>
      <c r="AG187" s="745">
        <f t="shared" ca="1" si="186"/>
        <v>4.6842596928490042E-2</v>
      </c>
      <c r="AH187" s="745">
        <f t="shared" ref="AH187" ca="1" si="187">AH177*AH$179</f>
        <v>4.8242173934901787E-2</v>
      </c>
      <c r="AI187" s="745">
        <f t="shared" ca="1" si="167"/>
        <v>5.9953224805319512E-2</v>
      </c>
      <c r="AJ187" s="745">
        <f t="shared" ca="1" si="186"/>
        <v>2.8104143435314571E-2</v>
      </c>
      <c r="AK187" s="745">
        <f t="shared" ref="AK187" ca="1" si="188">AK177*AK$179</f>
        <v>4.933048470211962E-2</v>
      </c>
      <c r="AL187" s="745">
        <f t="shared" ca="1" si="186"/>
        <v>5.0809336707878537E-2</v>
      </c>
      <c r="AM187" s="745">
        <f t="shared" ca="1" si="186"/>
        <v>6.5088343721223907E-2</v>
      </c>
      <c r="AN187" s="745">
        <f t="shared" ca="1" si="186"/>
        <v>3.7946526693938165E-2</v>
      </c>
      <c r="AO187" s="745">
        <f t="shared" ref="AO187:AP187" ca="1" si="189">AO177*AO$179</f>
        <v>386.63820197940089</v>
      </c>
      <c r="AP187" s="745">
        <f t="shared" ca="1" si="189"/>
        <v>1.4502108458005426E-4</v>
      </c>
    </row>
    <row r="188" spans="1:42" s="664" customFormat="1" outlineLevel="1">
      <c r="D188" s="679" t="s">
        <v>992</v>
      </c>
      <c r="E188" s="671" t="s">
        <v>7</v>
      </c>
      <c r="F188" s="2455">
        <f ca="1">F182+F183*Supplementary!$C$196+F184*Supplementary!$C$197</f>
        <v>130.30849928407619</v>
      </c>
      <c r="G188" s="2455">
        <f ca="1">G182+G183*Supplementary!$C$196+G184*Supplementary!$C$197</f>
        <v>173.36485076842851</v>
      </c>
      <c r="H188" s="2455">
        <f ca="1">H182+H183*Supplementary!$C$196+H184*Supplementary!$C$197</f>
        <v>656.49203682319421</v>
      </c>
      <c r="I188" s="2455">
        <f ca="1">I182+I183*Supplementary!$C$196+I184*Supplementary!$C$197</f>
        <v>822.1090351161464</v>
      </c>
      <c r="J188" s="2455">
        <f ca="1">J182+J183*Supplementary!$C$196+J184*Supplementary!$C$197</f>
        <v>30.800961196343653</v>
      </c>
      <c r="K188" s="2455">
        <f ca="1">K182+K183*Supplementary!$C$196+K184*Supplementary!$C$197</f>
        <v>545.73459990388676</v>
      </c>
      <c r="L188" s="2455">
        <f ca="1">L182+L183*Supplementary!$C$196+L184*Supplementary!$C$197</f>
        <v>-44.357441516486432</v>
      </c>
      <c r="M188" s="2455">
        <f ca="1">M182+M183*Supplementary!$C$196+M184*Supplementary!$C$197</f>
        <v>-47.025624439545666</v>
      </c>
      <c r="N188" s="2455">
        <f ca="1">N182+N183*Supplementary!$C$196+N184*Supplementary!$C$197</f>
        <v>148.46711957195433</v>
      </c>
      <c r="O188" s="2455">
        <f ca="1">O182+O183*Supplementary!$C$196+O184*Supplementary!$C$197</f>
        <v>-118.74945696650954</v>
      </c>
      <c r="P188" s="2455">
        <f ca="1">P182+P183*Supplementary!$C$196+P184*Supplementary!$C$197</f>
        <v>-8.1116204832290713</v>
      </c>
      <c r="Q188" s="2455">
        <f ca="1">Q182+Q183*Supplementary!$C$196+Q184*Supplementary!$C$197</f>
        <v>4.243005198355692</v>
      </c>
      <c r="R188" s="2455">
        <f ca="1">R182+R183*Supplementary!$C$196+R184*Supplementary!$C$197</f>
        <v>2.3500131018202395</v>
      </c>
      <c r="S188" s="2455">
        <f ca="1">S182+S183*Supplementary!$C$196+S184*Supplementary!$C$197</f>
        <v>99.25718830055304</v>
      </c>
      <c r="T188" s="2455">
        <f ca="1">T182+T183*Supplementary!$C$196+T184*Supplementary!$C$197</f>
        <v>350298.61560125841</v>
      </c>
      <c r="U188" s="2455">
        <f ca="1">U182+U183*Supplementary!$C$196+U184*Supplementary!$C$197</f>
        <v>8160.5219186429176</v>
      </c>
      <c r="V188" s="2455">
        <f ca="1">V182+V183*Supplementary!$C$196+V184*Supplementary!$C$197</f>
        <v>-9019.7786071368864</v>
      </c>
      <c r="W188" s="2455">
        <f ca="1">W182+W183*Supplementary!$C$196+W184*Supplementary!$C$197</f>
        <v>562273.26292468584</v>
      </c>
      <c r="X188" s="2455">
        <f ca="1">X182+X183*Supplementary!$C$196+X184*Supplementary!$C$197</f>
        <v>542118.16882409609</v>
      </c>
      <c r="Y188" s="2455">
        <f ca="1">Y182+Y183*Supplementary!$C$196+Y184*Supplementary!$C$197</f>
        <v>-191292.0431264916</v>
      </c>
      <c r="Z188" s="2455">
        <f ca="1">Z182+Z183*Supplementary!$C$196+Z184*Supplementary!$C$197</f>
        <v>528613.83067174477</v>
      </c>
      <c r="AA188" s="2455">
        <f ca="1">AA182+AA183*Supplementary!$C$196+AA184*Supplementary!$C$197</f>
        <v>3264.8815206779341</v>
      </c>
      <c r="AB188" s="2455">
        <f ca="1">AB182+AB183*Supplementary!$C$196+AB184*Supplementary!$C$197</f>
        <v>-1152.0474549139462</v>
      </c>
      <c r="AC188" s="2455">
        <f ca="1">AC182+AC183*Supplementary!$C$196+AC184*Supplementary!$C$197</f>
        <v>100.57603941182192</v>
      </c>
      <c r="AD188" s="2455">
        <f ca="1">AD182+AD183*Supplementary!$C$196+AD184*Supplementary!$C$197</f>
        <v>2671.266698736491</v>
      </c>
      <c r="AE188" s="2455">
        <f ca="1">AE182+AE183*Supplementary!$C$196+AE184*Supplementary!$C$197</f>
        <v>-942.58428129322851</v>
      </c>
      <c r="AF188" s="2455">
        <f ca="1">AF182+AF183*Supplementary!$C$196+AF184*Supplementary!$C$197</f>
        <v>2385.0901574690902</v>
      </c>
      <c r="AG188" s="2455">
        <f ca="1">AG182+AG183*Supplementary!$C$196+AG184*Supplementary!$C$197</f>
        <v>1183.2686415251512</v>
      </c>
      <c r="AH188" s="2455">
        <f ca="1">AH182+AH183*Supplementary!$C$196+AH184*Supplementary!$C$197</f>
        <v>4944.1121441584437</v>
      </c>
      <c r="AI188" s="2455">
        <f ca="1">AI182+AI183*Supplementary!$C$196+AI184*Supplementary!$C$197</f>
        <v>1205.3277162569384</v>
      </c>
      <c r="AJ188" s="2455">
        <f ca="1">AJ182+AJ183*Supplementary!$C$196+AJ184*Supplementary!$C$197</f>
        <v>-398.61279216049684</v>
      </c>
      <c r="AK188" s="2455">
        <f ca="1">AK182+AK183*Supplementary!$C$196+AK184*Supplementary!$C$197</f>
        <v>1247.9778083912533</v>
      </c>
      <c r="AL188" s="2455">
        <f ca="1">AL182+AL183*Supplementary!$C$196+AL184*Supplementary!$C$197</f>
        <v>5221.8434347449474</v>
      </c>
      <c r="AM188" s="2455">
        <f ca="1">AM182+AM183*Supplementary!$C$196+AM184*Supplementary!$C$197</f>
        <v>1299.8312299017655</v>
      </c>
      <c r="AN188" s="2455">
        <f ca="1">AN182+AN183*Supplementary!$C$196+AN184*Supplementary!$C$197</f>
        <v>959.98292953173348</v>
      </c>
      <c r="AO188" s="2455">
        <f ca="1">AO182+AO183*Supplementary!$C$196+AO184*Supplementary!$C$197</f>
        <v>-123606.51558330099</v>
      </c>
      <c r="AP188" s="2455">
        <f ca="1">AP182+AP183*Supplementary!$C$196+AP184*Supplementary!$C$197</f>
        <v>7.4868508085085361</v>
      </c>
    </row>
    <row r="189" spans="1:42" s="664" customFormat="1" outlineLevel="1">
      <c r="D189" s="682"/>
      <c r="E189" s="694"/>
      <c r="F189" s="744"/>
      <c r="G189" s="744"/>
      <c r="H189" s="744"/>
      <c r="I189" s="744"/>
      <c r="J189" s="744"/>
      <c r="K189" s="744"/>
      <c r="L189" s="744"/>
      <c r="M189" s="744"/>
      <c r="N189" s="744"/>
      <c r="O189" s="744"/>
      <c r="P189" s="744"/>
      <c r="Q189" s="744"/>
      <c r="R189" s="744"/>
      <c r="S189" s="744"/>
      <c r="T189" s="744"/>
      <c r="U189" s="744"/>
      <c r="V189" s="744"/>
      <c r="W189" s="744"/>
      <c r="X189" s="744"/>
      <c r="Y189" s="744"/>
      <c r="Z189" s="744"/>
      <c r="AA189" s="744"/>
      <c r="AB189" s="744"/>
      <c r="AC189" s="744"/>
      <c r="AD189" s="744"/>
      <c r="AE189" s="744"/>
      <c r="AF189" s="744"/>
      <c r="AG189" s="744"/>
      <c r="AH189" s="744"/>
      <c r="AI189" s="744"/>
      <c r="AJ189" s="744"/>
      <c r="AK189" s="744"/>
      <c r="AL189" s="744"/>
      <c r="AM189" s="744"/>
      <c r="AN189" s="744"/>
      <c r="AO189" s="744"/>
      <c r="AP189" s="744"/>
    </row>
    <row r="190" spans="1:42" s="664" customFormat="1" outlineLevel="1">
      <c r="D190" s="668" t="s">
        <v>2601</v>
      </c>
      <c r="E190" s="667"/>
      <c r="J190" s="742"/>
      <c r="K190" s="742"/>
    </row>
    <row r="191" spans="1:42" s="664" customFormat="1" outlineLevel="1">
      <c r="D191" s="686" t="s">
        <v>24</v>
      </c>
      <c r="E191" s="680" t="s">
        <v>7</v>
      </c>
      <c r="F191" s="2456">
        <f ca="1">(F$11*(F107+F123)/F$168+F$12*(F115+F132)/F$169)*F$179</f>
        <v>115.42843646160753</v>
      </c>
      <c r="G191" s="2456">
        <f t="shared" ref="G191:AN191" ca="1" si="190">(G$11*(G107+G123)/G$168+G$12*(G115+G132)/G$169)*G$179</f>
        <v>153.82640000000001</v>
      </c>
      <c r="H191" s="2456">
        <f t="shared" ca="1" si="190"/>
        <v>32.303543999999995</v>
      </c>
      <c r="I191" s="2456">
        <f t="shared" ca="1" si="190"/>
        <v>32.303543999999995</v>
      </c>
      <c r="J191" s="2456">
        <f t="shared" ca="1" si="190"/>
        <v>32.303543999999995</v>
      </c>
      <c r="K191" s="2456">
        <f t="shared" ca="1" si="190"/>
        <v>0</v>
      </c>
      <c r="L191" s="2456">
        <f t="shared" ca="1" si="190"/>
        <v>0</v>
      </c>
      <c r="M191" s="2456">
        <f t="shared" ca="1" si="190"/>
        <v>0</v>
      </c>
      <c r="N191" s="2456">
        <f t="shared" ca="1" si="190"/>
        <v>131.80702000000002</v>
      </c>
      <c r="O191" s="2456">
        <f t="shared" ca="1" si="190"/>
        <v>0</v>
      </c>
      <c r="P191" s="2456">
        <f t="shared" ca="1" si="190"/>
        <v>0</v>
      </c>
      <c r="Q191" s="2456">
        <f t="shared" ca="1" si="190"/>
        <v>0</v>
      </c>
      <c r="R191" s="2456">
        <f t="shared" ca="1" si="190"/>
        <v>0</v>
      </c>
      <c r="S191" s="2456">
        <f t="shared" ca="1" si="190"/>
        <v>87.58267801985275</v>
      </c>
      <c r="T191" s="2456">
        <f t="shared" ca="1" si="190"/>
        <v>313181.42548596108</v>
      </c>
      <c r="U191" s="2456">
        <f t="shared" ca="1" si="190"/>
        <v>7219.5477868559856</v>
      </c>
      <c r="V191" s="2456">
        <f t="shared" ca="1" si="190"/>
        <v>0</v>
      </c>
      <c r="W191" s="2456">
        <f t="shared" ca="1" si="190"/>
        <v>516769.43844492437</v>
      </c>
      <c r="X191" s="2456">
        <f t="shared" ca="1" si="190"/>
        <v>484676.02591792657</v>
      </c>
      <c r="Y191" s="2456">
        <f t="shared" ca="1" si="190"/>
        <v>0</v>
      </c>
      <c r="Z191" s="2456">
        <f t="shared" ca="1" si="190"/>
        <v>396193.36933045345</v>
      </c>
      <c r="AA191" s="2456">
        <f t="shared" ca="1" si="190"/>
        <v>2918.9388800000006</v>
      </c>
      <c r="AB191" s="2456">
        <f t="shared" ca="1" si="190"/>
        <v>0</v>
      </c>
      <c r="AC191" s="2456">
        <f t="shared" ca="1" si="190"/>
        <v>0</v>
      </c>
      <c r="AD191" s="2456">
        <f t="shared" ca="1" si="190"/>
        <v>2388.2227199999998</v>
      </c>
      <c r="AE191" s="2456">
        <f t="shared" ca="1" si="190"/>
        <v>0</v>
      </c>
      <c r="AF191" s="2456">
        <f t="shared" ca="1" si="190"/>
        <v>1886.8895884799999</v>
      </c>
      <c r="AG191" s="2456">
        <f t="shared" ca="1" si="190"/>
        <v>1044.9711384000002</v>
      </c>
      <c r="AH191" s="2456">
        <f t="shared" ca="1" si="190"/>
        <v>0</v>
      </c>
      <c r="AI191" s="2456">
        <f t="shared" ca="1" si="190"/>
        <v>1030.3695760800001</v>
      </c>
      <c r="AJ191" s="2456">
        <f t="shared" ca="1" si="190"/>
        <v>0</v>
      </c>
      <c r="AK191" s="2456">
        <f t="shared" ca="1" si="190"/>
        <v>1104.1605119999999</v>
      </c>
      <c r="AL191" s="2456">
        <f t="shared" ca="1" si="190"/>
        <v>0</v>
      </c>
      <c r="AM191" s="2456">
        <f t="shared" ca="1" si="190"/>
        <v>1122.39084852</v>
      </c>
      <c r="AN191" s="2456">
        <f t="shared" ca="1" si="190"/>
        <v>849.35424</v>
      </c>
      <c r="AO191" s="2456">
        <f t="shared" ref="AO191:AP191" ca="1" si="191">(AO$11*(AO107+AO123)/AO$168+AO$12*(AO115+AO132)/AO$169)*AO$179</f>
        <v>0</v>
      </c>
      <c r="AP191" s="2456">
        <f t="shared" ca="1" si="191"/>
        <v>0</v>
      </c>
    </row>
    <row r="192" spans="1:42" s="664" customFormat="1" outlineLevel="1">
      <c r="D192" s="682" t="s">
        <v>27</v>
      </c>
      <c r="E192" s="694" t="s">
        <v>7</v>
      </c>
      <c r="F192" s="2457">
        <f t="shared" ref="F192:AN192" ca="1" si="192">(F$11*(F108+F124)/F$168+F$12*(F116+F133)/F$169)*F$179</f>
        <v>4.7995191875928288E-2</v>
      </c>
      <c r="G192" s="2457">
        <f t="shared" ca="1" si="192"/>
        <v>3.2000000000000001E-2</v>
      </c>
      <c r="H192" s="2457">
        <f t="shared" ca="1" si="192"/>
        <v>3.2000000000000001E-2</v>
      </c>
      <c r="I192" s="2457">
        <f t="shared" ca="1" si="192"/>
        <v>3.2000000000000001E-2</v>
      </c>
      <c r="J192" s="2457">
        <f t="shared" ca="1" si="192"/>
        <v>3.2000000000000001E-2</v>
      </c>
      <c r="K192" s="2457">
        <f t="shared" ca="1" si="192"/>
        <v>4.7995191875928288E-2</v>
      </c>
      <c r="L192" s="2457">
        <f t="shared" ca="1" si="192"/>
        <v>4.7995191875928288E-2</v>
      </c>
      <c r="M192" s="2457">
        <f t="shared" ca="1" si="192"/>
        <v>4.798173333619099E-2</v>
      </c>
      <c r="N192" s="2457">
        <f t="shared" ca="1" si="192"/>
        <v>8.5714285714285715E-2</v>
      </c>
      <c r="O192" s="2457">
        <f t="shared" ca="1" si="192"/>
        <v>8.5714285714285715E-2</v>
      </c>
      <c r="P192" s="2457">
        <f t="shared" ca="1" si="192"/>
        <v>0</v>
      </c>
      <c r="Q192" s="2457">
        <f t="shared" ca="1" si="192"/>
        <v>0</v>
      </c>
      <c r="R192" s="2457">
        <f t="shared" ca="1" si="192"/>
        <v>0</v>
      </c>
      <c r="S192" s="2457">
        <f t="shared" ca="1" si="192"/>
        <v>0</v>
      </c>
      <c r="T192" s="2457">
        <f t="shared" ca="1" si="192"/>
        <v>0</v>
      </c>
      <c r="U192" s="2457">
        <f t="shared" ca="1" si="192"/>
        <v>0</v>
      </c>
      <c r="V192" s="2457">
        <f t="shared" ca="1" si="192"/>
        <v>0</v>
      </c>
      <c r="W192" s="2457">
        <f t="shared" ca="1" si="192"/>
        <v>0</v>
      </c>
      <c r="X192" s="2457">
        <f t="shared" ca="1" si="192"/>
        <v>0</v>
      </c>
      <c r="Y192" s="2457">
        <f t="shared" ca="1" si="192"/>
        <v>0</v>
      </c>
      <c r="Z192" s="2457">
        <f t="shared" ca="1" si="192"/>
        <v>981.22279807248219</v>
      </c>
      <c r="AA192" s="2457">
        <f t="shared" ca="1" si="192"/>
        <v>0</v>
      </c>
      <c r="AB192" s="2457">
        <f t="shared" ca="1" si="192"/>
        <v>0</v>
      </c>
      <c r="AC192" s="2457">
        <f t="shared" ca="1" si="192"/>
        <v>0</v>
      </c>
      <c r="AD192" s="2457">
        <f t="shared" ca="1" si="192"/>
        <v>0</v>
      </c>
      <c r="AE192" s="2457">
        <f t="shared" ca="1" si="192"/>
        <v>0</v>
      </c>
      <c r="AF192" s="2457">
        <f t="shared" ca="1" si="192"/>
        <v>0</v>
      </c>
      <c r="AG192" s="2457">
        <f t="shared" ca="1" si="192"/>
        <v>8.0500513809315926E-3</v>
      </c>
      <c r="AH192" s="2457">
        <f t="shared" ca="1" si="192"/>
        <v>8.0500513809315926E-3</v>
      </c>
      <c r="AI192" s="2457">
        <f t="shared" ca="1" si="192"/>
        <v>1.7259283066666666</v>
      </c>
      <c r="AJ192" s="2457">
        <f t="shared" ca="1" si="192"/>
        <v>8.0500513809315926E-3</v>
      </c>
      <c r="AK192" s="2457">
        <f t="shared" ca="1" si="192"/>
        <v>5.4450111631972565E-3</v>
      </c>
      <c r="AL192" s="2457">
        <f t="shared" ca="1" si="192"/>
        <v>5.4450111631972565E-3</v>
      </c>
      <c r="AM192" s="2457">
        <f t="shared" ca="1" si="192"/>
        <v>1.4729791999999999</v>
      </c>
      <c r="AN192" s="2457">
        <f t="shared" ca="1" si="192"/>
        <v>4.188470125536351E-3</v>
      </c>
      <c r="AO192" s="2457">
        <f t="shared" ref="AO192:AP192" ca="1" si="193">(AO$11*(AO108+AO124)/AO$168+AO$12*(AO116+AO133)/AO$169)*AO$179</f>
        <v>0</v>
      </c>
      <c r="AP192" s="2457">
        <f t="shared" ca="1" si="193"/>
        <v>0</v>
      </c>
    </row>
    <row r="193" spans="1:42" s="664" customFormat="1" outlineLevel="1">
      <c r="D193" s="682" t="s">
        <v>28</v>
      </c>
      <c r="E193" s="694" t="s">
        <v>7</v>
      </c>
      <c r="F193" s="2457">
        <f t="shared" ref="F193:AN193" ca="1" si="194">(F$11*(F109+F125)/F$168+F$12*(F117+F134)/F$169)*F$179</f>
        <v>0</v>
      </c>
      <c r="G193" s="2457">
        <f t="shared" ca="1" si="194"/>
        <v>0</v>
      </c>
      <c r="H193" s="2457">
        <f t="shared" ca="1" si="194"/>
        <v>0</v>
      </c>
      <c r="I193" s="2457">
        <f t="shared" ca="1" si="194"/>
        <v>0</v>
      </c>
      <c r="J193" s="2457">
        <f t="shared" ca="1" si="194"/>
        <v>0</v>
      </c>
      <c r="K193" s="2457">
        <f t="shared" ca="1" si="194"/>
        <v>0</v>
      </c>
      <c r="L193" s="2457">
        <f t="shared" ca="1" si="194"/>
        <v>0</v>
      </c>
      <c r="M193" s="2457">
        <f t="shared" ca="1" si="194"/>
        <v>0</v>
      </c>
      <c r="N193" s="2457">
        <f t="shared" ca="1" si="194"/>
        <v>0</v>
      </c>
      <c r="O193" s="2457">
        <f t="shared" ca="1" si="194"/>
        <v>0</v>
      </c>
      <c r="P193" s="2457">
        <f t="shared" ca="1" si="194"/>
        <v>0</v>
      </c>
      <c r="Q193" s="2457">
        <f t="shared" ca="1" si="194"/>
        <v>0</v>
      </c>
      <c r="R193" s="2457">
        <f t="shared" ca="1" si="194"/>
        <v>0</v>
      </c>
      <c r="S193" s="2457">
        <f t="shared" ca="1" si="194"/>
        <v>0</v>
      </c>
      <c r="T193" s="2457">
        <f t="shared" ca="1" si="194"/>
        <v>0</v>
      </c>
      <c r="U193" s="2457">
        <f t="shared" ca="1" si="194"/>
        <v>0</v>
      </c>
      <c r="V193" s="2457">
        <f t="shared" ca="1" si="194"/>
        <v>0</v>
      </c>
      <c r="W193" s="2457">
        <f t="shared" ca="1" si="194"/>
        <v>0</v>
      </c>
      <c r="X193" s="2457">
        <f t="shared" ca="1" si="194"/>
        <v>0</v>
      </c>
      <c r="Y193" s="2457">
        <f t="shared" ca="1" si="194"/>
        <v>0</v>
      </c>
      <c r="Z193" s="2457">
        <f t="shared" ca="1" si="194"/>
        <v>0</v>
      </c>
      <c r="AA193" s="2457">
        <f t="shared" ca="1" si="194"/>
        <v>0</v>
      </c>
      <c r="AB193" s="2457">
        <f t="shared" ca="1" si="194"/>
        <v>0</v>
      </c>
      <c r="AC193" s="2457">
        <f t="shared" ca="1" si="194"/>
        <v>0</v>
      </c>
      <c r="AD193" s="2457">
        <f t="shared" ca="1" si="194"/>
        <v>0</v>
      </c>
      <c r="AE193" s="2457">
        <f t="shared" ca="1" si="194"/>
        <v>0</v>
      </c>
      <c r="AF193" s="2457">
        <f t="shared" ca="1" si="194"/>
        <v>0</v>
      </c>
      <c r="AG193" s="2457">
        <f t="shared" ca="1" si="194"/>
        <v>4.7818291384657395E-2</v>
      </c>
      <c r="AH193" s="2457">
        <f t="shared" ca="1" si="194"/>
        <v>4.7818291384657395E-2</v>
      </c>
      <c r="AI193" s="2457">
        <f t="shared" ca="1" si="194"/>
        <v>6.1492928127696377E-2</v>
      </c>
      <c r="AJ193" s="2457">
        <f t="shared" ca="1" si="194"/>
        <v>4.7818291384657395E-2</v>
      </c>
      <c r="AK193" s="2457">
        <f t="shared" ca="1" si="194"/>
        <v>4.3019624927632422E-2</v>
      </c>
      <c r="AL193" s="2457">
        <f t="shared" ca="1" si="194"/>
        <v>4.3019624927632422E-2</v>
      </c>
      <c r="AM193" s="2457">
        <f t="shared" ca="1" si="194"/>
        <v>5.7032303578782279E-2</v>
      </c>
      <c r="AN193" s="2457">
        <f t="shared" ca="1" si="194"/>
        <v>3.3092019175101857E-2</v>
      </c>
      <c r="AO193" s="2457">
        <f t="shared" ref="AO193:AP193" ca="1" si="195">(AO$11*(AO109+AO125)/AO$168+AO$12*(AO117+AO134)/AO$169)*AO$179</f>
        <v>0</v>
      </c>
      <c r="AP193" s="2457">
        <f t="shared" ca="1" si="195"/>
        <v>0</v>
      </c>
    </row>
    <row r="194" spans="1:42" s="664" customFormat="1" outlineLevel="1">
      <c r="D194" s="682" t="s">
        <v>26</v>
      </c>
      <c r="E194" s="694" t="s">
        <v>7</v>
      </c>
      <c r="F194" s="2457">
        <f t="shared" ref="F194:AN194" ca="1" si="196">(F$11*(F110+F126)/F$168+F$12*(F118+F135)/F$169)*F$179</f>
        <v>3.6530298266221769E-3</v>
      </c>
      <c r="G194" s="2457">
        <f t="shared" ca="1" si="196"/>
        <v>0</v>
      </c>
      <c r="H194" s="2457">
        <f t="shared" ca="1" si="196"/>
        <v>0</v>
      </c>
      <c r="I194" s="2457">
        <f t="shared" ca="1" si="196"/>
        <v>0</v>
      </c>
      <c r="J194" s="2457">
        <f t="shared" ca="1" si="196"/>
        <v>0</v>
      </c>
      <c r="K194" s="2457">
        <f t="shared" ca="1" si="196"/>
        <v>0</v>
      </c>
      <c r="L194" s="2457">
        <f t="shared" ca="1" si="196"/>
        <v>0</v>
      </c>
      <c r="M194" s="2457">
        <f t="shared" ca="1" si="196"/>
        <v>0</v>
      </c>
      <c r="N194" s="2457">
        <f t="shared" ca="1" si="196"/>
        <v>0</v>
      </c>
      <c r="O194" s="2457">
        <f t="shared" ca="1" si="196"/>
        <v>0</v>
      </c>
      <c r="P194" s="2457">
        <f t="shared" ca="1" si="196"/>
        <v>0</v>
      </c>
      <c r="Q194" s="2457">
        <f t="shared" ca="1" si="196"/>
        <v>0</v>
      </c>
      <c r="R194" s="2457">
        <f t="shared" ca="1" si="196"/>
        <v>0</v>
      </c>
      <c r="S194" s="2457">
        <f t="shared" ca="1" si="196"/>
        <v>0</v>
      </c>
      <c r="T194" s="2457">
        <f t="shared" ca="1" si="196"/>
        <v>775.19275556617617</v>
      </c>
      <c r="U194" s="2457">
        <f t="shared" ca="1" si="196"/>
        <v>0</v>
      </c>
      <c r="V194" s="2457">
        <f t="shared" ca="1" si="196"/>
        <v>0</v>
      </c>
      <c r="W194" s="2457">
        <f t="shared" ca="1" si="196"/>
        <v>11843.407062964809</v>
      </c>
      <c r="X194" s="2457">
        <f t="shared" ca="1" si="196"/>
        <v>1199.6795260293081</v>
      </c>
      <c r="Y194" s="2457">
        <f t="shared" ca="1" si="196"/>
        <v>1184.3407062964793</v>
      </c>
      <c r="Z194" s="2457">
        <f t="shared" ca="1" si="196"/>
        <v>756.9031011476925</v>
      </c>
      <c r="AA194" s="2457">
        <f t="shared" ca="1" si="196"/>
        <v>9.2377330210772837E-2</v>
      </c>
      <c r="AB194" s="2457">
        <f t="shared" ca="1" si="196"/>
        <v>0</v>
      </c>
      <c r="AC194" s="2457">
        <f t="shared" ca="1" si="196"/>
        <v>0</v>
      </c>
      <c r="AD194" s="2457">
        <f t="shared" ca="1" si="196"/>
        <v>7.5581451990632306E-2</v>
      </c>
      <c r="AE194" s="2457">
        <f t="shared" ca="1" si="196"/>
        <v>0</v>
      </c>
      <c r="AF194" s="2457">
        <f t="shared" ca="1" si="196"/>
        <v>7.5581451990632308E-3</v>
      </c>
      <c r="AG194" s="2457">
        <f t="shared" ca="1" si="196"/>
        <v>3.9684818862467733E-2</v>
      </c>
      <c r="AH194" s="2457">
        <f t="shared" ca="1" si="196"/>
        <v>6.0127444204252081E-3</v>
      </c>
      <c r="AI194" s="2457">
        <f t="shared" ca="1" si="196"/>
        <v>8.5054353630763923E-3</v>
      </c>
      <c r="AJ194" s="2457">
        <f t="shared" ca="1" si="196"/>
        <v>6.6140188624677293E-3</v>
      </c>
      <c r="AK194" s="2457">
        <f t="shared" ca="1" si="196"/>
        <v>4.1932650868139638E-2</v>
      </c>
      <c r="AL194" s="2457">
        <f t="shared" ca="1" si="196"/>
        <v>6.9886508681396365E-3</v>
      </c>
      <c r="AM194" s="2457">
        <f t="shared" ca="1" si="196"/>
        <v>9.2650472566497052E-3</v>
      </c>
      <c r="AN194" s="2457">
        <f t="shared" ca="1" si="196"/>
        <v>3.2255885283184335E-2</v>
      </c>
      <c r="AO194" s="2457">
        <f t="shared" ref="AO194:AP194" ca="1" si="197">(AO$11*(AO110+AO126)/AO$168+AO$12*(AO118+AO135)/AO$169)*AO$179</f>
        <v>765.28132365637305</v>
      </c>
      <c r="AP194" s="2457">
        <f t="shared" ca="1" si="197"/>
        <v>0</v>
      </c>
    </row>
    <row r="195" spans="1:42" s="664" customFormat="1" outlineLevel="1">
      <c r="D195" s="682" t="s">
        <v>25</v>
      </c>
      <c r="E195" s="694" t="s">
        <v>7</v>
      </c>
      <c r="F195" s="2457">
        <f t="shared" ref="F195:AN195" ca="1" si="198">(F$11*(F111+F127)/F$168+F$12*(F119+F136)/F$169)*F$179</f>
        <v>0.17278269075334182</v>
      </c>
      <c r="G195" s="2457">
        <f t="shared" ca="1" si="198"/>
        <v>0.06</v>
      </c>
      <c r="H195" s="2457">
        <f t="shared" ca="1" si="198"/>
        <v>0.06</v>
      </c>
      <c r="I195" s="2457">
        <f t="shared" ca="1" si="198"/>
        <v>0.06</v>
      </c>
      <c r="J195" s="2457">
        <f t="shared" ca="1" si="198"/>
        <v>0.06</v>
      </c>
      <c r="K195" s="2457">
        <f t="shared" ca="1" si="198"/>
        <v>0.17278269075334182</v>
      </c>
      <c r="L195" s="2457">
        <f t="shared" ca="1" si="198"/>
        <v>0.17278269075334182</v>
      </c>
      <c r="M195" s="2457">
        <f t="shared" ca="1" si="198"/>
        <v>0.17273424001028756</v>
      </c>
      <c r="N195" s="2457">
        <f t="shared" ca="1" si="198"/>
        <v>0.06</v>
      </c>
      <c r="O195" s="2457">
        <f t="shared" ca="1" si="198"/>
        <v>0.06</v>
      </c>
      <c r="P195" s="2457">
        <f t="shared" ca="1" si="198"/>
        <v>0</v>
      </c>
      <c r="Q195" s="2457">
        <f t="shared" ca="1" si="198"/>
        <v>0</v>
      </c>
      <c r="R195" s="2457">
        <f t="shared" ca="1" si="198"/>
        <v>0</v>
      </c>
      <c r="S195" s="2457">
        <f t="shared" ca="1" si="198"/>
        <v>0</v>
      </c>
      <c r="T195" s="2457">
        <f t="shared" ca="1" si="198"/>
        <v>1985.5965434819425</v>
      </c>
      <c r="U195" s="2457">
        <f t="shared" ca="1" si="198"/>
        <v>30.511771778493404</v>
      </c>
      <c r="V195" s="2457">
        <f t="shared" ca="1" si="198"/>
        <v>30.511771778493404</v>
      </c>
      <c r="W195" s="2457">
        <f t="shared" ca="1" si="198"/>
        <v>3072.8867150339324</v>
      </c>
      <c r="X195" s="2457">
        <f t="shared" ca="1" si="198"/>
        <v>3072.8867150339329</v>
      </c>
      <c r="Y195" s="2457">
        <f t="shared" ca="1" si="198"/>
        <v>3072.8867150339329</v>
      </c>
      <c r="Z195" s="2457">
        <f t="shared" ca="1" si="198"/>
        <v>512.1477858389884</v>
      </c>
      <c r="AA195" s="2457">
        <f t="shared" ca="1" si="198"/>
        <v>54.784888888888894</v>
      </c>
      <c r="AB195" s="2457">
        <f t="shared" ca="1" si="198"/>
        <v>54.784888888888894</v>
      </c>
      <c r="AC195" s="2457">
        <f t="shared" ca="1" si="198"/>
        <v>0</v>
      </c>
      <c r="AD195" s="2457">
        <f t="shared" ca="1" si="198"/>
        <v>42.851743999999997</v>
      </c>
      <c r="AE195" s="2457">
        <f t="shared" ca="1" si="198"/>
        <v>42.851743999999997</v>
      </c>
      <c r="AF195" s="2457">
        <f t="shared" ca="1" si="198"/>
        <v>42.851743999999997</v>
      </c>
      <c r="AG195" s="2457">
        <f t="shared" ca="1" si="198"/>
        <v>4.9268869966195457</v>
      </c>
      <c r="AH195" s="2457">
        <f t="shared" ca="1" si="198"/>
        <v>5.9122643959434544</v>
      </c>
      <c r="AI195" s="2457">
        <f t="shared" ca="1" si="198"/>
        <v>6.3358329878264064</v>
      </c>
      <c r="AJ195" s="2457">
        <f t="shared" ca="1" si="198"/>
        <v>4.9268869966195457</v>
      </c>
      <c r="AK195" s="2457">
        <f t="shared" ca="1" si="198"/>
        <v>6.2848730239571466</v>
      </c>
      <c r="AL195" s="2457">
        <f t="shared" ca="1" si="198"/>
        <v>6.2848730239571466</v>
      </c>
      <c r="AM195" s="2457">
        <f t="shared" ca="1" si="198"/>
        <v>8.3320295530096367</v>
      </c>
      <c r="AN195" s="2457">
        <f t="shared" ca="1" si="198"/>
        <v>4.8345177107362662</v>
      </c>
      <c r="AO195" s="2457">
        <f t="shared" ref="AO195:AP195" ca="1" si="199">(AO$11*(AO111+AO127)/AO$168+AO$12*(AO119+AO136)/AO$169)*AO$179</f>
        <v>1985.5965434819425</v>
      </c>
      <c r="AP195" s="2457">
        <f t="shared" ca="1" si="199"/>
        <v>0</v>
      </c>
    </row>
    <row r="196" spans="1:42" s="664" customFormat="1" outlineLevel="1">
      <c r="D196" s="683" t="s">
        <v>45</v>
      </c>
      <c r="E196" s="684" t="s">
        <v>7</v>
      </c>
      <c r="F196" s="2458">
        <f t="shared" ref="F196:AN196" ca="1" si="200">(F$11*(F112+F128)/F$168+F$12*(F120+F137)/F$169)*F$179</f>
        <v>4.7995191875928288E-3</v>
      </c>
      <c r="G196" s="2458">
        <f t="shared" ca="1" si="200"/>
        <v>5.0000000000000001E-3</v>
      </c>
      <c r="H196" s="2458">
        <f t="shared" ca="1" si="200"/>
        <v>5.0000000000000001E-3</v>
      </c>
      <c r="I196" s="2458">
        <f t="shared" ca="1" si="200"/>
        <v>5.0000000000000001E-3</v>
      </c>
      <c r="J196" s="2458">
        <f t="shared" ca="1" si="200"/>
        <v>5.0000000000000001E-3</v>
      </c>
      <c r="K196" s="2458">
        <f t="shared" ca="1" si="200"/>
        <v>4.7995191875928288E-3</v>
      </c>
      <c r="L196" s="2458">
        <f t="shared" ca="1" si="200"/>
        <v>4.7995191875928288E-3</v>
      </c>
      <c r="M196" s="2458">
        <f t="shared" ca="1" si="200"/>
        <v>4.7981733336190987E-3</v>
      </c>
      <c r="N196" s="2458">
        <f t="shared" ca="1" si="200"/>
        <v>5.0000000000000001E-3</v>
      </c>
      <c r="O196" s="2458">
        <f t="shared" ca="1" si="200"/>
        <v>5.0000000000000001E-3</v>
      </c>
      <c r="P196" s="2458">
        <f t="shared" ca="1" si="200"/>
        <v>0</v>
      </c>
      <c r="Q196" s="2458">
        <f t="shared" ca="1" si="200"/>
        <v>0</v>
      </c>
      <c r="R196" s="2458">
        <f t="shared" ca="1" si="200"/>
        <v>0</v>
      </c>
      <c r="S196" s="2458">
        <f t="shared" ca="1" si="200"/>
        <v>0</v>
      </c>
      <c r="T196" s="2458">
        <f t="shared" ca="1" si="200"/>
        <v>391.11836612875476</v>
      </c>
      <c r="U196" s="2458">
        <f t="shared" ca="1" si="200"/>
        <v>0</v>
      </c>
      <c r="V196" s="2458">
        <f t="shared" ca="1" si="200"/>
        <v>0</v>
      </c>
      <c r="W196" s="2458">
        <f t="shared" ca="1" si="200"/>
        <v>1658.4955652371159</v>
      </c>
      <c r="X196" s="2458">
        <f t="shared" ca="1" si="200"/>
        <v>605.29035227632005</v>
      </c>
      <c r="Y196" s="2458">
        <f t="shared" ca="1" si="200"/>
        <v>605.29035227632005</v>
      </c>
      <c r="Z196" s="2458">
        <f t="shared" ca="1" si="200"/>
        <v>91.792656587473004</v>
      </c>
      <c r="AA196" s="2458">
        <f t="shared" ca="1" si="200"/>
        <v>1.0956977777777781</v>
      </c>
      <c r="AB196" s="2458">
        <f t="shared" ca="1" si="200"/>
        <v>1.0956977777777781</v>
      </c>
      <c r="AC196" s="2458">
        <f t="shared" ca="1" si="200"/>
        <v>0</v>
      </c>
      <c r="AD196" s="2458">
        <f t="shared" ca="1" si="200"/>
        <v>0.43031039999999998</v>
      </c>
      <c r="AE196" s="2458">
        <f t="shared" ca="1" si="200"/>
        <v>0.43031039999999998</v>
      </c>
      <c r="AF196" s="2458">
        <f t="shared" ca="1" si="200"/>
        <v>0.43031039999999998</v>
      </c>
      <c r="AG196" s="2458">
        <f t="shared" ca="1" si="200"/>
        <v>4.6571558954944088E-2</v>
      </c>
      <c r="AH196" s="2458">
        <f t="shared" ca="1" si="200"/>
        <v>4.6571558954944088E-2</v>
      </c>
      <c r="AI196" s="2458">
        <f t="shared" ca="1" si="200"/>
        <v>5.9889666583319519E-2</v>
      </c>
      <c r="AJ196" s="2458">
        <f t="shared" ca="1" si="200"/>
        <v>4.6571558954944088E-2</v>
      </c>
      <c r="AK196" s="2458">
        <f t="shared" ca="1" si="200"/>
        <v>4.9044094564971746E-2</v>
      </c>
      <c r="AL196" s="2458">
        <f t="shared" ca="1" si="200"/>
        <v>4.9044094564971746E-2</v>
      </c>
      <c r="AM196" s="2458">
        <f t="shared" ca="1" si="200"/>
        <v>6.5019109178223899E-2</v>
      </c>
      <c r="AN196" s="2458">
        <f t="shared" ca="1" si="200"/>
        <v>3.7726226588439798E-2</v>
      </c>
      <c r="AO196" s="2458">
        <f t="shared" ref="AO196:AP196" ca="1" si="201">(AO$11*(AO112+AO128)/AO$168+AO$12*(AO120+AO137)/AO$169)*AO$179</f>
        <v>391.11836612875476</v>
      </c>
      <c r="AP196" s="2458">
        <f t="shared" ca="1" si="201"/>
        <v>0</v>
      </c>
    </row>
    <row r="197" spans="1:42" s="664" customFormat="1" outlineLevel="1">
      <c r="D197" s="679" t="s">
        <v>992</v>
      </c>
      <c r="E197" s="671" t="s">
        <v>7</v>
      </c>
      <c r="F197" s="2455"/>
      <c r="G197" s="2455"/>
      <c r="H197" s="2455"/>
      <c r="I197" s="2455"/>
      <c r="J197" s="2455"/>
      <c r="K197" s="2455"/>
      <c r="L197" s="2455"/>
      <c r="M197" s="2455"/>
      <c r="N197" s="2455"/>
      <c r="O197" s="2455"/>
      <c r="P197" s="2455"/>
      <c r="Q197" s="2455"/>
      <c r="R197" s="2455"/>
      <c r="S197" s="2455"/>
      <c r="T197" s="2455"/>
      <c r="U197" s="2455"/>
      <c r="V197" s="2455"/>
      <c r="W197" s="2455"/>
      <c r="X197" s="2455"/>
      <c r="Y197" s="2455"/>
      <c r="Z197" s="2455"/>
      <c r="AA197" s="2455"/>
      <c r="AB197" s="2455"/>
      <c r="AC197" s="2455"/>
      <c r="AD197" s="2455"/>
      <c r="AE197" s="2455"/>
      <c r="AF197" s="2455"/>
      <c r="AG197" s="2455"/>
      <c r="AH197" s="2455"/>
      <c r="AI197" s="2455"/>
      <c r="AJ197" s="2455"/>
      <c r="AK197" s="2455"/>
      <c r="AL197" s="2455"/>
      <c r="AM197" s="2455"/>
      <c r="AN197" s="2455"/>
      <c r="AO197" s="2455"/>
      <c r="AP197" s="2455"/>
    </row>
    <row r="198" spans="1:42" s="664" customFormat="1" outlineLevel="1">
      <c r="D198" s="682"/>
      <c r="E198" s="694"/>
      <c r="F198" s="744"/>
      <c r="G198" s="744"/>
      <c r="H198" s="744"/>
      <c r="I198" s="744"/>
      <c r="J198" s="744"/>
      <c r="K198" s="744"/>
      <c r="L198" s="744"/>
      <c r="M198" s="744"/>
      <c r="N198" s="744"/>
      <c r="O198" s="744"/>
      <c r="P198" s="744"/>
      <c r="Q198" s="744"/>
      <c r="R198" s="744"/>
      <c r="S198" s="744"/>
      <c r="T198" s="744"/>
      <c r="U198" s="744"/>
      <c r="V198" s="744"/>
      <c r="W198" s="744"/>
      <c r="X198" s="744"/>
      <c r="Y198" s="744"/>
      <c r="Z198" s="744"/>
      <c r="AA198" s="744"/>
      <c r="AB198" s="744"/>
      <c r="AC198" s="744"/>
      <c r="AD198" s="744"/>
      <c r="AE198" s="744"/>
      <c r="AF198" s="744"/>
      <c r="AG198" s="744"/>
      <c r="AH198" s="744"/>
      <c r="AI198" s="744"/>
      <c r="AJ198" s="744"/>
      <c r="AK198" s="744"/>
      <c r="AL198" s="744"/>
      <c r="AM198" s="744"/>
      <c r="AN198" s="744"/>
      <c r="AO198" s="744"/>
      <c r="AP198" s="744"/>
    </row>
    <row r="199" spans="1:42" s="664" customFormat="1">
      <c r="D199" s="666"/>
      <c r="E199" s="667"/>
    </row>
    <row r="200" spans="1:42" s="690" customFormat="1" ht="18.75">
      <c r="A200" s="689" t="s">
        <v>349</v>
      </c>
      <c r="D200" s="691"/>
      <c r="E200" s="692"/>
    </row>
    <row r="201" spans="1:42" s="664" customFormat="1" outlineLevel="1">
      <c r="D201" s="666"/>
      <c r="E201" s="667"/>
    </row>
    <row r="202" spans="1:42" s="664" customFormat="1" outlineLevel="1">
      <c r="D202" s="668" t="s">
        <v>2607</v>
      </c>
      <c r="E202" s="667"/>
    </row>
    <row r="203" spans="1:42" s="664" customFormat="1" outlineLevel="1">
      <c r="D203" s="686" t="s">
        <v>24</v>
      </c>
      <c r="E203" s="680" t="s">
        <v>68</v>
      </c>
      <c r="F203" s="746">
        <f ca="1">F182*Supplementary!$D137/1000/1000</f>
        <v>6.4318451155742596E-3</v>
      </c>
      <c r="G203" s="746">
        <f ca="1">G182*Supplementary!$D137/1000/1000</f>
        <v>8.5967006871855243E-3</v>
      </c>
      <c r="H203" s="746">
        <f ca="1">H182*Supplementary!$D137/1000/1000</f>
        <v>3.2656806185587139E-2</v>
      </c>
      <c r="I203" s="746">
        <f ca="1">I182*Supplementary!$D137/1000/1000</f>
        <v>4.0918805142519214E-2</v>
      </c>
      <c r="J203" s="746">
        <f ca="1">J182*Supplementary!$D137/1000/1000</f>
        <v>1.5118694780368374E-3</v>
      </c>
      <c r="K203" s="746">
        <f ca="1">K182*Supplementary!$D137/1000/1000</f>
        <v>2.7126790072630278E-2</v>
      </c>
      <c r="L203" s="746">
        <f ca="1">L182*Supplementary!$D137/1000/1000</f>
        <v>-2.2560104475504669E-3</v>
      </c>
      <c r="M203" s="746">
        <f ca="1">M182*Supplementary!$D137/1000/1000</f>
        <v>-2.3848466133051314E-3</v>
      </c>
      <c r="N203" s="746">
        <f ca="1">N182*Supplementary!$D137/1000/1000</f>
        <v>7.2896078388138595E-3</v>
      </c>
      <c r="O203" s="746">
        <f ca="1">O182*Supplementary!$D137/1000/1000</f>
        <v>-6.3352233548157923E-3</v>
      </c>
      <c r="P203" s="746">
        <f ca="1">P182*Supplementary!$D137/1000/1000</f>
        <v>-4.0101650323680279E-4</v>
      </c>
      <c r="Q203" s="746">
        <f ca="1">Q182*Supplementary!$D137/1000/1000</f>
        <v>2.1006004861123494E-4</v>
      </c>
      <c r="R203" s="746">
        <f ca="1">R182*Supplementary!$D137/1000/1000</f>
        <v>1.1634297940448013E-4</v>
      </c>
      <c r="S203" s="746">
        <f ca="1">S182*Supplementary!$D137/1000/1000</f>
        <v>4.9444053581765481E-3</v>
      </c>
      <c r="T203" s="746">
        <f ca="1">T182*Supplementary!$D137/1000/1000</f>
        <v>17.450937425375656</v>
      </c>
      <c r="U203" s="746">
        <f ca="1">U182*Supplementary!$D137/1000/1000</f>
        <v>0.40653423696633573</v>
      </c>
      <c r="V203" s="746">
        <f ca="1">V182*Supplementary!$D137/1000/1000</f>
        <v>-0.44789004310634978</v>
      </c>
      <c r="W203" s="746">
        <f ca="1">W182*Supplementary!$D137/1000/1000</f>
        <v>28.011137773837806</v>
      </c>
      <c r="X203" s="746">
        <f ca="1">X182*Supplementary!$D137/1000/1000</f>
        <v>27.006873050498442</v>
      </c>
      <c r="Y203" s="746">
        <f ca="1">Y182*Supplementary!$D137/1000/1000</f>
        <v>-9.4728319265744254</v>
      </c>
      <c r="Z203" s="746">
        <f ca="1">Z182*Supplementary!$D137/1000/1000</f>
        <v>25.111030280250045</v>
      </c>
      <c r="AA203" s="746">
        <f ca="1">AA182*Supplementary!$D137/1000/1000</f>
        <v>0.16264763998802192</v>
      </c>
      <c r="AB203" s="746">
        <f ca="1">AB182*Supplementary!$D137/1000/1000</f>
        <v>-5.7049690794620946E-2</v>
      </c>
      <c r="AC203" s="746">
        <f ca="1">AC182*Supplementary!$D137/1000/1000</f>
        <v>4.9792556785365769E-3</v>
      </c>
      <c r="AD203" s="746">
        <f ca="1">AD182*Supplementary!$D137/1000/1000</f>
        <v>0.13307534180838151</v>
      </c>
      <c r="AE203" s="746">
        <f ca="1">AE182*Supplementary!$D137/1000/1000</f>
        <v>-4.6677019741053496E-2</v>
      </c>
      <c r="AF203" s="746">
        <f ca="1">AF182*Supplementary!$D137/1000/1000</f>
        <v>0.11881408230455814</v>
      </c>
      <c r="AG203" s="746">
        <f ca="1">AG182*Supplementary!$D137/1000/1000</f>
        <v>5.8227354701019508E-2</v>
      </c>
      <c r="AH203" s="746">
        <f ca="1">AH182*Supplementary!$D137/1000/1000</f>
        <v>0.24557824373513573</v>
      </c>
      <c r="AI203" s="746">
        <f ca="1">AI182*Supplementary!$D137/1000/1000</f>
        <v>5.6984750422762617E-2</v>
      </c>
      <c r="AJ203" s="746">
        <f ca="1">AJ182*Supplementary!$D137/1000/1000</f>
        <v>-2.0426969460938159E-2</v>
      </c>
      <c r="AK203" s="746">
        <f ca="1">AK182*Supplementary!$D137/1000/1000</f>
        <v>6.1525475122235496E-2</v>
      </c>
      <c r="AL203" s="746">
        <f ca="1">AL182*Supplementary!$D137/1000/1000</f>
        <v>0.25948831443692266</v>
      </c>
      <c r="AM203" s="746">
        <f ca="1">AM182*Supplementary!$D137/1000/1000</f>
        <v>6.2074001275382221E-2</v>
      </c>
      <c r="AN203" s="746">
        <f ca="1">AN182*Supplementary!$D137/1000/1000</f>
        <v>4.7327288555565762E-2</v>
      </c>
      <c r="AO203" s="746">
        <f ca="1">AO182*Supplementary!$D137/1000/1000</f>
        <v>-6.1210269283174226</v>
      </c>
      <c r="AP203" s="746">
        <f ca="1">AP182*Supplementary!$D137/1000/1000</f>
        <v>3.7065432900950409E-4</v>
      </c>
    </row>
    <row r="204" spans="1:42" s="664" customFormat="1" outlineLevel="1">
      <c r="D204" s="682" t="s">
        <v>27</v>
      </c>
      <c r="E204" s="694" t="s">
        <v>68</v>
      </c>
      <c r="F204" s="744">
        <f ca="1">F183*Supplementary!$D138/1000</f>
        <v>5.9798588255141693E-5</v>
      </c>
      <c r="G204" s="744">
        <f ca="1">G183*Supplementary!$D138/1000</f>
        <v>3.9886185709125558E-5</v>
      </c>
      <c r="H204" s="744">
        <f ca="1">H183*Supplementary!$D138/1000</f>
        <v>4.5373590462215147E-5</v>
      </c>
      <c r="I204" s="744">
        <f ca="1">I183*Supplementary!$D138/1000</f>
        <v>3.8510310821659788E-5</v>
      </c>
      <c r="J204" s="744">
        <f ca="1">J183*Supplementary!$D138/1000</f>
        <v>2.9060903324125404E-5</v>
      </c>
      <c r="K204" s="744">
        <f ca="1">K183*Supplementary!$D138/1000</f>
        <v>6.0578932205902804E-5</v>
      </c>
      <c r="L204" s="744">
        <f ca="1">L183*Supplementary!$D138/1000</f>
        <v>5.1422872530748583E-5</v>
      </c>
      <c r="M204" s="744">
        <f ca="1">M183*Supplementary!$D138/1000</f>
        <v>4.8715948910962559E-5</v>
      </c>
      <c r="N204" s="744">
        <f ca="1">N183*Supplementary!$D138/1000</f>
        <v>1.0676527632800178E-4</v>
      </c>
      <c r="O204" s="744">
        <f ca="1">O183*Supplementary!$D138/1000</f>
        <v>4.1756104919014289E-4</v>
      </c>
      <c r="P204" s="744">
        <f ca="1">P183*Supplementary!$D138/1000</f>
        <v>-2.2729972083374322E-6</v>
      </c>
      <c r="Q204" s="744">
        <f ca="1">Q183*Supplementary!$D138/1000</f>
        <v>1.0236256462846558E-7</v>
      </c>
      <c r="R204" s="744">
        <f ca="1">R183*Supplementary!$D138/1000</f>
        <v>5.6694101649000483E-8</v>
      </c>
      <c r="S204" s="744">
        <f ca="1">S183*Supplementary!$D138/1000</f>
        <v>4.1869703831751419E-8</v>
      </c>
      <c r="T204" s="744">
        <f ca="1">T183*Supplementary!$D138/1000</f>
        <v>5.8856748058556777E-5</v>
      </c>
      <c r="U204" s="744">
        <f ca="1">U183*Supplementary!$D138/1000</f>
        <v>1.4690793157059546E-6</v>
      </c>
      <c r="V204" s="744">
        <f ca="1">V183*Supplementary!$D138/1000</f>
        <v>-9.0807799845446047E-4</v>
      </c>
      <c r="W204" s="744">
        <f ca="1">W183*Supplementary!$D138/1000</f>
        <v>7.7209519499967254E-5</v>
      </c>
      <c r="X204" s="744">
        <f ca="1">X183*Supplementary!$D138/1000</f>
        <v>9.1086036482558526E-5</v>
      </c>
      <c r="Y204" s="744">
        <f ca="1">Y183*Supplementary!$D138/1000</f>
        <v>-3.5077965333864709E-2</v>
      </c>
      <c r="Z204" s="744">
        <f ca="1">Z183*Supplementary!$D138/1000</f>
        <v>1.2222405853099103</v>
      </c>
      <c r="AA204" s="744">
        <f ca="1">AA183*Supplementary!$D138/1000</f>
        <v>5.4856142886477509E-7</v>
      </c>
      <c r="AB204" s="744">
        <f ca="1">AB183*Supplementary!$D138/1000</f>
        <v>-2.1125541881382095E-4</v>
      </c>
      <c r="AC204" s="744">
        <f ca="1">AC183*Supplementary!$D138/1000</f>
        <v>2.426398473034506E-6</v>
      </c>
      <c r="AD204" s="744">
        <f ca="1">AD183*Supplementary!$D138/1000</f>
        <v>4.4882298725299762E-7</v>
      </c>
      <c r="AE204" s="744">
        <f ca="1">AE183*Supplementary!$D138/1000</f>
        <v>-1.7284534266585346E-4</v>
      </c>
      <c r="AF204" s="744">
        <f ca="1">AF183*Supplementary!$D138/1000</f>
        <v>6.9682516017617093E-7</v>
      </c>
      <c r="AG204" s="744">
        <f ca="1">AG183*Supplementary!$D138/1000</f>
        <v>1.0222535133096242E-5</v>
      </c>
      <c r="AH204" s="744">
        <f ca="1">AH183*Supplementary!$D138/1000</f>
        <v>1.7286972039348677E-5</v>
      </c>
      <c r="AI204" s="744">
        <f ca="1">AI183*Supplementary!$D138/1000</f>
        <v>2.1496827379909053E-3</v>
      </c>
      <c r="AJ204" s="744">
        <f ca="1">AJ183*Supplementary!$D138/1000</f>
        <v>-8.4570798614682345E-5</v>
      </c>
      <c r="AK204" s="744">
        <f ca="1">AK183*Supplementary!$D138/1000</f>
        <v>6.9891416750628407E-6</v>
      </c>
      <c r="AL204" s="744">
        <f ca="1">AL183*Supplementary!$D138/1000</f>
        <v>1.4453723216848495E-5</v>
      </c>
      <c r="AM204" s="744">
        <f ca="1">AM183*Supplementary!$D138/1000</f>
        <v>1.8346475764912541E-3</v>
      </c>
      <c r="AN204" s="744">
        <f ca="1">AN183*Supplementary!$D138/1000</f>
        <v>5.3762628269714156E-6</v>
      </c>
      <c r="AO204" s="744">
        <f ca="1">AO183*Supplementary!$D138/1000</f>
        <v>-2.2666207113506313E-2</v>
      </c>
      <c r="AP204" s="744">
        <f ca="1">AP183*Supplementary!$D138/1000</f>
        <v>1.8062038906919801E-7</v>
      </c>
    </row>
    <row r="205" spans="1:42" s="664" customFormat="1" outlineLevel="1">
      <c r="D205" s="682" t="s">
        <v>28</v>
      </c>
      <c r="E205" s="694" t="s">
        <v>68</v>
      </c>
      <c r="F205" s="744">
        <f ca="1">F184*Supplementary!$D139/1000</f>
        <v>2.0454233942293503E-7</v>
      </c>
      <c r="G205" s="744">
        <f ca="1">G184*Supplementary!$D139/1000</f>
        <v>2.887614015581368E-7</v>
      </c>
      <c r="H205" s="744">
        <f ca="1">H184*Supplementary!$D139/1000</f>
        <v>3.6429545425158898E-6</v>
      </c>
      <c r="I205" s="744">
        <f ca="1">I184*Supplementary!$D139/1000</f>
        <v>-6.0789320333648844E-7</v>
      </c>
      <c r="J205" s="744">
        <f ca="1">J184*Supplementary!$D139/1000</f>
        <v>-6.4551397507458098E-6</v>
      </c>
      <c r="K205" s="744">
        <f ca="1">K184*Supplementary!$D139/1000</f>
        <v>6.2122392266716448E-7</v>
      </c>
      <c r="L205" s="744">
        <f ca="1">L184*Supplementary!$D139/1000</f>
        <v>-5.2589084822817924E-6</v>
      </c>
      <c r="M205" s="744">
        <f ca="1">M184*Supplementary!$D139/1000</f>
        <v>-6.6422108987341142E-6</v>
      </c>
      <c r="N205" s="744">
        <f ca="1">N184*Supplementary!$D139/1000</f>
        <v>1.2070607666981122E-7</v>
      </c>
      <c r="O205" s="744">
        <f ca="1">O184*Supplementary!$D139/1000</f>
        <v>1.6747976969131034E-6</v>
      </c>
      <c r="P205" s="744">
        <f ca="1">P184*Supplementary!$D139/1000</f>
        <v>-8.2388814387860582E-7</v>
      </c>
      <c r="Q205" s="744">
        <f ca="1">Q184*Supplementary!$D139/1000</f>
        <v>1.2201617703713096E-6</v>
      </c>
      <c r="R205" s="744">
        <f ca="1">R184*Supplementary!$D139/1000</f>
        <v>6.7579369165608582E-7</v>
      </c>
      <c r="S205" s="744">
        <f ca="1">S184*Supplementary!$D139/1000</f>
        <v>4.5358310866813749E-7</v>
      </c>
      <c r="T205" s="744">
        <f ca="1">T184*Supplementary!$D139/1000</f>
        <v>5.5496603260336646E-4</v>
      </c>
      <c r="U205" s="744">
        <f ca="1">U184*Supplementary!$D139/1000</f>
        <v>1.3906576877603596E-5</v>
      </c>
      <c r="V205" s="744">
        <f ca="1">V184*Supplementary!$D139/1000</f>
        <v>-5.5886062146875569E-4</v>
      </c>
      <c r="W205" s="744">
        <f ca="1">W184*Supplementary!$D139/1000</f>
        <v>7.1605598128406285E-4</v>
      </c>
      <c r="X205" s="744">
        <f ca="1">X184*Supplementary!$D139/1000</f>
        <v>8.5885914461327319E-4</v>
      </c>
      <c r="Y205" s="744">
        <f ca="1">Y184*Supplementary!$D139/1000</f>
        <v>-2.2081793204451732E-2</v>
      </c>
      <c r="Z205" s="744">
        <f ca="1">Z184*Supplementary!$D139/1000</f>
        <v>1.7785625344475969E-3</v>
      </c>
      <c r="AA205" s="744">
        <f ca="1">AA184*Supplementary!$D139/1000</f>
        <v>5.1724393524670559E-6</v>
      </c>
      <c r="AB205" s="744">
        <f ca="1">AB184*Supplementary!$D139/1000</f>
        <v>-1.3298657510967671E-4</v>
      </c>
      <c r="AC205" s="744">
        <f ca="1">AC184*Supplementary!$D139/1000</f>
        <v>2.8922669798571308E-5</v>
      </c>
      <c r="AD205" s="744">
        <f ca="1">AD184*Supplementary!$D139/1000</f>
        <v>4.2319958338366813E-6</v>
      </c>
      <c r="AE205" s="744">
        <f ca="1">AE184*Supplementary!$D139/1000</f>
        <v>-1.0880719781700821E-4</v>
      </c>
      <c r="AF205" s="744">
        <f ca="1">AF184*Supplementary!$D139/1000</f>
        <v>8.1943584918780523E-6</v>
      </c>
      <c r="AG205" s="744">
        <f ca="1">AG184*Supplementary!$D139/1000</f>
        <v>7.1176603335675775E-4</v>
      </c>
      <c r="AH205" s="744">
        <f ca="1">AH184*Supplementary!$D139/1000</f>
        <v>7.1553824271643218E-4</v>
      </c>
      <c r="AI205" s="744">
        <f ca="1">AI184*Supplementary!$D139/1000</f>
        <v>9.138726967407464E-4</v>
      </c>
      <c r="AJ205" s="744">
        <f ca="1">AJ184*Supplementary!$D139/1000</f>
        <v>6.5302166786645121E-4</v>
      </c>
      <c r="AK205" s="744">
        <f ca="1">AK184*Supplementary!$D139/1000</f>
        <v>6.4062951871736657E-4</v>
      </c>
      <c r="AL205" s="744">
        <f ca="1">AL184*Supplementary!$D139/1000</f>
        <v>6.4461539398692324E-4</v>
      </c>
      <c r="AM205" s="744">
        <f ca="1">AM184*Supplementary!$D139/1000</f>
        <v>8.4773416622495529E-4</v>
      </c>
      <c r="AN205" s="744">
        <f ca="1">AN184*Supplementary!$D139/1000</f>
        <v>4.9279193747489732E-4</v>
      </c>
      <c r="AO205" s="744">
        <f ca="1">AO184*Supplementary!$D139/1000</f>
        <v>-1.4268515674896344E-2</v>
      </c>
      <c r="AP205" s="744">
        <f ca="1">AP184*Supplementary!$D139/1000</f>
        <v>2.1529950377048408E-6</v>
      </c>
    </row>
    <row r="206" spans="1:42" s="664" customFormat="1" outlineLevel="1">
      <c r="D206" s="682" t="s">
        <v>26</v>
      </c>
      <c r="E206" s="694" t="s">
        <v>68</v>
      </c>
      <c r="F206" s="744">
        <f ca="1">(F185-F194)*Supplementary!$D140/1000+F216</f>
        <v>7.4219924285632503E-4</v>
      </c>
      <c r="G206" s="744">
        <f ca="1">(G185-G194)*Supplementary!$D140/1000+G216</f>
        <v>2.2372476052400634E-5</v>
      </c>
      <c r="H206" s="744">
        <f ca="1">(H185-H194)*Supplementary!$D140/1000+H216</f>
        <v>2.1107650356848033E-3</v>
      </c>
      <c r="I206" s="744">
        <f ca="1">(I185-I194)*Supplementary!$D140/1000+I216</f>
        <v>-4.8391788910933867E-4</v>
      </c>
      <c r="J206" s="744">
        <f ca="1">(J185-J194)*Supplementary!$D140/1000+J216</f>
        <v>-4.0655171240876007E-3</v>
      </c>
      <c r="K206" s="744">
        <f ca="1">(K185-K194)*Supplementary!$D140/1000+K216</f>
        <v>3.353070459352451E-4</v>
      </c>
      <c r="L206" s="744">
        <f ca="1">(L185-L194)*Supplementary!$D140/1000+L216</f>
        <v>-3.1455415950916951E-3</v>
      </c>
      <c r="M206" s="744">
        <f ca="1">(M185-M194)*Supplementary!$D140/1000+M216</f>
        <v>-4.1673298900109165E-3</v>
      </c>
      <c r="N206" s="744">
        <f ca="1">(N185-N194)*Supplementary!$D140/1000+N216</f>
        <v>1.1258106035321004E-5</v>
      </c>
      <c r="O206" s="744">
        <f ca="1">(O185-O194)*Supplementary!$D140/1000+O216</f>
        <v>8.2090855494986468E-4</v>
      </c>
      <c r="P206" s="744">
        <f ca="1">(P185-P194)*Supplementary!$D140/1000+P216</f>
        <v>-8.5090818839485337E-4</v>
      </c>
      <c r="Q206" s="744">
        <f ca="1">(Q185-Q194)*Supplementary!$D140/1000+Q216</f>
        <v>5.398532947706826E-5</v>
      </c>
      <c r="R206" s="744">
        <f ca="1">(R185-R194)*Supplementary!$D140/1000+R216</f>
        <v>2.9900088650930169E-5</v>
      </c>
      <c r="S206" s="744">
        <f ca="1">(S185-S194)*Supplementary!$D140/1000+S216</f>
        <v>2.5532325303476714E-5</v>
      </c>
      <c r="T206" s="744">
        <f ca="1">(T185-T194)*Supplementary!$D140/1000+T216</f>
        <v>144.79081510132625</v>
      </c>
      <c r="U206" s="744">
        <f ca="1">(U185-U194)*Supplementary!$D140/1000+U216</f>
        <v>1.1233321744412229E-3</v>
      </c>
      <c r="V206" s="744">
        <f ca="1">(V185-V194)*Supplementary!$D140/1000+V216</f>
        <v>-0.34161743063324673</v>
      </c>
      <c r="W206" s="744">
        <f ca="1">(W185-W194)*Supplementary!$D140/1000+W216</f>
        <v>2211.4936769010965</v>
      </c>
      <c r="X206" s="744">
        <f ca="1">(X185-X194)*Supplementary!$D140/1000+X216</f>
        <v>224.07662505474457</v>
      </c>
      <c r="Y206" s="744">
        <f ca="1">(Y185-Y194)*Supplementary!$D140/1000+Y216</f>
        <v>207.93602278314103</v>
      </c>
      <c r="Z206" s="744">
        <f ca="1">(Z185-Z194)*Supplementary!$D140/1000+Z216</f>
        <v>141.42398289997814</v>
      </c>
      <c r="AA206" s="744">
        <f ca="1">(AA185-AA194)*Supplementary!$D140/1000+AA216</f>
        <v>1.876863529551891E-2</v>
      </c>
      <c r="AB206" s="744">
        <f ca="1">(AB185-AB194)*Supplementary!$D140/1000+AB216</f>
        <v>-7.9544035612266653E-2</v>
      </c>
      <c r="AC206" s="744">
        <f ca="1">(AC185-AC194)*Supplementary!$D140/1000+AC216</f>
        <v>1.2796662674959657E-3</v>
      </c>
      <c r="AD206" s="744">
        <f ca="1">(AD185-AD194)*Supplementary!$D140/1000+AD216</f>
        <v>1.5356156150879109E-2</v>
      </c>
      <c r="AE206" s="744">
        <f ca="1">(AE185-AE194)*Supplementary!$D140/1000+AE216</f>
        <v>-6.5081483682763605E-2</v>
      </c>
      <c r="AF206" s="744">
        <f ca="1">(AF185-AF194)*Supplementary!$D140/1000+AF216</f>
        <v>1.9333871421394529E-3</v>
      </c>
      <c r="AG206" s="744">
        <f ca="1">(AG185-AG194)*Supplementary!$D140/1000+AG216</f>
        <v>8.0333379605315256E-3</v>
      </c>
      <c r="AH206" s="744">
        <f ca="1">(AH185-AH194)*Supplementary!$D140/1000+AH216</f>
        <v>4.2302767698624054E-3</v>
      </c>
      <c r="AI206" s="744">
        <f ca="1">(AI185-AI194)*Supplementary!$D140/1000+AI216</f>
        <v>1.7780616099304116E-3</v>
      </c>
      <c r="AJ206" s="744">
        <f ca="1">(AJ185-AJ194)*Supplementary!$D140/1000+AJ216</f>
        <v>-3.4380281163778809E-2</v>
      </c>
      <c r="AK206" s="744">
        <f ca="1">(AK185-AK194)*Supplementary!$D140/1000+AK216</f>
        <v>8.4883631993424285E-3</v>
      </c>
      <c r="AL206" s="744">
        <f ca="1">(AL185-AL194)*Supplementary!$D140/1000+AL216</f>
        <v>4.5961308322288296E-3</v>
      </c>
      <c r="AM206" s="744">
        <f ca="1">(AM185-AM194)*Supplementary!$D140/1000+AM216</f>
        <v>1.9368585072970777E-3</v>
      </c>
      <c r="AN206" s="744">
        <f ca="1">(AN185-AN194)*Supplementary!$D140/1000+AN216</f>
        <v>6.5295101533403297E-3</v>
      </c>
      <c r="AO206" s="744">
        <f ca="1">(AO185-AO194)*Supplementary!$D140/1000+AO216</f>
        <v>134.3612981512168</v>
      </c>
      <c r="AP206" s="744">
        <f ca="1">(AP185-AP194)*Supplementary!$D140/1000+AP216</f>
        <v>9.5257980782022532E-5</v>
      </c>
    </row>
    <row r="207" spans="1:42" s="664" customFormat="1" outlineLevel="1">
      <c r="D207" s="682" t="s">
        <v>25</v>
      </c>
      <c r="E207" s="694" t="s">
        <v>68</v>
      </c>
      <c r="F207" s="744">
        <f ca="1">(F186-F195)*Supplementary!$D141/1000+F217</f>
        <v>1.2283279851795234E-2</v>
      </c>
      <c r="G207" s="744">
        <f ca="1">(G186-G195)*Supplementary!$D141/1000+G217</f>
        <v>8.3468594496665903E-3</v>
      </c>
      <c r="H207" s="744">
        <f ca="1">(H186-H195)*Supplementary!$D141/1000+H217</f>
        <v>1.5220235846900149E-2</v>
      </c>
      <c r="I207" s="744">
        <f ca="1">(I186-I195)*Supplementary!$D141/1000+I217</f>
        <v>1.3550216489847649E-2</v>
      </c>
      <c r="J207" s="744">
        <f ca="1">(J186-J195)*Supplementary!$D141/1000+J217</f>
        <v>8.1358477787454083E-3</v>
      </c>
      <c r="K207" s="744">
        <f ca="1">(K186-K195)*Supplementary!$D141/1000+K217</f>
        <v>2.0957448524461499E-2</v>
      </c>
      <c r="L207" s="744">
        <f ca="1">(L186-L195)*Supplementary!$D141/1000+L217</f>
        <v>1.2154648855307305E-2</v>
      </c>
      <c r="M207" s="744">
        <f ca="1">(M186-M195)*Supplementary!$D141/1000+M217</f>
        <v>1.1064581326680619E-2</v>
      </c>
      <c r="N207" s="744">
        <f ca="1">(N186-N195)*Supplementary!$D141/1000+N217</f>
        <v>3.3785904468322347E-3</v>
      </c>
      <c r="O207" s="744">
        <f ca="1">(O186-O195)*Supplementary!$D141/1000+O217</f>
        <v>6.841115423843541E-3</v>
      </c>
      <c r="P207" s="744">
        <f ca="1">(P186-P195)*Supplementary!$D141/1000+P217</f>
        <v>2.3681250286138678E-3</v>
      </c>
      <c r="Q207" s="744">
        <f ca="1">(Q186-Q195)*Supplementary!$D141/1000+Q217</f>
        <v>3.8526958911993137E-3</v>
      </c>
      <c r="R207" s="744">
        <f ca="1">(R186-R195)*Supplementary!$D141/1000+R217</f>
        <v>2.1338380224365681E-3</v>
      </c>
      <c r="S207" s="744">
        <f ca="1">(S186-S195)*Supplementary!$D141/1000+S217</f>
        <v>4.0256883951480587E-3</v>
      </c>
      <c r="T207" s="744">
        <f ca="1">(T186-T195)*Supplementary!$D141/1000+T217</f>
        <v>106.13355142326209</v>
      </c>
      <c r="U207" s="744">
        <f ca="1">(U186-U195)*Supplementary!$D141/1000+U217</f>
        <v>1.7389553952157937</v>
      </c>
      <c r="V207" s="744">
        <f ca="1">(V186-V195)*Supplementary!$D141/1000+V217</f>
        <v>1.9078502439591118</v>
      </c>
      <c r="W207" s="744">
        <f ca="1">(W186-W195)*Supplementary!$D141/1000+W217</f>
        <v>160.7774641862849</v>
      </c>
      <c r="X207" s="744">
        <f ca="1">(X186-X195)*Supplementary!$D141/1000+X217</f>
        <v>164.25108175097847</v>
      </c>
      <c r="Y207" s="744">
        <f ca="1">(Y186-Y195)*Supplementary!$D141/1000+Y217</f>
        <v>163.71096908811339</v>
      </c>
      <c r="Z207" s="744">
        <f ca="1">(Z186-Z195)*Supplementary!$D141/1000+Z217</f>
        <v>29.26531690121044</v>
      </c>
      <c r="AA207" s="744">
        <f ca="1">(AA186-AA195)*Supplementary!$D141/1000+AA217</f>
        <v>2.7305659377124618</v>
      </c>
      <c r="AB207" s="744">
        <f ca="1">(AB186-AB195)*Supplementary!$D141/1000+AB217</f>
        <v>2.7273131342583783</v>
      </c>
      <c r="AC207" s="744">
        <f ca="1">(AC186-AC195)*Supplementary!$D141/1000+AC217</f>
        <v>9.1324161927775038E-2</v>
      </c>
      <c r="AD207" s="744">
        <f ca="1">(AD186-AD195)*Supplementary!$D141/1000+AD217</f>
        <v>2.1394311155829233</v>
      </c>
      <c r="AE207" s="744">
        <f ca="1">(AE186-AE195)*Supplementary!$D141/1000+AE217</f>
        <v>2.1367697309386728</v>
      </c>
      <c r="AF207" s="744">
        <f ca="1">(AF186-AF195)*Supplementary!$D141/1000+AF217</f>
        <v>2.0814946514662687</v>
      </c>
      <c r="AG207" s="744">
        <f ca="1">(AG186-AG195)*Supplementary!$D141/1000+AG217</f>
        <v>0.27260934046200713</v>
      </c>
      <c r="AH207" s="744">
        <f ca="1">(AH186-AH195)*Supplementary!$D141/1000+AH217</f>
        <v>0.39843451698817006</v>
      </c>
      <c r="AI207" s="744">
        <f ca="1">(AI186-AI195)*Supplementary!$D141/1000+AI217</f>
        <v>0.30801759393246747</v>
      </c>
      <c r="AJ207" s="744">
        <f ca="1">(AJ186-AJ195)*Supplementary!$D141/1000+AJ217</f>
        <v>0.26024509587931499</v>
      </c>
      <c r="AK207" s="744">
        <f ca="1">(AK186-AK195)*Supplementary!$D141/1000+AK217</f>
        <v>0.33983851293174611</v>
      </c>
      <c r="AL207" s="744">
        <f ca="1">(AL186-AL195)*Supplementary!$D141/1000+AL217</f>
        <v>0.42281351299571357</v>
      </c>
      <c r="AM207" s="744">
        <f ca="1">(AM186-AM195)*Supplementary!$D141/1000+AM217</f>
        <v>0.40418312074366253</v>
      </c>
      <c r="AN207" s="744">
        <f ca="1">(AN186-AN195)*Supplementary!$D141/1000+AN217</f>
        <v>0.26141424071672775</v>
      </c>
      <c r="AO207" s="744">
        <f ca="1">(AO186-AO195)*Supplementary!$D141/1000+AO217</f>
        <v>105.78454869848579</v>
      </c>
      <c r="AP207" s="744">
        <f ca="1">(AP186-AP195)*Supplementary!$D141/1000+AP217</f>
        <v>6.7981437682756883E-3</v>
      </c>
    </row>
    <row r="208" spans="1:42" s="664" customFormat="1" outlineLevel="1">
      <c r="D208" s="683" t="s">
        <v>45</v>
      </c>
      <c r="E208" s="684" t="s">
        <v>68</v>
      </c>
      <c r="F208" s="744">
        <f ca="1">(F187-F196)*Supplementary!$D142/1000+F218</f>
        <v>3.7219669087295779E-3</v>
      </c>
      <c r="G208" s="744">
        <f ca="1">(G187-G196)*Supplementary!$D142/1000+G218</f>
        <v>3.8868124534523836E-3</v>
      </c>
      <c r="H208" s="744">
        <f ca="1">(H187-H196)*Supplementary!$D142/1000+H218</f>
        <v>4.7324081698021771E-3</v>
      </c>
      <c r="I208" s="744">
        <f ca="1">(I187-I196)*Supplementary!$D142/1000+I218</f>
        <v>3.6800269398292481E-3</v>
      </c>
      <c r="J208" s="744">
        <f ca="1">(J187-J196)*Supplementary!$D142/1000+J218</f>
        <v>2.231321971637266E-3</v>
      </c>
      <c r="K208" s="744">
        <f ca="1">(K187-K196)*Supplementary!$D142/1000+K218</f>
        <v>3.841112891785398E-3</v>
      </c>
      <c r="L208" s="744">
        <f ca="1">(L187-L196)*Supplementary!$D142/1000+L218</f>
        <v>2.4263142150245816E-3</v>
      </c>
      <c r="M208" s="744">
        <f ca="1">(M187-M196)*Supplementary!$D142/1000+M218</f>
        <v>2.0362170531072043E-3</v>
      </c>
      <c r="N208" s="744">
        <f ca="1">(N187-N196)*Supplementary!$D142/1000+N218</f>
        <v>3.8596660137400008E-3</v>
      </c>
      <c r="O208" s="744">
        <f ca="1">(O187-O196)*Supplementary!$D142/1000+O218</f>
        <v>4.1960906092069986E-3</v>
      </c>
      <c r="P208" s="744">
        <f ca="1">(P187-P196)*Supplementary!$D142/1000+P218</f>
        <v>-3.185213702890325E-4</v>
      </c>
      <c r="Q208" s="744">
        <f ca="1">(Q187-Q196)*Supplementary!$D142/1000+Q218</f>
        <v>6.3340228007605486E-5</v>
      </c>
      <c r="R208" s="744">
        <f ca="1">(R187-R196)*Supplementary!$D142/1000+R218</f>
        <v>3.5081353599999994E-5</v>
      </c>
      <c r="S208" s="744">
        <f ca="1">(S187-S196)*Supplementary!$D142/1000+S218</f>
        <v>3.4035128408586697E-5</v>
      </c>
      <c r="T208" s="744">
        <f ca="1">(T187-T196)*Supplementary!$D142/1000+T218</f>
        <v>85.326406929323426</v>
      </c>
      <c r="U208" s="744">
        <f ca="1">(U187-U196)*Supplementary!$D142/1000+U218</f>
        <v>1.5528587630789428E-3</v>
      </c>
      <c r="V208" s="744">
        <f ca="1">(V187-V196)*Supplementary!$D142/1000+V218</f>
        <v>-0.1383009431613049</v>
      </c>
      <c r="W208" s="744">
        <f ca="1">(W187-W196)*Supplementary!$D142/1000+W218</f>
        <v>361.63629335182867</v>
      </c>
      <c r="X208" s="744">
        <f ca="1">(X187-X196)*Supplementary!$D142/1000+X218</f>
        <v>132.05018066505392</v>
      </c>
      <c r="Y208" s="744">
        <f ca="1">(Y187-Y196)*Supplementary!$D142/1000+Y218</f>
        <v>126.6098245638634</v>
      </c>
      <c r="Z208" s="744">
        <f ca="1">(Z187-Z196)*Supplementary!$D142/1000+Z218</f>
        <v>20.106412110199365</v>
      </c>
      <c r="AA208" s="744">
        <f ca="1">(AA187-AA196)*Supplementary!$D142/1000+AA218</f>
        <v>0.84501584198288737</v>
      </c>
      <c r="AB208" s="744">
        <f ca="1">(AB187-AB196)*Supplementary!$D142/1000+AB218</f>
        <v>0.81225154976369796</v>
      </c>
      <c r="AC208" s="744">
        <f ca="1">(AC187-AC196)*Supplementary!$D142/1000+AC218</f>
        <v>1.5014144387368422E-3</v>
      </c>
      <c r="AD208" s="744">
        <f ca="1">(AD187-AD196)*Supplementary!$D142/1000+AD218</f>
        <v>0.33210901065799858</v>
      </c>
      <c r="AE208" s="744">
        <f ca="1">(AE187-AE196)*Supplementary!$D142/1000+AE218</f>
        <v>0.30530186247866181</v>
      </c>
      <c r="AF208" s="744">
        <f ca="1">(AF187-AF196)*Supplementary!$D142/1000+AF218</f>
        <v>0.33208276947417414</v>
      </c>
      <c r="AG208" s="744">
        <f ca="1">(AG187-AG196)*Supplementary!$D142/1000+AG218</f>
        <v>3.6100652600848708E-2</v>
      </c>
      <c r="AH208" s="744">
        <f ca="1">(AH187-AH196)*Supplementary!$D142/1000+AH218</f>
        <v>3.717927860815011E-2</v>
      </c>
      <c r="AI208" s="744">
        <f ca="1">(AI187-AI196)*Supplementary!$D142/1000+AI218</f>
        <v>4.6204751292963642E-2</v>
      </c>
      <c r="AJ208" s="744">
        <f ca="1">(AJ187-AJ196)*Supplementary!$D142/1000+AJ218</f>
        <v>2.1659301262728234E-2</v>
      </c>
      <c r="AK208" s="744">
        <f ca="1">(AK187-AK196)*Supplementary!$D142/1000+AK218</f>
        <v>3.8018017950229542E-2</v>
      </c>
      <c r="AL208" s="744">
        <f ca="1">(AL187-AL196)*Supplementary!$D142/1000+AL218</f>
        <v>3.9157739614027826E-2</v>
      </c>
      <c r="AM208" s="744">
        <f ca="1">(AM187-AM196)*Supplementary!$D142/1000+AM218</f>
        <v>5.0162284739072839E-2</v>
      </c>
      <c r="AN208" s="744">
        <f ca="1">(AN187-AN196)*Supplementary!$D142/1000+AN218</f>
        <v>2.9244629192484262E-2</v>
      </c>
      <c r="AO208" s="744">
        <f ca="1">(AO187-AO196)*Supplementary!$D142/1000+AO218</f>
        <v>81.811030909444511</v>
      </c>
      <c r="AP208" s="744">
        <f ca="1">(AP187-AP196)*Supplementary!$D142/1000+AP218</f>
        <v>1.1176484946415621E-4</v>
      </c>
    </row>
    <row r="209" spans="4:42" s="664" customFormat="1" outlineLevel="1">
      <c r="D209" s="683" t="s">
        <v>548</v>
      </c>
      <c r="E209" s="684" t="s">
        <v>68</v>
      </c>
      <c r="F209" s="745">
        <f>VLOOKUP(F9,Supplementary!$B$207:$D$231,3,FALSE)</f>
        <v>4.7831203651892855E-2</v>
      </c>
      <c r="G209" s="745">
        <f>VLOOKUP(G9,Supplementary!$B$207:$D$231,3,FALSE)</f>
        <v>4.7831203651892855E-2</v>
      </c>
      <c r="H209" s="745">
        <f>VLOOKUP(H9,Supplementary!$B$207:$D$231,3,FALSE)</f>
        <v>4.7831203651892855E-2</v>
      </c>
      <c r="I209" s="745">
        <f>VLOOKUP(I9,Supplementary!$B$207:$D$231,3,FALSE)</f>
        <v>4.7831203651892855E-2</v>
      </c>
      <c r="J209" s="745">
        <f>VLOOKUP(J9,Supplementary!$B$207:$D$231,3,FALSE)</f>
        <v>4.7831203651892855E-2</v>
      </c>
      <c r="K209" s="745">
        <f>VLOOKUP(K9,Supplementary!$B$207:$D$231,3,FALSE)</f>
        <v>4.7831203651892855E-2</v>
      </c>
      <c r="L209" s="745">
        <f>VLOOKUP(L9,Supplementary!$B$207:$D$231,3,FALSE)</f>
        <v>4.7831203651892855E-2</v>
      </c>
      <c r="M209" s="745">
        <f>VLOOKUP(M9,Supplementary!$B$207:$D$231,3,FALSE)</f>
        <v>4.7831203651892855E-2</v>
      </c>
      <c r="N209" s="745">
        <f>VLOOKUP(N9,Supplementary!$B$207:$D$231,3,FALSE)</f>
        <v>4.7831203651892855E-2</v>
      </c>
      <c r="O209" s="745">
        <f>VLOOKUP(O9,Supplementary!$B$207:$D$231,3,FALSE)</f>
        <v>4.7831203651892855E-2</v>
      </c>
      <c r="P209" s="745">
        <f>VLOOKUP(P9,Supplementary!$B$207:$D$231,3,FALSE)</f>
        <v>1.7876115952265414E-2</v>
      </c>
      <c r="Q209" s="745">
        <f>VLOOKUP(Q9,Supplementary!$B$207:$D$231,3,FALSE)</f>
        <v>1.7876115952265414E-2</v>
      </c>
      <c r="R209" s="745">
        <f>VLOOKUP(R9,Supplementary!$B$207:$D$231,3,FALSE)</f>
        <v>1.7876115952265414E-2</v>
      </c>
      <c r="S209" s="745">
        <f>VLOOKUP(S9,Supplementary!$B$207:$D$231,3,FALSE)</f>
        <v>2.3915601825946427E-2</v>
      </c>
      <c r="T209" s="745">
        <f>VLOOKUP(T9,Supplementary!$B$207:$D$231,3,FALSE)</f>
        <v>0</v>
      </c>
      <c r="U209" s="745">
        <f>VLOOKUP(U9,Supplementary!$B$207:$D$231,3,FALSE)</f>
        <v>0</v>
      </c>
      <c r="V209" s="745">
        <f>VLOOKUP(V9,Supplementary!$B$207:$D$231,3,FALSE)</f>
        <v>0</v>
      </c>
      <c r="W209" s="745">
        <f>VLOOKUP(W9,Supplementary!$B$207:$D$231,3,FALSE)</f>
        <v>0</v>
      </c>
      <c r="X209" s="745">
        <f>VLOOKUP(X9,Supplementary!$B$207:$D$231,3,FALSE)</f>
        <v>0</v>
      </c>
      <c r="Y209" s="745">
        <f>VLOOKUP(Y9,Supplementary!$B$207:$D$231,3,FALSE)</f>
        <v>0</v>
      </c>
      <c r="Z209" s="745">
        <f>VLOOKUP(Z9,Supplementary!$B$207:$D$231,3,FALSE)</f>
        <v>0</v>
      </c>
      <c r="AA209" s="745">
        <f>VLOOKUP(AA9,Supplementary!$B$207:$D$231,3,FALSE)</f>
        <v>0</v>
      </c>
      <c r="AB209" s="745">
        <f>VLOOKUP(AB9,Supplementary!$B$207:$D$231,3,FALSE)</f>
        <v>0</v>
      </c>
      <c r="AC209" s="745">
        <f>VLOOKUP(AC9,Supplementary!$B$207:$D$231,3,FALSE)</f>
        <v>0</v>
      </c>
      <c r="AD209" s="745">
        <f>VLOOKUP(AD9,Supplementary!$B$207:$D$231,3,FALSE)</f>
        <v>0</v>
      </c>
      <c r="AE209" s="745">
        <f>VLOOKUP(AE9,Supplementary!$B$207:$D$231,3,FALSE)</f>
        <v>0</v>
      </c>
      <c r="AF209" s="745">
        <f>VLOOKUP(AF9,Supplementary!$B$207:$D$231,3,FALSE)</f>
        <v>0</v>
      </c>
      <c r="AG209" s="745">
        <f>VLOOKUP(AG9,Supplementary!$B$207:$D$231,3,FALSE)</f>
        <v>9.7319147366558043E-2</v>
      </c>
      <c r="AH209" s="745">
        <f>VLOOKUP(AH9,Supplementary!$B$207:$D$231,3,FALSE)</f>
        <v>9.7319147366558043E-2</v>
      </c>
      <c r="AI209" s="745">
        <f>VLOOKUP(AI9,Supplementary!$B$207:$D$231,3,FALSE)</f>
        <v>9.7319147366558043E-2</v>
      </c>
      <c r="AJ209" s="745">
        <f>VLOOKUP(AJ9,Supplementary!$B$207:$D$231,3,FALSE)</f>
        <v>9.7319147366558043E-2</v>
      </c>
      <c r="AK209" s="745">
        <f>VLOOKUP(AK9,Supplementary!$B$207:$D$231,3,FALSE)</f>
        <v>9.7319147366558043E-2</v>
      </c>
      <c r="AL209" s="745">
        <f>VLOOKUP(AL9,Supplementary!$B$207:$D$231,3,FALSE)</f>
        <v>9.7319147366558043E-2</v>
      </c>
      <c r="AM209" s="745">
        <f>VLOOKUP(AM9,Supplementary!$B$207:$D$231,3,FALSE)</f>
        <v>9.7319147366558043E-2</v>
      </c>
      <c r="AN209" s="745">
        <f>VLOOKUP(AN9,Supplementary!$B$207:$D$231,3,FALSE)</f>
        <v>9.7319147366558043E-2</v>
      </c>
      <c r="AO209" s="745">
        <f>VLOOKUP(AO9,Supplementary!$B$207:$D$231,3,FALSE)</f>
        <v>0</v>
      </c>
      <c r="AP209" s="745">
        <f>VLOOKUP(AP9,Supplementary!$B$207:$D$231,3,FALSE)</f>
        <v>1.7876115952265414E-2</v>
      </c>
    </row>
    <row r="210" spans="4:42" s="664" customFormat="1" outlineLevel="1">
      <c r="D210" s="683" t="s">
        <v>69</v>
      </c>
      <c r="E210" s="684" t="s">
        <v>68</v>
      </c>
      <c r="F210" s="745">
        <f t="shared" ref="F210:AN210" ca="1" si="202">SUM(F203:F209)</f>
        <v>7.107049790144282E-2</v>
      </c>
      <c r="G210" s="745">
        <f t="shared" ca="1" si="202"/>
        <v>6.8724123665360431E-2</v>
      </c>
      <c r="H210" s="745">
        <f t="shared" ca="1" si="202"/>
        <v>0.10260043543487185</v>
      </c>
      <c r="I210" s="745">
        <f t="shared" ca="1" si="202"/>
        <v>0.10553423675259793</v>
      </c>
      <c r="J210" s="745">
        <f t="shared" ca="1" si="202"/>
        <v>5.5667331519798149E-2</v>
      </c>
      <c r="K210" s="745">
        <f t="shared" ca="1" si="202"/>
        <v>0.10015306234283385</v>
      </c>
      <c r="L210" s="745">
        <f t="shared" ca="1" si="202"/>
        <v>5.7056778643631047E-2</v>
      </c>
      <c r="M210" s="745">
        <f t="shared" ca="1" si="202"/>
        <v>5.4421899266376861E-2</v>
      </c>
      <c r="N210" s="745">
        <f t="shared" ca="1" si="202"/>
        <v>6.2477212039718941E-2</v>
      </c>
      <c r="O210" s="745">
        <f t="shared" ca="1" si="202"/>
        <v>5.3773330731964525E-2</v>
      </c>
      <c r="P210" s="745">
        <f t="shared" ca="1" si="202"/>
        <v>1.8670698033606378E-2</v>
      </c>
      <c r="Q210" s="745">
        <f t="shared" ca="1" si="202"/>
        <v>2.2057519973895635E-2</v>
      </c>
      <c r="R210" s="745">
        <f t="shared" ca="1" si="202"/>
        <v>2.0192010884150697E-2</v>
      </c>
      <c r="S210" s="745">
        <f t="shared" ca="1" si="202"/>
        <v>3.2945758485795597E-2</v>
      </c>
      <c r="T210" s="745">
        <f t="shared" ca="1" si="202"/>
        <v>353.70232470206804</v>
      </c>
      <c r="U210" s="745">
        <f t="shared" ca="1" si="202"/>
        <v>2.148181198775843</v>
      </c>
      <c r="V210" s="745">
        <f t="shared" ca="1" si="202"/>
        <v>0.97857488843828722</v>
      </c>
      <c r="W210" s="745">
        <f t="shared" ca="1" si="202"/>
        <v>2761.9193654785481</v>
      </c>
      <c r="X210" s="745">
        <f t="shared" ca="1" si="202"/>
        <v>547.38571046645643</v>
      </c>
      <c r="Y210" s="745">
        <f t="shared" ca="1" si="202"/>
        <v>488.72682475000511</v>
      </c>
      <c r="Z210" s="745">
        <f t="shared" ca="1" si="202"/>
        <v>217.13076133948235</v>
      </c>
      <c r="AA210" s="745">
        <f t="shared" ca="1" si="202"/>
        <v>3.7570037759796713</v>
      </c>
      <c r="AB210" s="745">
        <f t="shared" ca="1" si="202"/>
        <v>3.4026267156212651</v>
      </c>
      <c r="AC210" s="745">
        <f t="shared" ca="1" si="202"/>
        <v>9.9115847380816038E-2</v>
      </c>
      <c r="AD210" s="745">
        <f t="shared" ca="1" si="202"/>
        <v>2.6199763050190037</v>
      </c>
      <c r="AE210" s="745">
        <f t="shared" ca="1" si="202"/>
        <v>2.3300314374530346</v>
      </c>
      <c r="AF210" s="745">
        <f t="shared" ca="1" si="202"/>
        <v>2.5343337815707923</v>
      </c>
      <c r="AG210" s="745">
        <f t="shared" ca="1" si="202"/>
        <v>0.47301182165945482</v>
      </c>
      <c r="AH210" s="745">
        <f t="shared" ref="AH210" ca="1" si="203">SUM(AH203:AH209)</f>
        <v>0.78347428868263214</v>
      </c>
      <c r="AI210" s="745">
        <f ca="1">SUM(AI203:AI209)</f>
        <v>0.51336786005941382</v>
      </c>
      <c r="AJ210" s="745">
        <f t="shared" ca="1" si="202"/>
        <v>0.3249847447531361</v>
      </c>
      <c r="AK210" s="745">
        <f t="shared" ref="AK210" ca="1" si="204">SUM(AK203:AK209)</f>
        <v>0.54583713523050403</v>
      </c>
      <c r="AL210" s="745">
        <f t="shared" ca="1" si="202"/>
        <v>0.82403391436265461</v>
      </c>
      <c r="AM210" s="745">
        <f t="shared" ca="1" si="202"/>
        <v>0.61835779437468885</v>
      </c>
      <c r="AN210" s="745">
        <f t="shared" ca="1" si="202"/>
        <v>0.44233298418497802</v>
      </c>
      <c r="AO210" s="745">
        <f t="shared" ref="AO210:AP210" ca="1" si="205">SUM(AO203:AO209)</f>
        <v>315.79891610804128</v>
      </c>
      <c r="AP210" s="745">
        <f t="shared" ca="1" si="205"/>
        <v>2.5254270495223559E-2</v>
      </c>
    </row>
    <row r="211" spans="4:42" s="664" customFormat="1" outlineLevel="1">
      <c r="D211" s="682"/>
      <c r="E211" s="694"/>
      <c r="F211" s="744"/>
      <c r="G211" s="744"/>
      <c r="H211" s="744"/>
      <c r="I211" s="744"/>
      <c r="J211" s="744"/>
      <c r="K211" s="744"/>
      <c r="L211" s="744"/>
      <c r="M211" s="744"/>
      <c r="N211" s="744"/>
      <c r="O211" s="744"/>
      <c r="P211" s="744"/>
      <c r="Q211" s="744"/>
      <c r="R211" s="744"/>
      <c r="S211" s="744"/>
      <c r="T211" s="744"/>
      <c r="U211" s="744"/>
      <c r="V211" s="744"/>
      <c r="W211" s="744"/>
      <c r="X211" s="744"/>
      <c r="Y211" s="744"/>
      <c r="Z211" s="744"/>
      <c r="AA211" s="744"/>
      <c r="AB211" s="744"/>
      <c r="AC211" s="744"/>
      <c r="AD211" s="744"/>
      <c r="AE211" s="744"/>
      <c r="AF211" s="744"/>
      <c r="AG211" s="744"/>
      <c r="AH211" s="744"/>
      <c r="AI211" s="744"/>
      <c r="AJ211" s="744"/>
      <c r="AK211" s="744"/>
      <c r="AL211" s="744"/>
      <c r="AM211" s="744"/>
      <c r="AN211" s="744"/>
      <c r="AO211" s="744"/>
      <c r="AP211" s="744"/>
    </row>
    <row r="212" spans="4:42" s="664" customFormat="1" outlineLevel="1">
      <c r="D212" s="668" t="s">
        <v>2608</v>
      </c>
      <c r="E212" s="667"/>
      <c r="J212" s="742"/>
      <c r="K212" s="742"/>
    </row>
    <row r="213" spans="4:42" s="664" customFormat="1" outlineLevel="1">
      <c r="D213" s="686" t="s">
        <v>24</v>
      </c>
      <c r="E213" s="680" t="s">
        <v>68</v>
      </c>
      <c r="F213" s="746">
        <f ca="1">F191*Supplementary!$D137/1000/1000</f>
        <v>5.7505373549556872E-3</v>
      </c>
      <c r="G213" s="746">
        <f ca="1">G191*Supplementary!$D137/1000/1000</f>
        <v>7.6634881879611679E-3</v>
      </c>
      <c r="H213" s="746">
        <f ca="1">H191*Supplementary!$D137/1000/1000</f>
        <v>1.6093325194718451E-3</v>
      </c>
      <c r="I213" s="746">
        <f ca="1">I191*Supplementary!$D137/1000/1000</f>
        <v>1.6093325194718451E-3</v>
      </c>
      <c r="J213" s="746">
        <f ca="1">J191*Supplementary!$D137/1000/1000</f>
        <v>1.6093325194718451E-3</v>
      </c>
      <c r="K213" s="746">
        <f ca="1">K191*Supplementary!$D137/1000/1000</f>
        <v>0</v>
      </c>
      <c r="L213" s="746">
        <f ca="1">L191*Supplementary!$D137/1000/1000</f>
        <v>0</v>
      </c>
      <c r="M213" s="746">
        <f ca="1">M191*Supplementary!$D137/1000/1000</f>
        <v>0</v>
      </c>
      <c r="N213" s="746">
        <f ca="1">N191*Supplementary!$D137/1000/1000</f>
        <v>6.5665031545974004E-3</v>
      </c>
      <c r="O213" s="746">
        <f ca="1">O191*Supplementary!$D137/1000/1000</f>
        <v>0</v>
      </c>
      <c r="P213" s="746">
        <f ca="1">P191*Supplementary!$D137/1000/1000</f>
        <v>0</v>
      </c>
      <c r="Q213" s="746">
        <f ca="1">Q191*Supplementary!$D137/1000/1000</f>
        <v>0</v>
      </c>
      <c r="R213" s="746">
        <f ca="1">R191*Supplementary!$D137/1000/1000</f>
        <v>0</v>
      </c>
      <c r="S213" s="746">
        <f ca="1">S191*Supplementary!$D137/1000/1000</f>
        <v>4.3632875662119623E-3</v>
      </c>
      <c r="T213" s="746">
        <f ca="1">T191*Supplementary!$D137/1000/1000</f>
        <v>15.602407355957775</v>
      </c>
      <c r="U213" s="746">
        <f ca="1">U191*Supplementary!$D137/1000/1000</f>
        <v>0.35967115649194176</v>
      </c>
      <c r="V213" s="746">
        <f ca="1">V191*Supplementary!$D137/1000/1000</f>
        <v>0</v>
      </c>
      <c r="W213" s="746">
        <f ca="1">W191*Supplementary!$D137/1000/1000</f>
        <v>25.744972822753464</v>
      </c>
      <c r="X213" s="746">
        <f ca="1">X191*Supplementary!$D137/1000/1000</f>
        <v>24.14610885784229</v>
      </c>
      <c r="Y213" s="746">
        <f ca="1">Y191*Supplementary!$D137/1000/1000</f>
        <v>0</v>
      </c>
      <c r="Z213" s="746">
        <f ca="1">Z191*Supplementary!$D137/1000/1000</f>
        <v>19.737985196380247</v>
      </c>
      <c r="AA213" s="746">
        <f ca="1">AA191*Supplementary!$D137/1000/1000</f>
        <v>0.14541882036022818</v>
      </c>
      <c r="AB213" s="746">
        <f ca="1">AB191*Supplementary!$D137/1000/1000</f>
        <v>0</v>
      </c>
      <c r="AC213" s="746">
        <f ca="1">AC191*Supplementary!$D137/1000/1000</f>
        <v>0</v>
      </c>
      <c r="AD213" s="746">
        <f ca="1">AD191*Supplementary!$D137/1000/1000</f>
        <v>0.11897903484018667</v>
      </c>
      <c r="AE213" s="746">
        <f ca="1">AE191*Supplementary!$D137/1000/1000</f>
        <v>0</v>
      </c>
      <c r="AF213" s="746">
        <f ca="1">AF191*Supplementary!$D137/1000/1000</f>
        <v>9.4003084472518289E-2</v>
      </c>
      <c r="AG213" s="746">
        <f ca="1">AG191*Supplementary!$D137/1000/1000</f>
        <v>5.205949028182897E-2</v>
      </c>
      <c r="AH213" s="746">
        <f ca="1">AH191*Supplementary!$D137/1000/1000</f>
        <v>0</v>
      </c>
      <c r="AI213" s="746">
        <f ca="1">AI191*Supplementary!$D137/1000/1000</f>
        <v>5.1332054026640664E-2</v>
      </c>
      <c r="AJ213" s="746">
        <f ca="1">AJ191*Supplementary!$D137/1000/1000</f>
        <v>0</v>
      </c>
      <c r="AK213" s="746">
        <f ca="1">AK191*Supplementary!$D137/1000/1000</f>
        <v>5.5008249827891403E-2</v>
      </c>
      <c r="AL213" s="746">
        <f ca="1">AL191*Supplementary!$D137/1000/1000</f>
        <v>0</v>
      </c>
      <c r="AM213" s="746">
        <f ca="1">AM191*Supplementary!$D137/1000/1000</f>
        <v>5.5916468238928638E-2</v>
      </c>
      <c r="AN213" s="746">
        <f ca="1">AN191*Supplementary!$D137/1000/1000</f>
        <v>4.2314038329147236E-2</v>
      </c>
      <c r="AO213" s="746">
        <f ca="1">AO191*Supplementary!$D137/1000/1000</f>
        <v>0</v>
      </c>
      <c r="AP213" s="746">
        <f ca="1">AP191*Supplementary!$D137/1000/1000</f>
        <v>0</v>
      </c>
    </row>
    <row r="214" spans="4:42" s="664" customFormat="1" outlineLevel="1">
      <c r="D214" s="682" t="s">
        <v>27</v>
      </c>
      <c r="E214" s="694" t="s">
        <v>68</v>
      </c>
      <c r="F214" s="744">
        <f ca="1">F192*Supplementary!$D138/1000</f>
        <v>5.9776895581659944E-5</v>
      </c>
      <c r="G214" s="744">
        <f ca="1">G192*Supplementary!$D138/1000</f>
        <v>3.9855255992267481E-5</v>
      </c>
      <c r="H214" s="744">
        <f ca="1">H192*Supplementary!$D138/1000</f>
        <v>3.9855255992267481E-5</v>
      </c>
      <c r="I214" s="744">
        <f ca="1">I192*Supplementary!$D138/1000</f>
        <v>3.9855255992267481E-5</v>
      </c>
      <c r="J214" s="744">
        <f ca="1">J192*Supplementary!$D138/1000</f>
        <v>3.9855255992267481E-5</v>
      </c>
      <c r="K214" s="744">
        <f ca="1">K192*Supplementary!$D138/1000</f>
        <v>5.9776895581659944E-5</v>
      </c>
      <c r="L214" s="744">
        <f ca="1">L192*Supplementary!$D138/1000</f>
        <v>5.9776895581659944E-5</v>
      </c>
      <c r="M214" s="744">
        <f ca="1">M192*Supplementary!$D138/1000</f>
        <v>5.9760133283331451E-5</v>
      </c>
      <c r="N214" s="744">
        <f ca="1">N192*Supplementary!$D138/1000</f>
        <v>1.0675514997928789E-4</v>
      </c>
      <c r="O214" s="744">
        <f ca="1">O192*Supplementary!$D138/1000</f>
        <v>1.0675514997928789E-4</v>
      </c>
      <c r="P214" s="744">
        <f ca="1">P192*Supplementary!$D138/1000</f>
        <v>0</v>
      </c>
      <c r="Q214" s="744">
        <f ca="1">Q192*Supplementary!$D138/1000</f>
        <v>0</v>
      </c>
      <c r="R214" s="744">
        <f ca="1">R192*Supplementary!$D138/1000</f>
        <v>0</v>
      </c>
      <c r="S214" s="744">
        <f ca="1">S192*Supplementary!$D138/1000</f>
        <v>0</v>
      </c>
      <c r="T214" s="744">
        <f ca="1">T192*Supplementary!$D138/1000</f>
        <v>0</v>
      </c>
      <c r="U214" s="744">
        <f ca="1">U192*Supplementary!$D138/1000</f>
        <v>0</v>
      </c>
      <c r="V214" s="744">
        <f ca="1">V192*Supplementary!$D138/1000</f>
        <v>0</v>
      </c>
      <c r="W214" s="744">
        <f ca="1">W192*Supplementary!$D138/1000</f>
        <v>0</v>
      </c>
      <c r="X214" s="744">
        <f ca="1">X192*Supplementary!$D138/1000</f>
        <v>0</v>
      </c>
      <c r="Y214" s="744">
        <f ca="1">Y192*Supplementary!$D138/1000</f>
        <v>0</v>
      </c>
      <c r="Z214" s="744">
        <f ca="1">Z192*Supplementary!$D138/1000</f>
        <v>1.2220901813321174</v>
      </c>
      <c r="AA214" s="744">
        <f ca="1">AA192*Supplementary!$D138/1000</f>
        <v>0</v>
      </c>
      <c r="AB214" s="744">
        <f ca="1">AB192*Supplementary!$D138/1000</f>
        <v>0</v>
      </c>
      <c r="AC214" s="744">
        <f ca="1">AC192*Supplementary!$D138/1000</f>
        <v>0</v>
      </c>
      <c r="AD214" s="744">
        <f ca="1">AD192*Supplementary!$D138/1000</f>
        <v>0</v>
      </c>
      <c r="AE214" s="744">
        <f ca="1">AE192*Supplementary!$D138/1000</f>
        <v>0</v>
      </c>
      <c r="AF214" s="744">
        <f ca="1">AF192*Supplementary!$D138/1000</f>
        <v>0</v>
      </c>
      <c r="AG214" s="744">
        <f ca="1">AG192*Supplementary!$D138/1000</f>
        <v>1.0026151829310468E-5</v>
      </c>
      <c r="AH214" s="744">
        <f ca="1">AH192*Supplementary!$D138/1000</f>
        <v>1.0026151829310468E-5</v>
      </c>
      <c r="AI214" s="744">
        <f ca="1">AI192*Supplementary!$D138/1000</f>
        <v>2.1496035777031478E-3</v>
      </c>
      <c r="AJ214" s="744">
        <f ca="1">AJ192*Supplementary!$D138/1000</f>
        <v>1.0026151829310468E-5</v>
      </c>
      <c r="AK214" s="744">
        <f ca="1">AK192*Supplementary!$D138/1000</f>
        <v>6.7816348059368993E-6</v>
      </c>
      <c r="AL214" s="744">
        <f ca="1">AL192*Supplementary!$D138/1000</f>
        <v>6.7816348059368993E-6</v>
      </c>
      <c r="AM214" s="744">
        <f ca="1">AM192*Supplementary!$D138/1000</f>
        <v>1.8345613464776673E-3</v>
      </c>
      <c r="AN214" s="744">
        <f ca="1">AN192*Supplementary!$D138/1000</f>
        <v>5.2166421584129997E-6</v>
      </c>
      <c r="AO214" s="744">
        <f ca="1">AO192*Supplementary!$D138/1000</f>
        <v>0</v>
      </c>
      <c r="AP214" s="744">
        <f ca="1">AP192*Supplementary!$D138/1000</f>
        <v>0</v>
      </c>
    </row>
    <row r="215" spans="4:42" s="664" customFormat="1" outlineLevel="1">
      <c r="D215" s="682" t="s">
        <v>28</v>
      </c>
      <c r="E215" s="694" t="s">
        <v>68</v>
      </c>
      <c r="F215" s="744">
        <f ca="1">F193*Supplementary!$D139/1000</f>
        <v>0</v>
      </c>
      <c r="G215" s="744">
        <f ca="1">G193*Supplementary!$D139/1000</f>
        <v>0</v>
      </c>
      <c r="H215" s="744">
        <f ca="1">H193*Supplementary!$D139/1000</f>
        <v>0</v>
      </c>
      <c r="I215" s="744">
        <f ca="1">I193*Supplementary!$D139/1000</f>
        <v>0</v>
      </c>
      <c r="J215" s="744">
        <f ca="1">J193*Supplementary!$D139/1000</f>
        <v>0</v>
      </c>
      <c r="K215" s="744">
        <f ca="1">K193*Supplementary!$D139/1000</f>
        <v>0</v>
      </c>
      <c r="L215" s="744">
        <f ca="1">L193*Supplementary!$D139/1000</f>
        <v>0</v>
      </c>
      <c r="M215" s="744">
        <f ca="1">M193*Supplementary!$D139/1000</f>
        <v>0</v>
      </c>
      <c r="N215" s="744">
        <f ca="1">N193*Supplementary!$D139/1000</f>
        <v>0</v>
      </c>
      <c r="O215" s="744">
        <f ca="1">O193*Supplementary!$D139/1000</f>
        <v>0</v>
      </c>
      <c r="P215" s="744">
        <f ca="1">P193*Supplementary!$D139/1000</f>
        <v>0</v>
      </c>
      <c r="Q215" s="744">
        <f ca="1">Q193*Supplementary!$D139/1000</f>
        <v>0</v>
      </c>
      <c r="R215" s="744">
        <f ca="1">R193*Supplementary!$D139/1000</f>
        <v>0</v>
      </c>
      <c r="S215" s="744">
        <f ca="1">S193*Supplementary!$D139/1000</f>
        <v>0</v>
      </c>
      <c r="T215" s="744">
        <f ca="1">T193*Supplementary!$D139/1000</f>
        <v>0</v>
      </c>
      <c r="U215" s="744">
        <f ca="1">U193*Supplementary!$D139/1000</f>
        <v>0</v>
      </c>
      <c r="V215" s="744">
        <f ca="1">V193*Supplementary!$D139/1000</f>
        <v>0</v>
      </c>
      <c r="W215" s="744">
        <f ca="1">W193*Supplementary!$D139/1000</f>
        <v>0</v>
      </c>
      <c r="X215" s="744">
        <f ca="1">X193*Supplementary!$D139/1000</f>
        <v>0</v>
      </c>
      <c r="Y215" s="744">
        <f ca="1">Y193*Supplementary!$D139/1000</f>
        <v>0</v>
      </c>
      <c r="Z215" s="744">
        <f ca="1">Z193*Supplementary!$D139/1000</f>
        <v>0</v>
      </c>
      <c r="AA215" s="744">
        <f ca="1">AA193*Supplementary!$D139/1000</f>
        <v>0</v>
      </c>
      <c r="AB215" s="744">
        <f ca="1">AB193*Supplementary!$D139/1000</f>
        <v>0</v>
      </c>
      <c r="AC215" s="744">
        <f ca="1">AC193*Supplementary!$D139/1000</f>
        <v>0</v>
      </c>
      <c r="AD215" s="744">
        <f ca="1">AD193*Supplementary!$D139/1000</f>
        <v>0</v>
      </c>
      <c r="AE215" s="744">
        <f ca="1">AE193*Supplementary!$D139/1000</f>
        <v>0</v>
      </c>
      <c r="AF215" s="744">
        <f ca="1">AF193*Supplementary!$D139/1000</f>
        <v>0</v>
      </c>
      <c r="AG215" s="744">
        <f ca="1">AG193*Supplementary!$D139/1000</f>
        <v>7.0991431598251377E-4</v>
      </c>
      <c r="AH215" s="744">
        <f ca="1">AH193*Supplementary!$D139/1000</f>
        <v>7.0991431598251377E-4</v>
      </c>
      <c r="AI215" s="744">
        <f ca="1">AI193*Supplementary!$D139/1000</f>
        <v>9.1292910611068311E-4</v>
      </c>
      <c r="AJ215" s="744">
        <f ca="1">AJ193*Supplementary!$D139/1000</f>
        <v>7.0991431598251377E-4</v>
      </c>
      <c r="AK215" s="744">
        <f ca="1">AK193*Supplementary!$D139/1000</f>
        <v>6.3867291615784031E-4</v>
      </c>
      <c r="AL215" s="744">
        <f ca="1">AL193*Supplementary!$D139/1000</f>
        <v>6.3867291615784031E-4</v>
      </c>
      <c r="AM215" s="744">
        <f ca="1">AM193*Supplementary!$D139/1000</f>
        <v>8.4670630446300247E-4</v>
      </c>
      <c r="AN215" s="744">
        <f ca="1">AN193*Supplementary!$D139/1000</f>
        <v>4.9128685858295393E-4</v>
      </c>
      <c r="AO215" s="744">
        <f ca="1">AO193*Supplementary!$D139/1000</f>
        <v>0</v>
      </c>
      <c r="AP215" s="744">
        <f ca="1">AP193*Supplementary!$D139/1000</f>
        <v>0</v>
      </c>
    </row>
    <row r="216" spans="4:42" s="664" customFormat="1" outlineLevel="1">
      <c r="D216" s="682" t="s">
        <v>26</v>
      </c>
      <c r="E216" s="694" t="s">
        <v>68</v>
      </c>
      <c r="F216" s="744">
        <f ca="1">IF(F$10="Blandet",F194*Supplementary!$D140/1000,IF(F$10="By",F194*Supplementary!$L140/1000,F194*Supplementary!$T140/1000))</f>
        <v>7.25867366926987E-4</v>
      </c>
      <c r="G216" s="744">
        <f ca="1">IF(G$10="Blandet",G194*Supplementary!$D140/1000,IF(G$10="By",G194*Supplementary!$L140/1000,G194*Supplementary!$T140/1000))</f>
        <v>0</v>
      </c>
      <c r="H216" s="744">
        <f ca="1">IF(H$10="Blandet",H194*Supplementary!$D140/1000,IF(H$10="By",H194*Supplementary!$L140/1000,H194*Supplementary!$T140/1000))</f>
        <v>0</v>
      </c>
      <c r="I216" s="744">
        <f ca="1">IF(I$10="Blandet",I194*Supplementary!$D140/1000,IF(I$10="By",I194*Supplementary!$L140/1000,I194*Supplementary!$T140/1000))</f>
        <v>0</v>
      </c>
      <c r="J216" s="744">
        <f ca="1">IF(J$10="Blandet",J194*Supplementary!$D140/1000,IF(J$10="By",J194*Supplementary!$L140/1000,J194*Supplementary!$T140/1000))</f>
        <v>0</v>
      </c>
      <c r="K216" s="744">
        <f ca="1">IF(K$10="Blandet",K194*Supplementary!$D140/1000,IF(K$10="By",K194*Supplementary!$L140/1000,K194*Supplementary!$T140/1000))</f>
        <v>0</v>
      </c>
      <c r="L216" s="744">
        <f ca="1">IF(L$10="Blandet",L194*Supplementary!$D140/1000,IF(L$10="By",L194*Supplementary!$L140/1000,L194*Supplementary!$T140/1000))</f>
        <v>0</v>
      </c>
      <c r="M216" s="744">
        <f ca="1">IF(M$10="Blandet",M194*Supplementary!$D140/1000,IF(M$10="By",M194*Supplementary!$L140/1000,M194*Supplementary!$T140/1000))</f>
        <v>0</v>
      </c>
      <c r="N216" s="744">
        <f ca="1">IF(N$10="Blandet",N194*Supplementary!$D140/1000,IF(N$10="By",N194*Supplementary!$L140/1000,N194*Supplementary!$T140/1000))</f>
        <v>0</v>
      </c>
      <c r="O216" s="744">
        <f ca="1">IF(O$10="Blandet",O194*Supplementary!$D140/1000,IF(O$10="By",O194*Supplementary!$L140/1000,O194*Supplementary!$T140/1000))</f>
        <v>0</v>
      </c>
      <c r="P216" s="744">
        <f ca="1">IF(P$10="Blandet",P194*Supplementary!$D140/1000,IF(P$10="By",P194*Supplementary!$L140/1000,P194*Supplementary!$T140/1000))</f>
        <v>0</v>
      </c>
      <c r="Q216" s="744">
        <f ca="1">IF(Q$10="Blandet",Q194*Supplementary!$D140/1000,IF(Q$10="By",Q194*Supplementary!$L140/1000,Q194*Supplementary!$T140/1000))</f>
        <v>0</v>
      </c>
      <c r="R216" s="744">
        <f ca="1">IF(R$10="Blandet",R194*Supplementary!$D140/1000,IF(R$10="By",R194*Supplementary!$L140/1000,R194*Supplementary!$T140/1000))</f>
        <v>0</v>
      </c>
      <c r="S216" s="744">
        <f ca="1">IF(S$10="Blandet",S194*Supplementary!$D140/1000,IF(S$10="By",S194*Supplementary!$L140/1000,S194*Supplementary!$T140/1000))</f>
        <v>0</v>
      </c>
      <c r="T216" s="744">
        <f ca="1">IF(T$10="Blandet",T194*Supplementary!$D140/1000,IF(T$10="By",T194*Supplementary!$L140/1000,T194*Supplementary!$T140/1000))</f>
        <v>144.74650331524302</v>
      </c>
      <c r="U216" s="744">
        <f ca="1">IF(U$10="Blandet",U194*Supplementary!$D140/1000,IF(U$10="By",U194*Supplementary!$L140/1000,U194*Supplementary!$T140/1000))</f>
        <v>0</v>
      </c>
      <c r="V216" s="744">
        <f ca="1">IF(V$10="Blandet",V194*Supplementary!$D140/1000,IF(V$10="By",V194*Supplementary!$L140/1000,V194*Supplementary!$T140/1000))</f>
        <v>0</v>
      </c>
      <c r="W216" s="744">
        <f ca="1">IF(W$10="Blandet",W194*Supplementary!$D140/1000,IF(W$10="By",W194*Supplementary!$L140/1000,W194*Supplementary!$T140/1000))</f>
        <v>2211.4393451099063</v>
      </c>
      <c r="X216" s="744">
        <f ca="1">IF(X$10="Blandet",X194*Supplementary!$D140/1000,IF(X$10="By",X194*Supplementary!$L140/1000,X194*Supplementary!$T140/1000))</f>
        <v>224.00804863662898</v>
      </c>
      <c r="Y216" s="744">
        <f ca="1">IF(Y$10="Blandet",Y194*Supplementary!$D140/1000,IF(Y$10="By",Y194*Supplementary!$L140/1000,Y194*Supplementary!$T140/1000))</f>
        <v>221.14393451099036</v>
      </c>
      <c r="Z216" s="744">
        <f ca="1">IF(Z$10="Blandet",Z194*Supplementary!$D140/1000,IF(Z$10="By",Z194*Supplementary!$L140/1000,Z194*Supplementary!$T140/1000))</f>
        <v>141.33139977498078</v>
      </c>
      <c r="AA216" s="744">
        <f ca="1">IF(AA$10="Blandet",AA194*Supplementary!$D140/1000,IF(AA$10="By",AA194*Supplementary!$L140/1000,AA194*Supplementary!$T140/1000))</f>
        <v>1.8355636998956718E-2</v>
      </c>
      <c r="AB216" s="744">
        <f ca="1">IF(AB$10="Blandet",AB194*Supplementary!$D140/1000,IF(AB$10="By",AB194*Supplementary!$L140/1000,AB194*Supplementary!$T140/1000))</f>
        <v>0</v>
      </c>
      <c r="AC216" s="744">
        <f ca="1">IF(AC$10="Blandet",AC194*Supplementary!$D140/1000,IF(AC$10="By",AC194*Supplementary!$L140/1000,AC194*Supplementary!$T140/1000))</f>
        <v>0</v>
      </c>
      <c r="AD216" s="744">
        <f ca="1">IF(AD$10="Blandet",AD194*Supplementary!$D140/1000,IF(AD$10="By",AD194*Supplementary!$L140/1000,AD194*Supplementary!$T140/1000))</f>
        <v>1.501824845369186E-2</v>
      </c>
      <c r="AE216" s="744">
        <f ca="1">IF(AE$10="Blandet",AE194*Supplementary!$D140/1000,IF(AE$10="By",AE194*Supplementary!$L140/1000,AE194*Supplementary!$T140/1000))</f>
        <v>0</v>
      </c>
      <c r="AF216" s="744">
        <f ca="1">IF(AF$10="Blandet",AF194*Supplementary!$D140/1000,IF(AF$10="By",AF194*Supplementary!$L140/1000,AF194*Supplementary!$T140/1000))</f>
        <v>1.5018248453691858E-3</v>
      </c>
      <c r="AG216" s="744">
        <f ca="1">IF(AG$10="Blandet",AG194*Supplementary!$D140/1000,IF(AG$10="By",AG194*Supplementary!$L140/1000,AG194*Supplementary!$T140/1000))</f>
        <v>7.8854858410257363E-3</v>
      </c>
      <c r="AH216" s="744">
        <f ca="1">IF(AH$10="Blandet",AH194*Supplementary!$D140/1000,IF(AH$10="By",AH194*Supplementary!$L140/1000,AH194*Supplementary!$T140/1000))</f>
        <v>1.1947493361954369E-3</v>
      </c>
      <c r="AI216" s="744">
        <f ca="1">IF(AI$10="Blandet",AI194*Supplementary!$D140/1000,IF(AI$10="By",AI194*Supplementary!$L140/1000,AI194*Supplementary!$T140/1000))</f>
        <v>1.6900540823869062E-3</v>
      </c>
      <c r="AJ216" s="744">
        <f ca="1">IF(AJ$10="Blandet",AJ194*Supplementary!$D140/1000,IF(AJ$10="By",AJ194*Supplementary!$L140/1000,AJ194*Supplementary!$T140/1000))</f>
        <v>1.3142242698149806E-3</v>
      </c>
      <c r="AK216" s="744">
        <f ca="1">IF(AK$10="Blandet",AK194*Supplementary!$D140/1000,IF(AK$10="By",AK194*Supplementary!$L140/1000,AK194*Supplementary!$T140/1000))</f>
        <v>8.3321364233342795E-3</v>
      </c>
      <c r="AL216" s="744">
        <f ca="1">IF(AL$10="Blandet",AL194*Supplementary!$D140/1000,IF(AL$10="By",AL194*Supplementary!$L140/1000,AL194*Supplementary!$T140/1000))</f>
        <v>1.3886647097867205E-3</v>
      </c>
      <c r="AM216" s="744">
        <f ca="1">IF(AM$10="Blandet",AM194*Supplementary!$D140/1000,IF(AM$10="By",AM194*Supplementary!$L140/1000,AM194*Supplementary!$T140/1000))</f>
        <v>1.8409911158204168E-3</v>
      </c>
      <c r="AN216" s="744">
        <f ca="1">IF(AN$10="Blandet",AN194*Supplementary!$D140/1000,IF(AN$10="By",AN194*Supplementary!$L140/1000,AN194*Supplementary!$T140/1000))</f>
        <v>6.4093357102571382E-3</v>
      </c>
      <c r="AO216" s="744">
        <f ca="1">IF(AO$10="Blandet",AO194*Supplementary!$D140/1000,IF(AO$10="By",AO194*Supplementary!$L140/1000,AO194*Supplementary!$T140/1000))</f>
        <v>142.89580863125661</v>
      </c>
      <c r="AP216" s="744">
        <f ca="1">IF(AP$10="Blandet",AP194*Supplementary!$D140/1000,IF(AP$10="By",AP194*Supplementary!$L140/1000,AP194*Supplementary!$T140/1000))</f>
        <v>0</v>
      </c>
    </row>
    <row r="217" spans="4:42" s="664" customFormat="1" outlineLevel="1">
      <c r="D217" s="682" t="s">
        <v>25</v>
      </c>
      <c r="E217" s="694" t="s">
        <v>68</v>
      </c>
      <c r="F217" s="744">
        <f ca="1">IF(F$10="Blandet",F195*Supplementary!$D141/1000,IF(F$10="By",F195*Supplementary!$L141/1000,F195*Supplementary!$T141/1000))</f>
        <v>8.2935691561604064E-3</v>
      </c>
      <c r="G217" s="744">
        <f ca="1">IF(G$10="Blandet",G195*Supplementary!$D141/1000,IF(G$10="By",G195*Supplementary!$L141/1000,G195*Supplementary!$T141/1000))</f>
        <v>2.8799999999999997E-3</v>
      </c>
      <c r="H217" s="744">
        <f ca="1">IF(H$10="Blandet",H195*Supplementary!$D141/1000,IF(H$10="By",H195*Supplementary!$L141/1000,H195*Supplementary!$T141/1000))</f>
        <v>2.8799999999999997E-3</v>
      </c>
      <c r="I217" s="744">
        <f ca="1">IF(I$10="Blandet",I195*Supplementary!$D141/1000,IF(I$10="By",I195*Supplementary!$L141/1000,I195*Supplementary!$T141/1000))</f>
        <v>2.8799999999999997E-3</v>
      </c>
      <c r="J217" s="744">
        <f ca="1">IF(J$10="Blandet",J195*Supplementary!$D141/1000,IF(J$10="By",J195*Supplementary!$L141/1000,J195*Supplementary!$T141/1000))</f>
        <v>2.8799999999999997E-3</v>
      </c>
      <c r="K217" s="744">
        <f ca="1">IF(K$10="Blandet",K195*Supplementary!$D141/1000,IF(K$10="By",K195*Supplementary!$L141/1000,K195*Supplementary!$T141/1000))</f>
        <v>8.2935691561604064E-3</v>
      </c>
      <c r="L217" s="744">
        <f ca="1">IF(L$10="Blandet",L195*Supplementary!$D141/1000,IF(L$10="By",L195*Supplementary!$L141/1000,L195*Supplementary!$T141/1000))</f>
        <v>8.2935691561604064E-3</v>
      </c>
      <c r="M217" s="744">
        <f ca="1">IF(M$10="Blandet",M195*Supplementary!$D141/1000,IF(M$10="By",M195*Supplementary!$L141/1000,M195*Supplementary!$T141/1000))</f>
        <v>8.2912435204938028E-3</v>
      </c>
      <c r="N217" s="744">
        <f ca="1">IF(N$10="Blandet",N195*Supplementary!$D141/1000,IF(N$10="By",N195*Supplementary!$L141/1000,N195*Supplementary!$T141/1000))</f>
        <v>2.8799999999999997E-3</v>
      </c>
      <c r="O217" s="744">
        <f ca="1">IF(O$10="Blandet",O195*Supplementary!$D141/1000,IF(O$10="By",O195*Supplementary!$L141/1000,O195*Supplementary!$T141/1000))</f>
        <v>2.8799999999999997E-3</v>
      </c>
      <c r="P217" s="744">
        <f ca="1">IF(P$10="Blandet",P195*Supplementary!$D141/1000,IF(P$10="By",P195*Supplementary!$L141/1000,P195*Supplementary!$T141/1000))</f>
        <v>0</v>
      </c>
      <c r="Q217" s="744">
        <f ca="1">IF(Q$10="Blandet",Q195*Supplementary!$D141/1000,IF(Q$10="By",Q195*Supplementary!$L141/1000,Q195*Supplementary!$T141/1000))</f>
        <v>0</v>
      </c>
      <c r="R217" s="744">
        <f ca="1">IF(R$10="Blandet",R195*Supplementary!$D141/1000,IF(R$10="By",R195*Supplementary!$L141/1000,R195*Supplementary!$T141/1000))</f>
        <v>0</v>
      </c>
      <c r="S217" s="744">
        <f ca="1">IF(S$10="Blandet",S195*Supplementary!$D141/1000,IF(S$10="By",S195*Supplementary!$L141/1000,S195*Supplementary!$T141/1000))</f>
        <v>0</v>
      </c>
      <c r="T217" s="744">
        <f ca="1">IF(T$10="Blandet",T195*Supplementary!$D141/1000,IF(T$10="By",T195*Supplementary!$L141/1000,T195*Supplementary!$T141/1000))</f>
        <v>95.308634087133242</v>
      </c>
      <c r="U217" s="744">
        <f ca="1">IF(U$10="Blandet",U195*Supplementary!$D141/1000,IF(U$10="By",U195*Supplementary!$L141/1000,U195*Supplementary!$T141/1000))</f>
        <v>1.4645650453676835</v>
      </c>
      <c r="V217" s="744">
        <f ca="1">IF(V$10="Blandet",V195*Supplementary!$D141/1000,IF(V$10="By",V195*Supplementary!$L141/1000,V195*Supplementary!$T141/1000))</f>
        <v>1.4645650453676835</v>
      </c>
      <c r="W217" s="744">
        <f ca="1">IF(W$10="Blandet",W195*Supplementary!$D141/1000,IF(W$10="By",W195*Supplementary!$L141/1000,W195*Supplementary!$T141/1000))</f>
        <v>147.49856232162875</v>
      </c>
      <c r="X217" s="744">
        <f ca="1">IF(X$10="Blandet",X195*Supplementary!$D141/1000,IF(X$10="By",X195*Supplementary!$L141/1000,X195*Supplementary!$T141/1000))</f>
        <v>147.49856232162878</v>
      </c>
      <c r="Y217" s="744">
        <f ca="1">IF(Y$10="Blandet",Y195*Supplementary!$D141/1000,IF(Y$10="By",Y195*Supplementary!$L141/1000,Y195*Supplementary!$T141/1000))</f>
        <v>147.49856232162878</v>
      </c>
      <c r="Z217" s="744">
        <f ca="1">IF(Z$10="Blandet",Z195*Supplementary!$D141/1000,IF(Z$10="By",Z195*Supplementary!$L141/1000,Z195*Supplementary!$T141/1000))</f>
        <v>24.583093720271442</v>
      </c>
      <c r="AA217" s="744">
        <f ca="1">IF(AA$10="Blandet",AA195*Supplementary!$D141/1000,IF(AA$10="By",AA195*Supplementary!$L141/1000,AA195*Supplementary!$T141/1000))</f>
        <v>2.6296746666666668</v>
      </c>
      <c r="AB217" s="744">
        <f ca="1">IF(AB$10="Blandet",AB195*Supplementary!$D141/1000,IF(AB$10="By",AB195*Supplementary!$L141/1000,AB195*Supplementary!$T141/1000))</f>
        <v>2.6296746666666668</v>
      </c>
      <c r="AC217" s="744">
        <f ca="1">IF(AC$10="Blandet",AC195*Supplementary!$D141/1000,IF(AC$10="By",AC195*Supplementary!$L141/1000,AC195*Supplementary!$T141/1000))</f>
        <v>0</v>
      </c>
      <c r="AD217" s="744">
        <f ca="1">IF(AD$10="Blandet",AD195*Supplementary!$D141/1000,IF(AD$10="By",AD195*Supplementary!$L141/1000,AD195*Supplementary!$T141/1000))</f>
        <v>2.0568837119999999</v>
      </c>
      <c r="AE217" s="744">
        <f ca="1">IF(AE$10="Blandet",AE195*Supplementary!$D141/1000,IF(AE$10="By",AE195*Supplementary!$L141/1000,AE195*Supplementary!$T141/1000))</f>
        <v>2.0568837119999999</v>
      </c>
      <c r="AF217" s="744">
        <f ca="1">IF(AF$10="Blandet",AF195*Supplementary!$D141/1000,IF(AF$10="By",AF195*Supplementary!$L141/1000,AF195*Supplementary!$T141/1000))</f>
        <v>2.0568837119999999</v>
      </c>
      <c r="AG217" s="744">
        <f ca="1">IF(AG$10="Blandet",AG195*Supplementary!$D141/1000,IF(AG$10="By",AG195*Supplementary!$L141/1000,AG195*Supplementary!$T141/1000))</f>
        <v>0.23649057583773819</v>
      </c>
      <c r="AH217" s="744">
        <f ca="1">IF(AH$10="Blandet",AH195*Supplementary!$D141/1000,IF(AH$10="By",AH195*Supplementary!$L141/1000,AH195*Supplementary!$T141/1000))</f>
        <v>0.28378869100528586</v>
      </c>
      <c r="AI217" s="744">
        <f ca="1">IF(AI$10="Blandet",AI195*Supplementary!$D141/1000,IF(AI$10="By",AI195*Supplementary!$L141/1000,AI195*Supplementary!$T141/1000))</f>
        <v>0.30411998341566748</v>
      </c>
      <c r="AJ217" s="744">
        <f ca="1">IF(AJ$10="Blandet",AJ195*Supplementary!$D141/1000,IF(AJ$10="By",AJ195*Supplementary!$L141/1000,AJ195*Supplementary!$T141/1000))</f>
        <v>0.23649057583773819</v>
      </c>
      <c r="AK217" s="744">
        <f ca="1">IF(AK$10="Blandet",AK195*Supplementary!$D141/1000,IF(AK$10="By",AK195*Supplementary!$L141/1000,AK195*Supplementary!$T141/1000))</f>
        <v>0.30167390514994302</v>
      </c>
      <c r="AL217" s="744">
        <f ca="1">IF(AL$10="Blandet",AL195*Supplementary!$D141/1000,IF(AL$10="By",AL195*Supplementary!$L141/1000,AL195*Supplementary!$T141/1000))</f>
        <v>0.30167390514994302</v>
      </c>
      <c r="AM217" s="744">
        <f ca="1">IF(AM$10="Blandet",AM195*Supplementary!$D141/1000,IF(AM$10="By",AM195*Supplementary!$L141/1000,AM195*Supplementary!$T141/1000))</f>
        <v>0.39993741854446258</v>
      </c>
      <c r="AN217" s="744">
        <f ca="1">IF(AN$10="Blandet",AN195*Supplementary!$D141/1000,IF(AN$10="By",AN195*Supplementary!$L141/1000,AN195*Supplementary!$T141/1000))</f>
        <v>0.23205685011534077</v>
      </c>
      <c r="AO217" s="744">
        <f ca="1">IF(AO$10="Blandet",AO195*Supplementary!$D141/1000,IF(AO$10="By",AO195*Supplementary!$L141/1000,AO195*Supplementary!$T141/1000))</f>
        <v>95.308634087133242</v>
      </c>
      <c r="AP217" s="744">
        <f ca="1">IF(AP$10="Blandet",AP195*Supplementary!$D141/1000,IF(AP$10="By",AP195*Supplementary!$L141/1000,AP195*Supplementary!$T141/1000))</f>
        <v>0</v>
      </c>
    </row>
    <row r="218" spans="4:42" s="664" customFormat="1" outlineLevel="1">
      <c r="D218" s="683" t="s">
        <v>45</v>
      </c>
      <c r="E218" s="684" t="s">
        <v>68</v>
      </c>
      <c r="F218" s="744">
        <f ca="1">IF(F$10="Blandet",F196*Supplementary!$D142/1000,IF(F$10="By",F196*Supplementary!$L142/1000,F196*Supplementary!$T142/1000))</f>
        <v>3.6988934474940409E-3</v>
      </c>
      <c r="G218" s="744">
        <f ca="1">IF(G$10="Blandet",G196*Supplementary!$D142/1000,IF(G$10="By",G196*Supplementary!$L142/1000,G196*Supplementary!$T142/1000))</f>
        <v>3.8533999999999999E-3</v>
      </c>
      <c r="H218" s="744">
        <f ca="1">IF(H$10="Blandet",H196*Supplementary!$D142/1000,IF(H$10="By",H196*Supplementary!$L142/1000,H196*Supplementary!$T142/1000))</f>
        <v>3.8533999999999999E-3</v>
      </c>
      <c r="I218" s="744">
        <f ca="1">IF(I$10="Blandet",I196*Supplementary!$D142/1000,IF(I$10="By",I196*Supplementary!$L142/1000,I196*Supplementary!$T142/1000))</f>
        <v>3.8533999999999999E-3</v>
      </c>
      <c r="J218" s="744">
        <f ca="1">IF(J$10="Blandet",J196*Supplementary!$D142/1000,IF(J$10="By",J196*Supplementary!$L142/1000,J196*Supplementary!$T142/1000))</f>
        <v>3.8533999999999999E-3</v>
      </c>
      <c r="K218" s="744">
        <f ca="1">IF(K$10="Blandet",K196*Supplementary!$D142/1000,IF(K$10="By",K196*Supplementary!$L142/1000,K196*Supplementary!$T142/1000))</f>
        <v>3.6988934474940409E-3</v>
      </c>
      <c r="L218" s="744">
        <f ca="1">IF(L$10="Blandet",L196*Supplementary!$D142/1000,IF(L$10="By",L196*Supplementary!$L142/1000,L196*Supplementary!$T142/1000))</f>
        <v>3.6988934474940409E-3</v>
      </c>
      <c r="M218" s="744">
        <f ca="1">IF(M$10="Blandet",M196*Supplementary!$D142/1000,IF(M$10="By",M196*Supplementary!$L142/1000,M196*Supplementary!$T142/1000))</f>
        <v>3.6978562247535667E-3</v>
      </c>
      <c r="N218" s="744">
        <f ca="1">IF(N$10="Blandet",N196*Supplementary!$D142/1000,IF(N$10="By",N196*Supplementary!$L142/1000,N196*Supplementary!$T142/1000))</f>
        <v>3.8533999999999999E-3</v>
      </c>
      <c r="O218" s="744">
        <f ca="1">IF(O$10="Blandet",O196*Supplementary!$D142/1000,IF(O$10="By",O196*Supplementary!$L142/1000,O196*Supplementary!$T142/1000))</f>
        <v>3.8533999999999999E-3</v>
      </c>
      <c r="P218" s="744">
        <f ca="1">IF(P$10="Blandet",P196*Supplementary!$D142/1000,IF(P$10="By",P196*Supplementary!$L142/1000,P196*Supplementary!$T142/1000))</f>
        <v>0</v>
      </c>
      <c r="Q218" s="744">
        <f ca="1">IF(Q$10="Blandet",Q196*Supplementary!$D142/1000,IF(Q$10="By",Q196*Supplementary!$L142/1000,Q196*Supplementary!$T142/1000))</f>
        <v>0</v>
      </c>
      <c r="R218" s="744">
        <f ca="1">IF(R$10="Blandet",R196*Supplementary!$D142/1000,IF(R$10="By",R196*Supplementary!$L142/1000,R196*Supplementary!$T142/1000))</f>
        <v>0</v>
      </c>
      <c r="S218" s="744">
        <f ca="1">IF(S$10="Blandet",S196*Supplementary!$D142/1000,IF(S$10="By",S196*Supplementary!$L142/1000,S196*Supplementary!$T142/1000))</f>
        <v>0</v>
      </c>
      <c r="T218" s="744">
        <f ca="1">IF(T$10="Blandet",T196*Supplementary!$D142/1000,IF(T$10="By",T196*Supplementary!$L142/1000,T196*Supplementary!$T142/1000))</f>
        <v>85.263803816068545</v>
      </c>
      <c r="U218" s="744">
        <f ca="1">IF(U$10="Blandet",U196*Supplementary!$D142/1000,IF(U$10="By",U196*Supplementary!$L142/1000,U196*Supplementary!$T142/1000))</f>
        <v>0</v>
      </c>
      <c r="V218" s="744">
        <f ca="1">IF(V$10="Blandet",V196*Supplementary!$D142/1000,IF(V$10="By",V196*Supplementary!$L142/1000,V196*Supplementary!$T142/1000))</f>
        <v>0</v>
      </c>
      <c r="W218" s="744">
        <f ca="1">IF(W$10="Blandet",W196*Supplementary!$D142/1000,IF(W$10="By",W196*Supplementary!$L142/1000,W196*Supplementary!$T142/1000))</f>
        <v>361.55203322169126</v>
      </c>
      <c r="X218" s="744">
        <f ca="1">IF(X$10="Blandet",X196*Supplementary!$D142/1000,IF(X$10="By",X196*Supplementary!$L142/1000,X196*Supplementary!$T142/1000))</f>
        <v>131.95329679623777</v>
      </c>
      <c r="Y218" s="744">
        <f ca="1">IF(Y$10="Blandet",Y196*Supplementary!$D142/1000,IF(Y$10="By",Y196*Supplementary!$L142/1000,Y196*Supplementary!$T142/1000))</f>
        <v>131.95329679623777</v>
      </c>
      <c r="Z218" s="744">
        <f ca="1">IF(Z$10="Blandet",Z196*Supplementary!$D142/1000,IF(Z$10="By",Z196*Supplementary!$L142/1000,Z196*Supplementary!$T142/1000))</f>
        <v>20.010799136069117</v>
      </c>
      <c r="AA218" s="744">
        <f ca="1">IF(AA$10="Blandet",AA196*Supplementary!$D142/1000,IF(AA$10="By",AA196*Supplementary!$L142/1000,AA196*Supplementary!$T142/1000))</f>
        <v>0.84443236337777794</v>
      </c>
      <c r="AB218" s="744">
        <f ca="1">IF(AB$10="Blandet",AB196*Supplementary!$D142/1000,IF(AB$10="By",AB196*Supplementary!$L142/1000,AB196*Supplementary!$T142/1000))</f>
        <v>0.84443236337777794</v>
      </c>
      <c r="AC218" s="744">
        <f ca="1">IF(AC$10="Blandet",AC196*Supplementary!$D142/1000,IF(AC$10="By",AC196*Supplementary!$L142/1000,AC196*Supplementary!$T142/1000))</f>
        <v>0</v>
      </c>
      <c r="AD218" s="744">
        <f ca="1">IF(AD$10="Blandet",AD196*Supplementary!$D142/1000,IF(AD$10="By",AD196*Supplementary!$L142/1000,AD196*Supplementary!$T142/1000))</f>
        <v>0.33163161907200001</v>
      </c>
      <c r="AE218" s="744">
        <f ca="1">IF(AE$10="Blandet",AE196*Supplementary!$D142/1000,IF(AE$10="By",AE196*Supplementary!$L142/1000,AE196*Supplementary!$T142/1000))</f>
        <v>0.33163161907200001</v>
      </c>
      <c r="AF218" s="744">
        <f ca="1">IF(AF$10="Blandet",AF196*Supplementary!$D142/1000,IF(AF$10="By",AF196*Supplementary!$L142/1000,AF196*Supplementary!$T142/1000))</f>
        <v>0.33163161907200001</v>
      </c>
      <c r="AG218" s="744">
        <f ca="1">IF(AG$10="Blandet",AG196*Supplementary!$D142/1000,IF(AG$10="By",AG196*Supplementary!$L142/1000,AG196*Supplementary!$T142/1000))</f>
        <v>3.589176905539631E-2</v>
      </c>
      <c r="AH218" s="744">
        <f ca="1">IF(AH$10="Blandet",AH196*Supplementary!$D142/1000,IF(AH$10="By",AH196*Supplementary!$L142/1000,AH196*Supplementary!$T142/1000))</f>
        <v>3.589176905539631E-2</v>
      </c>
      <c r="AI218" s="744">
        <f ca="1">IF(AI$10="Blandet",AI196*Supplementary!$D142/1000,IF(AI$10="By",AI196*Supplementary!$L142/1000,AI196*Supplementary!$T142/1000))</f>
        <v>4.6155768242432685E-2</v>
      </c>
      <c r="AJ218" s="744">
        <f ca="1">IF(AJ$10="Blandet",AJ196*Supplementary!$D142/1000,IF(AJ$10="By",AJ196*Supplementary!$L142/1000,AJ196*Supplementary!$T142/1000))</f>
        <v>3.589176905539631E-2</v>
      </c>
      <c r="AK218" s="744">
        <f ca="1">IF(AK$10="Blandet",AK196*Supplementary!$D142/1000,IF(AK$10="By",AK196*Supplementary!$L142/1000,AK196*Supplementary!$T142/1000))</f>
        <v>3.7797302799332418E-2</v>
      </c>
      <c r="AL218" s="744">
        <f ca="1">IF(AL$10="Blandet",AL196*Supplementary!$D142/1000,IF(AL$10="By",AL196*Supplementary!$L142/1000,AL196*Supplementary!$T142/1000))</f>
        <v>3.7797302799332418E-2</v>
      </c>
      <c r="AM218" s="744">
        <f ca="1">IF(AM$10="Blandet",AM196*Supplementary!$D142/1000,IF(AM$10="By",AM196*Supplementary!$L142/1000,AM196*Supplementary!$T142/1000))</f>
        <v>5.0108927061473595E-2</v>
      </c>
      <c r="AN218" s="744">
        <f ca="1">IF(AN$10="Blandet",AN196*Supplementary!$D142/1000,IF(AN$10="By",AN196*Supplementary!$L142/1000,AN196*Supplementary!$T142/1000))</f>
        <v>2.9074848307178783E-2</v>
      </c>
      <c r="AO218" s="744">
        <f ca="1">IF(AO$10="Blandet",AO196*Supplementary!$D142/1000,IF(AO$10="By",AO196*Supplementary!$L142/1000,AO196*Supplementary!$T142/1000))</f>
        <v>85.263803816068545</v>
      </c>
      <c r="AP218" s="744">
        <f ca="1">IF(AP$10="Blandet",AP196*Supplementary!$D142/1000,IF(AP$10="By",AP196*Supplementary!$L142/1000,AP196*Supplementary!$T142/1000))</f>
        <v>0</v>
      </c>
    </row>
    <row r="219" spans="4:42" s="664" customFormat="1" outlineLevel="1">
      <c r="D219" s="682" t="s">
        <v>548</v>
      </c>
      <c r="E219" s="694" t="s">
        <v>68</v>
      </c>
      <c r="F219" s="744">
        <f>F209</f>
        <v>4.7831203651892855E-2</v>
      </c>
      <c r="G219" s="744">
        <f t="shared" ref="G219:AN219" si="206">G209</f>
        <v>4.7831203651892855E-2</v>
      </c>
      <c r="H219" s="744">
        <f t="shared" si="206"/>
        <v>4.7831203651892855E-2</v>
      </c>
      <c r="I219" s="744">
        <f t="shared" si="206"/>
        <v>4.7831203651892855E-2</v>
      </c>
      <c r="J219" s="744">
        <f t="shared" si="206"/>
        <v>4.7831203651892855E-2</v>
      </c>
      <c r="K219" s="744">
        <f t="shared" si="206"/>
        <v>4.7831203651892855E-2</v>
      </c>
      <c r="L219" s="744">
        <f t="shared" si="206"/>
        <v>4.7831203651892855E-2</v>
      </c>
      <c r="M219" s="744">
        <f t="shared" si="206"/>
        <v>4.7831203651892855E-2</v>
      </c>
      <c r="N219" s="744">
        <f t="shared" si="206"/>
        <v>4.7831203651892855E-2</v>
      </c>
      <c r="O219" s="744">
        <f t="shared" si="206"/>
        <v>4.7831203651892855E-2</v>
      </c>
      <c r="P219" s="744">
        <f t="shared" si="206"/>
        <v>1.7876115952265414E-2</v>
      </c>
      <c r="Q219" s="744">
        <f t="shared" si="206"/>
        <v>1.7876115952265414E-2</v>
      </c>
      <c r="R219" s="744">
        <f t="shared" si="206"/>
        <v>1.7876115952265414E-2</v>
      </c>
      <c r="S219" s="744">
        <f t="shared" si="206"/>
        <v>2.3915601825946427E-2</v>
      </c>
      <c r="T219" s="744">
        <f t="shared" si="206"/>
        <v>0</v>
      </c>
      <c r="U219" s="744">
        <f t="shared" si="206"/>
        <v>0</v>
      </c>
      <c r="V219" s="744">
        <f t="shared" si="206"/>
        <v>0</v>
      </c>
      <c r="W219" s="744">
        <f t="shared" si="206"/>
        <v>0</v>
      </c>
      <c r="X219" s="744">
        <f t="shared" si="206"/>
        <v>0</v>
      </c>
      <c r="Y219" s="744">
        <f t="shared" si="206"/>
        <v>0</v>
      </c>
      <c r="Z219" s="744">
        <f t="shared" si="206"/>
        <v>0</v>
      </c>
      <c r="AA219" s="744">
        <f t="shared" si="206"/>
        <v>0</v>
      </c>
      <c r="AB219" s="744">
        <f t="shared" si="206"/>
        <v>0</v>
      </c>
      <c r="AC219" s="744">
        <f t="shared" si="206"/>
        <v>0</v>
      </c>
      <c r="AD219" s="744">
        <f t="shared" si="206"/>
        <v>0</v>
      </c>
      <c r="AE219" s="744">
        <f t="shared" si="206"/>
        <v>0</v>
      </c>
      <c r="AF219" s="744">
        <f t="shared" si="206"/>
        <v>0</v>
      </c>
      <c r="AG219" s="744">
        <f t="shared" si="206"/>
        <v>9.7319147366558043E-2</v>
      </c>
      <c r="AH219" s="744">
        <f t="shared" si="206"/>
        <v>9.7319147366558043E-2</v>
      </c>
      <c r="AI219" s="744">
        <f t="shared" si="206"/>
        <v>9.7319147366558043E-2</v>
      </c>
      <c r="AJ219" s="744">
        <f t="shared" si="206"/>
        <v>9.7319147366558043E-2</v>
      </c>
      <c r="AK219" s="744">
        <f t="shared" si="206"/>
        <v>9.7319147366558043E-2</v>
      </c>
      <c r="AL219" s="744">
        <f t="shared" si="206"/>
        <v>9.7319147366558043E-2</v>
      </c>
      <c r="AM219" s="744">
        <f t="shared" si="206"/>
        <v>9.7319147366558043E-2</v>
      </c>
      <c r="AN219" s="744">
        <f t="shared" si="206"/>
        <v>9.7319147366558043E-2</v>
      </c>
      <c r="AO219" s="744">
        <f t="shared" ref="AO219:AP219" si="207">AO209</f>
        <v>0</v>
      </c>
      <c r="AP219" s="744">
        <f t="shared" si="207"/>
        <v>1.7876115952265414E-2</v>
      </c>
    </row>
    <row r="220" spans="4:42" s="664" customFormat="1" outlineLevel="1">
      <c r="D220" s="679" t="s">
        <v>69</v>
      </c>
      <c r="E220" s="671" t="s">
        <v>68</v>
      </c>
      <c r="F220" s="2455">
        <f ca="1">SUM(F213:F219)</f>
        <v>6.6359847873011635E-2</v>
      </c>
      <c r="G220" s="2455">
        <f t="shared" ref="G220:AN220" ca="1" si="208">SUM(G213:G219)</f>
        <v>6.2267947095846293E-2</v>
      </c>
      <c r="H220" s="2455">
        <f t="shared" ca="1" si="208"/>
        <v>5.6213791427356968E-2</v>
      </c>
      <c r="I220" s="2455">
        <f t="shared" ca="1" si="208"/>
        <v>5.6213791427356968E-2</v>
      </c>
      <c r="J220" s="2455">
        <f t="shared" ca="1" si="208"/>
        <v>5.6213791427356968E-2</v>
      </c>
      <c r="K220" s="2455">
        <f t="shared" ca="1" si="208"/>
        <v>5.9883443151128965E-2</v>
      </c>
      <c r="L220" s="2455">
        <f t="shared" ca="1" si="208"/>
        <v>5.9883443151128965E-2</v>
      </c>
      <c r="M220" s="2455">
        <f t="shared" ca="1" si="208"/>
        <v>5.9880063530423557E-2</v>
      </c>
      <c r="N220" s="2455">
        <f t="shared" ca="1" si="208"/>
        <v>6.1237861956469547E-2</v>
      </c>
      <c r="O220" s="2455">
        <f t="shared" ca="1" si="208"/>
        <v>5.4671358801872141E-2</v>
      </c>
      <c r="P220" s="2455">
        <f t="shared" ca="1" si="208"/>
        <v>1.7876115952265414E-2</v>
      </c>
      <c r="Q220" s="2455">
        <f t="shared" ca="1" si="208"/>
        <v>1.7876115952265414E-2</v>
      </c>
      <c r="R220" s="2455">
        <f t="shared" ca="1" si="208"/>
        <v>1.7876115952265414E-2</v>
      </c>
      <c r="S220" s="2455">
        <f t="shared" ca="1" si="208"/>
        <v>2.8278889392158391E-2</v>
      </c>
      <c r="T220" s="2492">
        <f t="shared" ca="1" si="208"/>
        <v>340.9213485744026</v>
      </c>
      <c r="U220" s="2492">
        <f t="shared" ca="1" si="208"/>
        <v>1.8242362018596252</v>
      </c>
      <c r="V220" s="2492">
        <f t="shared" ca="1" si="208"/>
        <v>1.4645650453676835</v>
      </c>
      <c r="W220" s="2492">
        <f t="shared" ca="1" si="208"/>
        <v>2746.2349134759797</v>
      </c>
      <c r="X220" s="2492">
        <f t="shared" ca="1" si="208"/>
        <v>527.60601661233784</v>
      </c>
      <c r="Y220" s="2492">
        <f t="shared" ca="1" si="208"/>
        <v>500.59579362885688</v>
      </c>
      <c r="Z220" s="2492">
        <f t="shared" ca="1" si="208"/>
        <v>206.88536800903373</v>
      </c>
      <c r="AA220" s="2455">
        <f t="shared" ca="1" si="208"/>
        <v>3.6378814874036296</v>
      </c>
      <c r="AB220" s="2455">
        <f t="shared" ca="1" si="208"/>
        <v>3.4741070300444448</v>
      </c>
      <c r="AC220" s="2455">
        <f t="shared" ca="1" si="208"/>
        <v>0</v>
      </c>
      <c r="AD220" s="2455">
        <f t="shared" ca="1" si="208"/>
        <v>2.5225126143658785</v>
      </c>
      <c r="AE220" s="2455">
        <f t="shared" ca="1" si="208"/>
        <v>2.388515331072</v>
      </c>
      <c r="AF220" s="2455">
        <f t="shared" ca="1" si="208"/>
        <v>2.4840202403898877</v>
      </c>
      <c r="AG220" s="2455">
        <f t="shared" ca="1" si="208"/>
        <v>0.43036640885035909</v>
      </c>
      <c r="AH220" s="2455">
        <f t="shared" ca="1" si="208"/>
        <v>0.41891429723124751</v>
      </c>
      <c r="AI220" s="2455">
        <f t="shared" ca="1" si="208"/>
        <v>0.50367953981749958</v>
      </c>
      <c r="AJ220" s="2455">
        <f t="shared" ca="1" si="208"/>
        <v>0.37173565699731936</v>
      </c>
      <c r="AK220" s="2455">
        <f t="shared" ca="1" si="208"/>
        <v>0.50077619611802293</v>
      </c>
      <c r="AL220" s="2455">
        <f t="shared" ca="1" si="208"/>
        <v>0.43882447457658397</v>
      </c>
      <c r="AM220" s="2455">
        <f t="shared" ca="1" si="208"/>
        <v>0.6078042199781839</v>
      </c>
      <c r="AN220" s="2455">
        <f t="shared" ca="1" si="208"/>
        <v>0.40767072332922333</v>
      </c>
      <c r="AO220" s="2455">
        <f t="shared" ref="AO220:AP220" ca="1" si="209">SUM(AO213:AO219)</f>
        <v>323.46824653445839</v>
      </c>
      <c r="AP220" s="2455">
        <f t="shared" ca="1" si="209"/>
        <v>1.7876115952265414E-2</v>
      </c>
    </row>
    <row r="221" spans="4:42" s="664" customFormat="1" outlineLevel="1">
      <c r="D221" s="682" t="s">
        <v>2612</v>
      </c>
      <c r="E221" s="694" t="s">
        <v>68</v>
      </c>
      <c r="F221" s="2490">
        <f ca="1">F220/F210</f>
        <v>0.93371862914252146</v>
      </c>
      <c r="G221" s="2490">
        <f t="shared" ref="G221:AN221" ca="1" si="210">G220/G210</f>
        <v>0.90605661847430297</v>
      </c>
      <c r="H221" s="2490">
        <f t="shared" ca="1" si="210"/>
        <v>0.54789037872105384</v>
      </c>
      <c r="I221" s="2490">
        <f t="shared" ca="1" si="210"/>
        <v>0.53265928818093389</v>
      </c>
      <c r="J221" s="2490">
        <f t="shared" ca="1" si="210"/>
        <v>1.009816527802567</v>
      </c>
      <c r="K221" s="2490">
        <f t="shared" ca="1" si="210"/>
        <v>0.59791924231075444</v>
      </c>
      <c r="L221" s="2490">
        <f t="shared" ca="1" si="210"/>
        <v>1.0495412565289197</v>
      </c>
      <c r="M221" s="2490">
        <f t="shared" ca="1" si="210"/>
        <v>1.1002935277457118</v>
      </c>
      <c r="N221" s="2490">
        <f t="shared" ca="1" si="210"/>
        <v>0.98016316601224951</v>
      </c>
      <c r="O221" s="2490">
        <f t="shared" ca="1" si="210"/>
        <v>1.0167002500623195</v>
      </c>
      <c r="P221" s="2490">
        <f t="shared" ca="1" si="210"/>
        <v>0.95744229380654367</v>
      </c>
      <c r="Q221" s="2490">
        <f t="shared" ca="1" si="210"/>
        <v>0.81043181524583097</v>
      </c>
      <c r="R221" s="2490">
        <f t="shared" ca="1" si="210"/>
        <v>0.885306374626457</v>
      </c>
      <c r="S221" s="2490">
        <f t="shared" ca="1" si="210"/>
        <v>0.85834689173572054</v>
      </c>
      <c r="T221" s="2490">
        <f t="shared" ca="1" si="210"/>
        <v>0.96386516221392904</v>
      </c>
      <c r="U221" s="2490">
        <f t="shared" ca="1" si="210"/>
        <v>0.84920033882578427</v>
      </c>
      <c r="V221" s="2490">
        <f t="shared" ca="1" si="210"/>
        <v>1.4966305212521758</v>
      </c>
      <c r="W221" s="2490">
        <f t="shared" ca="1" si="210"/>
        <v>0.99432117671550824</v>
      </c>
      <c r="X221" s="2490">
        <f t="shared" ca="1" si="210"/>
        <v>0.96386516221392904</v>
      </c>
      <c r="Y221" s="2490">
        <f t="shared" ca="1" si="210"/>
        <v>1.0242854868564315</v>
      </c>
      <c r="Z221" s="2490">
        <f t="shared" ca="1" si="210"/>
        <v>0.95281463912692677</v>
      </c>
      <c r="AA221" s="2490">
        <f t="shared" ca="1" si="210"/>
        <v>0.96829327419428013</v>
      </c>
      <c r="AB221" s="2490">
        <f t="shared" ca="1" si="210"/>
        <v>1.0210073923463356</v>
      </c>
      <c r="AC221" s="2490">
        <f t="shared" ca="1" si="210"/>
        <v>0</v>
      </c>
      <c r="AD221" s="2490">
        <f t="shared" ca="1" si="210"/>
        <v>0.9627997816367968</v>
      </c>
      <c r="AE221" s="2490">
        <f t="shared" ca="1" si="210"/>
        <v>1.0251000448658729</v>
      </c>
      <c r="AF221" s="2490">
        <f t="shared" ca="1" si="210"/>
        <v>0.98014723177082064</v>
      </c>
      <c r="AG221" s="2490">
        <f t="shared" ca="1" si="210"/>
        <v>0.90984281817844648</v>
      </c>
      <c r="AH221" s="2490">
        <f t="shared" ca="1" si="210"/>
        <v>0.53468799586981763</v>
      </c>
      <c r="AI221" s="2490">
        <f t="shared" ca="1" si="210"/>
        <v>0.98112791821289125</v>
      </c>
      <c r="AJ221" s="2490">
        <f t="shared" ca="1" si="210"/>
        <v>1.1438557132264655</v>
      </c>
      <c r="AK221" s="2490">
        <f t="shared" ca="1" si="210"/>
        <v>0.91744618274560574</v>
      </c>
      <c r="AL221" s="2490">
        <f t="shared" ca="1" si="210"/>
        <v>0.53253205593606034</v>
      </c>
      <c r="AM221" s="2490">
        <f t="shared" ca="1" si="210"/>
        <v>0.98293289986394172</v>
      </c>
      <c r="AN221" s="2490">
        <f t="shared" ca="1" si="210"/>
        <v>0.92163763025806966</v>
      </c>
      <c r="AO221" s="2490">
        <f t="shared" ref="AO221:AP221" ca="1" si="211">AO220/AO210</f>
        <v>1.0242854868564313</v>
      </c>
      <c r="AP221" s="2490">
        <f t="shared" ca="1" si="211"/>
        <v>0.70784527138277054</v>
      </c>
    </row>
    <row r="222" spans="4:42" s="664" customFormat="1" outlineLevel="1">
      <c r="D222" s="682" t="s">
        <v>2611</v>
      </c>
      <c r="E222" s="694" t="s">
        <v>68</v>
      </c>
      <c r="F222" s="2490">
        <f ca="1">SUM(F213:F218)/SUM(F203:F208)</f>
        <v>0.79729806000789349</v>
      </c>
      <c r="G222" s="2490">
        <f t="shared" ref="G222:AN222" ca="1" si="212">SUM(G213:G218)/SUM(G203:G208)</f>
        <v>0.69098735048272353</v>
      </c>
      <c r="H222" s="2490">
        <f t="shared" ca="1" si="212"/>
        <v>0.1530528638539207</v>
      </c>
      <c r="I222" s="2490">
        <f t="shared" ca="1" si="212"/>
        <v>0.14527118116710719</v>
      </c>
      <c r="J222" s="2490">
        <f t="shared" ca="1" si="212"/>
        <v>1.0697359610218939</v>
      </c>
      <c r="K222" s="2490">
        <f t="shared" ca="1" si="212"/>
        <v>0.23034807632556126</v>
      </c>
      <c r="L222" s="2490">
        <f t="shared" ca="1" si="212"/>
        <v>1.306394399268261</v>
      </c>
      <c r="M222" s="2490">
        <f t="shared" ca="1" si="212"/>
        <v>1.8281620914265249</v>
      </c>
      <c r="N222" s="2490">
        <f t="shared" ca="1" si="212"/>
        <v>0.91537966861472231</v>
      </c>
      <c r="O222" s="2490">
        <f t="shared" ca="1" si="212"/>
        <v>1.1511290582995726</v>
      </c>
      <c r="P222" s="2490">
        <f t="shared" ca="1" si="212"/>
        <v>0</v>
      </c>
      <c r="Q222" s="2490">
        <f t="shared" ca="1" si="212"/>
        <v>0</v>
      </c>
      <c r="R222" s="2490">
        <f t="shared" ca="1" si="212"/>
        <v>0</v>
      </c>
      <c r="S222" s="2490">
        <f t="shared" ca="1" si="212"/>
        <v>0.48319068323725423</v>
      </c>
      <c r="T222" s="2490">
        <f t="shared" ca="1" si="212"/>
        <v>0.96386516221392904</v>
      </c>
      <c r="U222" s="2490">
        <f t="shared" ca="1" si="212"/>
        <v>0.84920033882578427</v>
      </c>
      <c r="V222" s="2490">
        <f t="shared" ca="1" si="212"/>
        <v>1.4966305212521758</v>
      </c>
      <c r="W222" s="2490">
        <f t="shared" ca="1" si="212"/>
        <v>0.99432117671550824</v>
      </c>
      <c r="X222" s="2490">
        <f t="shared" ca="1" si="212"/>
        <v>0.96386516221392904</v>
      </c>
      <c r="Y222" s="2490">
        <f t="shared" ca="1" si="212"/>
        <v>1.0242854868564315</v>
      </c>
      <c r="Z222" s="2490">
        <f t="shared" ca="1" si="212"/>
        <v>0.95281463912692677</v>
      </c>
      <c r="AA222" s="2490">
        <f t="shared" ca="1" si="212"/>
        <v>0.96829327419428013</v>
      </c>
      <c r="AB222" s="2490">
        <f t="shared" ca="1" si="212"/>
        <v>1.0210073923463356</v>
      </c>
      <c r="AC222" s="2490">
        <f t="shared" ca="1" si="212"/>
        <v>0</v>
      </c>
      <c r="AD222" s="2490">
        <f t="shared" ca="1" si="212"/>
        <v>0.9627997816367968</v>
      </c>
      <c r="AE222" s="2490">
        <f t="shared" ca="1" si="212"/>
        <v>1.0251000448658729</v>
      </c>
      <c r="AF222" s="2490">
        <f t="shared" ca="1" si="212"/>
        <v>0.98014723177082064</v>
      </c>
      <c r="AG222" s="2490">
        <f t="shared" ca="1" si="212"/>
        <v>0.88648856970831269</v>
      </c>
      <c r="AH222" s="2490">
        <f t="shared" ca="1" si="212"/>
        <v>0.46869159829926593</v>
      </c>
      <c r="AI222" s="2490">
        <f t="shared" ca="1" si="212"/>
        <v>0.97671349544814823</v>
      </c>
      <c r="AJ222" s="2490">
        <f t="shared" ca="1" si="212"/>
        <v>1.205349041668337</v>
      </c>
      <c r="AK222" s="2490">
        <f t="shared" ca="1" si="212"/>
        <v>0.89953370805241828</v>
      </c>
      <c r="AL222" s="2490">
        <f t="shared" ca="1" si="212"/>
        <v>0.46993035330993932</v>
      </c>
      <c r="AM222" s="2490">
        <f t="shared" ca="1" si="212"/>
        <v>0.97974512167743233</v>
      </c>
      <c r="AN222" s="2490">
        <f t="shared" ca="1" si="212"/>
        <v>0.89953370805241828</v>
      </c>
      <c r="AO222" s="2490">
        <f t="shared" ref="AO222:AP222" ca="1" si="213">SUM(AO213:AO218)/SUM(AO203:AO208)</f>
        <v>1.0242854868564313</v>
      </c>
      <c r="AP222" s="2490">
        <f t="shared" ca="1" si="213"/>
        <v>0</v>
      </c>
    </row>
    <row r="223" spans="4:42" s="664" customFormat="1" outlineLevel="1">
      <c r="D223" s="683" t="s">
        <v>2613</v>
      </c>
      <c r="E223" s="684" t="s">
        <v>68</v>
      </c>
      <c r="F223" s="2491">
        <f ca="1">SUM(F216:F218)/SUM(F206:F208)</f>
        <v>0.75941907607964443</v>
      </c>
      <c r="G223" s="2491">
        <f t="shared" ref="G223:AN223" ca="1" si="214">SUM(G216:G218)/SUM(G206:G208)</f>
        <v>0.54939422473397104</v>
      </c>
      <c r="H223" s="2491">
        <f t="shared" ca="1" si="214"/>
        <v>0.30518402591423133</v>
      </c>
      <c r="I223" s="2491">
        <f t="shared" ca="1" si="214"/>
        <v>0.40208223491705719</v>
      </c>
      <c r="J223" s="2491">
        <f t="shared" ca="1" si="214"/>
        <v>1.0685133566238423</v>
      </c>
      <c r="K223" s="2491">
        <f t="shared" ca="1" si="214"/>
        <v>0.47714352534704291</v>
      </c>
      <c r="L223" s="2491">
        <f t="shared" ca="1" si="214"/>
        <v>1.0487119018411655</v>
      </c>
      <c r="M223" s="2491">
        <f t="shared" ca="1" si="214"/>
        <v>1.3420430999412156</v>
      </c>
      <c r="N223" s="2491">
        <f t="shared" ca="1" si="214"/>
        <v>0.92880701709534264</v>
      </c>
      <c r="O223" s="2491">
        <f t="shared" ca="1" si="214"/>
        <v>0.56783057289847216</v>
      </c>
      <c r="P223" s="2491">
        <f t="shared" ca="1" si="214"/>
        <v>0</v>
      </c>
      <c r="Q223" s="2491">
        <f t="shared" ca="1" si="214"/>
        <v>0</v>
      </c>
      <c r="R223" s="2491">
        <f t="shared" ca="1" si="214"/>
        <v>0</v>
      </c>
      <c r="S223" s="2491">
        <f t="shared" ca="1" si="214"/>
        <v>0</v>
      </c>
      <c r="T223" s="2491">
        <f t="shared" ca="1" si="214"/>
        <v>0.96748904954722648</v>
      </c>
      <c r="U223" s="2491">
        <f t="shared" ca="1" si="214"/>
        <v>0.84091552829632676</v>
      </c>
      <c r="V223" s="2491">
        <f t="shared" ca="1" si="214"/>
        <v>1.0256547080211198</v>
      </c>
      <c r="W223" s="2491">
        <f t="shared" ca="1" si="214"/>
        <v>0.99509219163130314</v>
      </c>
      <c r="X223" s="2491">
        <f t="shared" ca="1" si="214"/>
        <v>0.96748904954722625</v>
      </c>
      <c r="Y223" s="2491">
        <f t="shared" ca="1" si="214"/>
        <v>1.0046943205122085</v>
      </c>
      <c r="Z223" s="2491">
        <f t="shared" ca="1" si="214"/>
        <v>0.9744731198029829</v>
      </c>
      <c r="AA223" s="2491">
        <f t="shared" ca="1" si="214"/>
        <v>0.97165336258742996</v>
      </c>
      <c r="AB223" s="2491">
        <f t="shared" ca="1" si="214"/>
        <v>1.0040711842691197</v>
      </c>
      <c r="AC223" s="2491">
        <f t="shared" ca="1" si="214"/>
        <v>0</v>
      </c>
      <c r="AD223" s="2491">
        <f t="shared" ca="1" si="214"/>
        <v>0.96647922012013543</v>
      </c>
      <c r="AE223" s="2491">
        <f t="shared" ca="1" si="214"/>
        <v>1.0048486618813555</v>
      </c>
      <c r="AF223" s="2491">
        <f t="shared" ca="1" si="214"/>
        <v>0.98944585464908352</v>
      </c>
      <c r="AG223" s="2491">
        <f t="shared" ca="1" si="214"/>
        <v>0.88484208910926088</v>
      </c>
      <c r="AH223" s="2491">
        <f t="shared" ca="1" si="214"/>
        <v>0.7295203676855283</v>
      </c>
      <c r="AI223" s="2491">
        <f t="shared" ca="1" si="214"/>
        <v>0.9886668638085564</v>
      </c>
      <c r="AJ223" s="2491">
        <f t="shared" ca="1" si="214"/>
        <v>1.1057369827632606</v>
      </c>
      <c r="AK223" s="2491">
        <f t="shared" ca="1" si="214"/>
        <v>0.90024056147977438</v>
      </c>
      <c r="AL223" s="2491">
        <f t="shared" ca="1" si="214"/>
        <v>0.73056944131941648</v>
      </c>
      <c r="AM223" s="2491">
        <f t="shared" ca="1" si="214"/>
        <v>0.99036796383483383</v>
      </c>
      <c r="AN223" s="2491">
        <f t="shared" ca="1" si="214"/>
        <v>0.90024056147977416</v>
      </c>
      <c r="AO223" s="2491">
        <f t="shared" ref="AO223:AP223" ca="1" si="215">SUM(AO216:AO218)/SUM(AO206:AO208)</f>
        <v>1.0046943205122081</v>
      </c>
      <c r="AP223" s="2491">
        <f t="shared" ca="1" si="215"/>
        <v>0</v>
      </c>
    </row>
    <row r="224" spans="4:42" s="664" customFormat="1">
      <c r="D224" s="666"/>
      <c r="E224" s="667"/>
    </row>
    <row r="225" spans="1:51" s="690" customFormat="1" ht="18.75">
      <c r="A225" s="689" t="s">
        <v>337</v>
      </c>
      <c r="D225" s="691"/>
      <c r="E225" s="692"/>
    </row>
    <row r="227" spans="1:51">
      <c r="C227" s="747"/>
      <c r="AY227" s="748"/>
    </row>
    <row r="229" spans="1:51">
      <c r="D229" s="709" t="str">
        <f>Supplementary!B272</f>
        <v>Råstof/Råvare</v>
      </c>
      <c r="F229" s="749" t="str">
        <f>Supplementary!D299</f>
        <v>Mellemprodukt - trans dist</v>
      </c>
      <c r="G229" s="749"/>
      <c r="H229" s="749"/>
      <c r="I229" s="749"/>
      <c r="J229" s="749"/>
      <c r="K229" s="749"/>
      <c r="L229" s="749"/>
      <c r="M229" s="749"/>
      <c r="O229" s="749" t="str">
        <f>Supplementary!B299</f>
        <v>TransDist</v>
      </c>
      <c r="R229" s="749" t="str">
        <f>Supplementary!K272</f>
        <v>Drivmidler</v>
      </c>
      <c r="T229" s="749" t="s">
        <v>380</v>
      </c>
      <c r="AC229" s="749" t="s">
        <v>2683</v>
      </c>
      <c r="AD229" s="749" t="s">
        <v>2616</v>
      </c>
      <c r="AF229" s="749" t="s">
        <v>379</v>
      </c>
      <c r="AK229" s="749" t="s">
        <v>655</v>
      </c>
      <c r="AL229" s="749" t="s">
        <v>655</v>
      </c>
    </row>
    <row r="230" spans="1:51">
      <c r="D230" s="719" t="str">
        <f>Supplementary!B273</f>
        <v>Hvede</v>
      </c>
      <c r="F230" s="698" t="str">
        <f>Supplementary!D300</f>
        <v>El (AC-net) til elektrolyse</v>
      </c>
      <c r="O230" s="698" t="str">
        <f>Supplementary!B300</f>
        <v>Ingen</v>
      </c>
      <c r="R230" s="698" t="str">
        <f ca="1">OFFSET(Fuels!$E$6,0,ROW($A230)-ROW($A$229))</f>
        <v>Diesel</v>
      </c>
      <c r="T230" s="698" t="str">
        <f>Supplementary!I273</f>
        <v>(FORCE 1) Bio-Methanol</v>
      </c>
      <c r="AC230" s="698" t="s">
        <v>2684</v>
      </c>
      <c r="AD230" s="698" t="s">
        <v>77</v>
      </c>
      <c r="AF230" s="698" t="str">
        <f>Supplementary!I303</f>
        <v>tog-elektricitet</v>
      </c>
      <c r="AK230" s="698">
        <f>Supplementary!E273</f>
        <v>0</v>
      </c>
      <c r="AL230" s="698" t="str">
        <f>Supplementary!F273</f>
        <v>Std benzin motor</v>
      </c>
    </row>
    <row r="231" spans="1:51">
      <c r="D231" s="719" t="str">
        <f>Supplementary!B274</f>
        <v>Halm</v>
      </c>
      <c r="F231" s="698" t="str">
        <f>Supplementary!D301</f>
        <v>El (AC-net) til ladestation</v>
      </c>
      <c r="O231" s="698" t="str">
        <f>Supplementary!B301</f>
        <v>1. g. ethanol E85</v>
      </c>
      <c r="R231" s="698" t="str">
        <f ca="1">OFFSET(Fuels!$E$6,0,ROW($A231)-ROW($A$229))</f>
        <v>Benzin</v>
      </c>
      <c r="T231" s="698" t="str">
        <f>Supplementary!I274</f>
        <v>(FORCE 2) ETL-Methanol</v>
      </c>
      <c r="AC231" s="698" t="s">
        <v>2685</v>
      </c>
      <c r="AD231" s="698" t="s">
        <v>76</v>
      </c>
      <c r="AF231" s="698" t="str">
        <f>Supplementary!I304</f>
        <v>Elektrolyse og komprimering</v>
      </c>
      <c r="AK231" s="698">
        <f>Supplementary!E274</f>
        <v>0</v>
      </c>
      <c r="AL231" s="698" t="str">
        <f>Supplementary!F274</f>
        <v>Std diesel motor</v>
      </c>
    </row>
    <row r="232" spans="1:51">
      <c r="D232" s="719" t="str">
        <f>Supplementary!B275</f>
        <v>Rapsfrø</v>
      </c>
      <c r="F232" s="698" t="str">
        <f>Supplementary!D302</f>
        <v>Naturgas komprimering</v>
      </c>
      <c r="O232" s="698" t="str">
        <f>Supplementary!B302</f>
        <v>2. g. ethanol E85</v>
      </c>
      <c r="R232" s="698" t="str">
        <f ca="1">OFFSET(Fuels!$E$6,0,ROW($A232)-ROW($A$229))</f>
        <v>Jet Fuel</v>
      </c>
      <c r="T232" s="698" t="str">
        <f>Supplementary!I275</f>
        <v>(FORCE 3) 1G ethanol</v>
      </c>
      <c r="AD232" s="698" t="s">
        <v>2617</v>
      </c>
      <c r="AF232" s="698" t="str">
        <f>Supplementary!I305</f>
        <v>Ladestation</v>
      </c>
      <c r="AK232" s="698">
        <f>Supplementary!E275</f>
        <v>0</v>
      </c>
      <c r="AL232" s="698" t="str">
        <f>Supplementary!F275</f>
        <v>Diesel motor DME</v>
      </c>
    </row>
    <row r="233" spans="1:51">
      <c r="D233" s="719" t="str">
        <f>Supplementary!B276</f>
        <v>Naturgas</v>
      </c>
      <c r="F233" s="698" t="str">
        <f>Supplementary!D303</f>
        <v>Syntesegas til katalysator</v>
      </c>
      <c r="O233" s="698" t="str">
        <f>Supplementary!B303</f>
        <v>Ethanol</v>
      </c>
      <c r="R233" s="698" t="str">
        <f ca="1">OFFSET(Fuels!$E$6,0,ROW($A233)-ROW($A$229))</f>
        <v>Heavy Fuel Oil</v>
      </c>
      <c r="T233" s="698" t="str">
        <f>Supplementary!I276</f>
        <v>(FORCE 4) 2G ethanol</v>
      </c>
      <c r="AF233" s="698" t="str">
        <f>Supplementary!I306</f>
        <v>Ladestation Hybrid</v>
      </c>
      <c r="AK233" s="698">
        <f>Supplementary!E276</f>
        <v>0</v>
      </c>
      <c r="AL233" s="698" t="str">
        <f>Supplementary!F276</f>
        <v>Tilpasset Otto motor</v>
      </c>
    </row>
    <row r="234" spans="1:51">
      <c r="D234" s="719" t="str">
        <f>Supplementary!B277</f>
        <v>Træ</v>
      </c>
      <c r="O234" s="698" t="str">
        <f>Supplementary!B304</f>
        <v>RME</v>
      </c>
      <c r="R234" s="698" t="str">
        <f ca="1">OFFSET(Fuels!$E$6,0,ROW($A234)-ROW($A$229))</f>
        <v>CNG</v>
      </c>
      <c r="T234" s="698" t="str">
        <f>Supplementary!I277</f>
        <v>(FORCE 5) 1G diesel</v>
      </c>
      <c r="AF234" s="698" t="str">
        <f>Supplementary!I307</f>
        <v>Importspor</v>
      </c>
      <c r="AK234" s="698">
        <f>Supplementary!E277</f>
        <v>0</v>
      </c>
      <c r="AL234" s="698" t="str">
        <f>Supplementary!F277</f>
        <v>Brændselscelle, brinthybrid</v>
      </c>
    </row>
    <row r="235" spans="1:51">
      <c r="D235" s="719" t="str">
        <f>Supplementary!B278</f>
        <v>Træpiller</v>
      </c>
      <c r="O235" s="698" t="str">
        <f>Supplementary!B305</f>
        <v>Bio-olie</v>
      </c>
      <c r="R235" s="698" t="str">
        <f ca="1">OFFSET(Fuels!$E$6,0,ROW($A235)-ROW($A$229))</f>
        <v>LNG</v>
      </c>
      <c r="T235" s="698" t="str">
        <f>Supplementary!I278</f>
        <v>(FORCE 6) 1G HVO DIESEL</v>
      </c>
      <c r="AF235" s="698" t="str">
        <f>Supplementary!I308</f>
        <v>Biogas komprimering</v>
      </c>
      <c r="AK235" s="698">
        <f>Supplementary!E278</f>
        <v>0</v>
      </c>
      <c r="AL235" s="698" t="str">
        <f>Supplementary!F278</f>
        <v>Brændselscelle, methanolhybrid</v>
      </c>
    </row>
    <row r="236" spans="1:51">
      <c r="D236" s="719" t="str">
        <f>Supplementary!B279</f>
        <v>Elektricitet</v>
      </c>
      <c r="O236" s="698" t="str">
        <f>Supplementary!B306</f>
        <v>Naturgas raffinering</v>
      </c>
      <c r="R236" s="698" t="str">
        <f ca="1">OFFSET(Fuels!$E$6,0,ROW($A236)-ROW($A$229))</f>
        <v>Ethanol-hvede</v>
      </c>
      <c r="T236" s="698" t="str">
        <f>Supplementary!I279</f>
        <v>(FORCE 7) 2G diesel</v>
      </c>
      <c r="AF236" s="698" t="str">
        <f>Supplementary!I309</f>
        <v>Naturgas komprimering</v>
      </c>
      <c r="AK236" s="698">
        <f>Supplementary!E279</f>
        <v>0</v>
      </c>
      <c r="AL236" s="698" t="str">
        <f>Supplementary!F279</f>
        <v>Plugin Hybrid</v>
      </c>
    </row>
    <row r="237" spans="1:51">
      <c r="D237" s="719" t="str">
        <f>Supplementary!B280</f>
        <v>Oplade-el-brændsel</v>
      </c>
      <c r="O237" s="698" t="str">
        <f>Supplementary!B307</f>
        <v>MeOH</v>
      </c>
      <c r="R237" s="698" t="str">
        <f ca="1">OFFSET(Fuels!$E$6,0,ROW($A237)-ROW($A$229))</f>
        <v>Ethanol-halm</v>
      </c>
      <c r="T237" s="698" t="str">
        <f>Supplementary!I280</f>
        <v>(FORCE 8)  Diesel - MOGD</v>
      </c>
      <c r="AF237" s="698" t="str">
        <f>Supplementary!I310</f>
        <v>Ingen mellem</v>
      </c>
      <c r="AK237" s="698">
        <f>Supplementary!E280</f>
        <v>0</v>
      </c>
      <c r="AL237" s="698" t="str">
        <f>Supplementary!F280</f>
        <v>Elmotor</v>
      </c>
    </row>
    <row r="238" spans="1:51">
      <c r="D238" s="719" t="str">
        <f>Supplementary!B281</f>
        <v>Kul</v>
      </c>
      <c r="O238" s="698" t="str">
        <f>Supplementary!B308</f>
        <v>Brint</v>
      </c>
      <c r="R238" s="698" t="str">
        <f ca="1">OFFSET(Fuels!$E$6,0,ROW($A238)-ROW($A$229))</f>
        <v>MeOH-træ</v>
      </c>
      <c r="T238" s="698" t="str">
        <f>Supplementary!I281</f>
        <v xml:space="preserve">(FORCE 9) Bio-DME </v>
      </c>
      <c r="AF238" s="698" t="str">
        <f>Supplementary!I311</f>
        <v>LNG</v>
      </c>
      <c r="AK238" s="698">
        <f>Supplementary!E281</f>
        <v>0</v>
      </c>
      <c r="AL238" s="698" t="str">
        <f>Supplementary!F281</f>
        <v>Lastbil</v>
      </c>
    </row>
    <row r="239" spans="1:51">
      <c r="D239" s="719" t="str">
        <f>Supplementary!B282</f>
        <v>Råolie</v>
      </c>
      <c r="O239" s="698" t="str">
        <f>Supplementary!B309</f>
        <v>El i batteri</v>
      </c>
      <c r="R239" s="698" t="str">
        <f ca="1">OFFSET(Fuels!$E$6,0,ROW($A239)-ROW($A$229))</f>
        <v>MeOH-ETL</v>
      </c>
      <c r="T239" s="698" t="str">
        <f>Supplementary!I282</f>
        <v>(FORCE 10) SNG-gasification</v>
      </c>
      <c r="AK239" s="698">
        <f>Supplementary!E282</f>
        <v>0</v>
      </c>
      <c r="AL239" s="698" t="str">
        <f>Supplementary!F282</f>
        <v>Lastbil DME</v>
      </c>
    </row>
    <row r="240" spans="1:51">
      <c r="D240" s="719" t="str">
        <f>Supplementary!B283</f>
        <v>Biomasse</v>
      </c>
      <c r="O240" s="698" t="str">
        <f>Supplementary!B310</f>
        <v>DME</v>
      </c>
      <c r="R240" s="698" t="str">
        <f ca="1">OFFSET(Fuels!$E$6,0,ROW($A240)-ROW($A$229))</f>
        <v>2G Biodiesel</v>
      </c>
      <c r="T240" s="698" t="str">
        <f>Supplementary!I283</f>
        <v>(FORCE 11) 2G Kerosene</v>
      </c>
      <c r="AK240" s="698">
        <f>Supplementary!E283</f>
        <v>0</v>
      </c>
      <c r="AL240" s="698" t="str">
        <f>Supplementary!F283</f>
        <v>Lastbil RME</v>
      </c>
    </row>
    <row r="241" spans="4:38">
      <c r="D241" s="719" t="str">
        <f>Supplementary!B284</f>
        <v>Ethanol på sukkerrør</v>
      </c>
      <c r="O241" s="749"/>
      <c r="R241" s="698" t="str">
        <f ca="1">OFFSET(Fuels!$E$6,0,ROW($A241)-ROW($A$229))</f>
        <v>DME</v>
      </c>
      <c r="T241" s="698" t="str">
        <f>Supplementary!I284</f>
        <v>(FORCE 12) Torrefied wood</v>
      </c>
      <c r="AK241" s="698">
        <f>Supplementary!E284</f>
        <v>0</v>
      </c>
      <c r="AL241" s="698" t="str">
        <f>Supplementary!F284</f>
        <v>Lastbil Gas</v>
      </c>
    </row>
    <row r="242" spans="4:38">
      <c r="D242" s="719" t="str">
        <f>Supplementary!B285</f>
        <v>Biodiesel på palmeolie</v>
      </c>
      <c r="O242" s="749"/>
      <c r="R242" s="698" t="str">
        <f ca="1">OFFSET(Fuels!$E$6,0,ROW($A242)-ROW($A$229))</f>
        <v>Biogas - ENS</v>
      </c>
      <c r="T242" s="698" t="str">
        <f>Supplementary!I285</f>
        <v>(FORCE 13) Bio-Liquid</v>
      </c>
      <c r="AK242" s="698">
        <f>Supplementary!E285</f>
        <v>0</v>
      </c>
      <c r="AL242" s="698" t="str">
        <f>Supplementary!F285</f>
        <v>Bus</v>
      </c>
    </row>
    <row r="243" spans="4:38">
      <c r="D243" s="719">
        <f>Supplementary!B286</f>
        <v>0</v>
      </c>
      <c r="R243" s="698" t="str">
        <f ca="1">OFFSET(Fuels!$E$6,0,ROW($A243)-ROW($A$229))</f>
        <v>Brint</v>
      </c>
      <c r="T243" s="698" t="str">
        <f>Supplementary!I286</f>
        <v>(FORCE 14) 2G bio-ethanol</v>
      </c>
      <c r="AK243" s="698">
        <f>Supplementary!E286</f>
        <v>0</v>
      </c>
      <c r="AL243" s="698" t="str">
        <f>Supplementary!F286</f>
        <v>Bus Gas</v>
      </c>
    </row>
    <row r="244" spans="4:38">
      <c r="D244" s="719">
        <f>Supplementary!B287</f>
        <v>0</v>
      </c>
      <c r="R244" s="698" t="str">
        <f ca="1">OFFSET(Fuels!$E$6,0,ROW($A244)-ROW($A$229))</f>
        <v>El</v>
      </c>
      <c r="T244" s="698" t="str">
        <f>Supplementary!I287</f>
        <v>(FORCE 15) Ethanol+Biogas</v>
      </c>
      <c r="AK244" s="698">
        <f>Supplementary!E287</f>
        <v>0</v>
      </c>
      <c r="AL244" s="698" t="str">
        <f>Supplementary!F287</f>
        <v>Bus Hybrid</v>
      </c>
    </row>
    <row r="245" spans="4:38">
      <c r="R245" s="698" t="str">
        <f ca="1">OFFSET(Fuels!$E$6,0,ROW($A245)-ROW($A$229))</f>
        <v>El-hybrid</v>
      </c>
      <c r="T245" s="698" t="str">
        <f>Supplementary!I288</f>
        <v>(FORCE 16) 2G Diesel</v>
      </c>
      <c r="AK245" s="698">
        <f>Supplementary!E288</f>
        <v>0</v>
      </c>
      <c r="AL245" s="698" t="str">
        <f>Supplementary!F288</f>
        <v>9000 TEU HFO</v>
      </c>
    </row>
    <row r="246" spans="4:38">
      <c r="R246" s="698" t="str">
        <f ca="1">OFFSET(Fuels!$E$6,0,ROW($A246)-ROW($A$229))</f>
        <v>El Tog</v>
      </c>
      <c r="T246" s="698" t="str">
        <f>Supplementary!I289</f>
        <v>(FORCE 17) SNG-biogas</v>
      </c>
      <c r="AK246" s="698">
        <f>Supplementary!E289</f>
        <v>0</v>
      </c>
      <c r="AL246" s="698" t="str">
        <f>Supplementary!F289</f>
        <v>9000 TEU Diesel</v>
      </c>
    </row>
    <row r="247" spans="4:38">
      <c r="R247" s="698" t="str">
        <f ca="1">OFFSET(Fuels!$E$6,0,ROW($A247)-ROW($A$229))</f>
        <v>Bio Jet Fuel</v>
      </c>
      <c r="T247" s="698" t="str">
        <f>Supplementary!I290</f>
        <v>(FORCE 18) Bio Jetfuel</v>
      </c>
      <c r="AK247" s="698">
        <f>Supplementary!E290</f>
        <v>0</v>
      </c>
      <c r="AL247" s="698" t="str">
        <f>Supplementary!F290</f>
        <v>9000 TEU Dual fuel</v>
      </c>
    </row>
    <row r="248" spans="4:38">
      <c r="R248" s="698" t="str">
        <f ca="1">OFFSET(Fuels!$E$6,0,ROW($A248)-ROW($A$229))</f>
        <v>RME</v>
      </c>
      <c r="T248" s="698" t="str">
        <f>Supplementary!I291</f>
        <v>(FORCE 19) RME Rapeseed</v>
      </c>
      <c r="AK248" s="698">
        <f>Supplementary!E291</f>
        <v>0</v>
      </c>
      <c r="AL248" s="698" t="str">
        <f>Supplementary!F291</f>
        <v>Katamaran ferry</v>
      </c>
    </row>
    <row r="249" spans="4:38">
      <c r="R249" s="698" t="str">
        <f ca="1">OFFSET(Fuels!$E$6,0,ROW($A249)-ROW($A$229))</f>
        <v>Ethanol-sukkerroer</v>
      </c>
      <c r="T249" s="698" t="str">
        <f>Supplementary!I292</f>
        <v>(FORCE 20) Ethanol SugarBeet</v>
      </c>
      <c r="AK249" s="698">
        <f>Supplementary!E292</f>
        <v>0</v>
      </c>
      <c r="AL249" s="698" t="str">
        <f>Supplementary!F292</f>
        <v>SAS avg. airplane</v>
      </c>
    </row>
    <row r="250" spans="4:38">
      <c r="T250" s="698" t="str">
        <f>Supplementary!I293</f>
        <v>Biogas ENS</v>
      </c>
      <c r="AK250" s="698">
        <f>Supplementary!E293</f>
        <v>0</v>
      </c>
      <c r="AL250" s="698" t="str">
        <f>Supplementary!F293</f>
        <v>Diesel IC-reg.tog</v>
      </c>
    </row>
    <row r="251" spans="4:38">
      <c r="T251" s="698" t="str">
        <f>Supplementary!I294</f>
        <v>brint-elektricitet</v>
      </c>
      <c r="AK251" s="698">
        <f>Supplementary!E294</f>
        <v>0</v>
      </c>
      <c r="AL251" s="698" t="str">
        <f>Supplementary!F294</f>
        <v>Diesel Lokaltog</v>
      </c>
    </row>
    <row r="252" spans="4:38">
      <c r="T252" s="698" t="str">
        <f>Supplementary!I295</f>
        <v>oplade-elektricitet</v>
      </c>
      <c r="AK252" s="698">
        <f>Supplementary!E295</f>
        <v>0</v>
      </c>
      <c r="AL252" s="698" t="str">
        <f>Supplementary!F295</f>
        <v>Gas Lokaltog</v>
      </c>
    </row>
    <row r="253" spans="4:38">
      <c r="T253" s="698" t="str">
        <f>Supplementary!I296</f>
        <v>Diesel</v>
      </c>
      <c r="AK253" s="698">
        <f>Supplementary!E296</f>
        <v>0</v>
      </c>
      <c r="AL253" s="698" t="str">
        <f>Supplementary!F296</f>
        <v>El IC-reg.tog</v>
      </c>
    </row>
    <row r="254" spans="4:38">
      <c r="AL254" s="698" t="str">
        <f>Supplementary!F297</f>
        <v>Brændselscelle, brint</v>
      </c>
    </row>
    <row r="258" spans="4:4">
      <c r="D258" s="709" t="s">
        <v>486</v>
      </c>
    </row>
    <row r="260" spans="4:4">
      <c r="D260" s="719" t="s">
        <v>450</v>
      </c>
    </row>
    <row r="261" spans="4:4">
      <c r="D261" s="719" t="s">
        <v>451</v>
      </c>
    </row>
    <row r="262" spans="4:4">
      <c r="D262" s="719" t="s">
        <v>458</v>
      </c>
    </row>
    <row r="263" spans="4:4">
      <c r="D263" s="719" t="s">
        <v>459</v>
      </c>
    </row>
    <row r="264" spans="4:4">
      <c r="D264" s="719" t="s">
        <v>452</v>
      </c>
    </row>
    <row r="265" spans="4:4">
      <c r="D265" s="719" t="s">
        <v>453</v>
      </c>
    </row>
    <row r="266" spans="4:4">
      <c r="D266" s="719" t="s">
        <v>455</v>
      </c>
    </row>
    <row r="267" spans="4:4">
      <c r="D267" s="719" t="s">
        <v>456</v>
      </c>
    </row>
    <row r="268" spans="4:4">
      <c r="D268" s="719" t="s">
        <v>457</v>
      </c>
    </row>
  </sheetData>
  <dataConsolidate link="1"/>
  <phoneticPr fontId="0" type="noConversion"/>
  <conditionalFormatting sqref="W1">
    <cfRule type="cellIs" dxfId="92" priority="9" operator="notEqual">
      <formula>0</formula>
    </cfRule>
  </conditionalFormatting>
  <conditionalFormatting sqref="AC1">
    <cfRule type="cellIs" dxfId="91" priority="8" operator="notEqual">
      <formula>0</formula>
    </cfRule>
  </conditionalFormatting>
  <conditionalFormatting sqref="AB1">
    <cfRule type="cellIs" dxfId="90" priority="7" operator="notEqual">
      <formula>0</formula>
    </cfRule>
  </conditionalFormatting>
  <conditionalFormatting sqref="AA1">
    <cfRule type="cellIs" dxfId="89" priority="6" operator="notEqual">
      <formula>0</formula>
    </cfRule>
  </conditionalFormatting>
  <conditionalFormatting sqref="Z1">
    <cfRule type="cellIs" dxfId="88" priority="5" operator="notEqual">
      <formula>0</formula>
    </cfRule>
  </conditionalFormatting>
  <conditionalFormatting sqref="Y1">
    <cfRule type="cellIs" dxfId="87" priority="4" operator="notEqual">
      <formula>0</formula>
    </cfRule>
  </conditionalFormatting>
  <conditionalFormatting sqref="X1">
    <cfRule type="cellIs" dxfId="86" priority="3" operator="notEqual">
      <formula>0</formula>
    </cfRule>
  </conditionalFormatting>
  <conditionalFormatting sqref="AD1">
    <cfRule type="cellIs" dxfId="85" priority="2" operator="notEqual">
      <formula>0</formula>
    </cfRule>
  </conditionalFormatting>
  <conditionalFormatting sqref="AE1">
    <cfRule type="cellIs" dxfId="84" priority="1" operator="notEqual">
      <formula>0</formula>
    </cfRule>
  </conditionalFormatting>
  <dataValidations count="6">
    <dataValidation type="list" allowBlank="1" showInputMessage="1" showErrorMessage="1" sqref="A9:C10 E9:E10 AQ9:JJ10">
      <formula1>#REF!</formula1>
    </dataValidation>
    <dataValidation type="list" allowBlank="1" showInputMessage="1" showErrorMessage="1" sqref="F9:AP9">
      <formula1>$AL$230:$AL$254</formula1>
    </dataValidation>
    <dataValidation type="list" allowBlank="1" showInputMessage="1" showErrorMessage="1" sqref="F8:AP8">
      <formula1>$R$230:$R$265</formula1>
    </dataValidation>
    <dataValidation type="list" allowBlank="1" showInputMessage="1" showErrorMessage="1" sqref="F7:AP7">
      <formula1>$R$229:$R$265</formula1>
    </dataValidation>
    <dataValidation type="list" allowBlank="1" showInputMessage="1" showErrorMessage="1" sqref="F10:AP10">
      <formula1>$AD$230:$AD$232</formula1>
    </dataValidation>
    <dataValidation type="list" allowBlank="1" showInputMessage="1" showErrorMessage="1" sqref="F13:AP16">
      <formula1>$AC$230:$AC$231</formula1>
    </dataValidation>
  </dataValidations>
  <pageMargins left="0.75" right="0.75" top="1" bottom="1" header="0.5" footer="0.5"/>
  <pageSetup paperSize="9" scale="14" orientation="landscape" r:id="rId1"/>
  <headerFooter alignWithMargins="0"/>
  <colBreaks count="1" manualBreakCount="1">
    <brk id="4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7527" r:id="rId4" name="Button 2055">
              <controlPr defaultSize="0" print="0" autoFill="0" autoPict="0" macro="[0]!GtOver">
                <anchor>
                  <from>
                    <xdr:col>9</xdr:col>
                    <xdr:colOff>409575</xdr:colOff>
                    <xdr:row>0</xdr:row>
                    <xdr:rowOff>38100</xdr:rowOff>
                  </from>
                  <to>
                    <xdr:col>11</xdr:col>
                    <xdr:colOff>152400</xdr:colOff>
                    <xdr:row>0</xdr:row>
                    <xdr:rowOff>238125</xdr:rowOff>
                  </to>
                </anchor>
              </controlPr>
            </control>
          </mc:Choice>
        </mc:AlternateContent>
        <mc:AlternateContent xmlns:mc="http://schemas.openxmlformats.org/markup-compatibility/2006">
          <mc:Choice Requires="x14">
            <control shapeId="107528" r:id="rId5" name="Button 2056">
              <controlPr defaultSize="0" print="0" autoFill="0" autoPict="0" macro="[0]!GtRes">
                <anchor>
                  <from>
                    <xdr:col>11</xdr:col>
                    <xdr:colOff>323850</xdr:colOff>
                    <xdr:row>0</xdr:row>
                    <xdr:rowOff>38100</xdr:rowOff>
                  </from>
                  <to>
                    <xdr:col>13</xdr:col>
                    <xdr:colOff>76200</xdr:colOff>
                    <xdr:row>0</xdr:row>
                    <xdr:rowOff>238125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tabColor theme="1"/>
    <outlinePr summaryBelow="0" summaryRight="0"/>
  </sheetPr>
  <dimension ref="A1:AL435"/>
  <sheetViews>
    <sheetView showGridLines="0" zoomScale="85" zoomScaleNormal="85" zoomScaleSheetLayoutView="85" workbookViewId="0">
      <pane xSplit="5" ySplit="12" topLeftCell="K13" activePane="bottomRight" state="frozen"/>
      <selection activeCell="O6" sqref="O6"/>
      <selection pane="topRight" activeCell="O6" sqref="O6"/>
      <selection pane="bottomLeft" activeCell="O6" sqref="O6"/>
      <selection pane="bottomRight" activeCell="H40" sqref="H40"/>
    </sheetView>
  </sheetViews>
  <sheetFormatPr defaultRowHeight="11.25" outlineLevelRow="2"/>
  <cols>
    <col min="1" max="1" width="4.85546875" style="1129" customWidth="1"/>
    <col min="2" max="2" width="3.140625" style="1129" customWidth="1"/>
    <col min="3" max="3" width="2.5703125" style="698" customWidth="1"/>
    <col min="4" max="4" width="30.85546875" style="698" customWidth="1"/>
    <col min="5" max="5" width="30.42578125" style="720" customWidth="1"/>
    <col min="6" max="6" width="8.28515625" style="698" customWidth="1"/>
    <col min="7" max="7" width="8.7109375" style="698" customWidth="1"/>
    <col min="8" max="9" width="9.5703125" style="698" bestFit="1" customWidth="1"/>
    <col min="10" max="10" width="10.140625" style="698" customWidth="1"/>
    <col min="11" max="11" width="9.42578125" style="698" customWidth="1"/>
    <col min="12" max="12" width="10.28515625" style="698" customWidth="1"/>
    <col min="13" max="13" width="10.5703125" style="698" customWidth="1"/>
    <col min="14" max="14" width="11.140625" style="698" customWidth="1"/>
    <col min="15" max="15" width="10.85546875" style="698" customWidth="1"/>
    <col min="16" max="16" width="8.7109375" style="698" customWidth="1"/>
    <col min="17" max="17" width="10.28515625" style="698" customWidth="1"/>
    <col min="18" max="24" width="8.7109375" style="698" customWidth="1"/>
    <col min="25" max="25" width="10.85546875" style="698" customWidth="1"/>
    <col min="26" max="38" width="8.7109375" style="698" customWidth="1"/>
    <col min="39" max="16384" width="9.140625" style="698"/>
  </cols>
  <sheetData>
    <row r="1" spans="1:38" s="465" customFormat="1" ht="21">
      <c r="D1" s="465" t="s">
        <v>9</v>
      </c>
      <c r="E1" s="466"/>
      <c r="Q1" s="467">
        <f ca="1">'Log2015'!M1</f>
        <v>-8.0112614142160741</v>
      </c>
      <c r="R1" s="468">
        <f ca="1">'Log2015'!N1</f>
        <v>-160807.124977848</v>
      </c>
      <c r="U1" s="2400"/>
      <c r="V1" s="2400"/>
      <c r="W1" s="2400"/>
      <c r="X1" s="2400"/>
      <c r="Y1" s="2400"/>
      <c r="Z1" s="2400"/>
      <c r="AA1" s="2400"/>
    </row>
    <row r="2" spans="1:38" s="664" customFormat="1">
      <c r="A2" s="1125"/>
      <c r="B2" s="1125"/>
      <c r="C2" s="665"/>
      <c r="D2" s="664" t="s">
        <v>478</v>
      </c>
      <c r="E2" s="667"/>
      <c r="Q2" s="750">
        <f ca="1">Q1</f>
        <v>-8.0112614142160741</v>
      </c>
      <c r="R2" s="751">
        <f ca="1">R1</f>
        <v>-160807.124977848</v>
      </c>
    </row>
    <row r="3" spans="1:38" s="664" customFormat="1">
      <c r="A3" s="1125"/>
      <c r="B3" s="1125"/>
      <c r="E3" s="667"/>
      <c r="Q3" s="750"/>
    </row>
    <row r="4" spans="1:38" s="664" customFormat="1">
      <c r="A4" s="1125"/>
      <c r="B4" s="1125"/>
      <c r="F4" s="667"/>
    </row>
    <row r="5" spans="1:38" s="664" customFormat="1" ht="12.75">
      <c r="A5" s="1125"/>
      <c r="B5" s="1125"/>
      <c r="D5" s="752" t="s">
        <v>31</v>
      </c>
      <c r="E5" s="667"/>
      <c r="AB5" s="669"/>
      <c r="AD5" s="669"/>
    </row>
    <row r="6" spans="1:38" s="489" customFormat="1" ht="34.5" customHeight="1">
      <c r="A6" s="1126"/>
      <c r="B6" s="1126"/>
      <c r="D6" s="753" t="s">
        <v>336</v>
      </c>
      <c r="E6" s="491"/>
      <c r="F6" s="754" t="s">
        <v>2</v>
      </c>
      <c r="G6" s="754" t="s">
        <v>1</v>
      </c>
      <c r="H6" s="754" t="s">
        <v>1484</v>
      </c>
      <c r="I6" s="754" t="s">
        <v>1486</v>
      </c>
      <c r="J6" s="754" t="s">
        <v>794</v>
      </c>
      <c r="K6" s="754" t="s">
        <v>1913</v>
      </c>
      <c r="L6" s="754" t="s">
        <v>798</v>
      </c>
      <c r="M6" s="1208" t="s">
        <v>799</v>
      </c>
      <c r="N6" s="754" t="s">
        <v>838</v>
      </c>
      <c r="O6" s="754" t="s">
        <v>1571</v>
      </c>
      <c r="P6" s="754" t="s">
        <v>1572</v>
      </c>
      <c r="Q6" s="754" t="s">
        <v>11</v>
      </c>
      <c r="R6" s="754" t="s">
        <v>1573</v>
      </c>
      <c r="S6" s="754" t="s">
        <v>12</v>
      </c>
      <c r="T6" s="754" t="s">
        <v>3</v>
      </c>
      <c r="U6" s="754" t="s">
        <v>797</v>
      </c>
      <c r="V6" s="754" t="s">
        <v>1990</v>
      </c>
      <c r="W6" s="754" t="s">
        <v>2061</v>
      </c>
      <c r="X6" s="754" t="s">
        <v>10</v>
      </c>
      <c r="Y6" s="754" t="s">
        <v>2068</v>
      </c>
      <c r="Z6" s="754"/>
      <c r="AA6" s="754"/>
      <c r="AB6" s="754"/>
      <c r="AC6" s="754" t="s">
        <v>191</v>
      </c>
      <c r="AD6" s="754" t="s">
        <v>219</v>
      </c>
      <c r="AE6" s="754" t="s">
        <v>186</v>
      </c>
      <c r="AF6" s="754"/>
      <c r="AG6" s="754"/>
      <c r="AH6" s="754"/>
      <c r="AI6" s="754"/>
      <c r="AJ6" s="754"/>
      <c r="AK6" s="754"/>
      <c r="AL6" s="754" t="s">
        <v>982</v>
      </c>
    </row>
    <row r="7" spans="1:38" s="489" customFormat="1" ht="22.5" customHeight="1">
      <c r="A7" s="1126"/>
      <c r="B7" s="1126"/>
      <c r="D7" s="753" t="s">
        <v>950</v>
      </c>
      <c r="E7" s="491"/>
      <c r="F7" s="755" t="s">
        <v>2</v>
      </c>
      <c r="G7" s="755" t="s">
        <v>945</v>
      </c>
      <c r="H7" s="755" t="s">
        <v>1643</v>
      </c>
      <c r="I7" s="755" t="s">
        <v>1437</v>
      </c>
      <c r="J7" s="755" t="s">
        <v>948</v>
      </c>
      <c r="K7" s="755" t="s">
        <v>948</v>
      </c>
      <c r="L7" s="755" t="s">
        <v>2550</v>
      </c>
      <c r="M7" s="755" t="s">
        <v>2550</v>
      </c>
      <c r="N7" s="755" t="s">
        <v>2553</v>
      </c>
      <c r="O7" s="755" t="s">
        <v>951</v>
      </c>
      <c r="P7" s="755" t="s">
        <v>2551</v>
      </c>
      <c r="Q7" s="755" t="s">
        <v>11</v>
      </c>
      <c r="R7" s="755" t="s">
        <v>949</v>
      </c>
      <c r="S7" s="755" t="s">
        <v>951</v>
      </c>
      <c r="T7" s="755" t="s">
        <v>951</v>
      </c>
      <c r="U7" s="755" t="s">
        <v>951</v>
      </c>
      <c r="V7" s="755" t="s">
        <v>951</v>
      </c>
      <c r="W7" s="755" t="s">
        <v>2552</v>
      </c>
      <c r="X7" s="755" t="s">
        <v>2551</v>
      </c>
      <c r="Y7" s="755" t="s">
        <v>2550</v>
      </c>
      <c r="Z7" s="755"/>
      <c r="AA7" s="755"/>
      <c r="AB7" s="755"/>
      <c r="AC7" s="755" t="s">
        <v>946</v>
      </c>
      <c r="AD7" s="755" t="s">
        <v>949</v>
      </c>
      <c r="AE7" s="755" t="s">
        <v>949</v>
      </c>
      <c r="AF7" s="755"/>
      <c r="AG7" s="755"/>
      <c r="AH7" s="755"/>
      <c r="AI7" s="755"/>
      <c r="AJ7" s="755"/>
      <c r="AK7" s="755"/>
      <c r="AL7" s="755" t="s">
        <v>949</v>
      </c>
    </row>
    <row r="8" spans="1:38" s="489" customFormat="1" ht="21" customHeight="1">
      <c r="A8" s="1126"/>
      <c r="B8" s="1126"/>
      <c r="D8" s="710" t="s">
        <v>786</v>
      </c>
      <c r="E8" s="490"/>
      <c r="F8" s="756" t="s">
        <v>14</v>
      </c>
      <c r="G8" s="756" t="s">
        <v>14</v>
      </c>
      <c r="H8" s="756" t="s">
        <v>192</v>
      </c>
      <c r="I8" s="756" t="s">
        <v>192</v>
      </c>
      <c r="J8" s="756" t="s">
        <v>15</v>
      </c>
      <c r="K8" s="756" t="s">
        <v>15</v>
      </c>
      <c r="L8" s="756" t="s">
        <v>1570</v>
      </c>
      <c r="M8" s="756" t="s">
        <v>13</v>
      </c>
      <c r="N8" s="756" t="s">
        <v>1569</v>
      </c>
      <c r="O8" s="756" t="s">
        <v>1466</v>
      </c>
      <c r="P8" s="756" t="s">
        <v>13</v>
      </c>
      <c r="Q8" s="756" t="s">
        <v>1569</v>
      </c>
      <c r="R8" s="756" t="s">
        <v>467</v>
      </c>
      <c r="S8" s="756" t="s">
        <v>1466</v>
      </c>
      <c r="T8" s="756" t="s">
        <v>1466</v>
      </c>
      <c r="U8" s="756" t="s">
        <v>1466</v>
      </c>
      <c r="V8" s="756" t="s">
        <v>1466</v>
      </c>
      <c r="W8" s="756" t="s">
        <v>186</v>
      </c>
      <c r="X8" s="756" t="s">
        <v>139</v>
      </c>
      <c r="Y8" s="756" t="s">
        <v>2082</v>
      </c>
      <c r="Z8" s="756"/>
      <c r="AA8" s="756"/>
      <c r="AB8" s="756"/>
      <c r="AC8" s="756" t="s">
        <v>17</v>
      </c>
      <c r="AD8" s="756" t="s">
        <v>219</v>
      </c>
      <c r="AE8" s="756" t="s">
        <v>186</v>
      </c>
      <c r="AF8" s="756"/>
      <c r="AG8" s="756"/>
      <c r="AH8" s="756"/>
      <c r="AI8" s="756"/>
      <c r="AJ8" s="756"/>
      <c r="AK8" s="756"/>
      <c r="AL8" s="756" t="s">
        <v>218</v>
      </c>
    </row>
    <row r="9" spans="1:38" s="489" customFormat="1" ht="33.75">
      <c r="A9" s="1126"/>
      <c r="B9" s="1126"/>
      <c r="D9" s="757" t="s">
        <v>787</v>
      </c>
      <c r="E9" s="758"/>
      <c r="F9" s="759" t="s">
        <v>747</v>
      </c>
      <c r="G9" s="759" t="s">
        <v>747</v>
      </c>
      <c r="H9" s="759" t="s">
        <v>747</v>
      </c>
      <c r="I9" s="759" t="s">
        <v>747</v>
      </c>
      <c r="J9" s="759" t="s">
        <v>361</v>
      </c>
      <c r="K9" s="759" t="s">
        <v>361</v>
      </c>
      <c r="L9" s="759" t="s">
        <v>747</v>
      </c>
      <c r="M9" s="759" t="s">
        <v>747</v>
      </c>
      <c r="N9" s="759" t="s">
        <v>747</v>
      </c>
      <c r="O9" s="759" t="s">
        <v>332</v>
      </c>
      <c r="P9" s="759" t="s">
        <v>747</v>
      </c>
      <c r="Q9" s="759" t="s">
        <v>747</v>
      </c>
      <c r="R9" s="759" t="s">
        <v>361</v>
      </c>
      <c r="S9" s="759" t="s">
        <v>332</v>
      </c>
      <c r="T9" s="759" t="s">
        <v>333</v>
      </c>
      <c r="U9" s="759" t="s">
        <v>333</v>
      </c>
      <c r="V9" s="759" t="s">
        <v>332</v>
      </c>
      <c r="W9" s="759" t="s">
        <v>747</v>
      </c>
      <c r="X9" s="759" t="s">
        <v>747</v>
      </c>
      <c r="Y9" s="759" t="s">
        <v>747</v>
      </c>
      <c r="Z9" s="759"/>
      <c r="AA9" s="759"/>
      <c r="AB9" s="759"/>
      <c r="AC9" s="759" t="s">
        <v>747</v>
      </c>
      <c r="AD9" s="759" t="s">
        <v>747</v>
      </c>
      <c r="AE9" s="759" t="s">
        <v>747</v>
      </c>
      <c r="AF9" s="759"/>
      <c r="AG9" s="759"/>
      <c r="AH9" s="759"/>
      <c r="AI9" s="759"/>
      <c r="AJ9" s="759"/>
      <c r="AK9" s="759"/>
      <c r="AL9" s="759" t="s">
        <v>747</v>
      </c>
    </row>
    <row r="10" spans="1:38" s="489" customFormat="1" ht="22.5">
      <c r="A10" s="1126"/>
      <c r="B10" s="1126"/>
      <c r="D10" s="760" t="s">
        <v>788</v>
      </c>
      <c r="E10" s="493"/>
      <c r="F10" s="761" t="s">
        <v>2</v>
      </c>
      <c r="G10" s="761" t="s">
        <v>1</v>
      </c>
      <c r="H10" s="761" t="s">
        <v>1436</v>
      </c>
      <c r="I10" s="761" t="s">
        <v>1437</v>
      </c>
      <c r="J10" s="761" t="s">
        <v>353</v>
      </c>
      <c r="K10" s="761" t="s">
        <v>1913</v>
      </c>
      <c r="L10" s="761" t="s">
        <v>339</v>
      </c>
      <c r="M10" s="761" t="s">
        <v>340</v>
      </c>
      <c r="N10" s="761" t="s">
        <v>82</v>
      </c>
      <c r="O10" s="761" t="s">
        <v>82</v>
      </c>
      <c r="P10" s="761" t="s">
        <v>2</v>
      </c>
      <c r="Q10" s="761" t="s">
        <v>11</v>
      </c>
      <c r="R10" s="761" t="s">
        <v>353</v>
      </c>
      <c r="S10" s="761" t="s">
        <v>12</v>
      </c>
      <c r="T10" s="761" t="s">
        <v>244</v>
      </c>
      <c r="U10" s="761" t="s">
        <v>244</v>
      </c>
      <c r="V10" s="761" t="s">
        <v>747</v>
      </c>
      <c r="W10" s="761" t="s">
        <v>1436</v>
      </c>
      <c r="X10" s="761" t="s">
        <v>10</v>
      </c>
      <c r="Y10" s="761" t="s">
        <v>339</v>
      </c>
      <c r="Z10" s="761"/>
      <c r="AA10" s="761"/>
      <c r="AB10" s="761"/>
      <c r="AC10" s="761" t="s">
        <v>747</v>
      </c>
      <c r="AD10" s="761" t="s">
        <v>747</v>
      </c>
      <c r="AE10" s="761" t="s">
        <v>747</v>
      </c>
      <c r="AF10" s="761"/>
      <c r="AG10" s="761"/>
      <c r="AH10" s="761"/>
      <c r="AI10" s="761"/>
      <c r="AJ10" s="761"/>
      <c r="AK10" s="761"/>
      <c r="AL10" s="761" t="s">
        <v>747</v>
      </c>
    </row>
    <row r="11" spans="1:38" s="762" customFormat="1" ht="33.75">
      <c r="A11" s="1127"/>
      <c r="B11" s="1127"/>
      <c r="D11" s="757" t="s">
        <v>769</v>
      </c>
      <c r="E11" s="758"/>
      <c r="F11" s="759" t="s">
        <v>2</v>
      </c>
      <c r="G11" s="759" t="s">
        <v>1</v>
      </c>
      <c r="H11" s="759" t="s">
        <v>1484</v>
      </c>
      <c r="I11" s="759" t="s">
        <v>1437</v>
      </c>
      <c r="J11" s="759" t="s">
        <v>353</v>
      </c>
      <c r="K11" s="759" t="s">
        <v>353</v>
      </c>
      <c r="L11" s="759" t="s">
        <v>1469</v>
      </c>
      <c r="M11" s="759" t="s">
        <v>1470</v>
      </c>
      <c r="N11" s="759" t="s">
        <v>1467</v>
      </c>
      <c r="O11" s="759" t="s">
        <v>80</v>
      </c>
      <c r="P11" s="759" t="s">
        <v>1473</v>
      </c>
      <c r="Q11" s="759" t="s">
        <v>1475</v>
      </c>
      <c r="R11" s="759" t="s">
        <v>1574</v>
      </c>
      <c r="S11" s="759" t="s">
        <v>80</v>
      </c>
      <c r="T11" s="759" t="s">
        <v>79</v>
      </c>
      <c r="U11" s="759" t="s">
        <v>79</v>
      </c>
      <c r="V11" s="759" t="s">
        <v>80</v>
      </c>
      <c r="W11" s="759" t="s">
        <v>2062</v>
      </c>
      <c r="X11" s="759" t="s">
        <v>2063</v>
      </c>
      <c r="Y11" s="759" t="s">
        <v>2064</v>
      </c>
      <c r="Z11" s="759"/>
      <c r="AA11" s="759"/>
      <c r="AB11" s="759"/>
      <c r="AC11" s="763"/>
      <c r="AD11" s="763"/>
      <c r="AE11" s="763"/>
      <c r="AF11" s="759"/>
      <c r="AG11" s="759"/>
      <c r="AH11" s="759"/>
      <c r="AI11" s="759"/>
      <c r="AJ11" s="759"/>
      <c r="AK11" s="759"/>
      <c r="AL11" s="759"/>
    </row>
    <row r="12" spans="1:38" s="762" customFormat="1" ht="45">
      <c r="A12" s="1127"/>
      <c r="B12" s="1127"/>
      <c r="D12" s="760" t="s">
        <v>770</v>
      </c>
      <c r="E12" s="493"/>
      <c r="F12" s="761"/>
      <c r="G12" s="761"/>
      <c r="H12" s="761"/>
      <c r="I12" s="761"/>
      <c r="J12" s="761" t="s">
        <v>361</v>
      </c>
      <c r="K12" s="761" t="s">
        <v>1913</v>
      </c>
      <c r="L12" s="761"/>
      <c r="M12" s="761"/>
      <c r="N12" s="761"/>
      <c r="O12" s="759" t="s">
        <v>1468</v>
      </c>
      <c r="P12" s="761"/>
      <c r="Q12" s="761"/>
      <c r="R12" s="761" t="s">
        <v>361</v>
      </c>
      <c r="S12" s="761" t="s">
        <v>382</v>
      </c>
      <c r="T12" s="761" t="s">
        <v>383</v>
      </c>
      <c r="U12" s="761" t="s">
        <v>677</v>
      </c>
      <c r="V12" s="761" t="s">
        <v>1998</v>
      </c>
      <c r="W12" s="761"/>
      <c r="X12" s="761"/>
      <c r="Y12" s="761"/>
      <c r="Z12" s="761"/>
      <c r="AA12" s="761"/>
      <c r="AB12" s="764"/>
      <c r="AC12" s="761" t="s">
        <v>555</v>
      </c>
      <c r="AD12" s="761" t="s">
        <v>555</v>
      </c>
      <c r="AE12" s="761" t="s">
        <v>555</v>
      </c>
      <c r="AF12" s="761"/>
      <c r="AG12" s="761"/>
      <c r="AH12" s="761"/>
      <c r="AI12" s="764"/>
      <c r="AJ12" s="764"/>
      <c r="AK12" s="764"/>
      <c r="AL12" s="761" t="s">
        <v>555</v>
      </c>
    </row>
    <row r="13" spans="1:38" s="664" customFormat="1">
      <c r="A13" s="1125"/>
      <c r="B13" s="1125"/>
      <c r="E13" s="667"/>
    </row>
    <row r="14" spans="1:38" s="664" customFormat="1">
      <c r="A14" s="1125"/>
      <c r="B14" s="1125"/>
      <c r="E14" s="667"/>
    </row>
    <row r="15" spans="1:38" s="765" customFormat="1" ht="17.25">
      <c r="A15" s="765" t="s">
        <v>47</v>
      </c>
      <c r="E15" s="766"/>
    </row>
    <row r="16" spans="1:38" s="664" customFormat="1" ht="12.75" outlineLevel="1">
      <c r="A16" s="1125"/>
      <c r="B16" s="1125"/>
      <c r="E16" s="667"/>
      <c r="F16" s="469"/>
      <c r="G16" s="506"/>
      <c r="H16" s="469"/>
      <c r="I16" s="469"/>
      <c r="J16" s="469"/>
      <c r="K16" s="469"/>
      <c r="L16" s="469"/>
      <c r="M16" s="469"/>
      <c r="N16" s="469"/>
      <c r="O16" s="469"/>
      <c r="P16" s="469"/>
      <c r="Q16" s="469"/>
      <c r="R16" s="469"/>
      <c r="S16" s="469"/>
      <c r="T16" s="469"/>
      <c r="U16" s="469"/>
      <c r="V16" s="469"/>
      <c r="W16" s="469"/>
      <c r="X16" s="469"/>
      <c r="Y16" s="469"/>
      <c r="Z16" s="469"/>
      <c r="AA16" s="469"/>
    </row>
    <row r="17" spans="1:38" s="664" customFormat="1" ht="12.75" outlineLevel="1">
      <c r="A17" s="1125"/>
      <c r="B17" s="1125"/>
      <c r="D17" s="752" t="s">
        <v>745</v>
      </c>
      <c r="E17" s="488"/>
      <c r="F17" s="621"/>
      <c r="G17" s="621"/>
      <c r="H17" s="621"/>
      <c r="I17" s="621"/>
      <c r="J17" s="621"/>
      <c r="K17" s="621"/>
      <c r="L17" s="621"/>
      <c r="M17" s="621"/>
      <c r="N17" s="621"/>
      <c r="O17" s="621"/>
      <c r="P17" s="621"/>
      <c r="Q17" s="621"/>
      <c r="R17" s="621"/>
      <c r="S17" s="621"/>
      <c r="T17" s="621"/>
      <c r="U17" s="621"/>
      <c r="V17" s="621"/>
      <c r="W17" s="621"/>
      <c r="X17" s="621"/>
      <c r="Y17" s="621"/>
      <c r="Z17" s="621"/>
      <c r="AA17" s="621"/>
      <c r="AB17" s="469"/>
      <c r="AC17" s="469"/>
      <c r="AD17" s="469"/>
      <c r="AE17" s="469"/>
      <c r="AF17" s="469"/>
      <c r="AG17" s="469"/>
      <c r="AH17" s="469"/>
      <c r="AI17" s="469"/>
      <c r="AJ17" s="469"/>
      <c r="AK17" s="469"/>
      <c r="AL17" s="469"/>
    </row>
    <row r="18" spans="1:38" s="664" customFormat="1" ht="12.75" outlineLevel="1">
      <c r="A18" s="1125"/>
      <c r="B18" s="1125"/>
      <c r="D18" s="753" t="s">
        <v>42</v>
      </c>
      <c r="E18" s="491" t="s">
        <v>784</v>
      </c>
      <c r="F18" s="767">
        <f t="shared" ref="F18:AC18" ca="1" si="0">SUM(F19:F26)</f>
        <v>145.40365540285308</v>
      </c>
      <c r="G18" s="767">
        <f t="shared" ca="1" si="0"/>
        <v>155.62182661909361</v>
      </c>
      <c r="H18" s="767">
        <f t="shared" ca="1" si="0"/>
        <v>135.52027212107475</v>
      </c>
      <c r="I18" s="767">
        <f t="shared" ca="1" si="0"/>
        <v>101.22494527938159</v>
      </c>
      <c r="J18" s="767">
        <f t="shared" ca="1" si="0"/>
        <v>69.899223753187385</v>
      </c>
      <c r="K18" s="767">
        <f ca="1">SUM(K19:K26)</f>
        <v>71.804079542410605</v>
      </c>
      <c r="L18" s="767">
        <f t="shared" ca="1" si="0"/>
        <v>195.37247871146872</v>
      </c>
      <c r="M18" s="767">
        <f t="shared" ca="1" si="0"/>
        <v>198.75100224934278</v>
      </c>
      <c r="N18" s="767">
        <f t="shared" ca="1" si="0"/>
        <v>175.37663232130228</v>
      </c>
      <c r="O18" s="767">
        <f t="shared" ca="1" si="0"/>
        <v>303.13318342076604</v>
      </c>
      <c r="P18" s="767">
        <f t="shared" ca="1" si="0"/>
        <v>196.75625173746954</v>
      </c>
      <c r="Q18" s="767">
        <f t="shared" ca="1" si="0"/>
        <v>176.67846617200266</v>
      </c>
      <c r="R18" s="767">
        <f t="shared" ca="1" si="0"/>
        <v>178.33797051875808</v>
      </c>
      <c r="S18" s="767">
        <f t="shared" ca="1" si="0"/>
        <v>456.50674206554686</v>
      </c>
      <c r="T18" s="767">
        <f t="shared" ca="1" si="0"/>
        <v>210.06924731306117</v>
      </c>
      <c r="U18" s="767">
        <f t="shared" ca="1" si="0"/>
        <v>163.11879813839994</v>
      </c>
      <c r="V18" s="767">
        <f ca="1">SUM(V19:V26)</f>
        <v>518.39108283878568</v>
      </c>
      <c r="W18" s="767">
        <f t="shared" ca="1" si="0"/>
        <v>202.32096582625198</v>
      </c>
      <c r="X18" s="767">
        <f ca="1">SUM(X19:X26)</f>
        <v>130.12903169895651</v>
      </c>
      <c r="Y18" s="767">
        <f ca="1">SUM(Y19:Y26)</f>
        <v>116.58568955213545</v>
      </c>
      <c r="Z18" s="767">
        <f ca="1">SUM(Z19:Z26)</f>
        <v>0</v>
      </c>
      <c r="AA18" s="767">
        <f ca="1">SUM(AA19:AA26)</f>
        <v>0</v>
      </c>
      <c r="AB18" s="767">
        <f t="shared" ca="1" si="0"/>
        <v>0</v>
      </c>
      <c r="AC18" s="767">
        <f t="shared" ca="1" si="0"/>
        <v>28.441450277315031</v>
      </c>
      <c r="AD18" s="767">
        <f t="shared" ref="AD18:AJ18" ca="1" si="1">SUM(AD19:AD26)</f>
        <v>65.475944111002164</v>
      </c>
      <c r="AE18" s="767">
        <f t="shared" ca="1" si="1"/>
        <v>40.902743399463397</v>
      </c>
      <c r="AF18" s="767">
        <f t="shared" ca="1" si="1"/>
        <v>0</v>
      </c>
      <c r="AG18" s="767">
        <f t="shared" ca="1" si="1"/>
        <v>0</v>
      </c>
      <c r="AH18" s="767">
        <f t="shared" ca="1" si="1"/>
        <v>0</v>
      </c>
      <c r="AI18" s="767">
        <f t="shared" ca="1" si="1"/>
        <v>0</v>
      </c>
      <c r="AJ18" s="767">
        <f t="shared" ca="1" si="1"/>
        <v>0</v>
      </c>
      <c r="AK18" s="767">
        <f ca="1">SUM(AK19:AK26)</f>
        <v>0</v>
      </c>
      <c r="AL18" s="767">
        <f ca="1">SUM(AL19:AL26)</f>
        <v>48.120874587603993</v>
      </c>
    </row>
    <row r="19" spans="1:38" s="664" customFormat="1" ht="12.75" outlineLevel="1">
      <c r="A19" s="1125"/>
      <c r="B19" s="1125"/>
      <c r="D19" s="768" t="s">
        <v>78</v>
      </c>
      <c r="E19" s="715" t="s">
        <v>784</v>
      </c>
      <c r="F19" s="1714">
        <f ca="1">IF(F10&lt;&gt;"",VLOOKUP(F10,Distribution!$B$8:$C$27,2,0),0)</f>
        <v>22.566592893034073</v>
      </c>
      <c r="G19" s="1714">
        <f ca="1">IF(G10&lt;&gt;"",VLOOKUP(G10,Distribution!$B$8:$C$27,2,0),0)</f>
        <v>31.508073095934371</v>
      </c>
      <c r="H19" s="1714">
        <f ca="1">IF(H10&lt;&gt;"",VLOOKUP(H10,Distribution!$B$8:$C$27,2,0),0)</f>
        <v>4.0449553298834662</v>
      </c>
      <c r="I19" s="1714">
        <f ca="1">IF(I10&lt;&gt;"",VLOOKUP(I10,Distribution!$B$8:$C$27,2,0),0)</f>
        <v>4.0449553298834662</v>
      </c>
      <c r="J19" s="1714">
        <f ca="1">IF(J10&lt;&gt;"",VLOOKUP(J10,Distribution!$B$8:$C$27,2,0),0)</f>
        <v>0</v>
      </c>
      <c r="K19" s="1714">
        <f ca="1">IF(K10&lt;&gt;"",VLOOKUP(K10,Distribution!$B$8:$C$27,2,0),0)</f>
        <v>0</v>
      </c>
      <c r="L19" s="1714">
        <f ca="1">IF(L10&lt;&gt;"",VLOOKUP(L10,Distribution!$B$8:$C$27,2,0),0)</f>
        <v>45.169700608586538</v>
      </c>
      <c r="M19" s="1714">
        <f ca="1">IF(M10&lt;&gt;"",VLOOKUP(M10,Distribution!$B$8:$C$27,2,0),0)</f>
        <v>45.169700608586538</v>
      </c>
      <c r="N19" s="1714">
        <f ca="1">IF(N10&lt;&gt;"",VLOOKUP(N10,Distribution!$B$8:$C$27,2,0),0)</f>
        <v>65.588991692475233</v>
      </c>
      <c r="O19" s="1714">
        <f ca="1">IF(O10&lt;&gt;"",VLOOKUP(O10,Distribution!$B$8:$C$27,2,0),0)</f>
        <v>65.588991692475233</v>
      </c>
      <c r="P19" s="1714">
        <f ca="1">IF(P10&lt;&gt;"",VLOOKUP(P10,Distribution!$B$8:$C$27,2,0),0)</f>
        <v>22.566592893034073</v>
      </c>
      <c r="Q19" s="1714">
        <f ca="1">IF(Q10&lt;&gt;"",VLOOKUP(Q10,Distribution!$B$8:$C$27,2,0),0)</f>
        <v>54.3956380702882</v>
      </c>
      <c r="R19" s="1714">
        <f ca="1">IF(R10&lt;&gt;"",VLOOKUP(R10,Distribution!$B$8:$C$27,2,0),0)</f>
        <v>0</v>
      </c>
      <c r="S19" s="1714">
        <f ca="1">IF(S10&lt;&gt;"",VLOOKUP(S10,Distribution!$B$8:$C$27,2,0),0)</f>
        <v>0</v>
      </c>
      <c r="T19" s="1714">
        <f ca="1">IF(T10&lt;&gt;"",VLOOKUP(T10,Distribution!$B$8:$C$27,2,0),0)</f>
        <v>0</v>
      </c>
      <c r="U19" s="1714">
        <f ca="1">IF(U10&lt;&gt;"",VLOOKUP(U10,Distribution!$B$8:$C$27,2,0),0)</f>
        <v>0</v>
      </c>
      <c r="V19" s="1714">
        <f ca="1">IF(V10&lt;&gt;"",VLOOKUP(V10,Distribution!$B$8:$C$27,2,0),0)</f>
        <v>0</v>
      </c>
      <c r="W19" s="1714">
        <f ca="1">IF(W10&lt;&gt;"",VLOOKUP(W10,Distribution!$B$8:$C$27,2,0),0)</f>
        <v>4.0449553298834662</v>
      </c>
      <c r="X19" s="1714">
        <f ca="1">IF(X10&lt;&gt;"",VLOOKUP(X10,Distribution!$B$8:$C$27,2,0),0)</f>
        <v>34.291021773172673</v>
      </c>
      <c r="Y19" s="1714">
        <f ca="1">IF(Y10&lt;&gt;"",VLOOKUP(Y10,Distribution!$B$8:$C$27,2,0),0)</f>
        <v>45.169700608586538</v>
      </c>
      <c r="Z19" s="1714">
        <f>IF(Z10&lt;&gt;"",VLOOKUP(Z10,Distribution!$B$8:$C$27,2,0),0)</f>
        <v>0</v>
      </c>
      <c r="AA19" s="1714">
        <f>IF(AA10&lt;&gt;"",VLOOKUP(AA10,Distribution!$B$8:$C$27,2,0),0)</f>
        <v>0</v>
      </c>
      <c r="AB19" s="1714">
        <f>IF(AB10&lt;&gt;"",VLOOKUP(AB10,Distribution!$B$8:$C$27,2,0),0)</f>
        <v>0</v>
      </c>
      <c r="AC19" s="1714">
        <f ca="1">IF(AC10&lt;&gt;"",VLOOKUP(AC10,Distribution!$B$8:$C$27,2,0),0)</f>
        <v>0</v>
      </c>
      <c r="AD19" s="1714">
        <f ca="1">IF(AD10&lt;&gt;"",VLOOKUP(AD10,Distribution!$B$8:$C$27,2,0),0)</f>
        <v>0</v>
      </c>
      <c r="AE19" s="1714">
        <f ca="1">IF(AE10&lt;&gt;"",VLOOKUP(AE10,Distribution!$B$8:$C$27,2,0),0)</f>
        <v>0</v>
      </c>
      <c r="AF19" s="1714">
        <f>IF(AF10&lt;&gt;"",VLOOKUP(AF10,Distribution!$B$8:$C$27,2,0),0)</f>
        <v>0</v>
      </c>
      <c r="AG19" s="1714">
        <f>IF(AG10&lt;&gt;"",VLOOKUP(AG10,Distribution!$B$8:$C$27,2,0),0)</f>
        <v>0</v>
      </c>
      <c r="AH19" s="1714">
        <f>IF(AH10&lt;&gt;"",VLOOKUP(AH10,Distribution!$B$8:$C$27,2,0),0)</f>
        <v>0</v>
      </c>
      <c r="AI19" s="1714">
        <f>IF(AI10&lt;&gt;"",VLOOKUP(AI10,Distribution!$B$8:$C$27,2,0),0)</f>
        <v>0</v>
      </c>
      <c r="AJ19" s="1714">
        <f>IF(AJ10&lt;&gt;"",VLOOKUP(AJ10,Distribution!$B$8:$C$27,2,0),0)</f>
        <v>0</v>
      </c>
      <c r="AK19" s="1714">
        <f>IF(AK10&lt;&gt;"",VLOOKUP(AK10,Distribution!$B$8:$C$27,2,0),0)</f>
        <v>0</v>
      </c>
      <c r="AL19" s="1714">
        <f ca="1">IF(AL10&lt;&gt;"",VLOOKUP(AL10,Distribution!$B$8:$C$27,2,0),0)</f>
        <v>0</v>
      </c>
    </row>
    <row r="20" spans="1:38" s="664" customFormat="1" ht="12.75" outlineLevel="1">
      <c r="A20" s="1125"/>
      <c r="B20" s="1125"/>
      <c r="D20" s="768" t="s">
        <v>906</v>
      </c>
      <c r="E20" s="715" t="s">
        <v>784</v>
      </c>
      <c r="F20" s="478">
        <f ca="1">IF(Cockpit!$B$11=1,0,-F35)</f>
        <v>0</v>
      </c>
      <c r="G20" s="478">
        <f ca="1">IF(Cockpit!$B$11=1,0,-G35)</f>
        <v>0</v>
      </c>
      <c r="H20" s="478">
        <f ca="1">IF(Cockpit!$B$11=1,0,-H35)</f>
        <v>0</v>
      </c>
      <c r="I20" s="478">
        <f ca="1">IF(Cockpit!$B$11=1,0,-I35)</f>
        <v>0</v>
      </c>
      <c r="J20" s="478">
        <f ca="1">IF(Cockpit!$B$11=1,0,-J35)</f>
        <v>-6.0191661488268782E-3</v>
      </c>
      <c r="K20" s="478">
        <f ca="1">IF(Cockpit!$B$11=1,0,-K35)</f>
        <v>0</v>
      </c>
      <c r="L20" s="478">
        <f ca="1">IF(Cockpit!$B$11=1,0,-L35)</f>
        <v>0</v>
      </c>
      <c r="M20" s="478">
        <f ca="1">IF(Cockpit!$B$11=1,0,-M35)</f>
        <v>0</v>
      </c>
      <c r="N20" s="478">
        <f ca="1">IF(Cockpit!$B$11=1,0,-N35)</f>
        <v>0</v>
      </c>
      <c r="O20" s="478">
        <f ca="1">IF(Cockpit!$B$11=1,0,-O35)</f>
        <v>0</v>
      </c>
      <c r="P20" s="478">
        <f ca="1">IF(Cockpit!$B$11=1,0,-P35)</f>
        <v>0</v>
      </c>
      <c r="Q20" s="478">
        <f ca="1">IF(Cockpit!$B$11=1,0,-Q35)</f>
        <v>0</v>
      </c>
      <c r="R20" s="478">
        <f ca="1">IF(Cockpit!$B$11=1,0,-R35)</f>
        <v>-6.0191661488268782E-3</v>
      </c>
      <c r="S20" s="478">
        <f ca="1">IF(Cockpit!$B$11=1,0,-S35)</f>
        <v>-0.46561194995088528</v>
      </c>
      <c r="T20" s="478">
        <f ca="1">IF(Cockpit!$B$11=1,0,-T35)</f>
        <v>-0.26751849550341683</v>
      </c>
      <c r="U20" s="478">
        <f ca="1">IF(Cockpit!$B$11=1,0,-U35)</f>
        <v>-0.26751849550341683</v>
      </c>
      <c r="V20" s="478">
        <f ca="1">IF(Cockpit!$B$11=1,0,-V35)</f>
        <v>-0.25343857468744746</v>
      </c>
      <c r="W20" s="478">
        <f ca="1">IF(Cockpit!$B$11=1,0,-W35)</f>
        <v>0</v>
      </c>
      <c r="X20" s="478">
        <f ca="1">IF(Cockpit!$B$11=1,0,-X35)</f>
        <v>0</v>
      </c>
      <c r="Y20" s="478">
        <f ca="1">IF(Cockpit!$B$11=1,0,-Y35)</f>
        <v>0</v>
      </c>
      <c r="Z20" s="478">
        <f ca="1">IF(Cockpit!$B$11=1,0,-Z35)</f>
        <v>0</v>
      </c>
      <c r="AA20" s="478">
        <f ca="1">IF(Cockpit!$B$11=1,0,-AA35)</f>
        <v>0</v>
      </c>
      <c r="AB20" s="478">
        <f ca="1">IF(Cockpit!$B$11=1,0,-AB35)</f>
        <v>0</v>
      </c>
      <c r="AC20" s="478">
        <f ca="1">IF(Cockpit!$B$11=1,0,-AC35)</f>
        <v>0</v>
      </c>
      <c r="AD20" s="478">
        <f ca="1">IF(Cockpit!$B$11=1,0,-AD35)</f>
        <v>0</v>
      </c>
      <c r="AE20" s="478">
        <f ca="1">IF(Cockpit!$B$11=1,0,-AE35)</f>
        <v>0</v>
      </c>
      <c r="AF20" s="478">
        <f ca="1">IF(Cockpit!$B$11=1,0,-AF35)</f>
        <v>0</v>
      </c>
      <c r="AG20" s="478">
        <f ca="1">IF(Cockpit!$B$11=1,0,-AG35)</f>
        <v>0</v>
      </c>
      <c r="AH20" s="478">
        <f ca="1">IF(Cockpit!$B$11=1,0,-AH35)</f>
        <v>0</v>
      </c>
      <c r="AI20" s="478">
        <f ca="1">IF(Cockpit!$B$11=1,0,-AI35)</f>
        <v>0</v>
      </c>
      <c r="AJ20" s="478">
        <f ca="1">IF(Cockpit!$B$11=1,0,-AJ35)</f>
        <v>0</v>
      </c>
      <c r="AK20" s="478">
        <f ca="1">IF(Cockpit!$B$11=1,0,-AK35)</f>
        <v>0</v>
      </c>
      <c r="AL20" s="478">
        <f ca="1">IF(Cockpit!$B$11=1,0,-AL35)</f>
        <v>0</v>
      </c>
    </row>
    <row r="21" spans="1:38" s="664" customFormat="1" ht="12.75" outlineLevel="1">
      <c r="A21" s="1125"/>
      <c r="B21" s="1125"/>
      <c r="D21" s="768" t="s">
        <v>2502</v>
      </c>
      <c r="E21" s="715" t="s">
        <v>784</v>
      </c>
      <c r="F21" s="1653">
        <f ca="1">SUMPRODUCT(F$237:F$256,ProcessEnergy!$I$5:$I$24)/F30</f>
        <v>0</v>
      </c>
      <c r="G21" s="1653">
        <f ca="1">SUMPRODUCT(G$237:G$256,ProcessEnergy!$I$5:$I$24)/G30</f>
        <v>0</v>
      </c>
      <c r="H21" s="1653">
        <f ca="1">SUMPRODUCT(H$237:H$256,ProcessEnergy!$I$5:$I$24)/H30</f>
        <v>0</v>
      </c>
      <c r="I21" s="1653">
        <f ca="1">SUMPRODUCT(I$237:I$256,ProcessEnergy!$I$5:$I$24)/I30</f>
        <v>0</v>
      </c>
      <c r="J21" s="1653">
        <f ca="1">SUMPRODUCT(J$237:J$256,ProcessEnergy!$I$5:$I$24)/J30</f>
        <v>2.6131541307772181</v>
      </c>
      <c r="K21" s="1653">
        <f ca="1">SUMPRODUCT(K$237:K$256,ProcessEnergy!$I$5:$I$24)/K30</f>
        <v>4.1736015309183188</v>
      </c>
      <c r="L21" s="1653">
        <f ca="1">SUMPRODUCT(L$237:L$256,ProcessEnergy!$I$5:$I$24)/L30</f>
        <v>0</v>
      </c>
      <c r="M21" s="1653">
        <f ca="1">SUMPRODUCT(M$237:M$256,ProcessEnergy!$I$5:$I$24)/M30</f>
        <v>0</v>
      </c>
      <c r="N21" s="1653">
        <f ca="1">SUMPRODUCT(N$237:N$256,ProcessEnergy!$I$5:$I$24)/N30</f>
        <v>0</v>
      </c>
      <c r="O21" s="1653">
        <f ca="1">SUMPRODUCT(O$237:O$256,ProcessEnergy!$I$5:$I$24)/O30</f>
        <v>0</v>
      </c>
      <c r="P21" s="1653">
        <f ca="1">SUMPRODUCT(P$237:P$256,ProcessEnergy!$I$5:$I$24)/P30</f>
        <v>0</v>
      </c>
      <c r="Q21" s="1653">
        <f ca="1">SUMPRODUCT(Q$237:Q$256,ProcessEnergy!$I$5:$I$24)/Q30</f>
        <v>0</v>
      </c>
      <c r="R21" s="1653">
        <f ca="1">SUMPRODUCT(R$237:R$256,ProcessEnergy!$I$5:$I$24)/R30</f>
        <v>2.6131541307772181</v>
      </c>
      <c r="S21" s="2407"/>
      <c r="T21" s="2407"/>
      <c r="U21" s="2407"/>
      <c r="V21" s="2407"/>
      <c r="W21" s="1653">
        <f ca="1">SUMPRODUCT(W$237:W$256,ProcessEnergy!$I$5:$I$24)/W30</f>
        <v>0</v>
      </c>
      <c r="X21" s="1653">
        <f ca="1">SUMPRODUCT(X$237:X$256,ProcessEnergy!$I$5:$I$24)/X30</f>
        <v>0</v>
      </c>
      <c r="Y21" s="1653">
        <f ca="1">SUMPRODUCT(Y$237:Y$256,ProcessEnergy!$I$5:$I$24)/Y30</f>
        <v>0</v>
      </c>
      <c r="Z21" s="1653">
        <f ca="1">SUMPRODUCT(Z$237:Z$256,ProcessEnergy!$I$5:$I$24)/Z30</f>
        <v>0</v>
      </c>
      <c r="AA21" s="1653">
        <f ca="1">SUMPRODUCT(AA$237:AA$256,ProcessEnergy!$I$5:$I$24)/AA30</f>
        <v>0</v>
      </c>
      <c r="AB21" s="1653">
        <f ca="1">SUMPRODUCT(AB$237:AB$256,ProcessEnergy!$I$5:$I$24)/AB30</f>
        <v>0</v>
      </c>
      <c r="AC21" s="1653">
        <f ca="1">SUMPRODUCT(AC$237:AC$256,ProcessEnergy!$I$5:$I$24)/AC30</f>
        <v>0</v>
      </c>
      <c r="AD21" s="1653">
        <f ca="1">SUMPRODUCT(AD$237:AD$256,ProcessEnergy!$I$5:$I$24)/AD30</f>
        <v>0</v>
      </c>
      <c r="AE21" s="1653">
        <f ca="1">SUMPRODUCT(AE$237:AE$256,ProcessEnergy!$I$5:$I$24)/AE30</f>
        <v>0</v>
      </c>
      <c r="AF21" s="1653">
        <f ca="1">SUMPRODUCT(AF$237:AF$256,ProcessEnergy!$I$5:$I$24)/AF30</f>
        <v>0</v>
      </c>
      <c r="AG21" s="1653">
        <f ca="1">SUMPRODUCT(AG$237:AG$256,ProcessEnergy!$I$5:$I$24)/AG30</f>
        <v>0</v>
      </c>
      <c r="AH21" s="1653">
        <f ca="1">SUMPRODUCT(AH$237:AH$256,ProcessEnergy!$I$5:$I$24)/AH30</f>
        <v>0</v>
      </c>
      <c r="AI21" s="1653">
        <f ca="1">SUMPRODUCT(AI$237:AI$256,ProcessEnergy!$I$5:$I$24)/AI30</f>
        <v>0</v>
      </c>
      <c r="AJ21" s="1653">
        <f ca="1">SUMPRODUCT(AJ$237:AJ$256,ProcessEnergy!$I$5:$I$24)/AJ30</f>
        <v>0</v>
      </c>
      <c r="AK21" s="1653">
        <f ca="1">SUMPRODUCT(AK$237:AK$256,ProcessEnergy!$I$5:$I$24)/AK30</f>
        <v>0</v>
      </c>
      <c r="AL21" s="1653">
        <f ca="1">SUMPRODUCT(AL$237:AL$256,ProcessEnergy!$I$5:$I$24)/AL30</f>
        <v>0</v>
      </c>
    </row>
    <row r="22" spans="1:38" s="664" customFormat="1" ht="12.75" outlineLevel="1">
      <c r="A22" s="1128">
        <f>ROW('Naturgas komprimering'!$A$96)</f>
        <v>96</v>
      </c>
      <c r="B22" s="1128">
        <f>COLUMN('Naturgas komprimering'!$D$1)+chosenYear-1</f>
        <v>4</v>
      </c>
      <c r="D22" s="768" t="s">
        <v>39</v>
      </c>
      <c r="E22" s="715" t="s">
        <v>784</v>
      </c>
      <c r="F22" s="819">
        <f ca="1">IF(F$12&lt;&gt;"",INDIRECT(ADDRESS($A22,$B22,,,F$12)),0)*(1+Sensitivity!$N$7)</f>
        <v>0</v>
      </c>
      <c r="G22" s="819">
        <f ca="1">IF(G$12&lt;&gt;"",INDIRECT(ADDRESS($A22,$B22,,,G$12)),0)*(1+Sensitivity!$N$7)</f>
        <v>0</v>
      </c>
      <c r="H22" s="819">
        <f ca="1">IF(H$12&lt;&gt;"",INDIRECT(ADDRESS($A22,$B22,,,H$12)),0)*(1+Sensitivity!$N$7)</f>
        <v>0</v>
      </c>
      <c r="I22" s="819">
        <f ca="1">IF(I$12&lt;&gt;"",INDIRECT(ADDRESS($A22,$B22,,,I$12)),0)*(1+Sensitivity!$N$7)</f>
        <v>0</v>
      </c>
      <c r="J22" s="819">
        <f ca="1">IF(J$12&lt;&gt;"",INDIRECT(ADDRESS($A22,$B22,,,J$12)),0)*(1+Sensitivity!$N$7)</f>
        <v>0</v>
      </c>
      <c r="K22" s="819">
        <f ca="1">IF(K$12&lt;&gt;"",INDIRECT(ADDRESS($A22,$B22,,,K$12)),0)*(1+Sensitivity!$N$7)</f>
        <v>0</v>
      </c>
      <c r="L22" s="819">
        <f ca="1">IF(L$12&lt;&gt;"",INDIRECT(ADDRESS($A22,$B22,,,L$12)),0)*(1+Sensitivity!$N$7)</f>
        <v>0</v>
      </c>
      <c r="M22" s="819">
        <f ca="1">IF(M$12&lt;&gt;"",INDIRECT(ADDRESS($A22,$B22,,,M$12)),0)*(1+Sensitivity!$N$7)</f>
        <v>0</v>
      </c>
      <c r="N22" s="819">
        <f ca="1">IF(N$12&lt;&gt;"",INDIRECT(ADDRESS($A22,$B22,,,N$12)),0)*(1+Sensitivity!$N$7)</f>
        <v>0</v>
      </c>
      <c r="O22" s="819">
        <f ca="1">IF(O$12&lt;&gt;"",INDIRECT(ADDRESS($A22,$B22,,,O$12)),0)*(1+Sensitivity!$N$7)</f>
        <v>0</v>
      </c>
      <c r="P22" s="819">
        <f ca="1">IF(P$12&lt;&gt;"",INDIRECT(ADDRESS($A22,$B22,,,P$12)),0)*(1+Sensitivity!$N$7)</f>
        <v>0</v>
      </c>
      <c r="Q22" s="819">
        <f ca="1">IF(Q$12&lt;&gt;"",INDIRECT(ADDRESS($A22,$B22,,,Q$12)),0)*(1+Sensitivity!$N$7)</f>
        <v>0</v>
      </c>
      <c r="R22" s="819">
        <f ca="1">IF(R$12&lt;&gt;"",INDIRECT(ADDRESS($A22,$B22,,,R$12)),0)*(1+Sensitivity!$N$7)</f>
        <v>0</v>
      </c>
      <c r="S22" s="819">
        <f ca="1">IF(S$12&lt;&gt;"",INDIRECT(ADDRESS($A22,$B22,,,S$12)),0)*(1+Sensitivity!$N$7)</f>
        <v>45.660501703197319</v>
      </c>
      <c r="T22" s="819">
        <f ca="1">IF(T$12&lt;&gt;"",INDIRECT(ADDRESS($A22,$B22,,,T$12)),0)*(1+Sensitivity!$N$7)</f>
        <v>0.29568386914352823</v>
      </c>
      <c r="U22" s="819">
        <f ca="1">IF(U$12&lt;&gt;"",INDIRECT(ADDRESS($A22,$B22,,,U$12)),0)*(1+Sensitivity!$N$7)</f>
        <v>0.29568386914352823</v>
      </c>
      <c r="V22" s="819">
        <f ca="1">IF(V$12&lt;&gt;"",INDIRECT(ADDRESS($A22,$B22,,,V$12)),0)*(1+Sensitivity!$N$7)</f>
        <v>0</v>
      </c>
      <c r="W22" s="819">
        <f ca="1">IF(W$12&lt;&gt;"",INDIRECT(ADDRESS($A22,$B22,,,W$12)),0)*(1+Sensitivity!$N$7)</f>
        <v>0</v>
      </c>
      <c r="X22" s="819">
        <f ca="1">IF(X$12&lt;&gt;"",INDIRECT(ADDRESS($A22,$B22,,,X$12)),0)*(1+Sensitivity!$N$7)</f>
        <v>0</v>
      </c>
      <c r="Y22" s="819">
        <f ca="1">IF(Y$12&lt;&gt;"",INDIRECT(ADDRESS($A22,$B22,,,Y$12)),0)*(1+Sensitivity!$N$7)</f>
        <v>0</v>
      </c>
      <c r="Z22" s="819">
        <f ca="1">IF(Z$12&lt;&gt;"",INDIRECT(ADDRESS($A22,$B22,,,Z$12)),0)*(1+Sensitivity!$N$7)</f>
        <v>0</v>
      </c>
      <c r="AA22" s="819">
        <f ca="1">IF(AA$12&lt;&gt;"",INDIRECT(ADDRESS($A22,$B22,,,AA$12)),0)*(1+Sensitivity!$N$7)</f>
        <v>0</v>
      </c>
      <c r="AB22" s="819">
        <f ca="1">IF(AB$12&lt;&gt;"",INDIRECT(ADDRESS($A22,$B22,,,AB$12)),0)*(1+Sensitivity!$N$7)</f>
        <v>0</v>
      </c>
      <c r="AC22" s="819">
        <f ca="1">IF(AC$12&lt;&gt;"",INDIRECT(ADDRESS($A22,$B22,,,AC$12)),0)*(1+Sensitivity!$N$7)</f>
        <v>0</v>
      </c>
      <c r="AD22" s="819">
        <f ca="1">IF(AD$12&lt;&gt;"",INDIRECT(ADDRESS($A22,$B22,,,AD$12)),0)*(1+Sensitivity!$N$7)</f>
        <v>0</v>
      </c>
      <c r="AE22" s="819">
        <f ca="1">IF(AE$12&lt;&gt;"",INDIRECT(ADDRESS($A22,$B22,,,AE$12)),0)*(1+Sensitivity!$N$7)</f>
        <v>0</v>
      </c>
      <c r="AF22" s="819">
        <f ca="1">IF(AF$12&lt;&gt;"",INDIRECT(ADDRESS($A22,$B22,,,AF$12)),0)*(1+Sensitivity!$N$7)</f>
        <v>0</v>
      </c>
      <c r="AG22" s="819">
        <f ca="1">IF(AG$12&lt;&gt;"",INDIRECT(ADDRESS($A22,$B22,,,AG$12)),0)*(1+Sensitivity!$N$7)</f>
        <v>0</v>
      </c>
      <c r="AH22" s="819">
        <f ca="1">IF(AH$12&lt;&gt;"",INDIRECT(ADDRESS($A22,$B22,,,AH$12)),0)*(1+Sensitivity!$N$7)</f>
        <v>0</v>
      </c>
      <c r="AI22" s="819">
        <f ca="1">IF(AI$12&lt;&gt;"",INDIRECT(ADDRESS($A22,$B22,,,AI$12)),0)*(1+Sensitivity!$N$7)</f>
        <v>0</v>
      </c>
      <c r="AJ22" s="819">
        <f ca="1">IF(AJ$12&lt;&gt;"",INDIRECT(ADDRESS($A22,$B22,,,AJ$12)),0)*(1+Sensitivity!$N$7)</f>
        <v>0</v>
      </c>
      <c r="AK22" s="819">
        <f ca="1">IF(AK$12&lt;&gt;"",INDIRECT(ADDRESS($A22,$B22,,,AK$12)),0)*(1+Sensitivity!$N$7)</f>
        <v>0</v>
      </c>
      <c r="AL22" s="819">
        <f ca="1">IF(AL$12&lt;&gt;"",INDIRECT(ADDRESS($A22,$B22,,,AL$12)),0)*(1+Sensitivity!$N$7)</f>
        <v>0</v>
      </c>
    </row>
    <row r="23" spans="1:38" s="664" customFormat="1" ht="12.75" outlineLevel="1">
      <c r="A23" s="1128">
        <f>ROW('Naturgas komprimering'!$A$94)</f>
        <v>94</v>
      </c>
      <c r="B23" s="1128">
        <f>COLUMN('Naturgas komprimering'!$D$1)+chosenYear-1</f>
        <v>4</v>
      </c>
      <c r="D23" s="768" t="s">
        <v>44</v>
      </c>
      <c r="E23" s="715" t="s">
        <v>784</v>
      </c>
      <c r="F23" s="819">
        <f ca="1">IF(F$12&lt;&gt;"",INDIRECT(ADDRESS($A23,$B23,,,F$12)),0)*(1+Sensitivity!$N$7)</f>
        <v>0</v>
      </c>
      <c r="G23" s="819">
        <f ca="1">IF(G$12&lt;&gt;"",INDIRECT(ADDRESS($A23,$B23,,,G$12)),0)*(1+Sensitivity!$N$7)</f>
        <v>0</v>
      </c>
      <c r="H23" s="819">
        <f ca="1">IF(H$12&lt;&gt;"",INDIRECT(ADDRESS($A23,$B23,,,H$12)),0)*(1+Sensitivity!$N$7)</f>
        <v>0</v>
      </c>
      <c r="I23" s="819">
        <f ca="1">IF(I$12&lt;&gt;"",INDIRECT(ADDRESS($A23,$B23,,,I$12)),0)*(1+Sensitivity!$N$7)</f>
        <v>0</v>
      </c>
      <c r="J23" s="819">
        <f ca="1">IF(J$12&lt;&gt;"",INDIRECT(ADDRESS($A23,$B23,,,J$12)),0)*(1+Sensitivity!$N$7)</f>
        <v>5.70455574056</v>
      </c>
      <c r="K23" s="819">
        <f ca="1">IF(K$12&lt;&gt;"",INDIRECT(ADDRESS($A23,$B23,,,K$12)),0)*(1+Sensitivity!$N$7)</f>
        <v>4.0554357937537056</v>
      </c>
      <c r="L23" s="819">
        <f ca="1">IF(L$12&lt;&gt;"",INDIRECT(ADDRESS($A23,$B23,,,L$12)),0)*(1+Sensitivity!$N$7)</f>
        <v>0</v>
      </c>
      <c r="M23" s="819">
        <f ca="1">IF(M$12&lt;&gt;"",INDIRECT(ADDRESS($A23,$B23,,,M$12)),0)*(1+Sensitivity!$N$7)</f>
        <v>0</v>
      </c>
      <c r="N23" s="819">
        <f ca="1">IF(N$12&lt;&gt;"",INDIRECT(ADDRESS($A23,$B23,,,N$12)),0)*(1+Sensitivity!$N$7)</f>
        <v>0</v>
      </c>
      <c r="O23" s="819">
        <f ca="1">IF(O$12&lt;&gt;"",INDIRECT(ADDRESS($A23,$B23,,,O$12)),0)*(1+Sensitivity!$N$7)</f>
        <v>35.606783753228136</v>
      </c>
      <c r="P23" s="819">
        <f ca="1">IF(P$12&lt;&gt;"",INDIRECT(ADDRESS($A23,$B23,,,P$12)),0)*(1+Sensitivity!$N$7)</f>
        <v>0</v>
      </c>
      <c r="Q23" s="819">
        <f ca="1">IF(Q$12&lt;&gt;"",INDIRECT(ADDRESS($A23,$B23,,,Q$12)),0)*(1+Sensitivity!$N$7)</f>
        <v>0</v>
      </c>
      <c r="R23" s="819">
        <f ca="1">IF(R$12&lt;&gt;"",INDIRECT(ADDRESS($A23,$B23,,,R$12)),0)*(1+Sensitivity!$N$7)</f>
        <v>5.70455574056</v>
      </c>
      <c r="S23" s="819">
        <f ca="1">IF(S$12&lt;&gt;"",INDIRECT(ADDRESS($A23,$B23,,,S$12)),0)*(1+Sensitivity!$N$7)</f>
        <v>11.758739399663559</v>
      </c>
      <c r="T23" s="819">
        <f ca="1">IF(T$12&lt;&gt;"",INDIRECT(ADDRESS($A23,$B23,,,T$12)),0)*(1+Sensitivity!$N$7)</f>
        <v>0</v>
      </c>
      <c r="U23" s="819">
        <f ca="1">IF(U$12&lt;&gt;"",INDIRECT(ADDRESS($A23,$B23,,,U$12)),0)*(1+Sensitivity!$N$7)</f>
        <v>0</v>
      </c>
      <c r="V23" s="819">
        <f ca="1">IF(V$12&lt;&gt;"",INDIRECT(ADDRESS($A23,$B23,,,V$12)),0)*(1+Sensitivity!$N$7)</f>
        <v>27.927059720266961</v>
      </c>
      <c r="W23" s="819">
        <f ca="1">IF(W$12&lt;&gt;"",INDIRECT(ADDRESS($A23,$B23,,,W$12)),0)*(1+Sensitivity!$N$7)</f>
        <v>0</v>
      </c>
      <c r="X23" s="819">
        <f ca="1">IF(X$12&lt;&gt;"",INDIRECT(ADDRESS($A23,$B23,,,X$12)),0)*(1+Sensitivity!$N$7)</f>
        <v>0</v>
      </c>
      <c r="Y23" s="819">
        <f ca="1">IF(Y$12&lt;&gt;"",INDIRECT(ADDRESS($A23,$B23,,,Y$12)),0)*(1+Sensitivity!$N$7)</f>
        <v>0</v>
      </c>
      <c r="Z23" s="819">
        <f ca="1">IF(Z$12&lt;&gt;"",INDIRECT(ADDRESS($A23,$B23,,,Z$12)),0)*(1+Sensitivity!$N$7)</f>
        <v>0</v>
      </c>
      <c r="AA23" s="819">
        <f ca="1">IF(AA$12&lt;&gt;"",INDIRECT(ADDRESS($A23,$B23,,,AA$12)),0)*(1+Sensitivity!$N$7)</f>
        <v>0</v>
      </c>
      <c r="AB23" s="819">
        <f ca="1">IF(AB$12&lt;&gt;"",INDIRECT(ADDRESS($A23,$B23,,,AB$12)),0)*(1+Sensitivity!$N$7)</f>
        <v>0</v>
      </c>
      <c r="AC23" s="819">
        <f ca="1">IF(AC$12&lt;&gt;"",INDIRECT(ADDRESS($A23,$B23,,,AC$12)),0)*(1+Sensitivity!$N$7)</f>
        <v>0</v>
      </c>
      <c r="AD23" s="819">
        <f ca="1">IF(AD$12&lt;&gt;"",INDIRECT(ADDRESS($A23,$B23,,,AD$12)),0)*(1+Sensitivity!$N$7)</f>
        <v>0</v>
      </c>
      <c r="AE23" s="819">
        <f ca="1">IF(AE$12&lt;&gt;"",INDIRECT(ADDRESS($A23,$B23,,,AE$12)),0)*(1+Sensitivity!$N$7)</f>
        <v>0</v>
      </c>
      <c r="AF23" s="819">
        <f ca="1">IF(AF$12&lt;&gt;"",INDIRECT(ADDRESS($A23,$B23,,,AF$12)),0)*(1+Sensitivity!$N$7)</f>
        <v>0</v>
      </c>
      <c r="AG23" s="819">
        <f ca="1">IF(AG$12&lt;&gt;"",INDIRECT(ADDRESS($A23,$B23,,,AG$12)),0)*(1+Sensitivity!$N$7)</f>
        <v>0</v>
      </c>
      <c r="AH23" s="819">
        <f ca="1">IF(AH$12&lt;&gt;"",INDIRECT(ADDRESS($A23,$B23,,,AH$12)),0)*(1+Sensitivity!$N$7)</f>
        <v>0</v>
      </c>
      <c r="AI23" s="819">
        <f ca="1">IF(AI$12&lt;&gt;"",INDIRECT(ADDRESS($A23,$B23,,,AI$12)),0)*(1+Sensitivity!$N$7)</f>
        <v>0</v>
      </c>
      <c r="AJ23" s="819">
        <f ca="1">IF(AJ$12&lt;&gt;"",INDIRECT(ADDRESS($A23,$B23,,,AJ$12)),0)*(1+Sensitivity!$N$7)</f>
        <v>0</v>
      </c>
      <c r="AK23" s="819">
        <f ca="1">IF(AK$12&lt;&gt;"",INDIRECT(ADDRESS($A23,$B23,,,AK$12)),0)*(1+Sensitivity!$N$7)</f>
        <v>0</v>
      </c>
      <c r="AL23" s="819">
        <f ca="1">IF(AL$12&lt;&gt;"",INDIRECT(ADDRESS($A23,$B23,,,AL$12)),0)*(1+Sensitivity!$N$7)</f>
        <v>0</v>
      </c>
    </row>
    <row r="24" spans="1:38" s="664" customFormat="1" ht="12.75" outlineLevel="1">
      <c r="A24" s="1128">
        <f>ROW('Naturgas komprimering'!$A$97)</f>
        <v>97</v>
      </c>
      <c r="B24" s="1128">
        <f>COLUMN('Naturgas komprimering'!$D$1)+chosenYear-1</f>
        <v>4</v>
      </c>
      <c r="D24" s="768" t="s">
        <v>41</v>
      </c>
      <c r="E24" s="715" t="s">
        <v>784</v>
      </c>
      <c r="F24" s="819">
        <f ca="1">IF(F$12&lt;&gt;"",INDIRECT(ADDRESS($A24,$B24,,,F$12)),0)</f>
        <v>0</v>
      </c>
      <c r="G24" s="819">
        <f t="shared" ref="G24:AL24" ca="1" si="2">IF(G$12&lt;&gt;"",INDIRECT(ADDRESS($A24,$B24,,,G$12)),0)</f>
        <v>0</v>
      </c>
      <c r="H24" s="819">
        <f t="shared" ca="1" si="2"/>
        <v>0</v>
      </c>
      <c r="I24" s="819">
        <f t="shared" ca="1" si="2"/>
        <v>0</v>
      </c>
      <c r="J24" s="819">
        <f t="shared" ca="1" si="2"/>
        <v>0</v>
      </c>
      <c r="K24" s="819">
        <f t="shared" ca="1" si="2"/>
        <v>0</v>
      </c>
      <c r="L24" s="819">
        <f t="shared" ca="1" si="2"/>
        <v>0</v>
      </c>
      <c r="M24" s="819">
        <f t="shared" ca="1" si="2"/>
        <v>0</v>
      </c>
      <c r="N24" s="819">
        <f t="shared" ca="1" si="2"/>
        <v>0</v>
      </c>
      <c r="O24" s="819">
        <f t="shared" ca="1" si="2"/>
        <v>-25.234110462990856</v>
      </c>
      <c r="P24" s="819">
        <f t="shared" ca="1" si="2"/>
        <v>0</v>
      </c>
      <c r="Q24" s="819">
        <f t="shared" ca="1" si="2"/>
        <v>0</v>
      </c>
      <c r="R24" s="819">
        <f t="shared" ca="1" si="2"/>
        <v>0</v>
      </c>
      <c r="S24" s="819">
        <f t="shared" ca="1" si="2"/>
        <v>-77.212721512328756</v>
      </c>
      <c r="T24" s="819">
        <f t="shared" ca="1" si="2"/>
        <v>0</v>
      </c>
      <c r="U24" s="819">
        <f t="shared" ca="1" si="2"/>
        <v>0</v>
      </c>
      <c r="V24" s="819">
        <f t="shared" ca="1" si="2"/>
        <v>0</v>
      </c>
      <c r="W24" s="819">
        <f t="shared" ca="1" si="2"/>
        <v>0</v>
      </c>
      <c r="X24" s="819">
        <f t="shared" ca="1" si="2"/>
        <v>0</v>
      </c>
      <c r="Y24" s="819">
        <f t="shared" ca="1" si="2"/>
        <v>0</v>
      </c>
      <c r="Z24" s="819">
        <f t="shared" ca="1" si="2"/>
        <v>0</v>
      </c>
      <c r="AA24" s="819">
        <f t="shared" ca="1" si="2"/>
        <v>0</v>
      </c>
      <c r="AB24" s="819">
        <f t="shared" ca="1" si="2"/>
        <v>0</v>
      </c>
      <c r="AC24" s="819">
        <f t="shared" ca="1" si="2"/>
        <v>0</v>
      </c>
      <c r="AD24" s="819">
        <f t="shared" ca="1" si="2"/>
        <v>0</v>
      </c>
      <c r="AE24" s="819">
        <f t="shared" ca="1" si="2"/>
        <v>0</v>
      </c>
      <c r="AF24" s="819">
        <f t="shared" ca="1" si="2"/>
        <v>0</v>
      </c>
      <c r="AG24" s="819">
        <f t="shared" ca="1" si="2"/>
        <v>0</v>
      </c>
      <c r="AH24" s="819">
        <f t="shared" ca="1" si="2"/>
        <v>0</v>
      </c>
      <c r="AI24" s="819">
        <f t="shared" ca="1" si="2"/>
        <v>0</v>
      </c>
      <c r="AJ24" s="819">
        <f t="shared" ca="1" si="2"/>
        <v>0</v>
      </c>
      <c r="AK24" s="819">
        <f t="shared" ca="1" si="2"/>
        <v>0</v>
      </c>
      <c r="AL24" s="819">
        <f t="shared" ca="1" si="2"/>
        <v>0</v>
      </c>
    </row>
    <row r="25" spans="1:38" s="664" customFormat="1" ht="12.75" outlineLevel="1">
      <c r="A25" s="1128">
        <f>ROW('Naturgas komprimering'!$A$93)</f>
        <v>93</v>
      </c>
      <c r="B25" s="1128">
        <f>COLUMN('Naturgas komprimering'!$D$1)+chosenYear-1</f>
        <v>4</v>
      </c>
      <c r="D25" s="769" t="s">
        <v>43</v>
      </c>
      <c r="E25" s="493" t="s">
        <v>784</v>
      </c>
      <c r="F25" s="828">
        <f ca="1">IF(F$12&lt;&gt;"",INDIRECT(ADDRESS($A25,$B25,,,F$12)),0)*(1+Sensitivity!$O$7)</f>
        <v>0</v>
      </c>
      <c r="G25" s="828">
        <f ca="1">IF(G$12&lt;&gt;"",INDIRECT(ADDRESS($A25,$B25,,,G$12)),0)*(1+Sensitivity!$O$7)</f>
        <v>0</v>
      </c>
      <c r="H25" s="828">
        <f ca="1">IF(H$12&lt;&gt;"",INDIRECT(ADDRESS($A25,$B25,,,H$12)),0)*(1+Sensitivity!$O$7)</f>
        <v>0</v>
      </c>
      <c r="I25" s="828">
        <f ca="1">IF(I$12&lt;&gt;"",INDIRECT(ADDRESS($A25,$B25,,,I$12)),0)*(1+Sensitivity!$O$7)</f>
        <v>0</v>
      </c>
      <c r="J25" s="828">
        <f ca="1">IF(J$12&lt;&gt;"",INDIRECT(ADDRESS($A25,$B25,,,J$12)),0)*(1+Sensitivity!$O$7)</f>
        <v>5.1875330479989943</v>
      </c>
      <c r="K25" s="828">
        <f ca="1">IF(K$12&lt;&gt;"",INDIRECT(ADDRESS($A25,$B25,,,K$12)),0)*(1+Sensitivity!$O$7)</f>
        <v>3.254186602765321</v>
      </c>
      <c r="L25" s="828">
        <f ca="1">IF(L$12&lt;&gt;"",INDIRECT(ADDRESS($A25,$B25,,,L$12)),0)*(1+Sensitivity!$O$7)</f>
        <v>0</v>
      </c>
      <c r="M25" s="828">
        <f ca="1">IF(M$12&lt;&gt;"",INDIRECT(ADDRESS($A25,$B25,,,M$12)),0)*(1+Sensitivity!$O$7)</f>
        <v>0</v>
      </c>
      <c r="N25" s="828">
        <f ca="1">IF(N$12&lt;&gt;"",INDIRECT(ADDRESS($A25,$B25,,,N$12)),0)*(1+Sensitivity!$O$7)</f>
        <v>0</v>
      </c>
      <c r="O25" s="828">
        <f ca="1">IF(O$12&lt;&gt;"",INDIRECT(ADDRESS($A25,$B25,,,O$12)),0)*(1+Sensitivity!$O$7)</f>
        <v>28.571804498984992</v>
      </c>
      <c r="P25" s="828">
        <f ca="1">IF(P$12&lt;&gt;"",INDIRECT(ADDRESS($A25,$B25,,,P$12)),0)*(1+Sensitivity!$O$7)</f>
        <v>0</v>
      </c>
      <c r="Q25" s="828">
        <f ca="1">IF(Q$12&lt;&gt;"",INDIRECT(ADDRESS($A25,$B25,,,Q$12)),0)*(1+Sensitivity!$O$7)</f>
        <v>0</v>
      </c>
      <c r="R25" s="828">
        <f ca="1">IF(R$12&lt;&gt;"",INDIRECT(ADDRESS($A25,$B25,,,R$12)),0)*(1+Sensitivity!$O$7)</f>
        <v>5.1875330479989943</v>
      </c>
      <c r="S25" s="828">
        <f ca="1">IF(S$12&lt;&gt;"",INDIRECT(ADDRESS($A25,$B25,,,S$12)),0)*(1+Sensitivity!$O$7)</f>
        <v>274.62557773998844</v>
      </c>
      <c r="T25" s="828">
        <f ca="1">IF(T$12&lt;&gt;"",INDIRECT(ADDRESS($A25,$B25,,,T$12)),0)*(1+Sensitivity!$O$7)</f>
        <v>93.900898349322532</v>
      </c>
      <c r="U25" s="828">
        <f ca="1">IF(U$12&lt;&gt;"",INDIRECT(ADDRESS($A25,$B25,,,U$12)),0)*(1+Sensitivity!$O$7)</f>
        <v>46.950449174661266</v>
      </c>
      <c r="V25" s="828">
        <f ca="1">IF(V$12&lt;&gt;"",INDIRECT(ADDRESS($A25,$B25,,,V$12)),0)*(1+Sensitivity!$O$7)</f>
        <v>380.6899193446917</v>
      </c>
      <c r="W25" s="828">
        <f ca="1">IF(W$12&lt;&gt;"",INDIRECT(ADDRESS($A25,$B25,,,W$12)),0)*(1+Sensitivity!$O$7)</f>
        <v>0</v>
      </c>
      <c r="X25" s="828">
        <f ca="1">IF(X$12&lt;&gt;"",INDIRECT(ADDRESS($A25,$B25,,,X$12)),0)*(1+Sensitivity!$O$7)</f>
        <v>0</v>
      </c>
      <c r="Y25" s="828">
        <f ca="1">IF(Y$12&lt;&gt;"",INDIRECT(ADDRESS($A25,$B25,,,Y$12)),0)*(1+Sensitivity!$O$7)</f>
        <v>0</v>
      </c>
      <c r="Z25" s="828">
        <f ca="1">IF(Z$12&lt;&gt;"",INDIRECT(ADDRESS($A25,$B25,,,Z$12)),0)*(1+Sensitivity!$O$7)</f>
        <v>0</v>
      </c>
      <c r="AA25" s="828">
        <f ca="1">IF(AA$12&lt;&gt;"",INDIRECT(ADDRESS($A25,$B25,,,AA$12)),0)*(1+Sensitivity!$O$7)</f>
        <v>0</v>
      </c>
      <c r="AB25" s="828">
        <f ca="1">IF(AB$12&lt;&gt;"",INDIRECT(ADDRESS($A25,$B25,,,AB$12)),0)*(1+Sensitivity!$O$7)</f>
        <v>0</v>
      </c>
      <c r="AC25" s="828">
        <f ca="1">IF(AC$12&lt;&gt;"",INDIRECT(ADDRESS($A25,$B25,,,AC$12)),0)*(1+Sensitivity!$O$7)</f>
        <v>0</v>
      </c>
      <c r="AD25" s="828">
        <f ca="1">IF(AD$12&lt;&gt;"",INDIRECT(ADDRESS($A25,$B25,,,AD$12)),0)*(1+Sensitivity!$O$7)</f>
        <v>0</v>
      </c>
      <c r="AE25" s="828">
        <f ca="1">IF(AE$12&lt;&gt;"",INDIRECT(ADDRESS($A25,$B25,,,AE$12)),0)*(1+Sensitivity!$O$7)</f>
        <v>0</v>
      </c>
      <c r="AF25" s="828">
        <f ca="1">IF(AF$12&lt;&gt;"",INDIRECT(ADDRESS($A25,$B25,,,AF$12)),0)*(1+Sensitivity!$O$7)</f>
        <v>0</v>
      </c>
      <c r="AG25" s="828">
        <f ca="1">IF(AG$12&lt;&gt;"",INDIRECT(ADDRESS($A25,$B25,,,AG$12)),0)*(1+Sensitivity!$O$7)</f>
        <v>0</v>
      </c>
      <c r="AH25" s="828">
        <f ca="1">IF(AH$12&lt;&gt;"",INDIRECT(ADDRESS($A25,$B25,,,AH$12)),0)*(1+Sensitivity!$O$7)</f>
        <v>0</v>
      </c>
      <c r="AI25" s="828">
        <f ca="1">IF(AI$12&lt;&gt;"",INDIRECT(ADDRESS($A25,$B25,,,AI$12)),0)*(1+Sensitivity!$O$7)</f>
        <v>0</v>
      </c>
      <c r="AJ25" s="828">
        <f ca="1">IF(AJ$12&lt;&gt;"",INDIRECT(ADDRESS($A25,$B25,,,AJ$12)),0)*(1+Sensitivity!$O$7)</f>
        <v>0</v>
      </c>
      <c r="AK25" s="828">
        <f ca="1">IF(AK$12&lt;&gt;"",INDIRECT(ADDRESS($A25,$B25,,,AK$12)),0)*(1+Sensitivity!$O$7)</f>
        <v>0</v>
      </c>
      <c r="AL25" s="828">
        <f ca="1">IF(AL$12&lt;&gt;"",INDIRECT(ADDRESS($A25,$B25,,,AL$12)),0)*(1+Sensitivity!$O$7)</f>
        <v>0</v>
      </c>
    </row>
    <row r="26" spans="1:38" s="664" customFormat="1" ht="12.75" outlineLevel="1">
      <c r="A26" s="1125"/>
      <c r="B26" s="1125"/>
      <c r="D26" s="770" t="s">
        <v>921</v>
      </c>
      <c r="E26" s="758" t="s">
        <v>784</v>
      </c>
      <c r="F26" s="771">
        <f t="shared" ref="F26:AC26" ca="1" si="3">SUM(F27:F29)</f>
        <v>122.83706250981901</v>
      </c>
      <c r="G26" s="771">
        <f t="shared" ca="1" si="3"/>
        <v>124.11375352315923</v>
      </c>
      <c r="H26" s="771">
        <f t="shared" ca="1" si="3"/>
        <v>131.47531679119129</v>
      </c>
      <c r="I26" s="771">
        <f t="shared" ca="1" si="3"/>
        <v>97.179989949498122</v>
      </c>
      <c r="J26" s="771">
        <f t="shared" ca="1" si="3"/>
        <v>56.4</v>
      </c>
      <c r="K26" s="771">
        <f ca="1">SUM(K27:K29)</f>
        <v>60.320855614973254</v>
      </c>
      <c r="L26" s="771">
        <f t="shared" ca="1" si="3"/>
        <v>150.20277810288218</v>
      </c>
      <c r="M26" s="771">
        <f t="shared" ca="1" si="3"/>
        <v>153.58130164075624</v>
      </c>
      <c r="N26" s="771">
        <f t="shared" ca="1" si="3"/>
        <v>109.78764062882706</v>
      </c>
      <c r="O26" s="771">
        <f t="shared" ca="1" si="3"/>
        <v>198.59971393906852</v>
      </c>
      <c r="P26" s="771">
        <f t="shared" ca="1" si="3"/>
        <v>174.18965884443546</v>
      </c>
      <c r="Q26" s="771">
        <f t="shared" ca="1" si="3"/>
        <v>122.28282810171446</v>
      </c>
      <c r="R26" s="771">
        <f t="shared" ca="1" si="3"/>
        <v>164.8387467655707</v>
      </c>
      <c r="S26" s="771">
        <f t="shared" ca="1" si="3"/>
        <v>202.1402566849772</v>
      </c>
      <c r="T26" s="771">
        <f t="shared" ca="1" si="3"/>
        <v>116.14018359009854</v>
      </c>
      <c r="U26" s="771">
        <f t="shared" ca="1" si="3"/>
        <v>116.14018359009854</v>
      </c>
      <c r="V26" s="771">
        <f ca="1">SUM(V27:V29)</f>
        <v>110.02754234851443</v>
      </c>
      <c r="W26" s="771">
        <f t="shared" ca="1" si="3"/>
        <v>198.27601049636851</v>
      </c>
      <c r="X26" s="771">
        <f ca="1">SUM(X27:X29)</f>
        <v>95.838009925783822</v>
      </c>
      <c r="Y26" s="771">
        <f ca="1">SUM(Y27:Y29)</f>
        <v>71.415988943548911</v>
      </c>
      <c r="Z26" s="771">
        <f>SUM(Z27:Z29)</f>
        <v>0</v>
      </c>
      <c r="AA26" s="771">
        <f>SUM(AA27:AA29)</f>
        <v>0</v>
      </c>
      <c r="AB26" s="771">
        <f t="shared" si="3"/>
        <v>0</v>
      </c>
      <c r="AC26" s="771">
        <f t="shared" si="3"/>
        <v>28.441450277315031</v>
      </c>
      <c r="AD26" s="771">
        <f t="shared" ref="AD26:AJ26" si="4">SUM(AD27:AD29)</f>
        <v>65.475944111002164</v>
      </c>
      <c r="AE26" s="771">
        <f t="shared" si="4"/>
        <v>40.902743399463397</v>
      </c>
      <c r="AF26" s="771">
        <f t="shared" si="4"/>
        <v>0</v>
      </c>
      <c r="AG26" s="771">
        <f t="shared" si="4"/>
        <v>0</v>
      </c>
      <c r="AH26" s="771">
        <f t="shared" si="4"/>
        <v>0</v>
      </c>
      <c r="AI26" s="771">
        <f t="shared" si="4"/>
        <v>0</v>
      </c>
      <c r="AJ26" s="771">
        <f t="shared" si="4"/>
        <v>0</v>
      </c>
      <c r="AK26" s="771">
        <f>SUM(AK27:AK29)</f>
        <v>0</v>
      </c>
      <c r="AL26" s="771">
        <f>SUM(AL27:AL29)</f>
        <v>48.120874587603993</v>
      </c>
    </row>
    <row r="27" spans="1:38" s="664" customFormat="1" ht="12.75" outlineLevel="1">
      <c r="A27" s="1125"/>
      <c r="B27" s="1125"/>
      <c r="D27" s="768" t="s">
        <v>924</v>
      </c>
      <c r="E27" s="715" t="s">
        <v>784</v>
      </c>
      <c r="F27" s="1617">
        <f t="shared" ref="F27:AL27" ca="1" si="5">IF(AND(F11&lt;&gt;"",F12=""),F38,"")</f>
        <v>122.83706250981901</v>
      </c>
      <c r="G27" s="1617">
        <f t="shared" ca="1" si="5"/>
        <v>124.11375352315923</v>
      </c>
      <c r="H27" s="1617">
        <f t="shared" ca="1" si="5"/>
        <v>131.47531679119129</v>
      </c>
      <c r="I27" s="1617">
        <f t="shared" ca="1" si="5"/>
        <v>97.179989949498122</v>
      </c>
      <c r="J27" s="1617" t="str">
        <f t="shared" si="5"/>
        <v/>
      </c>
      <c r="K27" s="1617" t="str">
        <f>IF(AND(K11&lt;&gt;"",K12=""),K38,"")</f>
        <v/>
      </c>
      <c r="L27" s="1617">
        <f t="shared" ca="1" si="5"/>
        <v>150.20277810288218</v>
      </c>
      <c r="M27" s="1617">
        <f t="shared" ca="1" si="5"/>
        <v>153.58130164075624</v>
      </c>
      <c r="N27" s="1617">
        <f t="shared" ca="1" si="5"/>
        <v>109.78764062882706</v>
      </c>
      <c r="O27" s="1617" t="str">
        <f t="shared" si="5"/>
        <v/>
      </c>
      <c r="P27" s="1617">
        <f t="shared" ca="1" si="5"/>
        <v>174.18965884443546</v>
      </c>
      <c r="Q27" s="1617">
        <f t="shared" ca="1" si="5"/>
        <v>122.28282810171446</v>
      </c>
      <c r="R27" s="1617" t="str">
        <f t="shared" si="5"/>
        <v/>
      </c>
      <c r="S27" s="1617" t="str">
        <f t="shared" si="5"/>
        <v/>
      </c>
      <c r="T27" s="1617" t="str">
        <f t="shared" si="5"/>
        <v/>
      </c>
      <c r="U27" s="1617" t="str">
        <f t="shared" si="5"/>
        <v/>
      </c>
      <c r="V27" s="1617" t="str">
        <f t="shared" si="5"/>
        <v/>
      </c>
      <c r="W27" s="1617">
        <f t="shared" ca="1" si="5"/>
        <v>198.27601049636851</v>
      </c>
      <c r="X27" s="1617">
        <f t="shared" ca="1" si="5"/>
        <v>95.838009925783822</v>
      </c>
      <c r="Y27" s="1617">
        <f t="shared" ca="1" si="5"/>
        <v>71.415988943548911</v>
      </c>
      <c r="Z27" s="1617" t="str">
        <f t="shared" si="5"/>
        <v/>
      </c>
      <c r="AA27" s="1617" t="str">
        <f t="shared" si="5"/>
        <v/>
      </c>
      <c r="AB27" s="1617" t="str">
        <f t="shared" si="5"/>
        <v/>
      </c>
      <c r="AC27" s="1617" t="str">
        <f t="shared" si="5"/>
        <v/>
      </c>
      <c r="AD27" s="1617" t="str">
        <f t="shared" si="5"/>
        <v/>
      </c>
      <c r="AE27" s="1617" t="str">
        <f t="shared" si="5"/>
        <v/>
      </c>
      <c r="AF27" s="1617" t="str">
        <f t="shared" si="5"/>
        <v/>
      </c>
      <c r="AG27" s="1617" t="str">
        <f t="shared" si="5"/>
        <v/>
      </c>
      <c r="AH27" s="1617" t="str">
        <f t="shared" si="5"/>
        <v/>
      </c>
      <c r="AI27" s="1617" t="str">
        <f t="shared" si="5"/>
        <v/>
      </c>
      <c r="AJ27" s="1617" t="str">
        <f t="shared" si="5"/>
        <v/>
      </c>
      <c r="AK27" s="1617" t="str">
        <f t="shared" si="5"/>
        <v/>
      </c>
      <c r="AL27" s="1617" t="str">
        <f t="shared" si="5"/>
        <v/>
      </c>
    </row>
    <row r="28" spans="1:38" s="664" customFormat="1" ht="12.75" outlineLevel="1">
      <c r="A28" s="1125"/>
      <c r="B28" s="1125"/>
      <c r="D28" s="768" t="s">
        <v>922</v>
      </c>
      <c r="E28" s="715" t="s">
        <v>784</v>
      </c>
      <c r="F28" s="478" t="str">
        <f>IF(AND(F$12&lt;&gt;"",F11&lt;&gt;""),F38/F30,"")</f>
        <v/>
      </c>
      <c r="G28" s="478" t="str">
        <f t="shared" ref="G28:AL28" si="6">IF(AND(G$12&lt;&gt;"",G11&lt;&gt;""),G38/G30,"")</f>
        <v/>
      </c>
      <c r="H28" s="478" t="str">
        <f t="shared" si="6"/>
        <v/>
      </c>
      <c r="I28" s="478" t="str">
        <f t="shared" si="6"/>
        <v/>
      </c>
      <c r="J28" s="478">
        <f t="shared" ca="1" si="6"/>
        <v>56.4</v>
      </c>
      <c r="K28" s="478">
        <f ca="1">IF(AND(K$12&lt;&gt;"",K11&lt;&gt;""),K38/K30,"")</f>
        <v>60.320855614973254</v>
      </c>
      <c r="L28" s="478" t="str">
        <f t="shared" si="6"/>
        <v/>
      </c>
      <c r="M28" s="478" t="str">
        <f t="shared" si="6"/>
        <v/>
      </c>
      <c r="N28" s="478" t="str">
        <f t="shared" si="6"/>
        <v/>
      </c>
      <c r="O28" s="1653">
        <f t="shared" ca="1" si="6"/>
        <v>198.59971393906852</v>
      </c>
      <c r="P28" s="478" t="str">
        <f t="shared" si="6"/>
        <v/>
      </c>
      <c r="Q28" s="478" t="str">
        <f t="shared" si="6"/>
        <v/>
      </c>
      <c r="R28" s="478">
        <f t="shared" ca="1" si="6"/>
        <v>164.8387467655707</v>
      </c>
      <c r="S28" s="2407">
        <f t="shared" ca="1" si="6"/>
        <v>202.1402566849772</v>
      </c>
      <c r="T28" s="2407">
        <f t="shared" ca="1" si="6"/>
        <v>116.14018359009854</v>
      </c>
      <c r="U28" s="2407">
        <f t="shared" ca="1" si="6"/>
        <v>116.14018359009854</v>
      </c>
      <c r="V28" s="2407">
        <f t="shared" ca="1" si="6"/>
        <v>110.02754234851443</v>
      </c>
      <c r="W28" s="478" t="str">
        <f t="shared" si="6"/>
        <v/>
      </c>
      <c r="X28" s="478" t="str">
        <f t="shared" si="6"/>
        <v/>
      </c>
      <c r="Y28" s="478" t="str">
        <f t="shared" si="6"/>
        <v/>
      </c>
      <c r="Z28" s="478" t="str">
        <f t="shared" si="6"/>
        <v/>
      </c>
      <c r="AA28" s="478" t="str">
        <f t="shared" si="6"/>
        <v/>
      </c>
      <c r="AB28" s="478" t="str">
        <f t="shared" si="6"/>
        <v/>
      </c>
      <c r="AC28" s="478" t="str">
        <f t="shared" si="6"/>
        <v/>
      </c>
      <c r="AD28" s="478" t="str">
        <f t="shared" si="6"/>
        <v/>
      </c>
      <c r="AE28" s="478" t="str">
        <f t="shared" si="6"/>
        <v/>
      </c>
      <c r="AF28" s="478" t="str">
        <f t="shared" si="6"/>
        <v/>
      </c>
      <c r="AG28" s="478" t="str">
        <f t="shared" si="6"/>
        <v/>
      </c>
      <c r="AH28" s="478" t="str">
        <f t="shared" si="6"/>
        <v/>
      </c>
      <c r="AI28" s="478" t="str">
        <f t="shared" si="6"/>
        <v/>
      </c>
      <c r="AJ28" s="478" t="str">
        <f t="shared" si="6"/>
        <v/>
      </c>
      <c r="AK28" s="478" t="str">
        <f t="shared" si="6"/>
        <v/>
      </c>
      <c r="AL28" s="478" t="str">
        <f t="shared" si="6"/>
        <v/>
      </c>
    </row>
    <row r="29" spans="1:38" s="664" customFormat="1" ht="12.75" outlineLevel="1">
      <c r="A29" s="1125"/>
      <c r="B29" s="1125"/>
      <c r="D29" s="769" t="s">
        <v>923</v>
      </c>
      <c r="E29" s="493" t="s">
        <v>784</v>
      </c>
      <c r="F29" s="2334" t="str">
        <f>IF(AND(F11="",F12&lt;&gt;""),VLOOKUP(F8,Feedstocks!$B$10:$G$23,5,0),"")</f>
        <v/>
      </c>
      <c r="G29" s="1628" t="str">
        <f>IF(AND(G11="",G12&lt;&gt;""),VLOOKUP(G8,Feedstocks!$B$10:$G$23,5,0),"")</f>
        <v/>
      </c>
      <c r="H29" s="1628" t="str">
        <f>IF(AND(H11="",H12&lt;&gt;""),VLOOKUP(H8,Feedstocks!$B$10:$G$23,5,0),"")</f>
        <v/>
      </c>
      <c r="I29" s="1628" t="str">
        <f>IF(AND(I11="",I12&lt;&gt;""),VLOOKUP(I8,Feedstocks!$B$10:$G$23,5,0),"")</f>
        <v/>
      </c>
      <c r="J29" s="1628" t="str">
        <f>IF(AND(J11="",J12&lt;&gt;""),VLOOKUP(J8,Feedstocks!$B$10:$G$23,5,0),"")</f>
        <v/>
      </c>
      <c r="K29" s="1628" t="str">
        <f>IF(AND(K11="",K12&lt;&gt;""),VLOOKUP(K8,Feedstocks!$B$10:$G$23,5,0),"")</f>
        <v/>
      </c>
      <c r="L29" s="1628" t="str">
        <f>IF(AND(L11="",L12&lt;&gt;""),VLOOKUP(L8,Feedstocks!$B$10:$G$23,5,0),"")</f>
        <v/>
      </c>
      <c r="M29" s="1628" t="str">
        <f>IF(AND(M11="",M12&lt;&gt;""),VLOOKUP(M8,Feedstocks!$B$10:$G$23,5,0),"")</f>
        <v/>
      </c>
      <c r="N29" s="1628" t="str">
        <f>IF(AND(N11="",N12&lt;&gt;""),VLOOKUP(N8,Feedstocks!$B$10:$G$23,5,0),"")</f>
        <v/>
      </c>
      <c r="O29" s="1628" t="str">
        <f>IF(AND(O11="",O12&lt;&gt;""),VLOOKUP(O8,Feedstocks!$B$10:$G$23,5,0),"")</f>
        <v/>
      </c>
      <c r="P29" s="1628" t="str">
        <f>IF(AND(P11="",P12&lt;&gt;""),VLOOKUP(P8,Feedstocks!$B$10:$G$23,5,0),"")</f>
        <v/>
      </c>
      <c r="Q29" s="1628" t="str">
        <f>IF(AND(Q11="",Q12&lt;&gt;""),VLOOKUP(Q8,Feedstocks!$B$10:$G$23,5,0),"")</f>
        <v/>
      </c>
      <c r="R29" s="1628" t="str">
        <f>IF(AND(R11="",R12&lt;&gt;""),VLOOKUP(R8,Feedstocks!$B$10:$G$23,5,0),"")</f>
        <v/>
      </c>
      <c r="S29" s="1628" t="str">
        <f>IF(AND(S11="",S12&lt;&gt;""),VLOOKUP(S8,Feedstocks!$B$10:$G$23,5,0),"")</f>
        <v/>
      </c>
      <c r="T29" s="1628" t="str">
        <f>IF(AND(T11="",T12&lt;&gt;""),VLOOKUP(T8,Feedstocks!$B$10:$G$23,5,0),"")</f>
        <v/>
      </c>
      <c r="U29" s="1628" t="str">
        <f>IF(AND(U11="",U12&lt;&gt;""),VLOOKUP(U8,Feedstocks!$B$10:$G$23,5,0),"")</f>
        <v/>
      </c>
      <c r="V29" s="1628" t="str">
        <f>IF(AND(V11="",V12&lt;&gt;""),VLOOKUP(V8,Feedstocks!$B$10:$G$23,5,0),"")</f>
        <v/>
      </c>
      <c r="W29" s="1628" t="str">
        <f>IF(AND(W11="",W12&lt;&gt;""),VLOOKUP(W8,Feedstocks!$B$10:$G$23,5,0),"")</f>
        <v/>
      </c>
      <c r="X29" s="1628" t="str">
        <f>IF(AND(X11="",X12&lt;&gt;""),VLOOKUP(X8,Feedstocks!$B$10:$G$23,5,0),"")</f>
        <v/>
      </c>
      <c r="Y29" s="1628" t="str">
        <f>IF(AND(Y11="",Y12&lt;&gt;""),VLOOKUP(Y8,Feedstocks!$B$10:$G$23,5,0),"")</f>
        <v/>
      </c>
      <c r="Z29" s="1628" t="str">
        <f>IF(AND(Z11="",Z12&lt;&gt;""),VLOOKUP(Z8,Feedstocks!$B$10:$G$23,5,0),"")</f>
        <v/>
      </c>
      <c r="AA29" s="1628" t="str">
        <f>IF(AND(AA11="",AA12&lt;&gt;""),VLOOKUP(AA8,Feedstocks!$B$10:$G$23,5,0),"")</f>
        <v/>
      </c>
      <c r="AB29" s="1628" t="str">
        <f>IF(AND(AB11="",AB12&lt;&gt;""),VLOOKUP(AB8,Feedstocks!$B$10:$G$23,5,0),"")</f>
        <v/>
      </c>
      <c r="AC29" s="1628">
        <f>IF(AND(AC11="",AC12&lt;&gt;""),VLOOKUP(AC8,Feedstocks!$B$10:$G$23,5,0),"")</f>
        <v>28.441450277315031</v>
      </c>
      <c r="AD29" s="1628">
        <f>IF(AND(AD11="",AD12&lt;&gt;""),VLOOKUP(AD8,Feedstocks!$B$10:$G$23,5,0),"")</f>
        <v>65.475944111002164</v>
      </c>
      <c r="AE29" s="1628">
        <f>IF(AND(AE11="",AE12&lt;&gt;""),VLOOKUP(AE8,Feedstocks!$B$10:$G$23,5,0),"")</f>
        <v>40.902743399463397</v>
      </c>
      <c r="AF29" s="1628" t="str">
        <f>IF(AND(AF11="",AF12&lt;&gt;""),VLOOKUP(AF8,Feedstocks!$B$10:$G$23,5,0),"")</f>
        <v/>
      </c>
      <c r="AG29" s="1628" t="str">
        <f>IF(AND(AG11="",AG12&lt;&gt;""),VLOOKUP(AG8,Feedstocks!$B$10:$G$23,5,0),"")</f>
        <v/>
      </c>
      <c r="AH29" s="1628" t="str">
        <f>IF(AND(AH11="",AH12&lt;&gt;""),VLOOKUP(AH8,Feedstocks!$B$10:$G$23,5,0),"")</f>
        <v/>
      </c>
      <c r="AI29" s="1628" t="str">
        <f>IF(AND(AI11="",AI12&lt;&gt;""),VLOOKUP(AI8,Feedstocks!$B$10:$G$23,5,0),"")</f>
        <v/>
      </c>
      <c r="AJ29" s="1628" t="str">
        <f>IF(AND(AJ11="",AJ12&lt;&gt;""),VLOOKUP(AJ8,Feedstocks!$B$10:$G$23,5,0),"")</f>
        <v/>
      </c>
      <c r="AK29" s="1628" t="str">
        <f>IF(AND(AK11="",AK12&lt;&gt;""),VLOOKUP(AK8,Feedstocks!$B$10:$G$23,5,0),"")</f>
        <v/>
      </c>
      <c r="AL29" s="1628">
        <f>IF(AND(AL11="",AL12&lt;&gt;""),VLOOKUP(AL8,Feedstocks!$B$10:$G$23,5,0),"")</f>
        <v>48.120874587603993</v>
      </c>
    </row>
    <row r="30" spans="1:38" s="664" customFormat="1" ht="12.75" outlineLevel="1">
      <c r="A30" s="1125"/>
      <c r="B30" s="1125"/>
      <c r="D30" s="1629" t="s">
        <v>2017</v>
      </c>
      <c r="E30" s="490" t="s">
        <v>736</v>
      </c>
      <c r="F30" s="1630">
        <f ca="1">F230</f>
        <v>1</v>
      </c>
      <c r="G30" s="1630">
        <f t="shared" ref="G30:AL30" ca="1" si="7">G230</f>
        <v>1</v>
      </c>
      <c r="H30" s="1630">
        <f t="shared" ca="1" si="7"/>
        <v>1</v>
      </c>
      <c r="I30" s="1630">
        <f t="shared" ca="1" si="7"/>
        <v>1</v>
      </c>
      <c r="J30" s="1630">
        <f t="shared" ca="1" si="7"/>
        <v>1</v>
      </c>
      <c r="K30" s="1630">
        <f ca="1">K230</f>
        <v>0.93500000000000005</v>
      </c>
      <c r="L30" s="1630">
        <f t="shared" ca="1" si="7"/>
        <v>1</v>
      </c>
      <c r="M30" s="1630">
        <f t="shared" ca="1" si="7"/>
        <v>1</v>
      </c>
      <c r="N30" s="1630">
        <f t="shared" ca="1" si="7"/>
        <v>1</v>
      </c>
      <c r="O30" s="1630">
        <f t="shared" ca="1" si="7"/>
        <v>0.52631578947368418</v>
      </c>
      <c r="P30" s="1630">
        <f t="shared" ca="1" si="7"/>
        <v>1</v>
      </c>
      <c r="Q30" s="1630">
        <f t="shared" ca="1" si="7"/>
        <v>1</v>
      </c>
      <c r="R30" s="1630">
        <f t="shared" ca="1" si="7"/>
        <v>1</v>
      </c>
      <c r="S30" s="1630">
        <f t="shared" ca="1" si="7"/>
        <v>0.51709722222222221</v>
      </c>
      <c r="T30" s="1630">
        <f t="shared" ca="1" si="7"/>
        <v>0.9</v>
      </c>
      <c r="U30" s="1630">
        <f t="shared" ca="1" si="7"/>
        <v>0.9</v>
      </c>
      <c r="V30" s="1630">
        <f t="shared" ca="1" si="7"/>
        <v>0.95</v>
      </c>
      <c r="W30" s="1630">
        <f t="shared" ca="1" si="7"/>
        <v>1</v>
      </c>
      <c r="X30" s="1630">
        <f t="shared" ca="1" si="7"/>
        <v>1</v>
      </c>
      <c r="Y30" s="1630">
        <f t="shared" ca="1" si="7"/>
        <v>1</v>
      </c>
      <c r="Z30" s="1630">
        <f t="shared" ca="1" si="7"/>
        <v>1</v>
      </c>
      <c r="AA30" s="1630">
        <f t="shared" ca="1" si="7"/>
        <v>1</v>
      </c>
      <c r="AB30" s="1630">
        <f t="shared" ca="1" si="7"/>
        <v>1</v>
      </c>
      <c r="AC30" s="1630">
        <f t="shared" ca="1" si="7"/>
        <v>1</v>
      </c>
      <c r="AD30" s="1630">
        <f t="shared" ca="1" si="7"/>
        <v>1</v>
      </c>
      <c r="AE30" s="1630">
        <f t="shared" ca="1" si="7"/>
        <v>1</v>
      </c>
      <c r="AF30" s="1630">
        <f t="shared" ca="1" si="7"/>
        <v>1</v>
      </c>
      <c r="AG30" s="1630">
        <f t="shared" ca="1" si="7"/>
        <v>1</v>
      </c>
      <c r="AH30" s="1630">
        <f t="shared" ca="1" si="7"/>
        <v>1</v>
      </c>
      <c r="AI30" s="1630">
        <f t="shared" ca="1" si="7"/>
        <v>1</v>
      </c>
      <c r="AJ30" s="1630">
        <f t="shared" ca="1" si="7"/>
        <v>1</v>
      </c>
      <c r="AK30" s="1630">
        <f t="shared" ca="1" si="7"/>
        <v>1</v>
      </c>
      <c r="AL30" s="1630">
        <f t="shared" ca="1" si="7"/>
        <v>1</v>
      </c>
    </row>
    <row r="31" spans="1:38" s="664" customFormat="1" ht="12.75" outlineLevel="1">
      <c r="A31" s="1125"/>
      <c r="B31" s="1125"/>
      <c r="D31" s="773"/>
      <c r="E31" s="715"/>
      <c r="F31" s="476"/>
      <c r="G31" s="476"/>
      <c r="H31" s="476"/>
      <c r="I31" s="476"/>
      <c r="J31" s="476"/>
      <c r="K31" s="476"/>
      <c r="L31" s="476"/>
      <c r="M31" s="476"/>
      <c r="N31" s="476"/>
      <c r="O31" s="476"/>
      <c r="P31" s="476"/>
      <c r="Q31" s="605"/>
      <c r="R31" s="476"/>
      <c r="S31" s="775"/>
      <c r="T31" s="476"/>
      <c r="U31" s="476"/>
      <c r="V31" s="476"/>
      <c r="W31" s="476"/>
      <c r="X31" s="476"/>
      <c r="Y31" s="476"/>
      <c r="Z31" s="476"/>
      <c r="AA31" s="476"/>
      <c r="AB31" s="476"/>
      <c r="AC31" s="476"/>
      <c r="AD31" s="476"/>
      <c r="AE31" s="476"/>
      <c r="AF31" s="476"/>
      <c r="AG31" s="476"/>
      <c r="AH31" s="476"/>
      <c r="AI31" s="476"/>
      <c r="AJ31" s="476"/>
      <c r="AK31" s="476"/>
      <c r="AL31" s="476"/>
    </row>
    <row r="32" spans="1:38" s="664" customFormat="1" ht="12.75" outlineLevel="1">
      <c r="A32" s="1125"/>
      <c r="B32" s="1125"/>
      <c r="D32" s="752" t="s">
        <v>909</v>
      </c>
      <c r="E32" s="488"/>
      <c r="F32" s="605"/>
      <c r="G32" s="605"/>
      <c r="H32" s="605"/>
      <c r="I32" s="605"/>
      <c r="J32" s="605"/>
      <c r="K32" s="605"/>
      <c r="L32" s="605"/>
      <c r="M32" s="605"/>
      <c r="N32" s="605"/>
      <c r="O32" s="605"/>
      <c r="P32" s="605"/>
      <c r="Q32" s="605"/>
      <c r="R32" s="605"/>
      <c r="S32" s="605"/>
      <c r="T32" s="605"/>
      <c r="U32" s="605"/>
      <c r="V32" s="605"/>
      <c r="W32" s="605"/>
      <c r="X32" s="605"/>
      <c r="Y32" s="605"/>
      <c r="Z32" s="605"/>
      <c r="AA32" s="605"/>
      <c r="AB32" s="605"/>
      <c r="AC32" s="605"/>
      <c r="AD32" s="605"/>
      <c r="AE32" s="605"/>
      <c r="AF32" s="605"/>
      <c r="AG32" s="605"/>
      <c r="AH32" s="605"/>
      <c r="AI32" s="605"/>
      <c r="AJ32" s="605"/>
      <c r="AK32" s="605"/>
      <c r="AL32" s="605"/>
    </row>
    <row r="33" spans="1:38" s="742" customFormat="1" ht="12.75" outlineLevel="1">
      <c r="A33" s="1125"/>
      <c r="B33" s="1125"/>
      <c r="D33" s="864" t="s">
        <v>911</v>
      </c>
      <c r="E33" s="1118" t="s">
        <v>905</v>
      </c>
      <c r="F33" s="1119">
        <f ca="1">F238</f>
        <v>0</v>
      </c>
      <c r="G33" s="1119">
        <f t="shared" ref="G33:AL33" ca="1" si="8">G238</f>
        <v>0</v>
      </c>
      <c r="H33" s="1119">
        <f t="shared" ca="1" si="8"/>
        <v>0</v>
      </c>
      <c r="I33" s="1119">
        <f t="shared" ca="1" si="8"/>
        <v>0</v>
      </c>
      <c r="J33" s="1119">
        <f t="shared" ca="1" si="8"/>
        <v>2.5000000000000001E-2</v>
      </c>
      <c r="K33" s="1119">
        <f ca="1">K238</f>
        <v>0</v>
      </c>
      <c r="L33" s="1119">
        <f t="shared" ca="1" si="8"/>
        <v>0</v>
      </c>
      <c r="M33" s="1119">
        <f t="shared" ca="1" si="8"/>
        <v>0</v>
      </c>
      <c r="N33" s="1119">
        <f t="shared" ca="1" si="8"/>
        <v>0</v>
      </c>
      <c r="O33" s="1119">
        <f t="shared" ca="1" si="8"/>
        <v>0</v>
      </c>
      <c r="P33" s="1119">
        <f t="shared" ca="1" si="8"/>
        <v>0</v>
      </c>
      <c r="Q33" s="1119">
        <f t="shared" ca="1" si="8"/>
        <v>0</v>
      </c>
      <c r="R33" s="1119">
        <f t="shared" ca="1" si="8"/>
        <v>2.5000000000000001E-2</v>
      </c>
      <c r="S33" s="1119">
        <f t="shared" ca="1" si="8"/>
        <v>1</v>
      </c>
      <c r="T33" s="1119">
        <f t="shared" ca="1" si="8"/>
        <v>1</v>
      </c>
      <c r="U33" s="1119">
        <f t="shared" ca="1" si="8"/>
        <v>1</v>
      </c>
      <c r="V33" s="1119">
        <f t="shared" ca="1" si="8"/>
        <v>1</v>
      </c>
      <c r="W33" s="1119">
        <f t="shared" ca="1" si="8"/>
        <v>0</v>
      </c>
      <c r="X33" s="1119">
        <f t="shared" ca="1" si="8"/>
        <v>0</v>
      </c>
      <c r="Y33" s="1119">
        <f t="shared" ca="1" si="8"/>
        <v>0</v>
      </c>
      <c r="Z33" s="1119">
        <f t="shared" ca="1" si="8"/>
        <v>0</v>
      </c>
      <c r="AA33" s="1119">
        <f t="shared" ca="1" si="8"/>
        <v>0</v>
      </c>
      <c r="AB33" s="1119">
        <f t="shared" ca="1" si="8"/>
        <v>0</v>
      </c>
      <c r="AC33" s="1119">
        <f t="shared" ca="1" si="8"/>
        <v>0</v>
      </c>
      <c r="AD33" s="1119">
        <f t="shared" ca="1" si="8"/>
        <v>0</v>
      </c>
      <c r="AE33" s="1119">
        <f t="shared" ca="1" si="8"/>
        <v>0</v>
      </c>
      <c r="AF33" s="1119">
        <f t="shared" ca="1" si="8"/>
        <v>0</v>
      </c>
      <c r="AG33" s="1119">
        <f t="shared" ca="1" si="8"/>
        <v>0</v>
      </c>
      <c r="AH33" s="1119">
        <f t="shared" ca="1" si="8"/>
        <v>0</v>
      </c>
      <c r="AI33" s="1119">
        <f t="shared" ca="1" si="8"/>
        <v>0</v>
      </c>
      <c r="AJ33" s="1119">
        <f t="shared" ca="1" si="8"/>
        <v>0</v>
      </c>
      <c r="AK33" s="1119">
        <f t="shared" ca="1" si="8"/>
        <v>0</v>
      </c>
      <c r="AL33" s="1119">
        <f t="shared" ca="1" si="8"/>
        <v>0</v>
      </c>
    </row>
    <row r="34" spans="1:38" s="742" customFormat="1" ht="12.75" outlineLevel="1">
      <c r="A34" s="1125"/>
      <c r="B34" s="1125"/>
      <c r="D34" s="1112" t="s">
        <v>912</v>
      </c>
      <c r="E34" s="1113" t="s">
        <v>910</v>
      </c>
      <c r="F34" s="508">
        <f t="shared" ref="F34:AL34" ca="1" si="9">F33/F230</f>
        <v>0</v>
      </c>
      <c r="G34" s="508">
        <f t="shared" ca="1" si="9"/>
        <v>0</v>
      </c>
      <c r="H34" s="508">
        <f t="shared" ca="1" si="9"/>
        <v>0</v>
      </c>
      <c r="I34" s="508">
        <f t="shared" ca="1" si="9"/>
        <v>0</v>
      </c>
      <c r="J34" s="508">
        <f t="shared" ca="1" si="9"/>
        <v>2.5000000000000001E-2</v>
      </c>
      <c r="K34" s="508">
        <f t="shared" ca="1" si="9"/>
        <v>0</v>
      </c>
      <c r="L34" s="508">
        <f t="shared" ca="1" si="9"/>
        <v>0</v>
      </c>
      <c r="M34" s="508">
        <f t="shared" ca="1" si="9"/>
        <v>0</v>
      </c>
      <c r="N34" s="508">
        <f t="shared" ca="1" si="9"/>
        <v>0</v>
      </c>
      <c r="O34" s="508">
        <f t="shared" ca="1" si="9"/>
        <v>0</v>
      </c>
      <c r="P34" s="508">
        <f t="shared" ca="1" si="9"/>
        <v>0</v>
      </c>
      <c r="Q34" s="508">
        <f t="shared" ca="1" si="9"/>
        <v>0</v>
      </c>
      <c r="R34" s="508">
        <f t="shared" ca="1" si="9"/>
        <v>2.5000000000000001E-2</v>
      </c>
      <c r="S34" s="508">
        <f t="shared" ca="1" si="9"/>
        <v>1.933872310708818</v>
      </c>
      <c r="T34" s="508">
        <f t="shared" ca="1" si="9"/>
        <v>1.1111111111111112</v>
      </c>
      <c r="U34" s="508">
        <f t="shared" ca="1" si="9"/>
        <v>1.1111111111111112</v>
      </c>
      <c r="V34" s="508">
        <f t="shared" ca="1" si="9"/>
        <v>1.0526315789473684</v>
      </c>
      <c r="W34" s="508">
        <f t="shared" ca="1" si="9"/>
        <v>0</v>
      </c>
      <c r="X34" s="508">
        <f t="shared" ca="1" si="9"/>
        <v>0</v>
      </c>
      <c r="Y34" s="508">
        <f t="shared" ca="1" si="9"/>
        <v>0</v>
      </c>
      <c r="Z34" s="508">
        <f t="shared" ca="1" si="9"/>
        <v>0</v>
      </c>
      <c r="AA34" s="508">
        <f t="shared" ca="1" si="9"/>
        <v>0</v>
      </c>
      <c r="AB34" s="508">
        <f t="shared" ca="1" si="9"/>
        <v>0</v>
      </c>
      <c r="AC34" s="508">
        <f t="shared" ca="1" si="9"/>
        <v>0</v>
      </c>
      <c r="AD34" s="508">
        <f t="shared" ca="1" si="9"/>
        <v>0</v>
      </c>
      <c r="AE34" s="508">
        <f t="shared" ca="1" si="9"/>
        <v>0</v>
      </c>
      <c r="AF34" s="508">
        <f t="shared" ca="1" si="9"/>
        <v>0</v>
      </c>
      <c r="AG34" s="508">
        <f t="shared" ca="1" si="9"/>
        <v>0</v>
      </c>
      <c r="AH34" s="508">
        <f t="shared" ca="1" si="9"/>
        <v>0</v>
      </c>
      <c r="AI34" s="508">
        <f t="shared" ca="1" si="9"/>
        <v>0</v>
      </c>
      <c r="AJ34" s="508">
        <f t="shared" ca="1" si="9"/>
        <v>0</v>
      </c>
      <c r="AK34" s="508">
        <f t="shared" ca="1" si="9"/>
        <v>0</v>
      </c>
      <c r="AL34" s="508">
        <f t="shared" ca="1" si="9"/>
        <v>0</v>
      </c>
    </row>
    <row r="35" spans="1:38" s="742" customFormat="1" ht="12.75" outlineLevel="1">
      <c r="A35" s="1125"/>
      <c r="B35" s="1125"/>
      <c r="D35" s="785" t="s">
        <v>903</v>
      </c>
      <c r="E35" s="1116" t="s">
        <v>784</v>
      </c>
      <c r="F35" s="1120">
        <f ca="1">F34*ProcessEnergy!$J$6</f>
        <v>0</v>
      </c>
      <c r="G35" s="1120">
        <f ca="1">G34*ProcessEnergy!$J$6</f>
        <v>0</v>
      </c>
      <c r="H35" s="1120">
        <f ca="1">H34*ProcessEnergy!$J$6</f>
        <v>0</v>
      </c>
      <c r="I35" s="1120">
        <f ca="1">I34*ProcessEnergy!$J$6</f>
        <v>0</v>
      </c>
      <c r="J35" s="1120">
        <f ca="1">J34*ProcessEnergy!$J$6</f>
        <v>6.0191661488268782E-3</v>
      </c>
      <c r="K35" s="1120">
        <f ca="1">K34*ProcessEnergy!$J$6</f>
        <v>0</v>
      </c>
      <c r="L35" s="1120">
        <f ca="1">L34*ProcessEnergy!$J$6</f>
        <v>0</v>
      </c>
      <c r="M35" s="1120">
        <f ca="1">M34*ProcessEnergy!$J$6</f>
        <v>0</v>
      </c>
      <c r="N35" s="1120">
        <f ca="1">N34*ProcessEnergy!$J$6</f>
        <v>0</v>
      </c>
      <c r="O35" s="1120">
        <f ca="1">O34*ProcessEnergy!$J$6</f>
        <v>0</v>
      </c>
      <c r="P35" s="1120">
        <f ca="1">P34*ProcessEnergy!$J$6</f>
        <v>0</v>
      </c>
      <c r="Q35" s="1120">
        <f ca="1">Q34*ProcessEnergy!$J$6</f>
        <v>0</v>
      </c>
      <c r="R35" s="1120">
        <f ca="1">R34*ProcessEnergy!$J$6</f>
        <v>6.0191661488268782E-3</v>
      </c>
      <c r="S35" s="1120">
        <f ca="1">S34*ProcessEnergy!$J$6</f>
        <v>0.46561194995088528</v>
      </c>
      <c r="T35" s="1120">
        <f ca="1">T34*ProcessEnergy!$J$6</f>
        <v>0.26751849550341683</v>
      </c>
      <c r="U35" s="1120">
        <f ca="1">U34*ProcessEnergy!$J$6</f>
        <v>0.26751849550341683</v>
      </c>
      <c r="V35" s="1120">
        <f ca="1">V34*ProcessEnergy!$J$6</f>
        <v>0.25343857468744746</v>
      </c>
      <c r="W35" s="1120">
        <f ca="1">W34*ProcessEnergy!$J$6</f>
        <v>0</v>
      </c>
      <c r="X35" s="1120">
        <f ca="1">X34*ProcessEnergy!$J$6</f>
        <v>0</v>
      </c>
      <c r="Y35" s="1120">
        <f ca="1">Y34*ProcessEnergy!$J$6</f>
        <v>0</v>
      </c>
      <c r="Z35" s="1120">
        <f ca="1">Z34*ProcessEnergy!$J$6</f>
        <v>0</v>
      </c>
      <c r="AA35" s="1120">
        <f ca="1">AA34*ProcessEnergy!$J$6</f>
        <v>0</v>
      </c>
      <c r="AB35" s="1120">
        <f ca="1">AB34*ProcessEnergy!$J$6</f>
        <v>0</v>
      </c>
      <c r="AC35" s="1120">
        <f ca="1">AC34*ProcessEnergy!$J$6</f>
        <v>0</v>
      </c>
      <c r="AD35" s="1120">
        <f ca="1">AD34*ProcessEnergy!$J$6</f>
        <v>0</v>
      </c>
      <c r="AE35" s="1120">
        <f ca="1">AE34*ProcessEnergy!$J$6</f>
        <v>0</v>
      </c>
      <c r="AF35" s="1120">
        <f ca="1">AF34*ProcessEnergy!$J$6</f>
        <v>0</v>
      </c>
      <c r="AG35" s="1120">
        <f ca="1">AG34*ProcessEnergy!$J$6</f>
        <v>0</v>
      </c>
      <c r="AH35" s="1120">
        <f ca="1">AH34*ProcessEnergy!$J$6</f>
        <v>0</v>
      </c>
      <c r="AI35" s="1120">
        <f ca="1">AI34*ProcessEnergy!$J$6</f>
        <v>0</v>
      </c>
      <c r="AJ35" s="1120">
        <f ca="1">AJ34*ProcessEnergy!$J$6</f>
        <v>0</v>
      </c>
      <c r="AK35" s="1120">
        <f ca="1">AK34*ProcessEnergy!$J$6</f>
        <v>0</v>
      </c>
      <c r="AL35" s="1120">
        <f ca="1">AL34*ProcessEnergy!$J$6</f>
        <v>0</v>
      </c>
    </row>
    <row r="36" spans="1:38" s="664" customFormat="1" ht="12.75" outlineLevel="1">
      <c r="A36" s="1125"/>
      <c r="B36" s="1125"/>
      <c r="D36" s="773"/>
      <c r="E36" s="715"/>
      <c r="F36" s="469"/>
      <c r="G36" s="469"/>
      <c r="H36" s="469"/>
      <c r="I36" s="469"/>
      <c r="J36" s="469"/>
      <c r="K36" s="469"/>
      <c r="L36" s="469"/>
      <c r="M36" s="469"/>
      <c r="N36" s="469"/>
      <c r="O36" s="469"/>
      <c r="P36" s="469"/>
      <c r="Q36" s="469"/>
      <c r="R36" s="469"/>
      <c r="S36" s="469"/>
      <c r="T36" s="469"/>
      <c r="U36" s="469"/>
      <c r="V36" s="469"/>
      <c r="W36" s="469"/>
      <c r="X36" s="469"/>
      <c r="Y36" s="469"/>
      <c r="Z36" s="469"/>
      <c r="AA36" s="469"/>
      <c r="AB36" s="469"/>
      <c r="AC36" s="469"/>
      <c r="AD36" s="469"/>
      <c r="AE36" s="469"/>
      <c r="AF36" s="469"/>
      <c r="AG36" s="469"/>
      <c r="AH36" s="469"/>
      <c r="AI36" s="469"/>
      <c r="AJ36" s="469"/>
      <c r="AK36" s="469"/>
      <c r="AL36" s="469"/>
    </row>
    <row r="37" spans="1:38" s="664" customFormat="1" ht="12.75" outlineLevel="1">
      <c r="A37" s="1125"/>
      <c r="B37" s="1125"/>
      <c r="D37" s="776" t="s">
        <v>727</v>
      </c>
      <c r="E37" s="488"/>
      <c r="F37" s="469"/>
      <c r="G37" s="469"/>
      <c r="H37" s="469"/>
      <c r="I37" s="469"/>
      <c r="J37" s="469"/>
      <c r="K37" s="469"/>
      <c r="L37" s="469"/>
      <c r="M37" s="469"/>
      <c r="N37" s="469"/>
      <c r="O37" s="469"/>
      <c r="P37" s="469"/>
      <c r="Q37" s="469"/>
      <c r="R37" s="469"/>
      <c r="S37" s="469"/>
      <c r="T37" s="469"/>
      <c r="U37" s="469"/>
      <c r="V37" s="469"/>
      <c r="W37" s="469"/>
      <c r="X37" s="469"/>
      <c r="Y37" s="469"/>
      <c r="Z37" s="469"/>
      <c r="AA37" s="469"/>
      <c r="AB37" s="469"/>
      <c r="AC37" s="469"/>
      <c r="AD37" s="469"/>
      <c r="AE37" s="469"/>
      <c r="AF37" s="469"/>
      <c r="AG37" s="469"/>
      <c r="AH37" s="469"/>
      <c r="AI37" s="469"/>
      <c r="AJ37" s="469"/>
      <c r="AK37" s="469"/>
      <c r="AL37" s="469"/>
    </row>
    <row r="38" spans="1:38" s="742" customFormat="1" ht="12.75" outlineLevel="1">
      <c r="A38" s="1125"/>
      <c r="B38" s="1125"/>
      <c r="D38" s="864" t="s">
        <v>42</v>
      </c>
      <c r="E38" s="1118" t="s">
        <v>902</v>
      </c>
      <c r="F38" s="1119">
        <f ca="1">SUM(F39:F46)</f>
        <v>122.83706250981901</v>
      </c>
      <c r="G38" s="1119">
        <f t="shared" ref="G38:W38" ca="1" si="10">SUM(G39:G46)</f>
        <v>124.11375352315923</v>
      </c>
      <c r="H38" s="1119">
        <f t="shared" ca="1" si="10"/>
        <v>131.47531679119129</v>
      </c>
      <c r="I38" s="1119">
        <f t="shared" ca="1" si="10"/>
        <v>97.179989949498122</v>
      </c>
      <c r="J38" s="1119">
        <f t="shared" ca="1" si="10"/>
        <v>56.4</v>
      </c>
      <c r="K38" s="1119">
        <f ca="1">SUM(K39:K46)</f>
        <v>56.4</v>
      </c>
      <c r="L38" s="1119">
        <f t="shared" ca="1" si="10"/>
        <v>150.20277810288218</v>
      </c>
      <c r="M38" s="1119">
        <f t="shared" ca="1" si="10"/>
        <v>153.58130164075624</v>
      </c>
      <c r="N38" s="1119">
        <f t="shared" ca="1" si="10"/>
        <v>109.78764062882706</v>
      </c>
      <c r="O38" s="1119">
        <f t="shared" ca="1" si="10"/>
        <v>104.5261652310887</v>
      </c>
      <c r="P38" s="1119">
        <f t="shared" ca="1" si="10"/>
        <v>174.18965884443546</v>
      </c>
      <c r="Q38" s="1119">
        <f t="shared" ca="1" si="10"/>
        <v>122.28282810171446</v>
      </c>
      <c r="R38" s="1119">
        <f t="shared" ca="1" si="10"/>
        <v>164.8387467655707</v>
      </c>
      <c r="S38" s="1119">
        <f t="shared" ca="1" si="10"/>
        <v>104.5261652310887</v>
      </c>
      <c r="T38" s="1119">
        <f t="shared" ca="1" si="10"/>
        <v>104.5261652310887</v>
      </c>
      <c r="U38" s="1119">
        <f t="shared" ca="1" si="10"/>
        <v>104.5261652310887</v>
      </c>
      <c r="V38" s="1119">
        <f ca="1">SUM(V39:V46)</f>
        <v>104.5261652310887</v>
      </c>
      <c r="W38" s="1119">
        <f t="shared" ca="1" si="10"/>
        <v>198.27601049636851</v>
      </c>
      <c r="X38" s="1119">
        <f ca="1">SUM(X39:X46)</f>
        <v>95.838009925783822</v>
      </c>
      <c r="Y38" s="1119">
        <f ca="1">SUM(Y39:Y46)</f>
        <v>71.415988943548911</v>
      </c>
      <c r="Z38" s="1119">
        <f ca="1">SUM(Z39:Z46)</f>
        <v>0</v>
      </c>
      <c r="AA38" s="1119">
        <f ca="1">SUM(AA39:AA46)</f>
        <v>0</v>
      </c>
      <c r="AB38" s="1119">
        <f t="shared" ref="AB38:AJ38" ca="1" si="11">SUM(AB39:AB46)</f>
        <v>0</v>
      </c>
      <c r="AC38" s="1119">
        <f t="shared" ca="1" si="11"/>
        <v>28.441450277315031</v>
      </c>
      <c r="AD38" s="1119">
        <f t="shared" ca="1" si="11"/>
        <v>65.475944111002164</v>
      </c>
      <c r="AE38" s="1119">
        <f t="shared" ca="1" si="11"/>
        <v>40.902743399463397</v>
      </c>
      <c r="AF38" s="1119">
        <f t="shared" ca="1" si="11"/>
        <v>0</v>
      </c>
      <c r="AG38" s="1119">
        <f t="shared" ca="1" si="11"/>
        <v>0</v>
      </c>
      <c r="AH38" s="1119">
        <f t="shared" ca="1" si="11"/>
        <v>0</v>
      </c>
      <c r="AI38" s="1119">
        <f t="shared" ca="1" si="11"/>
        <v>0</v>
      </c>
      <c r="AJ38" s="1119">
        <f t="shared" ca="1" si="11"/>
        <v>0</v>
      </c>
      <c r="AK38" s="1119">
        <f ca="1">SUM(AK39:AK46)</f>
        <v>0</v>
      </c>
      <c r="AL38" s="1119">
        <f ca="1">SUM(AL39:AL46)</f>
        <v>48.120874587603993</v>
      </c>
    </row>
    <row r="39" spans="1:38" s="742" customFormat="1" ht="12.75" outlineLevel="1">
      <c r="A39" s="1125"/>
      <c r="B39" s="1125"/>
      <c r="D39" s="1112" t="s">
        <v>454</v>
      </c>
      <c r="E39" s="1113" t="s">
        <v>902</v>
      </c>
      <c r="F39" s="1973">
        <f ca="1">IF(F9&lt;&gt;"",VLOOKUP(F$9,Distribution!$B$8:$C$27,2,0),0)</f>
        <v>0</v>
      </c>
      <c r="G39" s="1973">
        <f ca="1">IF(G9&lt;&gt;"",VLOOKUP(G$9,Distribution!$B$8:$C$27,2,0),0)</f>
        <v>0</v>
      </c>
      <c r="H39" s="1973">
        <f ca="1">IF(H9&lt;&gt;"",VLOOKUP(H$9,Distribution!$B$8:$C$27,2,0),0)</f>
        <v>0</v>
      </c>
      <c r="I39" s="1973">
        <f ca="1">IF(I9&lt;&gt;"",VLOOKUP(I$9,Distribution!$B$8:$C$27,2,0),0)</f>
        <v>0</v>
      </c>
      <c r="J39" s="1973">
        <f ca="1">IF(J9&lt;&gt;"",VLOOKUP(J$9,Distribution!$B$8:$C$27,2,0),0)</f>
        <v>0</v>
      </c>
      <c r="K39" s="1973">
        <f ca="1">IF(K9&lt;&gt;"",VLOOKUP(K$9,Distribution!$B$8:$C$27,2,0),0)</f>
        <v>0</v>
      </c>
      <c r="L39" s="1973">
        <f ca="1">IF(L9&lt;&gt;"",VLOOKUP(L$9,Distribution!$B$8:$C$27,2,0),0)</f>
        <v>0</v>
      </c>
      <c r="M39" s="1973">
        <f ca="1">IF(M9&lt;&gt;"",VLOOKUP(M$9,Distribution!$B$8:$C$27,2,0),0)</f>
        <v>0</v>
      </c>
      <c r="N39" s="1973">
        <f ca="1">IF(N9&lt;&gt;"",VLOOKUP(N$9,Distribution!$B$8:$C$27,2,0),0)</f>
        <v>0</v>
      </c>
      <c r="O39" s="1973">
        <f ca="1">IF(O9&lt;&gt;"",VLOOKUP(O$9,Distribution!$B$8:$C$27,2,0),0)</f>
        <v>0</v>
      </c>
      <c r="P39" s="1973">
        <f ca="1">IF(P9&lt;&gt;"",VLOOKUP(P$9,Distribution!$B$8:$C$27,2,0),0)</f>
        <v>0</v>
      </c>
      <c r="Q39" s="1973">
        <f ca="1">IF(Q9&lt;&gt;"",VLOOKUP(Q$9,Distribution!$B$8:$C$27,2,0),0)</f>
        <v>0</v>
      </c>
      <c r="R39" s="1973">
        <f ca="1">IF(R9&lt;&gt;"",VLOOKUP(R$9,Distribution!$B$8:$C$27,2,0),0)</f>
        <v>0</v>
      </c>
      <c r="S39" s="1973">
        <f ca="1">IF(S9&lt;&gt;"",VLOOKUP(S$9,Distribution!$B$8:$C$27,2,0),0)</f>
        <v>0</v>
      </c>
      <c r="T39" s="1973">
        <f ca="1">IF(T9&lt;&gt;"",VLOOKUP(T$9,Distribution!$B$8:$C$27,2,0),0)</f>
        <v>0</v>
      </c>
      <c r="U39" s="1973">
        <f ca="1">IF(U9&lt;&gt;"",VLOOKUP(U$9,Distribution!$B$8:$C$27,2,0),0)</f>
        <v>0</v>
      </c>
      <c r="V39" s="1973">
        <f ca="1">IF(V9&lt;&gt;"",VLOOKUP(V$9,Distribution!$B$8:$C$27,2,0),0)</f>
        <v>0</v>
      </c>
      <c r="W39" s="1973">
        <f ca="1">IF(W9&lt;&gt;"",VLOOKUP(W$9,Distribution!$B$8:$C$27,2,0),0)</f>
        <v>0</v>
      </c>
      <c r="X39" s="1973">
        <f ca="1">IF(X9&lt;&gt;"",VLOOKUP(X$9,Distribution!$B$8:$C$27,2,0),0)</f>
        <v>0</v>
      </c>
      <c r="Y39" s="1973">
        <f ca="1">IF(Y9&lt;&gt;"",VLOOKUP(Y$9,Distribution!$B$8:$C$27,2,0),0)</f>
        <v>0</v>
      </c>
      <c r="Z39" s="1973">
        <f>IF(Z9&lt;&gt;"",VLOOKUP(Z$9,Distribution!$B$8:$C$27,2,0),0)</f>
        <v>0</v>
      </c>
      <c r="AA39" s="1973">
        <f>IF(AA9&lt;&gt;"",VLOOKUP(AA$9,Distribution!$B$8:$C$27,2,0),0)</f>
        <v>0</v>
      </c>
      <c r="AB39" s="1973">
        <f>IF(AB9&lt;&gt;"",VLOOKUP(AB$9,Distribution!$B$8:$C$27,2,0),0)</f>
        <v>0</v>
      </c>
      <c r="AC39" s="1973">
        <f ca="1">IF(AC9&lt;&gt;"",VLOOKUP(AC$9,Distribution!$B$8:$C$27,2,0),0)</f>
        <v>0</v>
      </c>
      <c r="AD39" s="1973">
        <f ca="1">IF(AD9&lt;&gt;"",VLOOKUP(AD$9,Distribution!$B$8:$C$27,2,0),0)</f>
        <v>0</v>
      </c>
      <c r="AE39" s="1973">
        <f ca="1">IF(AE9&lt;&gt;"",VLOOKUP(AE$9,Distribution!$B$8:$C$27,2,0),0)</f>
        <v>0</v>
      </c>
      <c r="AF39" s="1973">
        <f>IF(AF9&lt;&gt;"",VLOOKUP(AF$9,Distribution!$B$8:$C$27,2,0),0)</f>
        <v>0</v>
      </c>
      <c r="AG39" s="1973">
        <f>IF(AG9&lt;&gt;"",VLOOKUP(AG$9,Distribution!$B$8:$C$27,2,0),0)</f>
        <v>0</v>
      </c>
      <c r="AH39" s="1973">
        <f>IF(AH9&lt;&gt;"",VLOOKUP(AH$9,Distribution!$B$8:$C$27,2,0),0)</f>
        <v>0</v>
      </c>
      <c r="AI39" s="1973">
        <f>IF(AI9&lt;&gt;"",VLOOKUP(AI$9,Distribution!$B$8:$C$27,2,0),0)</f>
        <v>0</v>
      </c>
      <c r="AJ39" s="1973">
        <f>IF(AJ9&lt;&gt;"",VLOOKUP(AJ$9,Distribution!$B$8:$C$27,2,0),0)</f>
        <v>0</v>
      </c>
      <c r="AK39" s="1973">
        <f>IF(AK9&lt;&gt;"",VLOOKUP(AK$9,Distribution!$B$8:$C$27,2,0),0)</f>
        <v>0</v>
      </c>
      <c r="AL39" s="1973">
        <f ca="1">IF(AL9&lt;&gt;"",VLOOKUP(AL$9,Distribution!$B$8:$C$27,2,0),0)</f>
        <v>0</v>
      </c>
    </row>
    <row r="40" spans="1:38" s="742" customFormat="1" ht="12.75" outlineLevel="1">
      <c r="A40" s="1128"/>
      <c r="B40" s="1128"/>
      <c r="D40" s="1112" t="s">
        <v>40</v>
      </c>
      <c r="E40" s="1113" t="s">
        <v>902</v>
      </c>
      <c r="F40" s="508">
        <f ca="1">IF(F48&gt;0,F47/F48,0)</f>
        <v>229.40099032241051</v>
      </c>
      <c r="G40" s="508">
        <f ca="1">IF(G48&gt;0,G47/G48,0)</f>
        <v>311.91443731226849</v>
      </c>
      <c r="H40" s="508">
        <f ca="1">IF(H48&gt;0,H47/H48,0)</f>
        <v>11466.723669028626</v>
      </c>
      <c r="I40" s="508">
        <f ca="1">IF(I48&gt;0,I47/I48,0)</f>
        <v>669.7794953045227</v>
      </c>
      <c r="J40" s="508">
        <f t="shared" ref="J40:W40" ca="1" si="12">IF(J48&gt;0,J47/J48,0)</f>
        <v>56.4</v>
      </c>
      <c r="K40" s="508">
        <f ca="1">IF(K48&gt;0,K47/K48,0)</f>
        <v>56.4</v>
      </c>
      <c r="L40" s="508">
        <f t="shared" ca="1" si="12"/>
        <v>151.80078120790967</v>
      </c>
      <c r="M40" s="508">
        <f t="shared" ca="1" si="12"/>
        <v>98.166584158712141</v>
      </c>
      <c r="N40" s="508">
        <f t="shared" ca="1" si="12"/>
        <v>91.429661716447598</v>
      </c>
      <c r="O40" s="508">
        <f t="shared" ca="1" si="12"/>
        <v>104.5261652310887</v>
      </c>
      <c r="P40" s="508">
        <f t="shared" ca="1" si="12"/>
        <v>102.25685849865849</v>
      </c>
      <c r="Q40" s="508">
        <f t="shared" ca="1" si="12"/>
        <v>91.429661716447598</v>
      </c>
      <c r="R40" s="508">
        <f t="shared" ca="1" si="12"/>
        <v>39.980312525081054</v>
      </c>
      <c r="S40" s="508">
        <f t="shared" ca="1" si="12"/>
        <v>104.5261652310887</v>
      </c>
      <c r="T40" s="508">
        <f t="shared" ca="1" si="12"/>
        <v>104.5261652310887</v>
      </c>
      <c r="U40" s="508">
        <f t="shared" ca="1" si="12"/>
        <v>104.5261652310887</v>
      </c>
      <c r="V40" s="508">
        <f ca="1">IF(V48&gt;0,V47/V48,0)</f>
        <v>104.5261652310887</v>
      </c>
      <c r="W40" s="508">
        <f t="shared" ca="1" si="12"/>
        <v>171.79152227774628</v>
      </c>
      <c r="X40" s="508">
        <f ca="1">IF(X48&gt;0,X47/X48,0)</f>
        <v>156.0562962962963</v>
      </c>
      <c r="Y40" s="508">
        <f ca="1">IF(Y48&gt;0,Y47/Y48,0)</f>
        <v>19.009740506735763</v>
      </c>
      <c r="Z40" s="508">
        <f ca="1">IF(Z48&gt;0,Z47/Z48,0)</f>
        <v>0</v>
      </c>
      <c r="AA40" s="508">
        <f ca="1">IF(AA48&gt;0,AA47/AA48,0)</f>
        <v>0</v>
      </c>
      <c r="AB40" s="508">
        <f t="shared" ref="AB40:AJ40" ca="1" si="13">IF(AB48&gt;0,AB47/AB48,0)</f>
        <v>0</v>
      </c>
      <c r="AC40" s="508">
        <f t="shared" ca="1" si="13"/>
        <v>28.441450277315031</v>
      </c>
      <c r="AD40" s="508">
        <f t="shared" ca="1" si="13"/>
        <v>65.475944111002164</v>
      </c>
      <c r="AE40" s="508">
        <f t="shared" ca="1" si="13"/>
        <v>40.902743399463397</v>
      </c>
      <c r="AF40" s="508">
        <f t="shared" ca="1" si="13"/>
        <v>0</v>
      </c>
      <c r="AG40" s="508">
        <f t="shared" ca="1" si="13"/>
        <v>0</v>
      </c>
      <c r="AH40" s="508">
        <f t="shared" ca="1" si="13"/>
        <v>0</v>
      </c>
      <c r="AI40" s="508">
        <f t="shared" ca="1" si="13"/>
        <v>0</v>
      </c>
      <c r="AJ40" s="508">
        <f t="shared" ca="1" si="13"/>
        <v>0</v>
      </c>
      <c r="AK40" s="508">
        <f ca="1">IF(AK48&gt;0,AK47/AK48,0)</f>
        <v>0</v>
      </c>
      <c r="AL40" s="508">
        <f ca="1">IF(AL48&gt;0,AL47/AL48,0)</f>
        <v>48.120874587603993</v>
      </c>
    </row>
    <row r="41" spans="1:38" s="742" customFormat="1" ht="12.75" outlineLevel="1">
      <c r="A41" s="1128"/>
      <c r="B41" s="1128"/>
      <c r="D41" s="1112" t="s">
        <v>906</v>
      </c>
      <c r="E41" s="1113" t="s">
        <v>902</v>
      </c>
      <c r="F41" s="508">
        <f ca="1">-F52*ProcessEnergy!$J$6</f>
        <v>-1.8440871683725268E-3</v>
      </c>
      <c r="G41" s="508">
        <f ca="1">-G52*ProcessEnergy!$J$6</f>
        <v>-2.5073885281370525E-3</v>
      </c>
      <c r="H41" s="508">
        <f ca="1">-H52*ProcessEnergy!$J$6</f>
        <v>-9.2177622910913304E-2</v>
      </c>
      <c r="I41" s="508">
        <f ca="1">-I52*ProcessEnergy!$J$6</f>
        <v>-5.3841605966660714E-3</v>
      </c>
      <c r="J41" s="508">
        <f ca="1">-J52*ProcessEnergy!$J$6</f>
        <v>0</v>
      </c>
      <c r="K41" s="508">
        <f ca="1">-K52*ProcessEnergy!$J$6</f>
        <v>0</v>
      </c>
      <c r="L41" s="508">
        <f ca="1">-L52*ProcessEnergy!$J$6</f>
        <v>0</v>
      </c>
      <c r="M41" s="508">
        <f ca="1">-M52*ProcessEnergy!$J$6</f>
        <v>0</v>
      </c>
      <c r="N41" s="508">
        <f ca="1">-N52*ProcessEnergy!$J$6</f>
        <v>0</v>
      </c>
      <c r="O41" s="508">
        <f ca="1">-O52*ProcessEnergy!$J$6</f>
        <v>0</v>
      </c>
      <c r="P41" s="508">
        <f ca="1">-P52*ProcessEnergy!$J$6</f>
        <v>0</v>
      </c>
      <c r="Q41" s="508">
        <f ca="1">-Q52*ProcessEnergy!$J$6</f>
        <v>0</v>
      </c>
      <c r="R41" s="508">
        <f ca="1">-R52*ProcessEnergy!$J$6</f>
        <v>-1.7986370323696075E-2</v>
      </c>
      <c r="S41" s="508">
        <f ca="1">-S52*ProcessEnergy!$J$6</f>
        <v>0</v>
      </c>
      <c r="T41" s="508">
        <f ca="1">-T52*ProcessEnergy!$J$6</f>
        <v>0</v>
      </c>
      <c r="U41" s="508">
        <f ca="1">-U52*ProcessEnergy!$J$6</f>
        <v>0</v>
      </c>
      <c r="V41" s="508">
        <f ca="1">-V52*ProcessEnergy!$J$6</f>
        <v>0</v>
      </c>
      <c r="W41" s="508">
        <f ca="1">-W52*ProcessEnergy!$J$6</f>
        <v>0</v>
      </c>
      <c r="X41" s="508">
        <f ca="1">-X52*ProcessEnergy!$J$6</f>
        <v>0</v>
      </c>
      <c r="Y41" s="508">
        <f ca="1">-Y52*ProcessEnergy!$J$6</f>
        <v>0</v>
      </c>
      <c r="Z41" s="508">
        <f ca="1">-Z52*ProcessEnergy!$J$6</f>
        <v>0</v>
      </c>
      <c r="AA41" s="508">
        <f ca="1">-AA52*ProcessEnergy!$J$6</f>
        <v>0</v>
      </c>
      <c r="AB41" s="508">
        <f ca="1">-AB52*ProcessEnergy!$J$6</f>
        <v>0</v>
      </c>
      <c r="AC41" s="508">
        <f ca="1">-AC52*ProcessEnergy!$J$6</f>
        <v>0</v>
      </c>
      <c r="AD41" s="508">
        <f ca="1">-AD52*ProcessEnergy!$J$6</f>
        <v>0</v>
      </c>
      <c r="AE41" s="508">
        <f ca="1">-AE52*ProcessEnergy!$J$6</f>
        <v>0</v>
      </c>
      <c r="AF41" s="508">
        <f ca="1">-AF52*ProcessEnergy!$J$6</f>
        <v>0</v>
      </c>
      <c r="AG41" s="508">
        <f ca="1">-AG52*ProcessEnergy!$J$6</f>
        <v>0</v>
      </c>
      <c r="AH41" s="508">
        <f ca="1">-AH52*ProcessEnergy!$J$6</f>
        <v>0</v>
      </c>
      <c r="AI41" s="508">
        <f ca="1">-AI52*ProcessEnergy!$J$6</f>
        <v>0</v>
      </c>
      <c r="AJ41" s="508">
        <f ca="1">-AJ52*ProcessEnergy!$J$6</f>
        <v>0</v>
      </c>
      <c r="AK41" s="508">
        <f ca="1">-AK52*ProcessEnergy!$J$6</f>
        <v>0</v>
      </c>
      <c r="AL41" s="508">
        <f ca="1">-AL52*ProcessEnergy!$J$6</f>
        <v>0</v>
      </c>
    </row>
    <row r="42" spans="1:38" s="742" customFormat="1" ht="12.75" outlineLevel="1">
      <c r="A42" s="1128"/>
      <c r="B42" s="1128"/>
      <c r="D42" s="1112" t="s">
        <v>2502</v>
      </c>
      <c r="E42" s="1113" t="s">
        <v>902</v>
      </c>
      <c r="F42" s="1074"/>
      <c r="G42" s="1074"/>
      <c r="H42" s="1074"/>
      <c r="I42" s="1074"/>
      <c r="J42" s="508">
        <f ca="1">SUMPRODUCT(J$100:J$119,ProcessEnergy!$I$5:$I$24)/J48</f>
        <v>0</v>
      </c>
      <c r="K42" s="508">
        <f ca="1">SUMPRODUCT(K$100:K$119,ProcessEnergy!$I$5:$I$24)/K48</f>
        <v>0</v>
      </c>
      <c r="L42" s="508">
        <f ca="1">SUMPRODUCT(L$100:L$119,ProcessEnergy!$I$5:$I$24)/L48</f>
        <v>33.893929413192389</v>
      </c>
      <c r="M42" s="508">
        <f ca="1">SUMPRODUCT(M$100:M$119,ProcessEnergy!$I$5:$I$24)/M48</f>
        <v>0</v>
      </c>
      <c r="N42" s="508">
        <f ca="1">SUMPRODUCT(N$100:N$119,ProcessEnergy!$I$5:$I$24)/N48</f>
        <v>0</v>
      </c>
      <c r="O42" s="508">
        <f ca="1">SUMPRODUCT(O$100:O$119,ProcessEnergy!$I$5:$I$24)/O48</f>
        <v>0</v>
      </c>
      <c r="P42" s="508">
        <f ca="1">SUMPRODUCT(P$100:P$119,ProcessEnergy!$I$5:$I$24)/P48</f>
        <v>0</v>
      </c>
      <c r="Q42" s="508">
        <f ca="1">SUMPRODUCT(Q$100:Q$119,ProcessEnergy!$I$5:$I$24)/Q48</f>
        <v>0</v>
      </c>
      <c r="R42" s="508">
        <f ca="1">SUMPRODUCT(R$100:R$119,ProcessEnergy!$I$5:$I$24)/R48</f>
        <v>14.240347802031888</v>
      </c>
      <c r="S42" s="508">
        <f ca="1">SUMPRODUCT(S$100:S$119,ProcessEnergy!$I$5:$I$24)/S48</f>
        <v>0</v>
      </c>
      <c r="T42" s="508">
        <f ca="1">SUMPRODUCT(T$100:T$119,ProcessEnergy!$I$5:$I$24)/T48</f>
        <v>0</v>
      </c>
      <c r="U42" s="508">
        <f ca="1">SUMPRODUCT(U$100:U$119,ProcessEnergy!$I$5:$I$24)/U48</f>
        <v>0</v>
      </c>
      <c r="V42" s="508">
        <f ca="1">SUMPRODUCT(V$100:V$119,ProcessEnergy!$I$5:$I$24)/V48</f>
        <v>0</v>
      </c>
      <c r="W42" s="508">
        <f ca="1">SUMPRODUCT(W$100:W$119,ProcessEnergy!$I$5:$I$24)/W48</f>
        <v>0</v>
      </c>
      <c r="X42" s="508">
        <f ca="1">SUMPRODUCT(X$100:X$119,ProcessEnergy!$I$5:$I$24)/X48</f>
        <v>12.970778044233219</v>
      </c>
      <c r="Y42" s="508">
        <f ca="1">SUMPRODUCT(Y$100:Y$119,ProcessEnergy!$I$5:$I$24)/Y48</f>
        <v>1.776944808928508</v>
      </c>
      <c r="Z42" s="508">
        <f ca="1">SUMPRODUCT(Z$100:Z$119,ProcessEnergy!$I$5:$I$24)/Z48</f>
        <v>0</v>
      </c>
      <c r="AA42" s="508">
        <f ca="1">SUMPRODUCT(AA$100:AA$119,ProcessEnergy!$I$5:$I$24)/AA48</f>
        <v>0</v>
      </c>
      <c r="AB42" s="508">
        <f ca="1">SUMPRODUCT(AB$100:AB$119,ProcessEnergy!$I$5:$I$24)/AB48</f>
        <v>0</v>
      </c>
      <c r="AC42" s="508">
        <f ca="1">SUMPRODUCT(AC$100:AC$119,ProcessEnergy!$I$5:$I$24)/AC48</f>
        <v>0</v>
      </c>
      <c r="AD42" s="508">
        <f ca="1">SUMPRODUCT(AD$100:AD$119,ProcessEnergy!$I$5:$I$24)/AD48</f>
        <v>0</v>
      </c>
      <c r="AE42" s="508">
        <f ca="1">SUMPRODUCT(AE$100:AE$119,ProcessEnergy!$I$5:$I$24)/AE48</f>
        <v>0</v>
      </c>
      <c r="AF42" s="508">
        <f ca="1">SUMPRODUCT(AF$100:AF$119,ProcessEnergy!$I$5:$I$24)/AF48</f>
        <v>0</v>
      </c>
      <c r="AG42" s="508">
        <f ca="1">SUMPRODUCT(AG$100:AG$119,ProcessEnergy!$I$5:$I$24)/AG48</f>
        <v>0</v>
      </c>
      <c r="AH42" s="508">
        <f ca="1">SUMPRODUCT(AH$100:AH$119,ProcessEnergy!$I$5:$I$24)/AH48</f>
        <v>0</v>
      </c>
      <c r="AI42" s="508">
        <f ca="1">SUMPRODUCT(AI$100:AI$119,ProcessEnergy!$I$5:$I$24)/AI48</f>
        <v>0</v>
      </c>
      <c r="AJ42" s="508">
        <f ca="1">SUMPRODUCT(AJ$100:AJ$119,ProcessEnergy!$I$5:$I$24)/AJ48</f>
        <v>0</v>
      </c>
      <c r="AK42" s="508">
        <f ca="1">SUMPRODUCT(AK$100:AK$119,ProcessEnergy!$I$5:$I$24)/AK48</f>
        <v>0</v>
      </c>
      <c r="AL42" s="508">
        <f ca="1">SUMPRODUCT(AL$100:AL$119,ProcessEnergy!$I$5:$I$24)/AL48</f>
        <v>0</v>
      </c>
    </row>
    <row r="43" spans="1:38" s="742" customFormat="1" ht="12.75" outlineLevel="1">
      <c r="A43" s="1128">
        <f>ROW(Diesel!$A$96)</f>
        <v>96</v>
      </c>
      <c r="B43" s="1128">
        <f>COLUMN(Diesel!$D$1)+chosenYear-1</f>
        <v>4</v>
      </c>
      <c r="D43" s="1112" t="s">
        <v>39</v>
      </c>
      <c r="E43" s="1113" t="s">
        <v>902</v>
      </c>
      <c r="F43" s="1114">
        <f ca="1">IF(F$11&lt;&gt;"",INDIRECT(ADDRESS($A43,$B43,,,F$11)),0)*(1+Sensitivity!$N$7)</f>
        <v>0</v>
      </c>
      <c r="G43" s="1114">
        <f ca="1">IF(G$11&lt;&gt;"",INDIRECT(ADDRESS($A43,$B43,,,G$11)),0)*(1+Sensitivity!$N$7)</f>
        <v>0</v>
      </c>
      <c r="H43" s="1114">
        <f ca="1">IF(H$11&lt;&gt;"",INDIRECT(ADDRESS($A43,$B43,,,H$11)),0)*(1+Sensitivity!$N$7)</f>
        <v>0</v>
      </c>
      <c r="I43" s="1114">
        <f ca="1">IF(I$11&lt;&gt;"",INDIRECT(ADDRESS($A43,$B43,,,I$11)),0)*(1+Sensitivity!$N$7)</f>
        <v>0</v>
      </c>
      <c r="J43" s="1114">
        <f ca="1">IF(J$11&lt;&gt;"",INDIRECT(ADDRESS($A43,$B43,,,J$11)),0)*(1+Sensitivity!$N$7)</f>
        <v>0</v>
      </c>
      <c r="K43" s="1114">
        <f ca="1">IF(K$11&lt;&gt;"",INDIRECT(ADDRESS($A43,$B43,,,K$11)),0)*(1+Sensitivity!$N$7)</f>
        <v>0</v>
      </c>
      <c r="L43" s="1114">
        <f ca="1">IF(L$11&lt;&gt;"",INDIRECT(ADDRESS($A43,$B43,,,L$11)),0)*(1+Sensitivity!$N$7)</f>
        <v>0</v>
      </c>
      <c r="M43" s="1114">
        <f ca="1">IF(M$11&lt;&gt;"",INDIRECT(ADDRESS($A43,$B43,,,M$11)),0)*(1+Sensitivity!$N$7)</f>
        <v>0</v>
      </c>
      <c r="N43" s="1114">
        <f ca="1">IF(N$11&lt;&gt;"",INDIRECT(ADDRESS($A43,$B43,,,N$11)),0)*(1+Sensitivity!$N$7)</f>
        <v>0</v>
      </c>
      <c r="O43" s="1114">
        <f ca="1">IF(O$11&lt;&gt;"",INDIRECT(ADDRESS($A43,$B43,,,O$11)),0)*(1+Sensitivity!$N$7)</f>
        <v>0</v>
      </c>
      <c r="P43" s="1114">
        <f ca="1">IF(P$11&lt;&gt;"",INDIRECT(ADDRESS($A43,$B43,,,P$11)),0)*(1+Sensitivity!$N$7)</f>
        <v>0</v>
      </c>
      <c r="Q43" s="1114">
        <f ca="1">IF(Q$11&lt;&gt;"",INDIRECT(ADDRESS($A43,$B43,,,Q$11)),0)*(1+Sensitivity!$N$7)</f>
        <v>0</v>
      </c>
      <c r="R43" s="1114">
        <f ca="1">IF(R$11&lt;&gt;"",INDIRECT(ADDRESS($A43,$B43,,,R$11)),0)*(1+Sensitivity!$N$7)</f>
        <v>9.1196353055028094</v>
      </c>
      <c r="S43" s="1114">
        <f ca="1">IF(S$11&lt;&gt;"",INDIRECT(ADDRESS($A43,$B43,,,S$11)),0)*(1+Sensitivity!$N$7)</f>
        <v>0</v>
      </c>
      <c r="T43" s="1114">
        <f ca="1">IF(T$11&lt;&gt;"",INDIRECT(ADDRESS($A43,$B43,,,T$11)),0)*(1+Sensitivity!$N$7)</f>
        <v>0</v>
      </c>
      <c r="U43" s="1114">
        <f ca="1">IF(U$11&lt;&gt;"",INDIRECT(ADDRESS($A43,$B43,,,U$11)),0)*(1+Sensitivity!$N$7)</f>
        <v>0</v>
      </c>
      <c r="V43" s="1114">
        <f ca="1">IF(V$11&lt;&gt;"",INDIRECT(ADDRESS($A43,$B43,,,V$11)),0)*(1+Sensitivity!$N$7)</f>
        <v>0</v>
      </c>
      <c r="W43" s="1114">
        <f ca="1">IF(W$11&lt;&gt;"",INDIRECT(ADDRESS($A43,$B43,,,W$11)),0)*(1+Sensitivity!$N$7)</f>
        <v>0</v>
      </c>
      <c r="X43" s="1114">
        <f ca="1">IF(X$11&lt;&gt;"",INDIRECT(ADDRESS($A43,$B43,,,X$11)),0)*(1+Sensitivity!$N$7)</f>
        <v>0</v>
      </c>
      <c r="Y43" s="1114">
        <f ca="1">IF(Y$11&lt;&gt;"",INDIRECT(ADDRESS($A43,$B43,,,Y$11)),0)*(1+Sensitivity!$N$7)</f>
        <v>0</v>
      </c>
      <c r="Z43" s="1114">
        <f ca="1">IF(Z$11&lt;&gt;"",INDIRECT(ADDRESS($A43,$B43,,,Z$11)),0)*(1+Sensitivity!$N$7)</f>
        <v>0</v>
      </c>
      <c r="AA43" s="1114">
        <f ca="1">IF(AA$11&lt;&gt;"",INDIRECT(ADDRESS($A43,$B43,,,AA$11)),0)*(1+Sensitivity!$N$7)</f>
        <v>0</v>
      </c>
      <c r="AB43" s="1114">
        <f ca="1">IF(AB$11&lt;&gt;"",INDIRECT(ADDRESS($A43,$B43,,,AB$11)),0)*(1+Sensitivity!$N$7)</f>
        <v>0</v>
      </c>
      <c r="AC43" s="1114">
        <f ca="1">IF(AC$11&lt;&gt;"",INDIRECT(ADDRESS($A43,$B43,,,AC$11)),0)*(1+Sensitivity!$N$7)</f>
        <v>0</v>
      </c>
      <c r="AD43" s="1114">
        <f ca="1">IF(AD$11&lt;&gt;"",INDIRECT(ADDRESS($A43,$B43,,,AD$11)),0)*(1+Sensitivity!$N$7)</f>
        <v>0</v>
      </c>
      <c r="AE43" s="1114">
        <f ca="1">IF(AE$11&lt;&gt;"",INDIRECT(ADDRESS($A43,$B43,,,AE$11)),0)*(1+Sensitivity!$N$7)</f>
        <v>0</v>
      </c>
      <c r="AF43" s="1114">
        <f ca="1">IF(AF$11&lt;&gt;"",INDIRECT(ADDRESS($A43,$B43,,,AF$11)),0)*(1+Sensitivity!$N$7)</f>
        <v>0</v>
      </c>
      <c r="AG43" s="1114">
        <f ca="1">IF(AG$11&lt;&gt;"",INDIRECT(ADDRESS($A43,$B43,,,AG$11)),0)*(1+Sensitivity!$N$7)</f>
        <v>0</v>
      </c>
      <c r="AH43" s="1114">
        <f ca="1">IF(AH$11&lt;&gt;"",INDIRECT(ADDRESS($A43,$B43,,,AH$11)),0)*(1+Sensitivity!$N$7)</f>
        <v>0</v>
      </c>
      <c r="AI43" s="1114">
        <f ca="1">IF(AI$11&lt;&gt;"",INDIRECT(ADDRESS($A43,$B43,,,AI$11)),0)*(1+Sensitivity!$N$7)</f>
        <v>0</v>
      </c>
      <c r="AJ43" s="1114">
        <f ca="1">IF(AJ$11&lt;&gt;"",INDIRECT(ADDRESS($A43,$B43,,,AJ$11)),0)*(1+Sensitivity!$N$7)</f>
        <v>0</v>
      </c>
      <c r="AK43" s="1114">
        <f ca="1">IF(AK$11&lt;&gt;"",INDIRECT(ADDRESS($A43,$B43,,,AK$11)),0)*(1+Sensitivity!$N$7)</f>
        <v>0</v>
      </c>
      <c r="AL43" s="1114">
        <f ca="1">IF(AL$11&lt;&gt;"",INDIRECT(ADDRESS($A43,$B43,,,AL$11)),0)*(1+Sensitivity!$N$7)</f>
        <v>0</v>
      </c>
    </row>
    <row r="44" spans="1:38" s="742" customFormat="1" ht="12.75" outlineLevel="1">
      <c r="A44" s="1128">
        <f>ROW(Diesel!$A$94)</f>
        <v>94</v>
      </c>
      <c r="B44" s="1128">
        <f>COLUMN(Diesel!$D$1)+chosenYear-1</f>
        <v>4</v>
      </c>
      <c r="D44" s="1112" t="s">
        <v>44</v>
      </c>
      <c r="E44" s="1113" t="s">
        <v>902</v>
      </c>
      <c r="F44" s="1114">
        <f ca="1">IF(F$11&lt;&gt;"",INDIRECT(ADDRESS($A44,$B44,,,F$11)),0)*(1+Sensitivity!$N$7)</f>
        <v>0</v>
      </c>
      <c r="G44" s="1114">
        <f ca="1">IF(G$11&lt;&gt;"",INDIRECT(ADDRESS($A44,$B44,,,G$11)),0)*(1+Sensitivity!$N$7)</f>
        <v>0</v>
      </c>
      <c r="H44" s="1114">
        <f ca="1">IF(H$11&lt;&gt;"",INDIRECT(ADDRESS($A44,$B44,,,H$11)),0)*(1+Sensitivity!$N$7)</f>
        <v>0</v>
      </c>
      <c r="I44" s="1114">
        <f ca="1">IF(I$11&lt;&gt;"",INDIRECT(ADDRESS($A44,$B44,,,I$11)),0)*(1+Sensitivity!$N$7)</f>
        <v>0</v>
      </c>
      <c r="J44" s="1114">
        <f ca="1">IF(J$11&lt;&gt;"",INDIRECT(ADDRESS($A44,$B44,,,J$11)),0)*(1+Sensitivity!$N$7)</f>
        <v>0</v>
      </c>
      <c r="K44" s="1114">
        <f ca="1">IF(K$11&lt;&gt;"",INDIRECT(ADDRESS($A44,$B44,,,K$11)),0)*(1+Sensitivity!$N$7)</f>
        <v>0</v>
      </c>
      <c r="L44" s="1114">
        <f ca="1">IF(L$11&lt;&gt;"",INDIRECT(ADDRESS($A44,$B44,,,L$11)),0)*(1+Sensitivity!$N$7)</f>
        <v>16.256994809380323</v>
      </c>
      <c r="M44" s="1114">
        <f ca="1">IF(M$11&lt;&gt;"",INDIRECT(ADDRESS($A44,$B44,,,M$11)),0)*(1+Sensitivity!$N$7)</f>
        <v>42.030279263275965</v>
      </c>
      <c r="N44" s="1114">
        <f ca="1">IF(N$11&lt;&gt;"",INDIRECT(ADDRESS($A44,$B44,,,N$11)),0)*(1+Sensitivity!$N$7)</f>
        <v>27.835147210207293</v>
      </c>
      <c r="O44" s="1114">
        <f ca="1">IF(O$11&lt;&gt;"",INDIRECT(ADDRESS($A44,$B44,,,O$11)),0)*(1+Sensitivity!$N$7)</f>
        <v>0</v>
      </c>
      <c r="P44" s="1114">
        <f ca="1">IF(P$11&lt;&gt;"",INDIRECT(ADDRESS($A44,$B44,,,P$11)),0)*(1+Sensitivity!$N$7)</f>
        <v>89.532425072148243</v>
      </c>
      <c r="Q44" s="1114">
        <f ca="1">IF(Q$11&lt;&gt;"",INDIRECT(ADDRESS($A44,$B44,,,Q$11)),0)*(1+Sensitivity!$N$7)</f>
        <v>34.655154788776599</v>
      </c>
      <c r="R44" s="1114">
        <f ca="1">IF(R$11&lt;&gt;"",INDIRECT(ADDRESS($A44,$B44,,,R$11)),0)*(1+Sensitivity!$N$7)</f>
        <v>43.749375528511429</v>
      </c>
      <c r="S44" s="1114">
        <f ca="1">IF(S$11&lt;&gt;"",INDIRECT(ADDRESS($A44,$B44,,,S$11)),0)*(1+Sensitivity!$N$7)</f>
        <v>0</v>
      </c>
      <c r="T44" s="1114">
        <f ca="1">IF(T$11&lt;&gt;"",INDIRECT(ADDRESS($A44,$B44,,,T$11)),0)*(1+Sensitivity!$N$7)</f>
        <v>0</v>
      </c>
      <c r="U44" s="1114">
        <f ca="1">IF(U$11&lt;&gt;"",INDIRECT(ADDRESS($A44,$B44,,,U$11)),0)*(1+Sensitivity!$N$7)</f>
        <v>0</v>
      </c>
      <c r="V44" s="1114">
        <f ca="1">IF(V$11&lt;&gt;"",INDIRECT(ADDRESS($A44,$B44,,,V$11)),0)*(1+Sensitivity!$N$7)</f>
        <v>0</v>
      </c>
      <c r="W44" s="1114">
        <f ca="1">IF(W$11&lt;&gt;"",INDIRECT(ADDRESS($A44,$B44,,,W$11)),0)*(1+Sensitivity!$N$7)</f>
        <v>140.20666742919232</v>
      </c>
      <c r="X44" s="1114">
        <f ca="1">IF(X$11&lt;&gt;"",INDIRECT(ADDRESS($A44,$B44,,,X$11)),0)*(1+Sensitivity!$N$7)</f>
        <v>3.6479110303975362</v>
      </c>
      <c r="Y44" s="1114">
        <f ca="1">IF(Y$11&lt;&gt;"",INDIRECT(ADDRESS($A44,$B44,,,Y$11)),0)*(1+Sensitivity!$N$7)</f>
        <v>73.751244744993684</v>
      </c>
      <c r="Z44" s="1114">
        <f ca="1">IF(Z$11&lt;&gt;"",INDIRECT(ADDRESS($A44,$B44,,,Z$11)),0)*(1+Sensitivity!$N$7)</f>
        <v>0</v>
      </c>
      <c r="AA44" s="1114">
        <f ca="1">IF(AA$11&lt;&gt;"",INDIRECT(ADDRESS($A44,$B44,,,AA$11)),0)*(1+Sensitivity!$N$7)</f>
        <v>0</v>
      </c>
      <c r="AB44" s="1114">
        <f ca="1">IF(AB$11&lt;&gt;"",INDIRECT(ADDRESS($A44,$B44,,,AB$11)),0)*(1+Sensitivity!$N$7)</f>
        <v>0</v>
      </c>
      <c r="AC44" s="1114">
        <f ca="1">IF(AC$11&lt;&gt;"",INDIRECT(ADDRESS($A44,$B44,,,AC$11)),0)*(1+Sensitivity!$N$7)</f>
        <v>0</v>
      </c>
      <c r="AD44" s="1114">
        <f ca="1">IF(AD$11&lt;&gt;"",INDIRECT(ADDRESS($A44,$B44,,,AD$11)),0)*(1+Sensitivity!$N$7)</f>
        <v>0</v>
      </c>
      <c r="AE44" s="1114">
        <f ca="1">IF(AE$11&lt;&gt;"",INDIRECT(ADDRESS($A44,$B44,,,AE$11)),0)*(1+Sensitivity!$N$7)</f>
        <v>0</v>
      </c>
      <c r="AF44" s="1114">
        <f ca="1">IF(AF$11&lt;&gt;"",INDIRECT(ADDRESS($A44,$B44,,,AF$11)),0)*(1+Sensitivity!$N$7)</f>
        <v>0</v>
      </c>
      <c r="AG44" s="1114">
        <f ca="1">IF(AG$11&lt;&gt;"",INDIRECT(ADDRESS($A44,$B44,,,AG$11)),0)*(1+Sensitivity!$N$7)</f>
        <v>0</v>
      </c>
      <c r="AH44" s="1114">
        <f ca="1">IF(AH$11&lt;&gt;"",INDIRECT(ADDRESS($A44,$B44,,,AH$11)),0)*(1+Sensitivity!$N$7)</f>
        <v>0</v>
      </c>
      <c r="AI44" s="1114">
        <f ca="1">IF(AI$11&lt;&gt;"",INDIRECT(ADDRESS($A44,$B44,,,AI$11)),0)*(1+Sensitivity!$N$7)</f>
        <v>0</v>
      </c>
      <c r="AJ44" s="1114">
        <f ca="1">IF(AJ$11&lt;&gt;"",INDIRECT(ADDRESS($A44,$B44,,,AJ$11)),0)*(1+Sensitivity!$N$7)</f>
        <v>0</v>
      </c>
      <c r="AK44" s="1114">
        <f ca="1">IF(AK$11&lt;&gt;"",INDIRECT(ADDRESS($A44,$B44,,,AK$11)),0)*(1+Sensitivity!$N$7)</f>
        <v>0</v>
      </c>
      <c r="AL44" s="1114">
        <f ca="1">IF(AL$11&lt;&gt;"",INDIRECT(ADDRESS($A44,$B44,,,AL$11)),0)*(1+Sensitivity!$N$7)</f>
        <v>0</v>
      </c>
    </row>
    <row r="45" spans="1:38" s="742" customFormat="1" ht="12.75" outlineLevel="1">
      <c r="A45" s="1128">
        <f>ROW(Diesel!$A$97)</f>
        <v>97</v>
      </c>
      <c r="B45" s="1128">
        <f>COLUMN(Diesel!$D$1)+chosenYear-1</f>
        <v>4</v>
      </c>
      <c r="D45" s="1112" t="s">
        <v>41</v>
      </c>
      <c r="E45" s="1113" t="s">
        <v>902</v>
      </c>
      <c r="F45" s="1114">
        <f ca="1">IF(F$11&lt;&gt;"",INDIRECT(ADDRESS($A45,$B45,,,F$11)),0)</f>
        <v>-127.20102701339356</v>
      </c>
      <c r="G45" s="1114">
        <f t="shared" ref="G45:AL45" ca="1" si="14">IF(G$11&lt;&gt;"",INDIRECT(ADDRESS($A45,$B45,,,G$11)),0)</f>
        <v>-215.86075962369372</v>
      </c>
      <c r="H45" s="1114">
        <f t="shared" ca="1" si="14"/>
        <v>-12366.804116374913</v>
      </c>
      <c r="I45" s="1114">
        <f t="shared" ca="1" si="14"/>
        <v>-632.8534121399781</v>
      </c>
      <c r="J45" s="1114">
        <f t="shared" ca="1" si="14"/>
        <v>0</v>
      </c>
      <c r="K45" s="1114">
        <f t="shared" ca="1" si="14"/>
        <v>0</v>
      </c>
      <c r="L45" s="1114">
        <f t="shared" ca="1" si="14"/>
        <v>-63.584908701344531</v>
      </c>
      <c r="M45" s="1114">
        <f t="shared" ca="1" si="14"/>
        <v>-30.523234619315691</v>
      </c>
      <c r="N45" s="1114">
        <f ca="1">IF(N$11&lt;&gt;"",INDIRECT(ADDRESS($A45,$B45,,,N$11)),0)</f>
        <v>-31.81281056763569</v>
      </c>
      <c r="O45" s="1114">
        <f t="shared" ca="1" si="14"/>
        <v>0</v>
      </c>
      <c r="P45" s="1114">
        <f t="shared" ca="1" si="14"/>
        <v>-89.442758978830199</v>
      </c>
      <c r="Q45" s="1114">
        <f t="shared" ca="1" si="14"/>
        <v>-31.610181200962845</v>
      </c>
      <c r="R45" s="1114">
        <f t="shared" ca="1" si="14"/>
        <v>0</v>
      </c>
      <c r="S45" s="1114">
        <f t="shared" ca="1" si="14"/>
        <v>0</v>
      </c>
      <c r="T45" s="1114">
        <f t="shared" ca="1" si="14"/>
        <v>0</v>
      </c>
      <c r="U45" s="1114">
        <f t="shared" ca="1" si="14"/>
        <v>0</v>
      </c>
      <c r="V45" s="1114">
        <f t="shared" ca="1" si="14"/>
        <v>0</v>
      </c>
      <c r="W45" s="1114">
        <f t="shared" ca="1" si="14"/>
        <v>-226.22763656960231</v>
      </c>
      <c r="X45" s="1114">
        <f t="shared" ca="1" si="14"/>
        <v>-79.764153634348801</v>
      </c>
      <c r="Y45" s="1114">
        <f t="shared" ca="1" si="14"/>
        <v>-38.394175147746907</v>
      </c>
      <c r="Z45" s="1114">
        <f t="shared" ca="1" si="14"/>
        <v>0</v>
      </c>
      <c r="AA45" s="1114">
        <f t="shared" ca="1" si="14"/>
        <v>0</v>
      </c>
      <c r="AB45" s="1114">
        <f t="shared" ca="1" si="14"/>
        <v>0</v>
      </c>
      <c r="AC45" s="1114">
        <f t="shared" ca="1" si="14"/>
        <v>0</v>
      </c>
      <c r="AD45" s="1114">
        <f t="shared" ca="1" si="14"/>
        <v>0</v>
      </c>
      <c r="AE45" s="1114">
        <f t="shared" ca="1" si="14"/>
        <v>0</v>
      </c>
      <c r="AF45" s="1114">
        <f t="shared" ca="1" si="14"/>
        <v>0</v>
      </c>
      <c r="AG45" s="1114">
        <f t="shared" ca="1" si="14"/>
        <v>0</v>
      </c>
      <c r="AH45" s="1114">
        <f t="shared" ca="1" si="14"/>
        <v>0</v>
      </c>
      <c r="AI45" s="1114">
        <f t="shared" ca="1" si="14"/>
        <v>0</v>
      </c>
      <c r="AJ45" s="1114">
        <f t="shared" ca="1" si="14"/>
        <v>0</v>
      </c>
      <c r="AK45" s="1114">
        <f t="shared" ca="1" si="14"/>
        <v>0</v>
      </c>
      <c r="AL45" s="1114">
        <f t="shared" ca="1" si="14"/>
        <v>0</v>
      </c>
    </row>
    <row r="46" spans="1:38" s="742" customFormat="1" ht="12.75" outlineLevel="1">
      <c r="A46" s="1128">
        <f>ROW(Diesel!$A$93)</f>
        <v>93</v>
      </c>
      <c r="B46" s="1128">
        <f>COLUMN(Diesel!$D$1)+chosenYear-1</f>
        <v>4</v>
      </c>
      <c r="D46" s="1115" t="s">
        <v>43</v>
      </c>
      <c r="E46" s="1116" t="s">
        <v>902</v>
      </c>
      <c r="F46" s="1117">
        <f ca="1">IF(F$11&lt;&gt;"",INDIRECT(ADDRESS($A46,$B46,,,F$11)),0)*(1+Sensitivity!$O$7)</f>
        <v>20.63894328797042</v>
      </c>
      <c r="G46" s="1117">
        <f ca="1">IF(G$11&lt;&gt;"",INDIRECT(ADDRESS($A46,$B46,,,G$11)),0)*(1+Sensitivity!$O$7)</f>
        <v>28.062583223112625</v>
      </c>
      <c r="H46" s="1117">
        <f ca="1">IF(H$11&lt;&gt;"",INDIRECT(ADDRESS($A46,$B46,,,H$11)),0)*(1+Sensitivity!$O$7)</f>
        <v>1031.6479417603896</v>
      </c>
      <c r="I46" s="1117">
        <f ca="1">IF(I$11&lt;&gt;"",INDIRECT(ADDRESS($A46,$B46,,,I$11)),0)*(1+Sensitivity!$O$7)</f>
        <v>60.259290945550219</v>
      </c>
      <c r="J46" s="1117">
        <f ca="1">IF(J$11&lt;&gt;"",INDIRECT(ADDRESS($A46,$B46,,,J$11)),0)*(1+Sensitivity!$O$7)</f>
        <v>0</v>
      </c>
      <c r="K46" s="1117">
        <f ca="1">IF(K$11&lt;&gt;"",INDIRECT(ADDRESS($A46,$B46,,,K$11)),0)*(1+Sensitivity!$O$7)</f>
        <v>0</v>
      </c>
      <c r="L46" s="1117">
        <f ca="1">IF(L$11&lt;&gt;"",INDIRECT(ADDRESS($A46,$B46,,,L$11)),0)*(1+Sensitivity!$O$7)</f>
        <v>11.835981373744342</v>
      </c>
      <c r="M46" s="1117">
        <f ca="1">IF(M$11&lt;&gt;"",INDIRECT(ADDRESS($A46,$B46,,,M$11)),0)*(1+Sensitivity!$O$7)</f>
        <v>43.90767283808384</v>
      </c>
      <c r="N46" s="1117">
        <f ca="1">IF(N$11&lt;&gt;"",INDIRECT(ADDRESS($A46,$B46,,,N$11)),0)*(1+Sensitivity!$O$7)</f>
        <v>22.335642269807867</v>
      </c>
      <c r="O46" s="1117">
        <f ca="1">IF(O$11&lt;&gt;"",INDIRECT(ADDRESS($A46,$B46,,,O$11)),0)*(1+Sensitivity!$O$7)</f>
        <v>0</v>
      </c>
      <c r="P46" s="1117">
        <f ca="1">IF(P$11&lt;&gt;"",INDIRECT(ADDRESS($A46,$B46,,,P$11)),0)*(1+Sensitivity!$O$7)</f>
        <v>71.843134252458924</v>
      </c>
      <c r="Q46" s="1117">
        <f ca="1">IF(Q$11&lt;&gt;"",INDIRECT(ADDRESS($A46,$B46,,,Q$11)),0)*(1+Sensitivity!$O$7)</f>
        <v>27.808192797453103</v>
      </c>
      <c r="R46" s="1117">
        <f ca="1">IF(R$11&lt;&gt;"",INDIRECT(ADDRESS($A46,$B46,,,R$11)),0)*(1+Sensitivity!$O$7)</f>
        <v>57.76706197476723</v>
      </c>
      <c r="S46" s="1117">
        <f ca="1">IF(S$11&lt;&gt;"",INDIRECT(ADDRESS($A46,$B46,,,S$11)),0)*(1+Sensitivity!$O$7)</f>
        <v>0</v>
      </c>
      <c r="T46" s="1117">
        <f ca="1">IF(T$11&lt;&gt;"",INDIRECT(ADDRESS($A46,$B46,,,T$11)),0)*(1+Sensitivity!$O$7)</f>
        <v>0</v>
      </c>
      <c r="U46" s="1117">
        <f ca="1">IF(U$11&lt;&gt;"",INDIRECT(ADDRESS($A46,$B46,,,U$11)),0)*(1+Sensitivity!$O$7)</f>
        <v>0</v>
      </c>
      <c r="V46" s="1117">
        <f ca="1">IF(V$11&lt;&gt;"",INDIRECT(ADDRESS($A46,$B46,,,V$11)),0)*(1+Sensitivity!$O$7)</f>
        <v>0</v>
      </c>
      <c r="W46" s="1117">
        <f ca="1">IF(W$11&lt;&gt;"",INDIRECT(ADDRESS($A46,$B46,,,W$11)),0)*(1+Sensitivity!$O$7)</f>
        <v>112.50545735903222</v>
      </c>
      <c r="X46" s="1117">
        <f ca="1">IF(X$11&lt;&gt;"",INDIRECT(ADDRESS($A46,$B46,,,X$11)),0)*(1+Sensitivity!$O$7)</f>
        <v>2.9271781892055895</v>
      </c>
      <c r="Y46" s="1117">
        <f ca="1">IF(Y$11&lt;&gt;"",INDIRECT(ADDRESS($A46,$B46,,,Y$11)),0)*(1+Sensitivity!$O$7)</f>
        <v>15.272234030637858</v>
      </c>
      <c r="Z46" s="1117">
        <f ca="1">IF(Z$11&lt;&gt;"",INDIRECT(ADDRESS($A46,$B46,,,Z$11)),0)*(1+Sensitivity!$O$7)</f>
        <v>0</v>
      </c>
      <c r="AA46" s="1117">
        <f ca="1">IF(AA$11&lt;&gt;"",INDIRECT(ADDRESS($A46,$B46,,,AA$11)),0)*(1+Sensitivity!$O$7)</f>
        <v>0</v>
      </c>
      <c r="AB46" s="1117">
        <f ca="1">IF(AB$11&lt;&gt;"",INDIRECT(ADDRESS($A46,$B46,,,AB$11)),0)*(1+Sensitivity!$O$7)</f>
        <v>0</v>
      </c>
      <c r="AC46" s="1117">
        <f ca="1">IF(AC$11&lt;&gt;"",INDIRECT(ADDRESS($A46,$B46,,,AC$11)),0)*(1+Sensitivity!$O$7)</f>
        <v>0</v>
      </c>
      <c r="AD46" s="1117">
        <f ca="1">IF(AD$11&lt;&gt;"",INDIRECT(ADDRESS($A46,$B46,,,AD$11)),0)*(1+Sensitivity!$O$7)</f>
        <v>0</v>
      </c>
      <c r="AE46" s="1117">
        <f ca="1">IF(AE$11&lt;&gt;"",INDIRECT(ADDRESS($A46,$B46,,,AE$11)),0)*(1+Sensitivity!$O$7)</f>
        <v>0</v>
      </c>
      <c r="AF46" s="1117">
        <f ca="1">IF(AF$11&lt;&gt;"",INDIRECT(ADDRESS($A46,$B46,,,AF$11)),0)*(1+Sensitivity!$O$7)</f>
        <v>0</v>
      </c>
      <c r="AG46" s="1117">
        <f ca="1">IF(AG$11&lt;&gt;"",INDIRECT(ADDRESS($A46,$B46,,,AG$11)),0)*(1+Sensitivity!$O$7)</f>
        <v>0</v>
      </c>
      <c r="AH46" s="1117">
        <f ca="1">IF(AH$11&lt;&gt;"",INDIRECT(ADDRESS($A46,$B46,,,AH$11)),0)*(1+Sensitivity!$O$7)</f>
        <v>0</v>
      </c>
      <c r="AI46" s="1117">
        <f ca="1">IF(AI$11&lt;&gt;"",INDIRECT(ADDRESS($A46,$B46,,,AI$11)),0)*(1+Sensitivity!$O$7)</f>
        <v>0</v>
      </c>
      <c r="AJ46" s="1117">
        <f ca="1">IF(AJ$11&lt;&gt;"",INDIRECT(ADDRESS($A46,$B46,,,AJ$11)),0)*(1+Sensitivity!$O$7)</f>
        <v>0</v>
      </c>
      <c r="AK46" s="1117">
        <f ca="1">IF(AK$11&lt;&gt;"",INDIRECT(ADDRESS($A46,$B46,,,AK$11)),0)*(1+Sensitivity!$O$7)</f>
        <v>0</v>
      </c>
      <c r="AL46" s="1117">
        <f ca="1">IF(AL$11&lt;&gt;"",INDIRECT(ADDRESS($A46,$B46,,,AL$11)),0)*(1+Sensitivity!$O$7)</f>
        <v>0</v>
      </c>
    </row>
    <row r="47" spans="1:38" s="742" customFormat="1" ht="12.75" outlineLevel="1">
      <c r="A47" s="1128"/>
      <c r="B47" s="1128">
        <f>COLUMN(Feedstocks!$F$8)-1</f>
        <v>5</v>
      </c>
      <c r="D47" s="1112" t="s">
        <v>914</v>
      </c>
      <c r="E47" s="1113" t="s">
        <v>915</v>
      </c>
      <c r="F47" s="1631">
        <f ca="1">IF(F8&lt;&gt;"",VLOOKUP(F$8,Feedstocks!$B$10:$Q$23,$B$47,0),0)</f>
        <v>107.82999339926188</v>
      </c>
      <c r="G47" s="1631">
        <f ca="1">IF(G8&lt;&gt;"",VLOOKUP(G$8,Feedstocks!$B$10:$Q$23,$B$47,0),0)</f>
        <v>107.82999339926188</v>
      </c>
      <c r="H47" s="1631">
        <f ca="1">IF(H8&lt;&gt;"",VLOOKUP(H$8,Feedstocks!$B$10:$Q$23,$B$47,0),0)</f>
        <v>107.82999339926188</v>
      </c>
      <c r="I47" s="1631">
        <f ca="1">IF(I8&lt;&gt;"",VLOOKUP(I$8,Feedstocks!$B$10:$Q$23,$B$47,0),0)</f>
        <v>107.82999339926188</v>
      </c>
      <c r="J47" s="1631">
        <f>IF(J8&lt;&gt;"",VLOOKUP(J$8,Feedstocks!$B$10:$Q$23,$B$47,0),0)</f>
        <v>56.4</v>
      </c>
      <c r="K47" s="1631">
        <f>IF(K8&lt;&gt;"",VLOOKUP(K$8,Feedstocks!$B$10:$Q$23,$B$47,0),0)</f>
        <v>56.4</v>
      </c>
      <c r="L47" s="1631">
        <f ca="1">IF(L8&lt;&gt;"",VLOOKUP(L$8,Feedstocks!$B$10:$Q$23,$B$47,0),0)</f>
        <v>87.241828280407844</v>
      </c>
      <c r="M47" s="1631">
        <f>IF(M8&lt;&gt;"",VLOOKUP(M$8,Feedstocks!$B$10:$Q$23,$B$47,0),0)</f>
        <v>40.902743399463397</v>
      </c>
      <c r="N47" s="1631">
        <f>IF(N8&lt;&gt;"",VLOOKUP(N$8,Feedstocks!$B$10:$Q$23,$B$47,0),0)</f>
        <v>48.120874587603993</v>
      </c>
      <c r="O47" s="1631">
        <f ca="1">IF(O8&lt;&gt;"",VLOOKUP(O$8,Feedstocks!$B$10:$Q$23,$B$47,0),0)</f>
        <v>98.750902660004783</v>
      </c>
      <c r="P47" s="1631">
        <f>IF(P8&lt;&gt;"",VLOOKUP(P$8,Feedstocks!$B$10:$Q$23,$B$47,0),0)</f>
        <v>40.902743399463397</v>
      </c>
      <c r="Q47" s="1631">
        <f>IF(Q8&lt;&gt;"",VLOOKUP(Q$8,Feedstocks!$B$10:$Q$23,$B$47,0),0)</f>
        <v>48.120874587603993</v>
      </c>
      <c r="R47" s="1631">
        <f>IF(R8&lt;&gt;"",VLOOKUP(R$8,Feedstocks!$B$10:$Q$23,$B$47,0),0)</f>
        <v>44.312812303092279</v>
      </c>
      <c r="S47" s="1631">
        <f ca="1">IF(S8&lt;&gt;"",VLOOKUP(S$8,Feedstocks!$B$10:$Q$23,$B$47,0),0)</f>
        <v>98.750902660004783</v>
      </c>
      <c r="T47" s="1631">
        <f ca="1">IF(T8&lt;&gt;"",VLOOKUP(T$8,Feedstocks!$B$10:$Q$23,$B$47,0),0)</f>
        <v>98.750902660004783</v>
      </c>
      <c r="U47" s="1631">
        <f ca="1">IF(U8&lt;&gt;"",VLOOKUP(U$8,Feedstocks!$B$10:$Q$23,$B$47,0),0)</f>
        <v>98.750902660004783</v>
      </c>
      <c r="V47" s="1631">
        <f ca="1">IF(V8&lt;&gt;"",VLOOKUP(V$8,Feedstocks!$B$10:$Q$23,$B$47,0),0)</f>
        <v>98.750902660004783</v>
      </c>
      <c r="W47" s="1631">
        <f>IF(W8&lt;&gt;"",VLOOKUP(W$8,Feedstocks!$B$10:$Q$23,$B$47,0),0)</f>
        <v>40.902743399463397</v>
      </c>
      <c r="X47" s="1631">
        <f>IF(X8&lt;&gt;"",VLOOKUP(X$8,Feedstocks!$B$10:$Q$23,$B$47,0),0)</f>
        <v>100.68148148148148</v>
      </c>
      <c r="Y47" s="1631">
        <f ca="1">IF(Y8&lt;&gt;"",VLOOKUP(Y$8,Feedstocks!$B$10:$Q$23,$B$47,0),0)</f>
        <v>10.560966948186536</v>
      </c>
      <c r="Z47" s="1631">
        <f>IF(Z8&lt;&gt;"",VLOOKUP(Z$8,Feedstocks!$B$10:$Q$23,$B$47,0),0)</f>
        <v>0</v>
      </c>
      <c r="AA47" s="1631">
        <f>IF(AA8&lt;&gt;"",VLOOKUP(AA$8,Feedstocks!$B$10:$Q$23,$B$47,0),0)</f>
        <v>0</v>
      </c>
      <c r="AB47" s="1631">
        <f>IF(AB8&lt;&gt;"",VLOOKUP(AB$8,Feedstocks!$B$10:$Q$23,$B$47,0),0)</f>
        <v>0</v>
      </c>
      <c r="AC47" s="1631">
        <f>IF(AC8&lt;&gt;"",VLOOKUP(AC$8,Feedstocks!$B$10:$Q$23,$B$47,0),0)</f>
        <v>28.441450277315031</v>
      </c>
      <c r="AD47" s="1631">
        <f>IF(AD8&lt;&gt;"",VLOOKUP(AD$8,Feedstocks!$B$10:$Q$23,$B$47,0),0)</f>
        <v>65.475944111002164</v>
      </c>
      <c r="AE47" s="1631">
        <f>IF(AE8&lt;&gt;"",VLOOKUP(AE$8,Feedstocks!$B$10:$Q$23,$B$47,0),0)</f>
        <v>40.902743399463397</v>
      </c>
      <c r="AF47" s="1631">
        <f>IF(AF8&lt;&gt;"",VLOOKUP(AF$8,Feedstocks!$B$10:$Q$23,$B$47,0),0)</f>
        <v>0</v>
      </c>
      <c r="AG47" s="1631">
        <f>IF(AG8&lt;&gt;"",VLOOKUP(AG$8,Feedstocks!$B$10:$Q$23,$B$47,0),0)</f>
        <v>0</v>
      </c>
      <c r="AH47" s="1631">
        <f>IF(AH8&lt;&gt;"",VLOOKUP(AH$8,Feedstocks!$B$10:$Q$23,$B$47,0),0)</f>
        <v>0</v>
      </c>
      <c r="AI47" s="1631">
        <f>IF(AI8&lt;&gt;"",VLOOKUP(AI$8,Feedstocks!$B$10:$Q$23,$B$47,0),0)</f>
        <v>0</v>
      </c>
      <c r="AJ47" s="1631">
        <f>IF(AJ8&lt;&gt;"",VLOOKUP(AJ$8,Feedstocks!$B$10:$Q$23,$B$47,0),0)</f>
        <v>0</v>
      </c>
      <c r="AK47" s="1631">
        <f>IF(AK8&lt;&gt;"",VLOOKUP(AK$8,Feedstocks!$B$10:$Q$23,$B$47,0),0)</f>
        <v>0</v>
      </c>
      <c r="AL47" s="1631">
        <f>IF(AL8&lt;&gt;"",VLOOKUP(AL$8,Feedstocks!$B$10:$Q$23,$B$47,0),0)</f>
        <v>48.120874587603993</v>
      </c>
    </row>
    <row r="48" spans="1:38" s="742" customFormat="1" ht="12.75" outlineLevel="1">
      <c r="A48" s="1128"/>
      <c r="B48" s="1128"/>
      <c r="D48" s="1115" t="s">
        <v>916</v>
      </c>
      <c r="E48" s="1116" t="s">
        <v>917</v>
      </c>
      <c r="F48" s="1632">
        <f ca="1">F79</f>
        <v>0.47005025238867859</v>
      </c>
      <c r="G48" s="1632">
        <f t="shared" ref="G48:AL48" ca="1" si="15">G79</f>
        <v>0.34570375878853432</v>
      </c>
      <c r="H48" s="1632">
        <f t="shared" ca="1" si="15"/>
        <v>9.4037317468902096E-3</v>
      </c>
      <c r="I48" s="1632">
        <f t="shared" ca="1" si="15"/>
        <v>0.16099327339102218</v>
      </c>
      <c r="J48" s="1632">
        <f t="shared" ca="1" si="15"/>
        <v>1</v>
      </c>
      <c r="K48" s="1632">
        <f ca="1">K79</f>
        <v>1</v>
      </c>
      <c r="L48" s="1632">
        <f t="shared" ca="1" si="15"/>
        <v>0.57471264367816088</v>
      </c>
      <c r="M48" s="1632">
        <f t="shared" ca="1" si="15"/>
        <v>0.41666666666666669</v>
      </c>
      <c r="N48" s="1632">
        <f t="shared" ca="1" si="15"/>
        <v>0.52631578947368418</v>
      </c>
      <c r="O48" s="1632">
        <f t="shared" ca="1" si="15"/>
        <v>0.94474816369359926</v>
      </c>
      <c r="P48" s="1632">
        <f t="shared" ca="1" si="15"/>
        <v>0.4</v>
      </c>
      <c r="Q48" s="1632">
        <f t="shared" ca="1" si="15"/>
        <v>0.52631578947368418</v>
      </c>
      <c r="R48" s="1632">
        <f t="shared" ca="1" si="15"/>
        <v>1.1083658306896249</v>
      </c>
      <c r="S48" s="1632">
        <f t="shared" ca="1" si="15"/>
        <v>0.94474816369359926</v>
      </c>
      <c r="T48" s="1632">
        <f t="shared" ca="1" si="15"/>
        <v>0.94474816369359926</v>
      </c>
      <c r="U48" s="1632">
        <f t="shared" ca="1" si="15"/>
        <v>0.94474816369359926</v>
      </c>
      <c r="V48" s="1632">
        <f t="shared" ca="1" si="15"/>
        <v>0.94474816369359926</v>
      </c>
      <c r="W48" s="1632">
        <f t="shared" ca="1" si="15"/>
        <v>0.23809523809523805</v>
      </c>
      <c r="X48" s="1632">
        <f t="shared" ca="1" si="15"/>
        <v>0.64516129032258063</v>
      </c>
      <c r="Y48" s="1632">
        <f t="shared" ca="1" si="15"/>
        <v>0.55555555555555558</v>
      </c>
      <c r="Z48" s="1632">
        <f t="shared" ca="1" si="15"/>
        <v>1</v>
      </c>
      <c r="AA48" s="1632">
        <f t="shared" ca="1" si="15"/>
        <v>1</v>
      </c>
      <c r="AB48" s="1632">
        <f t="shared" ca="1" si="15"/>
        <v>1</v>
      </c>
      <c r="AC48" s="1632">
        <f t="shared" ca="1" si="15"/>
        <v>1</v>
      </c>
      <c r="AD48" s="1632">
        <f t="shared" ca="1" si="15"/>
        <v>1</v>
      </c>
      <c r="AE48" s="1632">
        <f t="shared" ca="1" si="15"/>
        <v>1</v>
      </c>
      <c r="AF48" s="1632">
        <f t="shared" ca="1" si="15"/>
        <v>1</v>
      </c>
      <c r="AG48" s="1632">
        <f t="shared" ca="1" si="15"/>
        <v>1</v>
      </c>
      <c r="AH48" s="1632">
        <f t="shared" ca="1" si="15"/>
        <v>1</v>
      </c>
      <c r="AI48" s="1632">
        <f t="shared" ca="1" si="15"/>
        <v>1</v>
      </c>
      <c r="AJ48" s="1632">
        <f t="shared" ca="1" si="15"/>
        <v>1</v>
      </c>
      <c r="AK48" s="1632">
        <f t="shared" ca="1" si="15"/>
        <v>1</v>
      </c>
      <c r="AL48" s="1632">
        <f t="shared" ca="1" si="15"/>
        <v>1</v>
      </c>
    </row>
    <row r="49" spans="1:38" s="1121" customFormat="1" ht="12.75" outlineLevel="1">
      <c r="A49" s="1126"/>
      <c r="B49" s="1126"/>
    </row>
    <row r="50" spans="1:38" s="1121" customFormat="1" ht="12.75" outlineLevel="1">
      <c r="A50" s="1126"/>
      <c r="B50" s="1126"/>
      <c r="D50" s="1122" t="s">
        <v>907</v>
      </c>
      <c r="E50" s="1123"/>
      <c r="F50" s="508"/>
      <c r="G50" s="508"/>
      <c r="H50" s="508"/>
      <c r="I50" s="508"/>
      <c r="J50" s="508"/>
      <c r="K50" s="508"/>
      <c r="L50" s="508"/>
      <c r="M50" s="508"/>
      <c r="N50" s="508"/>
      <c r="O50" s="508"/>
      <c r="P50" s="508"/>
      <c r="Q50" s="508"/>
      <c r="R50" s="508"/>
      <c r="S50" s="508"/>
      <c r="T50" s="508"/>
      <c r="U50" s="508"/>
      <c r="V50" s="508"/>
      <c r="W50" s="508"/>
      <c r="X50" s="508"/>
      <c r="Y50" s="508"/>
      <c r="Z50" s="508"/>
      <c r="AA50" s="508"/>
      <c r="AB50" s="508"/>
      <c r="AC50" s="508"/>
      <c r="AD50" s="508"/>
      <c r="AE50" s="508"/>
      <c r="AF50" s="508"/>
      <c r="AG50" s="508"/>
      <c r="AH50" s="508"/>
      <c r="AI50" s="508"/>
      <c r="AJ50" s="508"/>
      <c r="AK50" s="508"/>
      <c r="AL50" s="508"/>
    </row>
    <row r="51" spans="1:38" s="1121" customFormat="1" ht="12.75" outlineLevel="1">
      <c r="A51" s="1126"/>
      <c r="B51" s="1126"/>
      <c r="D51" s="864" t="s">
        <v>908</v>
      </c>
      <c r="E51" s="1118" t="s">
        <v>901</v>
      </c>
      <c r="F51" s="1119">
        <f t="shared" ref="F51:W51" ca="1" si="16">F101</f>
        <v>3.6002230935640888E-3</v>
      </c>
      <c r="G51" s="1119">
        <f t="shared" ca="1" si="16"/>
        <v>3.6002230935640888E-3</v>
      </c>
      <c r="H51" s="1119">
        <f t="shared" ca="1" si="16"/>
        <v>3.6002230935640888E-3</v>
      </c>
      <c r="I51" s="1119">
        <f t="shared" ca="1" si="16"/>
        <v>3.6002230935640888E-3</v>
      </c>
      <c r="J51" s="1119">
        <f t="shared" ca="1" si="16"/>
        <v>0</v>
      </c>
      <c r="K51" s="1119">
        <f ca="1">K101</f>
        <v>0</v>
      </c>
      <c r="L51" s="1119">
        <f t="shared" ca="1" si="16"/>
        <v>0</v>
      </c>
      <c r="M51" s="1119">
        <f t="shared" ca="1" si="16"/>
        <v>0</v>
      </c>
      <c r="N51" s="1119">
        <f t="shared" ca="1" si="16"/>
        <v>0</v>
      </c>
      <c r="O51" s="1119">
        <f t="shared" ca="1" si="16"/>
        <v>0</v>
      </c>
      <c r="P51" s="1119">
        <f t="shared" ca="1" si="16"/>
        <v>0</v>
      </c>
      <c r="Q51" s="1119">
        <f t="shared" ca="1" si="16"/>
        <v>0</v>
      </c>
      <c r="R51" s="1119">
        <f t="shared" ca="1" si="16"/>
        <v>8.2799999999999999E-2</v>
      </c>
      <c r="S51" s="1119">
        <f t="shared" ca="1" si="16"/>
        <v>0</v>
      </c>
      <c r="T51" s="1119">
        <f t="shared" ca="1" si="16"/>
        <v>0</v>
      </c>
      <c r="U51" s="1119">
        <f t="shared" ca="1" si="16"/>
        <v>0</v>
      </c>
      <c r="V51" s="1119">
        <f ca="1">V101</f>
        <v>0</v>
      </c>
      <c r="W51" s="1119">
        <f t="shared" ca="1" si="16"/>
        <v>0</v>
      </c>
      <c r="X51" s="1119">
        <f ca="1">X101</f>
        <v>0</v>
      </c>
      <c r="Y51" s="1119">
        <f ca="1">Y101</f>
        <v>0</v>
      </c>
      <c r="Z51" s="1119">
        <f ca="1">Z101</f>
        <v>0</v>
      </c>
      <c r="AA51" s="1119">
        <f ca="1">AA101</f>
        <v>0</v>
      </c>
      <c r="AB51" s="1119">
        <f t="shared" ref="AB51:AJ51" ca="1" si="17">AB101</f>
        <v>0</v>
      </c>
      <c r="AC51" s="1119">
        <f t="shared" ca="1" si="17"/>
        <v>0</v>
      </c>
      <c r="AD51" s="1119">
        <f t="shared" ca="1" si="17"/>
        <v>0</v>
      </c>
      <c r="AE51" s="1119">
        <f t="shared" ca="1" si="17"/>
        <v>0</v>
      </c>
      <c r="AF51" s="1119">
        <f t="shared" ca="1" si="17"/>
        <v>0</v>
      </c>
      <c r="AG51" s="1119">
        <f t="shared" ca="1" si="17"/>
        <v>0</v>
      </c>
      <c r="AH51" s="1119">
        <f t="shared" ca="1" si="17"/>
        <v>0</v>
      </c>
      <c r="AI51" s="1119">
        <f t="shared" ca="1" si="17"/>
        <v>0</v>
      </c>
      <c r="AJ51" s="1119">
        <f t="shared" ca="1" si="17"/>
        <v>0</v>
      </c>
      <c r="AK51" s="1119">
        <f ca="1">AK101</f>
        <v>0</v>
      </c>
      <c r="AL51" s="1119">
        <f ca="1">AL101</f>
        <v>0</v>
      </c>
    </row>
    <row r="52" spans="1:38" s="1121" customFormat="1" ht="12.75" outlineLevel="1">
      <c r="A52" s="1126"/>
      <c r="B52" s="1126"/>
      <c r="D52" s="1124" t="s">
        <v>952</v>
      </c>
      <c r="E52" s="1116" t="s">
        <v>905</v>
      </c>
      <c r="F52" s="1120">
        <f ca="1">F51/F48</f>
        <v>7.6592302105331286E-3</v>
      </c>
      <c r="G52" s="1120">
        <f t="shared" ref="G52:AL52" ca="1" si="18">G51/G48</f>
        <v>1.0414185562171835E-2</v>
      </c>
      <c r="H52" s="1120">
        <f t="shared" ca="1" si="18"/>
        <v>0.38285046728971966</v>
      </c>
      <c r="I52" s="1120">
        <f t="shared" ca="1" si="18"/>
        <v>2.2362568433650198E-2</v>
      </c>
      <c r="J52" s="1120">
        <f t="shared" ca="1" si="18"/>
        <v>0</v>
      </c>
      <c r="K52" s="1120">
        <f ca="1">K51/K48</f>
        <v>0</v>
      </c>
      <c r="L52" s="1120">
        <f t="shared" ca="1" si="18"/>
        <v>0</v>
      </c>
      <c r="M52" s="1120">
        <f t="shared" ca="1" si="18"/>
        <v>0</v>
      </c>
      <c r="N52" s="1120">
        <f t="shared" ca="1" si="18"/>
        <v>0</v>
      </c>
      <c r="O52" s="1120">
        <f t="shared" ca="1" si="18"/>
        <v>0</v>
      </c>
      <c r="P52" s="1120">
        <f t="shared" ca="1" si="18"/>
        <v>0</v>
      </c>
      <c r="Q52" s="1120">
        <f t="shared" ca="1" si="18"/>
        <v>0</v>
      </c>
      <c r="R52" s="1120">
        <f t="shared" ca="1" si="18"/>
        <v>7.4704576510159881E-2</v>
      </c>
      <c r="S52" s="1120">
        <f t="shared" ca="1" si="18"/>
        <v>0</v>
      </c>
      <c r="T52" s="1120">
        <f t="shared" ca="1" si="18"/>
        <v>0</v>
      </c>
      <c r="U52" s="1120">
        <f t="shared" ca="1" si="18"/>
        <v>0</v>
      </c>
      <c r="V52" s="1120">
        <f t="shared" ca="1" si="18"/>
        <v>0</v>
      </c>
      <c r="W52" s="1120">
        <f t="shared" ca="1" si="18"/>
        <v>0</v>
      </c>
      <c r="X52" s="1120">
        <f t="shared" ca="1" si="18"/>
        <v>0</v>
      </c>
      <c r="Y52" s="1120">
        <f t="shared" ca="1" si="18"/>
        <v>0</v>
      </c>
      <c r="Z52" s="1120">
        <f t="shared" ca="1" si="18"/>
        <v>0</v>
      </c>
      <c r="AA52" s="1120">
        <f t="shared" ca="1" si="18"/>
        <v>0</v>
      </c>
      <c r="AB52" s="1120">
        <f t="shared" ca="1" si="18"/>
        <v>0</v>
      </c>
      <c r="AC52" s="1120">
        <f t="shared" ca="1" si="18"/>
        <v>0</v>
      </c>
      <c r="AD52" s="1120">
        <f t="shared" ca="1" si="18"/>
        <v>0</v>
      </c>
      <c r="AE52" s="1120">
        <f t="shared" ca="1" si="18"/>
        <v>0</v>
      </c>
      <c r="AF52" s="1120">
        <f t="shared" ca="1" si="18"/>
        <v>0</v>
      </c>
      <c r="AG52" s="1120">
        <f t="shared" ca="1" si="18"/>
        <v>0</v>
      </c>
      <c r="AH52" s="1120">
        <f t="shared" ca="1" si="18"/>
        <v>0</v>
      </c>
      <c r="AI52" s="1120">
        <f t="shared" ca="1" si="18"/>
        <v>0</v>
      </c>
      <c r="AJ52" s="1120">
        <f t="shared" ca="1" si="18"/>
        <v>0</v>
      </c>
      <c r="AK52" s="1120">
        <f t="shared" ca="1" si="18"/>
        <v>0</v>
      </c>
      <c r="AL52" s="1120">
        <f t="shared" ca="1" si="18"/>
        <v>0</v>
      </c>
    </row>
    <row r="53" spans="1:38" s="489" customFormat="1" ht="12.75" outlineLevel="1">
      <c r="A53" s="1126"/>
      <c r="B53" s="1126"/>
      <c r="D53" s="773"/>
      <c r="E53" s="715"/>
      <c r="F53" s="605"/>
      <c r="G53" s="605"/>
      <c r="H53" s="605"/>
      <c r="I53" s="476"/>
      <c r="J53" s="605"/>
      <c r="K53" s="605"/>
      <c r="L53" s="476"/>
      <c r="M53" s="605"/>
      <c r="N53" s="476"/>
      <c r="O53" s="476"/>
      <c r="P53" s="605"/>
      <c r="Q53" s="476"/>
      <c r="R53" s="476"/>
      <c r="S53" s="605"/>
      <c r="T53" s="605"/>
      <c r="U53" s="605"/>
      <c r="V53" s="605"/>
      <c r="W53" s="605"/>
      <c r="X53" s="605"/>
      <c r="Y53" s="605"/>
      <c r="Z53" s="605"/>
      <c r="AA53" s="605"/>
      <c r="AB53" s="605"/>
      <c r="AC53" s="605"/>
      <c r="AD53" s="605"/>
      <c r="AE53" s="605"/>
      <c r="AF53" s="605"/>
      <c r="AG53" s="605"/>
      <c r="AH53" s="605"/>
      <c r="AI53" s="605"/>
      <c r="AJ53" s="605"/>
      <c r="AK53" s="605"/>
      <c r="AL53" s="605"/>
    </row>
    <row r="54" spans="1:38" s="489" customFormat="1" ht="12.75">
      <c r="A54" s="1126"/>
      <c r="B54" s="1126"/>
      <c r="E54" s="488"/>
    </row>
    <row r="55" spans="1:38" s="765" customFormat="1" ht="17.25">
      <c r="A55" s="765" t="s">
        <v>344</v>
      </c>
      <c r="E55" s="766"/>
    </row>
    <row r="56" spans="1:38" s="664" customFormat="1" outlineLevel="1">
      <c r="A56" s="1125"/>
      <c r="B56" s="1125"/>
      <c r="E56" s="667"/>
    </row>
    <row r="57" spans="1:38" s="664" customFormat="1" outlineLevel="1">
      <c r="A57" s="1125"/>
      <c r="B57" s="1125"/>
      <c r="E57" s="667"/>
    </row>
    <row r="58" spans="1:38" ht="12.75" outlineLevel="1">
      <c r="D58" s="470" t="s">
        <v>344</v>
      </c>
      <c r="F58" s="778"/>
      <c r="G58" s="778"/>
      <c r="H58" s="778"/>
      <c r="I58" s="778"/>
      <c r="J58" s="778"/>
      <c r="K58" s="778"/>
      <c r="L58" s="778"/>
      <c r="M58" s="778"/>
      <c r="N58" s="778"/>
      <c r="O58" s="778"/>
      <c r="P58" s="778"/>
      <c r="Q58" s="778"/>
      <c r="R58" s="778"/>
      <c r="S58" s="778"/>
      <c r="T58" s="778"/>
      <c r="U58" s="778"/>
      <c r="V58" s="778"/>
      <c r="W58" s="778"/>
      <c r="X58" s="778"/>
      <c r="Y58" s="778"/>
      <c r="Z58" s="778"/>
      <c r="AA58" s="778"/>
      <c r="AB58" s="778"/>
      <c r="AC58" s="778"/>
      <c r="AD58" s="778"/>
      <c r="AE58" s="778"/>
      <c r="AF58" s="778"/>
      <c r="AG58" s="778"/>
      <c r="AH58" s="778"/>
      <c r="AI58" s="778"/>
      <c r="AJ58" s="778"/>
      <c r="AK58" s="778"/>
      <c r="AL58" s="778"/>
    </row>
    <row r="59" spans="1:38" s="664" customFormat="1" ht="12.75" outlineLevel="1">
      <c r="A59" s="1125"/>
      <c r="B59" s="1125"/>
      <c r="D59" s="753" t="s">
        <v>804</v>
      </c>
      <c r="E59" s="491" t="s">
        <v>808</v>
      </c>
      <c r="F59" s="1982">
        <f>IF(F$8&lt;&gt;"",VLOOKUP(F$8,Feedstocks!$B$10:$M$23,8,0),0)</f>
        <v>0.93559617058311573</v>
      </c>
      <c r="G59" s="1613">
        <f>IF(G$8&lt;&gt;"",VLOOKUP(G$8,Feedstocks!$B$10:$M$23,8,0),0)</f>
        <v>0.93559617058311573</v>
      </c>
      <c r="H59" s="1613">
        <f>IF(H$8&lt;&gt;"",VLOOKUP(H$8,Feedstocks!$B$10:$M$23,8,0),0)</f>
        <v>0.93559617058311573</v>
      </c>
      <c r="I59" s="1613">
        <f>IF(I$8&lt;&gt;"",VLOOKUP(I$8,Feedstocks!$B$10:$M$23,8,0),0)</f>
        <v>0.93559617058311573</v>
      </c>
      <c r="J59" s="1613">
        <f>IF(J$8&lt;&gt;"",VLOOKUP(J$8,Feedstocks!$B$10:$M$23,8,0),0)</f>
        <v>0.95574878290987486</v>
      </c>
      <c r="K59" s="1613">
        <f>IF(K$8&lt;&gt;"",VLOOKUP(K$8,Feedstocks!$B$10:$M$23,8,0),0)</f>
        <v>0.95574878290987486</v>
      </c>
      <c r="L59" s="1613">
        <f>IF(L$8&lt;&gt;"",VLOOKUP(L$8,Feedstocks!$B$10:$M$23,8,0),0)</f>
        <v>0.90434658027676951</v>
      </c>
      <c r="M59" s="1613">
        <f>IF(M$8&lt;&gt;"",VLOOKUP(M$8,Feedstocks!$B$10:$M$23,8,0),0)</f>
        <v>0.96169609985029503</v>
      </c>
      <c r="N59" s="1613">
        <f>IF(N$8&lt;&gt;"",VLOOKUP(N$8,Feedstocks!$B$10:$M$23,8,0),0)</f>
        <v>0.96307534624283608</v>
      </c>
      <c r="O59" s="1613">
        <f>IF(O$8&lt;&gt;"",VLOOKUP(O$8,Feedstocks!$B$10:$M$23,8,0),0)</f>
        <v>0.94901671323878312</v>
      </c>
      <c r="P59" s="1613">
        <f>IF(P$8&lt;&gt;"",VLOOKUP(P$8,Feedstocks!$B$10:$M$23,8,0),0)</f>
        <v>0.96169609985029503</v>
      </c>
      <c r="Q59" s="1613">
        <f>IF(Q$8&lt;&gt;"",VLOOKUP(Q$8,Feedstocks!$B$10:$M$23,8,0),0)</f>
        <v>0.96307534624283608</v>
      </c>
      <c r="R59" s="1613">
        <f>IF(R$8&lt;&gt;"",VLOOKUP(R$8,Feedstocks!$B$10:$M$23,8,0),0)</f>
        <v>0.95862863107074003</v>
      </c>
      <c r="S59" s="1613">
        <f>IF(S$8&lt;&gt;"",VLOOKUP(S$8,Feedstocks!$B$10:$M$23,8,0),0)</f>
        <v>0.94901671323878312</v>
      </c>
      <c r="T59" s="1613">
        <f>IF(T$8&lt;&gt;"",VLOOKUP(T$8,Feedstocks!$B$10:$M$23,8,0),0)</f>
        <v>0.94901671323878312</v>
      </c>
      <c r="U59" s="1613">
        <f>IF(U$8&lt;&gt;"",VLOOKUP(U$8,Feedstocks!$B$10:$M$23,8,0),0)</f>
        <v>0.94901671323878312</v>
      </c>
      <c r="V59" s="1613">
        <f>IF(V$8&lt;&gt;"",VLOOKUP(V$8,Feedstocks!$B$10:$M$23,8,0),0)</f>
        <v>0.94901671323878312</v>
      </c>
      <c r="W59" s="1613">
        <f>IF(W$8&lt;&gt;"",VLOOKUP(W$8,Feedstocks!$B$10:$M$23,8,0),0)</f>
        <v>0.96169609985029503</v>
      </c>
      <c r="X59" s="1613">
        <f>IF(X$8&lt;&gt;"",VLOOKUP(X$8,Feedstocks!$B$10:$M$23,8,0),0)</f>
        <v>0.86697963561167013</v>
      </c>
      <c r="Y59" s="1613">
        <f>IF(Y$8&lt;&gt;"",VLOOKUP(Y$8,Feedstocks!$B$10:$M$23,8,0),0)</f>
        <v>0.91354486346211083</v>
      </c>
      <c r="Z59" s="1613">
        <f>IF(Z$8&lt;&gt;"",VLOOKUP(Z$8,Feedstocks!$B$10:$M$23,8,0),0)</f>
        <v>0</v>
      </c>
      <c r="AA59" s="1613">
        <f>IF(AA$8&lt;&gt;"",VLOOKUP(AA$8,Feedstocks!$B$10:$M$23,8,0),0)</f>
        <v>0</v>
      </c>
      <c r="AB59" s="1613">
        <f>IF(AB$8&lt;&gt;"",VLOOKUP(AB$8,Feedstocks!$B$10:$M$23,8,0),0)</f>
        <v>0</v>
      </c>
      <c r="AC59" s="1613">
        <f>IF(AC$8&lt;&gt;"",VLOOKUP(AC$8,Feedstocks!$B$10:$M$23,8,0),0)</f>
        <v>0.91822591822591826</v>
      </c>
      <c r="AD59" s="1613">
        <f>IF(AD$8&lt;&gt;"",VLOOKUP(AD$8,Feedstocks!$B$10:$M$23,8,0),0)</f>
        <v>0.96307534624283608</v>
      </c>
      <c r="AE59" s="1613">
        <f>IF(AE$8&lt;&gt;"",VLOOKUP(AE$8,Feedstocks!$B$10:$M$23,8,0),0)</f>
        <v>0.96169609985029503</v>
      </c>
      <c r="AF59" s="1613">
        <f>IF(AF$8&lt;&gt;"",VLOOKUP(AF$8,Feedstocks!$B$10:$M$23,8,0),0)</f>
        <v>0</v>
      </c>
      <c r="AG59" s="1613">
        <f>IF(AG$8&lt;&gt;"",VLOOKUP(AG$8,Feedstocks!$B$10:$M$23,8,0),0)</f>
        <v>0</v>
      </c>
      <c r="AH59" s="1613">
        <f>IF(AH$8&lt;&gt;"",VLOOKUP(AH$8,Feedstocks!$B$10:$M$23,8,0),0)</f>
        <v>0</v>
      </c>
      <c r="AI59" s="1613">
        <f>IF(AI$8&lt;&gt;"",VLOOKUP(AI$8,Feedstocks!$B$10:$M$23,8,0),0)</f>
        <v>0</v>
      </c>
      <c r="AJ59" s="1613">
        <f>IF(AJ$8&lt;&gt;"",VLOOKUP(AJ$8,Feedstocks!$B$10:$M$23,8,0),0)</f>
        <v>0</v>
      </c>
      <c r="AK59" s="1613">
        <f>IF(AK$8&lt;&gt;"",VLOOKUP(AK$8,Feedstocks!$B$10:$M$23,8,0),0)</f>
        <v>0</v>
      </c>
      <c r="AL59" s="1613">
        <f>IF(AL$8&lt;&gt;"",VLOOKUP(AL$8,Feedstocks!$B$10:$M$23,8,0),0)</f>
        <v>0.96307534624283608</v>
      </c>
    </row>
    <row r="60" spans="1:38" s="664" customFormat="1" ht="12.75" outlineLevel="1">
      <c r="A60" s="1125"/>
      <c r="B60" s="1125"/>
      <c r="C60" s="698"/>
      <c r="D60" s="476" t="s">
        <v>805</v>
      </c>
      <c r="E60" s="779" t="s">
        <v>29</v>
      </c>
      <c r="F60" s="507">
        <f t="shared" ref="F60:W60" ca="1" si="19">IF(F$12="Importspor",F61,F62)</f>
        <v>0.99699575562027976</v>
      </c>
      <c r="G60" s="507">
        <f t="shared" ca="1" si="19"/>
        <v>0.99699575562027953</v>
      </c>
      <c r="H60" s="507">
        <f t="shared" ca="1" si="19"/>
        <v>0.99699575562027976</v>
      </c>
      <c r="I60" s="507">
        <f t="shared" ca="1" si="19"/>
        <v>0.99699575562027953</v>
      </c>
      <c r="J60" s="507">
        <f t="shared" ca="1" si="19"/>
        <v>1</v>
      </c>
      <c r="K60" s="507">
        <f ca="1">IF(K$12="Importspor",K61,K62)</f>
        <v>1</v>
      </c>
      <c r="L60" s="507">
        <f t="shared" ca="1" si="19"/>
        <v>0.81028941390277143</v>
      </c>
      <c r="M60" s="507">
        <f t="shared" ca="1" si="19"/>
        <v>0.68498666666666663</v>
      </c>
      <c r="N60" s="507">
        <f t="shared" ca="1" si="19"/>
        <v>0.87956578947368413</v>
      </c>
      <c r="O60" s="507">
        <f t="shared" ca="1" si="19"/>
        <v>0.94474816369359926</v>
      </c>
      <c r="P60" s="507">
        <f t="shared" ca="1" si="19"/>
        <v>0.81668000000000007</v>
      </c>
      <c r="Q60" s="507">
        <f t="shared" ca="1" si="19"/>
        <v>0.87731578947368416</v>
      </c>
      <c r="R60" s="507">
        <f t="shared" ca="1" si="19"/>
        <v>0.93706952205751171</v>
      </c>
      <c r="S60" s="507">
        <f t="shared" ca="1" si="19"/>
        <v>0.94474816369359926</v>
      </c>
      <c r="T60" s="507">
        <f t="shared" ca="1" si="19"/>
        <v>0.94474816369359926</v>
      </c>
      <c r="U60" s="507">
        <f t="shared" ca="1" si="19"/>
        <v>0.94474816369359926</v>
      </c>
      <c r="V60" s="507">
        <f ca="1">IF(V$12="Importspor",V61,V62)</f>
        <v>0.94474816369359926</v>
      </c>
      <c r="W60" s="507">
        <f t="shared" ca="1" si="19"/>
        <v>0.7857142857142857</v>
      </c>
      <c r="X60" s="507">
        <f ca="1">IF(X$12="Importspor",X61,X62)</f>
        <v>0.9410363311494937</v>
      </c>
      <c r="Y60" s="507">
        <f ca="1">IF(Y$12="Importspor",Y61,Y62)</f>
        <v>0.81550082553659886</v>
      </c>
      <c r="Z60" s="507">
        <f ca="1">IF(Z$12="Importspor",Z61,Z62)</f>
        <v>0</v>
      </c>
      <c r="AA60" s="507">
        <f ca="1">IF(AA$12="Importspor",AA61,AA62)</f>
        <v>0</v>
      </c>
      <c r="AB60" s="507">
        <f t="shared" ref="AB60:AJ60" ca="1" si="20">IF(AB$12="Importspor",AB61,AB62)</f>
        <v>0</v>
      </c>
      <c r="AC60" s="507">
        <f t="shared" si="20"/>
        <v>0</v>
      </c>
      <c r="AD60" s="507">
        <f t="shared" si="20"/>
        <v>0</v>
      </c>
      <c r="AE60" s="507">
        <f t="shared" si="20"/>
        <v>0</v>
      </c>
      <c r="AF60" s="507">
        <f t="shared" ca="1" si="20"/>
        <v>0</v>
      </c>
      <c r="AG60" s="507">
        <f t="shared" ca="1" si="20"/>
        <v>0</v>
      </c>
      <c r="AH60" s="507">
        <f t="shared" ca="1" si="20"/>
        <v>0</v>
      </c>
      <c r="AI60" s="507">
        <f t="shared" ca="1" si="20"/>
        <v>0</v>
      </c>
      <c r="AJ60" s="507">
        <f t="shared" ca="1" si="20"/>
        <v>0</v>
      </c>
      <c r="AK60" s="507">
        <f ca="1">IF(AK$12="Importspor",AK61,AK62)</f>
        <v>0</v>
      </c>
      <c r="AL60" s="507">
        <f>IF(AL$12="Importspor",AL61,AL62)</f>
        <v>0</v>
      </c>
    </row>
    <row r="61" spans="1:38" s="664" customFormat="1" ht="12.75" outlineLevel="1">
      <c r="A61" s="1125"/>
      <c r="B61" s="1129"/>
      <c r="C61" s="698"/>
      <c r="D61" s="479" t="s">
        <v>803</v>
      </c>
      <c r="E61" s="779" t="s">
        <v>29</v>
      </c>
      <c r="F61" s="1983">
        <f>IF(F$8&lt;&gt;"",VLOOKUP(F$8,Feedstocks!$B$10:$N$23,13,0),0)</f>
        <v>0</v>
      </c>
      <c r="G61" s="1614">
        <f>IF(G$8&lt;&gt;"",VLOOKUP(G$8,Feedstocks!$B$10:$N$23,13,0),0)</f>
        <v>0</v>
      </c>
      <c r="H61" s="1614">
        <f>IF(H$8&lt;&gt;"",VLOOKUP(H$8,Feedstocks!$B$10:$N$23,13,0),0)</f>
        <v>0</v>
      </c>
      <c r="I61" s="1614">
        <f>IF(I$8&lt;&gt;"",VLOOKUP(I$8,Feedstocks!$B$10:$N$23,13,0),0)</f>
        <v>0</v>
      </c>
      <c r="J61" s="1614">
        <f>IF(J$8&lt;&gt;"",VLOOKUP(J$8,Feedstocks!$B$10:$N$23,13,0),0)</f>
        <v>0</v>
      </c>
      <c r="K61" s="1614">
        <f>IF(K$8&lt;&gt;"",VLOOKUP(K$8,Feedstocks!$B$10:$N$23,13,0),0)</f>
        <v>0</v>
      </c>
      <c r="L61" s="1614">
        <f>IF(L$8&lt;&gt;"",VLOOKUP(L$8,Feedstocks!$B$10:$N$23,13,0),0)</f>
        <v>0</v>
      </c>
      <c r="M61" s="1614">
        <f>IF(M$8&lt;&gt;"",VLOOKUP(M$8,Feedstocks!$B$10:$N$23,13,0),0)</f>
        <v>0</v>
      </c>
      <c r="N61" s="1614">
        <f>IF(N$8&lt;&gt;"",VLOOKUP(N$8,Feedstocks!$B$10:$N$23,13,0),0)</f>
        <v>0</v>
      </c>
      <c r="O61" s="1614">
        <f>IF(O$8&lt;&gt;"",VLOOKUP(O$8,Feedstocks!$B$10:$N$23,13,0),0)</f>
        <v>0</v>
      </c>
      <c r="P61" s="1614">
        <f>IF(P$8&lt;&gt;"",VLOOKUP(P$8,Feedstocks!$B$10:$N$23,13,0),0)</f>
        <v>0</v>
      </c>
      <c r="Q61" s="1614">
        <f>IF(Q$8&lt;&gt;"",VLOOKUP(Q$8,Feedstocks!$B$10:$N$23,13,0),0)</f>
        <v>0</v>
      </c>
      <c r="R61" s="1614">
        <f>IF(R$8&lt;&gt;"",VLOOKUP(R$8,Feedstocks!$B$10:$N$23,13,0),0)</f>
        <v>0</v>
      </c>
      <c r="S61" s="1614">
        <f>IF(S$8&lt;&gt;"",VLOOKUP(S$8,Feedstocks!$B$10:$N$23,13,0),0)</f>
        <v>0</v>
      </c>
      <c r="T61" s="1614">
        <f>IF(T$8&lt;&gt;"",VLOOKUP(T$8,Feedstocks!$B$10:$N$23,13,0),0)</f>
        <v>0</v>
      </c>
      <c r="U61" s="1614">
        <f>IF(U$8&lt;&gt;"",VLOOKUP(U$8,Feedstocks!$B$10:$N$23,13,0),0)</f>
        <v>0</v>
      </c>
      <c r="V61" s="1614">
        <f>IF(V$8&lt;&gt;"",VLOOKUP(V$8,Feedstocks!$B$10:$N$23,13,0),0)</f>
        <v>0</v>
      </c>
      <c r="W61" s="1614">
        <f>IF(W$8&lt;&gt;"",VLOOKUP(W$8,Feedstocks!$B$10:$N$23,13,0),0)</f>
        <v>0</v>
      </c>
      <c r="X61" s="1614">
        <f>IF(X$8&lt;&gt;"",VLOOKUP(X$8,Feedstocks!$B$10:$N$23,13,0),0)</f>
        <v>0</v>
      </c>
      <c r="Y61" s="1614">
        <f>IF(Y$8&lt;&gt;"",VLOOKUP(Y$8,Feedstocks!$B$10:$N$23,13,0),0)</f>
        <v>0</v>
      </c>
      <c r="Z61" s="1614">
        <f>IF(Z$8&lt;&gt;"",VLOOKUP(Z$8,Feedstocks!$B$10:$N$23,13,0),0)</f>
        <v>0</v>
      </c>
      <c r="AA61" s="1614">
        <f>IF(AA$8&lt;&gt;"",VLOOKUP(AA$8,Feedstocks!$B$10:$N$23,13,0),0)</f>
        <v>0</v>
      </c>
      <c r="AB61" s="1614">
        <f>IF(AB$8&lt;&gt;"",VLOOKUP(AB$8,Feedstocks!$B$10:$N$23,13,0),0)</f>
        <v>0</v>
      </c>
      <c r="AC61" s="1614">
        <f>IF(AC$8&lt;&gt;"",VLOOKUP(AC$8,Feedstocks!$B$10:$N$23,13,0),0)</f>
        <v>0</v>
      </c>
      <c r="AD61" s="1614">
        <f>IF(AD$8&lt;&gt;"",VLOOKUP(AD$8,Feedstocks!$B$10:$N$23,13,0),0)</f>
        <v>0</v>
      </c>
      <c r="AE61" s="1614">
        <f>IF(AE$8&lt;&gt;"",VLOOKUP(AE$8,Feedstocks!$B$10:$N$23,13,0),0)</f>
        <v>0</v>
      </c>
      <c r="AF61" s="1614">
        <f>IF(AF$8&lt;&gt;"",VLOOKUP(AF$8,Feedstocks!$B$10:$N$23,13,0),0)</f>
        <v>0</v>
      </c>
      <c r="AG61" s="1614">
        <f>IF(AG$8&lt;&gt;"",VLOOKUP(AG$8,Feedstocks!$B$10:$N$23,13,0),0)</f>
        <v>0</v>
      </c>
      <c r="AH61" s="1614">
        <f>IF(AH$8&lt;&gt;"",VLOOKUP(AH$8,Feedstocks!$B$10:$N$23,13,0),0)</f>
        <v>0</v>
      </c>
      <c r="AI61" s="1614">
        <f>IF(AI$8&lt;&gt;"",VLOOKUP(AI$8,Feedstocks!$B$10:$N$23,13,0),0)</f>
        <v>0</v>
      </c>
      <c r="AJ61" s="1614">
        <f>IF(AJ$8&lt;&gt;"",VLOOKUP(AJ$8,Feedstocks!$B$10:$N$23,13,0),0)</f>
        <v>0</v>
      </c>
      <c r="AK61" s="1614">
        <f>IF(AK$8&lt;&gt;"",VLOOKUP(AK$8,Feedstocks!$B$10:$N$23,13,0),0)</f>
        <v>0</v>
      </c>
      <c r="AL61" s="1614">
        <f>IF(AL$8&lt;&gt;"",VLOOKUP(AL$8,Feedstocks!$B$10:$N$23,13,0),0)</f>
        <v>0</v>
      </c>
    </row>
    <row r="62" spans="1:38" s="664" customFormat="1" ht="12.75" outlineLevel="1">
      <c r="A62" s="1128">
        <f>ROW(Diesel!$A$88)</f>
        <v>88</v>
      </c>
      <c r="B62" s="1128">
        <f>COLUMN(Diesel!$D$1)+chosenYear-1</f>
        <v>4</v>
      </c>
      <c r="C62" s="698"/>
      <c r="D62" s="479" t="s">
        <v>802</v>
      </c>
      <c r="E62" s="779" t="s">
        <v>29</v>
      </c>
      <c r="F62" s="1614">
        <f t="shared" ref="F62:AL62" ca="1" si="21">IF(F11&lt;&gt;"",INDIRECT(ADDRESS($A62,$B62,,,F$11)),0)</f>
        <v>0.99699575562027976</v>
      </c>
      <c r="G62" s="1614">
        <f t="shared" ca="1" si="21"/>
        <v>0.99699575562027953</v>
      </c>
      <c r="H62" s="1614">
        <f t="shared" ca="1" si="21"/>
        <v>0.99699575562027976</v>
      </c>
      <c r="I62" s="1614">
        <f t="shared" ca="1" si="21"/>
        <v>0.99699575562027953</v>
      </c>
      <c r="J62" s="1614">
        <f t="shared" ca="1" si="21"/>
        <v>1</v>
      </c>
      <c r="K62" s="1614">
        <f ca="1">IF(K11&lt;&gt;"",INDIRECT(ADDRESS($A62,$B62,,,K$11)),0)</f>
        <v>1</v>
      </c>
      <c r="L62" s="1614">
        <f t="shared" ca="1" si="21"/>
        <v>0.81028941390277143</v>
      </c>
      <c r="M62" s="1614">
        <f t="shared" ca="1" si="21"/>
        <v>0.68498666666666663</v>
      </c>
      <c r="N62" s="1614">
        <f t="shared" ca="1" si="21"/>
        <v>0.87956578947368413</v>
      </c>
      <c r="O62" s="1614">
        <f t="shared" ca="1" si="21"/>
        <v>0.94474816369359926</v>
      </c>
      <c r="P62" s="1614">
        <f t="shared" ca="1" si="21"/>
        <v>0.81668000000000007</v>
      </c>
      <c r="Q62" s="1614">
        <f t="shared" ca="1" si="21"/>
        <v>0.87731578947368416</v>
      </c>
      <c r="R62" s="1614">
        <f t="shared" ca="1" si="21"/>
        <v>0.93706952205751171</v>
      </c>
      <c r="S62" s="1614">
        <f t="shared" ca="1" si="21"/>
        <v>0.94474816369359926</v>
      </c>
      <c r="T62" s="1614">
        <f t="shared" ca="1" si="21"/>
        <v>0.94474816369359926</v>
      </c>
      <c r="U62" s="1614">
        <f t="shared" ca="1" si="21"/>
        <v>0.94474816369359926</v>
      </c>
      <c r="V62" s="1614">
        <f t="shared" ca="1" si="21"/>
        <v>0.94474816369359926</v>
      </c>
      <c r="W62" s="1614">
        <f t="shared" ca="1" si="21"/>
        <v>0.7857142857142857</v>
      </c>
      <c r="X62" s="1614">
        <f t="shared" ca="1" si="21"/>
        <v>0.9410363311494937</v>
      </c>
      <c r="Y62" s="1614">
        <f t="shared" ca="1" si="21"/>
        <v>0.81550082553659886</v>
      </c>
      <c r="Z62" s="1614">
        <f t="shared" ca="1" si="21"/>
        <v>0</v>
      </c>
      <c r="AA62" s="1614">
        <f t="shared" ca="1" si="21"/>
        <v>0</v>
      </c>
      <c r="AB62" s="1614">
        <f t="shared" ca="1" si="21"/>
        <v>0</v>
      </c>
      <c r="AC62" s="1614">
        <f t="shared" ca="1" si="21"/>
        <v>0</v>
      </c>
      <c r="AD62" s="1614">
        <f t="shared" ca="1" si="21"/>
        <v>0</v>
      </c>
      <c r="AE62" s="1614">
        <f t="shared" ca="1" si="21"/>
        <v>0</v>
      </c>
      <c r="AF62" s="1614">
        <f t="shared" ca="1" si="21"/>
        <v>0</v>
      </c>
      <c r="AG62" s="1614">
        <f t="shared" ca="1" si="21"/>
        <v>0</v>
      </c>
      <c r="AH62" s="1614">
        <f t="shared" ca="1" si="21"/>
        <v>0</v>
      </c>
      <c r="AI62" s="1614">
        <f t="shared" ca="1" si="21"/>
        <v>0</v>
      </c>
      <c r="AJ62" s="1614">
        <f t="shared" ca="1" si="21"/>
        <v>0</v>
      </c>
      <c r="AK62" s="1614">
        <f t="shared" ca="1" si="21"/>
        <v>0</v>
      </c>
      <c r="AL62" s="1614">
        <f t="shared" ca="1" si="21"/>
        <v>0</v>
      </c>
    </row>
    <row r="63" spans="1:38" s="664" customFormat="1" ht="12.75" outlineLevel="1">
      <c r="A63" s="1125"/>
      <c r="B63" s="1129"/>
      <c r="C63" s="698"/>
      <c r="D63" s="476" t="s">
        <v>812</v>
      </c>
      <c r="E63" s="779" t="s">
        <v>29</v>
      </c>
      <c r="F63" s="507">
        <f>1/(1+F64)-F65</f>
        <v>1</v>
      </c>
      <c r="G63" s="507">
        <f>1/(1+G64)-G65</f>
        <v>1</v>
      </c>
      <c r="H63" s="507">
        <f>1/(1+H64)-H65</f>
        <v>1</v>
      </c>
      <c r="I63" s="507">
        <f>1/(1+I64)-I65</f>
        <v>1</v>
      </c>
      <c r="J63" s="507">
        <f t="shared" ref="J63:W63" si="22">1/(1+J64)-J65</f>
        <v>1</v>
      </c>
      <c r="K63" s="507">
        <f>1/(1+K64)-K65</f>
        <v>1</v>
      </c>
      <c r="L63" s="507">
        <f t="shared" si="22"/>
        <v>1</v>
      </c>
      <c r="M63" s="507">
        <f t="shared" si="22"/>
        <v>1</v>
      </c>
      <c r="N63" s="507">
        <f t="shared" si="22"/>
        <v>1</v>
      </c>
      <c r="O63" s="507">
        <f t="shared" si="22"/>
        <v>0.92999999999999994</v>
      </c>
      <c r="P63" s="507">
        <f t="shared" si="22"/>
        <v>1</v>
      </c>
      <c r="Q63" s="507">
        <f t="shared" si="22"/>
        <v>1</v>
      </c>
      <c r="R63" s="507">
        <f t="shared" si="22"/>
        <v>1</v>
      </c>
      <c r="S63" s="507">
        <f t="shared" si="22"/>
        <v>0.92999999999999994</v>
      </c>
      <c r="T63" s="507">
        <f t="shared" si="22"/>
        <v>0.92999999999999994</v>
      </c>
      <c r="U63" s="507">
        <f t="shared" si="22"/>
        <v>0.92999999999999994</v>
      </c>
      <c r="V63" s="507">
        <f>1/(1+V64)-V65</f>
        <v>0.92999999999999994</v>
      </c>
      <c r="W63" s="507">
        <f t="shared" si="22"/>
        <v>1</v>
      </c>
      <c r="X63" s="507">
        <f>1/(1+X64)-X65</f>
        <v>1</v>
      </c>
      <c r="Y63" s="507">
        <f>1/(1+Y64)-Y65</f>
        <v>1</v>
      </c>
      <c r="Z63" s="507">
        <f>1/(1+Z64)-Z65</f>
        <v>1</v>
      </c>
      <c r="AA63" s="507">
        <f>1/(1+AA64)-AA65</f>
        <v>1</v>
      </c>
      <c r="AB63" s="507">
        <f t="shared" ref="AB63:AJ63" si="23">1/(1+AB64)-AB65</f>
        <v>1</v>
      </c>
      <c r="AC63" s="507">
        <f t="shared" si="23"/>
        <v>1</v>
      </c>
      <c r="AD63" s="507">
        <f t="shared" si="23"/>
        <v>1</v>
      </c>
      <c r="AE63" s="507">
        <f t="shared" si="23"/>
        <v>1</v>
      </c>
      <c r="AF63" s="507">
        <f t="shared" si="23"/>
        <v>1</v>
      </c>
      <c r="AG63" s="507">
        <f t="shared" si="23"/>
        <v>1</v>
      </c>
      <c r="AH63" s="507">
        <f t="shared" si="23"/>
        <v>1</v>
      </c>
      <c r="AI63" s="507">
        <f t="shared" si="23"/>
        <v>1</v>
      </c>
      <c r="AJ63" s="507">
        <f t="shared" si="23"/>
        <v>1</v>
      </c>
      <c r="AK63" s="507">
        <f>1/(1+AK64)-AK65</f>
        <v>1</v>
      </c>
      <c r="AL63" s="507">
        <f>1/(1+AL64)-AL65</f>
        <v>1</v>
      </c>
    </row>
    <row r="64" spans="1:38" s="664" customFormat="1" ht="12.75" outlineLevel="1">
      <c r="A64" s="1125"/>
      <c r="B64" s="1129"/>
      <c r="C64" s="698"/>
      <c r="D64" s="479" t="s">
        <v>806</v>
      </c>
      <c r="E64" s="779" t="s">
        <v>29</v>
      </c>
      <c r="F64" s="1614">
        <f>IF(F$9&lt;&gt;"",VLOOKUP(F$9,Distribution!$B$8:$K$27,4,0),0)</f>
        <v>0</v>
      </c>
      <c r="G64" s="1614">
        <f>IF(G$9&lt;&gt;"",VLOOKUP(G$9,Distribution!$B$8:$K$27,4,0),0)</f>
        <v>0</v>
      </c>
      <c r="H64" s="1614">
        <f>IF(H$9&lt;&gt;"",VLOOKUP(H$9,Distribution!$B$8:$K$27,4,0),0)</f>
        <v>0</v>
      </c>
      <c r="I64" s="1614">
        <f>IF(I$9&lt;&gt;"",VLOOKUP(I$9,Distribution!$B$8:$K$27,4,0),0)</f>
        <v>0</v>
      </c>
      <c r="J64" s="1614">
        <f>IF(J$9&lt;&gt;"",VLOOKUP(J$9,Distribution!$B$8:$K$27,4,0),0)</f>
        <v>0</v>
      </c>
      <c r="K64" s="1614">
        <f>IF(K$9&lt;&gt;"",VLOOKUP(K$9,Distribution!$B$8:$K$27,4,0),0)</f>
        <v>0</v>
      </c>
      <c r="L64" s="1614">
        <f>IF(L$9&lt;&gt;"",VLOOKUP(L$9,Distribution!$B$8:$K$27,4,0),0)</f>
        <v>0</v>
      </c>
      <c r="M64" s="1614">
        <f>IF(M$9&lt;&gt;"",VLOOKUP(M$9,Distribution!$B$8:$K$27,4,0),0)</f>
        <v>0</v>
      </c>
      <c r="N64" s="1614">
        <f>IF(N$9&lt;&gt;"",VLOOKUP(N$9,Distribution!$B$8:$K$27,4,0),0)</f>
        <v>0</v>
      </c>
      <c r="O64" s="1614">
        <f>IF(O$9&lt;&gt;"",VLOOKUP(O$9,Distribution!$B$8:$K$27,4,0),0)</f>
        <v>0</v>
      </c>
      <c r="P64" s="1614">
        <f>IF(P$9&lt;&gt;"",VLOOKUP(P$9,Distribution!$B$8:$K$27,4,0),0)</f>
        <v>0</v>
      </c>
      <c r="Q64" s="1614">
        <f>IF(Q$9&lt;&gt;"",VLOOKUP(Q$9,Distribution!$B$8:$K$27,4,0),0)</f>
        <v>0</v>
      </c>
      <c r="R64" s="1614">
        <f>IF(R$9&lt;&gt;"",VLOOKUP(R$9,Distribution!$B$8:$K$27,4,0),0)</f>
        <v>0</v>
      </c>
      <c r="S64" s="1614">
        <f>IF(S$9&lt;&gt;"",VLOOKUP(S$9,Distribution!$B$8:$K$27,4,0),0)</f>
        <v>0</v>
      </c>
      <c r="T64" s="1614">
        <f>IF(T$9&lt;&gt;"",VLOOKUP(T$9,Distribution!$B$8:$K$27,4,0),0)</f>
        <v>0</v>
      </c>
      <c r="U64" s="1614">
        <f>IF(U$9&lt;&gt;"",VLOOKUP(U$9,Distribution!$B$8:$K$27,4,0),0)</f>
        <v>0</v>
      </c>
      <c r="V64" s="1614">
        <f>IF(V$9&lt;&gt;"",VLOOKUP(V$9,Distribution!$B$8:$K$27,4,0),0)</f>
        <v>0</v>
      </c>
      <c r="W64" s="1614">
        <f>IF(W$9&lt;&gt;"",VLOOKUP(W$9,Distribution!$B$8:$K$27,4,0),0)</f>
        <v>0</v>
      </c>
      <c r="X64" s="1614">
        <f>IF(X$9&lt;&gt;"",VLOOKUP(X$9,Distribution!$B$8:$K$27,4,0),0)</f>
        <v>0</v>
      </c>
      <c r="Y64" s="1614">
        <f>IF(Y$9&lt;&gt;"",VLOOKUP(Y$9,Distribution!$B$8:$K$27,4,0),0)</f>
        <v>0</v>
      </c>
      <c r="Z64" s="1614">
        <f>IF(Z$9&lt;&gt;"",VLOOKUP(Z$9,Distribution!$B$8:$K$27,4,0),0)</f>
        <v>0</v>
      </c>
      <c r="AA64" s="1614">
        <f>IF(AA$9&lt;&gt;"",VLOOKUP(AA$9,Distribution!$B$8:$K$27,4,0),0)</f>
        <v>0</v>
      </c>
      <c r="AB64" s="1614">
        <f>IF(AB$9&lt;&gt;"",VLOOKUP(AB$9,Distribution!$B$8:$K$27,4,0),0)</f>
        <v>0</v>
      </c>
      <c r="AC64" s="1614">
        <f>IF(AC$9&lt;&gt;"",VLOOKUP(AC$9,Distribution!$B$8:$K$27,4,0),0)</f>
        <v>0</v>
      </c>
      <c r="AD64" s="1614">
        <f>IF(AD$9&lt;&gt;"",VLOOKUP(AD$9,Distribution!$B$8:$K$27,4,0),0)</f>
        <v>0</v>
      </c>
      <c r="AE64" s="1614">
        <f>IF(AE$9&lt;&gt;"",VLOOKUP(AE$9,Distribution!$B$8:$K$27,4,0),0)</f>
        <v>0</v>
      </c>
      <c r="AF64" s="1614">
        <f>IF(AF$9&lt;&gt;"",VLOOKUP(AF$9,Distribution!$B$8:$K$27,4,0),0)</f>
        <v>0</v>
      </c>
      <c r="AG64" s="1614">
        <f>IF(AG$9&lt;&gt;"",VLOOKUP(AG$9,Distribution!$B$8:$K$27,4,0),0)</f>
        <v>0</v>
      </c>
      <c r="AH64" s="1614">
        <f>IF(AH$9&lt;&gt;"",VLOOKUP(AH$9,Distribution!$B$8:$K$27,4,0),0)</f>
        <v>0</v>
      </c>
      <c r="AI64" s="1614">
        <f>IF(AI$9&lt;&gt;"",VLOOKUP(AI$9,Distribution!$B$8:$K$27,4,0),0)</f>
        <v>0</v>
      </c>
      <c r="AJ64" s="1614">
        <f>IF(AJ$9&lt;&gt;"",VLOOKUP(AJ$9,Distribution!$B$8:$K$27,4,0),0)</f>
        <v>0</v>
      </c>
      <c r="AK64" s="1614">
        <f>IF(AK$9&lt;&gt;"",VLOOKUP(AK$9,Distribution!$B$8:$K$27,4,0),0)</f>
        <v>0</v>
      </c>
      <c r="AL64" s="1614">
        <f>IF(AL$9&lt;&gt;"",VLOOKUP(AL$9,Distribution!$B$8:$K$27,4,0),0)</f>
        <v>0</v>
      </c>
    </row>
    <row r="65" spans="1:38" s="664" customFormat="1" ht="12.75" outlineLevel="1">
      <c r="A65" s="1125"/>
      <c r="B65" s="1129"/>
      <c r="C65" s="698"/>
      <c r="D65" s="479" t="s">
        <v>807</v>
      </c>
      <c r="E65" s="779" t="s">
        <v>29</v>
      </c>
      <c r="F65" s="1614">
        <f>IF(F$9&lt;&gt;"",VLOOKUP(F$9,Distribution!$B$8:$K$27,3,0),0)</f>
        <v>0</v>
      </c>
      <c r="G65" s="1614">
        <f>IF(G$9&lt;&gt;"",VLOOKUP(G$9,Distribution!$B$8:$K$27,3,0),0)</f>
        <v>0</v>
      </c>
      <c r="H65" s="1614">
        <f>IF(H$9&lt;&gt;"",VLOOKUP(H$9,Distribution!$B$8:$K$27,3,0),0)</f>
        <v>0</v>
      </c>
      <c r="I65" s="1614">
        <f>IF(I$9&lt;&gt;"",VLOOKUP(I$9,Distribution!$B$8:$K$27,3,0),0)</f>
        <v>0</v>
      </c>
      <c r="J65" s="1614">
        <f>IF(J$9&lt;&gt;"",VLOOKUP(J$9,Distribution!$B$8:$K$27,3,0),0)</f>
        <v>0</v>
      </c>
      <c r="K65" s="1614">
        <f>IF(K$9&lt;&gt;"",VLOOKUP(K$9,Distribution!$B$8:$K$27,3,0),0)</f>
        <v>0</v>
      </c>
      <c r="L65" s="1614">
        <f>IF(L$9&lt;&gt;"",VLOOKUP(L$9,Distribution!$B$8:$K$27,3,0),0)</f>
        <v>0</v>
      </c>
      <c r="M65" s="1614">
        <f>IF(M$9&lt;&gt;"",VLOOKUP(M$9,Distribution!$B$8:$K$27,3,0),0)</f>
        <v>0</v>
      </c>
      <c r="N65" s="1614">
        <f>IF(N$9&lt;&gt;"",VLOOKUP(N$9,Distribution!$B$8:$K$27,3,0),0)</f>
        <v>0</v>
      </c>
      <c r="O65" s="1614">
        <f>IF(O$9&lt;&gt;"",VLOOKUP(O$9,Distribution!$B$8:$K$27,3,0),0)</f>
        <v>7.0000000000000007E-2</v>
      </c>
      <c r="P65" s="1614">
        <f>IF(P$9&lt;&gt;"",VLOOKUP(P$9,Distribution!$B$8:$K$27,3,0),0)</f>
        <v>0</v>
      </c>
      <c r="Q65" s="1614">
        <f>IF(Q$9&lt;&gt;"",VLOOKUP(Q$9,Distribution!$B$8:$K$27,3,0),0)</f>
        <v>0</v>
      </c>
      <c r="R65" s="1614">
        <f>IF(R$9&lt;&gt;"",VLOOKUP(R$9,Distribution!$B$8:$K$27,3,0),0)</f>
        <v>0</v>
      </c>
      <c r="S65" s="1614">
        <f>IF(S$9&lt;&gt;"",VLOOKUP(S$9,Distribution!$B$8:$K$27,3,0),0)</f>
        <v>7.0000000000000007E-2</v>
      </c>
      <c r="T65" s="1614">
        <f>IF(T$9&lt;&gt;"",VLOOKUP(T$9,Distribution!$B$8:$K$27,3,0),0)</f>
        <v>7.0000000000000007E-2</v>
      </c>
      <c r="U65" s="1614">
        <f>IF(U$9&lt;&gt;"",VLOOKUP(U$9,Distribution!$B$8:$K$27,3,0),0)</f>
        <v>7.0000000000000007E-2</v>
      </c>
      <c r="V65" s="1614">
        <f>IF(V$9&lt;&gt;"",VLOOKUP(V$9,Distribution!$B$8:$K$27,3,0),0)</f>
        <v>7.0000000000000007E-2</v>
      </c>
      <c r="W65" s="1614">
        <f>IF(W$9&lt;&gt;"",VLOOKUP(W$9,Distribution!$B$8:$K$27,3,0),0)</f>
        <v>0</v>
      </c>
      <c r="X65" s="1614">
        <f>IF(X$9&lt;&gt;"",VLOOKUP(X$9,Distribution!$B$8:$K$27,3,0),0)</f>
        <v>0</v>
      </c>
      <c r="Y65" s="1614">
        <f>IF(Y$9&lt;&gt;"",VLOOKUP(Y$9,Distribution!$B$8:$K$27,3,0),0)</f>
        <v>0</v>
      </c>
      <c r="Z65" s="1614">
        <f>IF(Z$9&lt;&gt;"",VLOOKUP(Z$9,Distribution!$B$8:$K$27,3,0),0)</f>
        <v>0</v>
      </c>
      <c r="AA65" s="1614">
        <f>IF(AA$9&lt;&gt;"",VLOOKUP(AA$9,Distribution!$B$8:$K$27,3,0),0)</f>
        <v>0</v>
      </c>
      <c r="AB65" s="1614">
        <f>IF(AB$9&lt;&gt;"",VLOOKUP(AB$9,Distribution!$B$8:$K$27,3,0),0)</f>
        <v>0</v>
      </c>
      <c r="AC65" s="1614">
        <f>IF(AC$9&lt;&gt;"",VLOOKUP(AC$9,Distribution!$B$8:$K$27,3,0),0)</f>
        <v>0</v>
      </c>
      <c r="AD65" s="1614">
        <f>IF(AD$9&lt;&gt;"",VLOOKUP(AD$9,Distribution!$B$8:$K$27,3,0),0)</f>
        <v>0</v>
      </c>
      <c r="AE65" s="1614">
        <f>IF(AE$9&lt;&gt;"",VLOOKUP(AE$9,Distribution!$B$8:$K$27,3,0),0)</f>
        <v>0</v>
      </c>
      <c r="AF65" s="1614">
        <f>IF(AF$9&lt;&gt;"",VLOOKUP(AF$9,Distribution!$B$8:$K$27,3,0),0)</f>
        <v>0</v>
      </c>
      <c r="AG65" s="1614">
        <f>IF(AG$9&lt;&gt;"",VLOOKUP(AG$9,Distribution!$B$8:$K$27,3,0),0)</f>
        <v>0</v>
      </c>
      <c r="AH65" s="1614">
        <f>IF(AH$9&lt;&gt;"",VLOOKUP(AH$9,Distribution!$B$8:$K$27,3,0),0)</f>
        <v>0</v>
      </c>
      <c r="AI65" s="1614">
        <f>IF(AI$9&lt;&gt;"",VLOOKUP(AI$9,Distribution!$B$8:$K$27,3,0),0)</f>
        <v>0</v>
      </c>
      <c r="AJ65" s="1614">
        <f>IF(AJ$9&lt;&gt;"",VLOOKUP(AJ$9,Distribution!$B$8:$K$27,3,0),0)</f>
        <v>0</v>
      </c>
      <c r="AK65" s="1614">
        <f>IF(AK$9&lt;&gt;"",VLOOKUP(AK$9,Distribution!$B$8:$K$27,3,0),0)</f>
        <v>0</v>
      </c>
      <c r="AL65" s="1614">
        <f>IF(AL$9&lt;&gt;"",VLOOKUP(AL$9,Distribution!$B$8:$K$27,3,0),0)</f>
        <v>0</v>
      </c>
    </row>
    <row r="66" spans="1:38" s="664" customFormat="1" ht="12.75" outlineLevel="1">
      <c r="A66" s="1128">
        <f>ROW('Naturgas komprimering'!$A$88)</f>
        <v>88</v>
      </c>
      <c r="B66" s="1128">
        <f>COLUMN('Naturgas komprimering'!$D$1)+chosenYear-1</f>
        <v>4</v>
      </c>
      <c r="C66" s="698"/>
      <c r="D66" s="476" t="s">
        <v>809</v>
      </c>
      <c r="E66" s="779" t="s">
        <v>29</v>
      </c>
      <c r="F66" s="1614">
        <f ca="1">IF(F$12&lt;&gt;"",INDIRECT(ADDRESS($A66,$B66,,,F$12)),1)</f>
        <v>1</v>
      </c>
      <c r="G66" s="1614">
        <f t="shared" ref="G66:AL66" ca="1" si="24">IF(G$12&lt;&gt;"",INDIRECT(ADDRESS($A66,$B66,,,G$12)),1)</f>
        <v>1</v>
      </c>
      <c r="H66" s="1614">
        <f t="shared" ca="1" si="24"/>
        <v>1</v>
      </c>
      <c r="I66" s="1614">
        <f t="shared" ca="1" si="24"/>
        <v>1</v>
      </c>
      <c r="J66" s="1614">
        <f t="shared" ca="1" si="24"/>
        <v>0.97851187913421267</v>
      </c>
      <c r="K66" s="1614">
        <f t="shared" ca="1" si="24"/>
        <v>0.93500000000000005</v>
      </c>
      <c r="L66" s="1614">
        <f t="shared" ca="1" si="24"/>
        <v>1</v>
      </c>
      <c r="M66" s="1614">
        <f t="shared" ca="1" si="24"/>
        <v>1</v>
      </c>
      <c r="N66" s="1614">
        <f t="shared" ca="1" si="24"/>
        <v>1</v>
      </c>
      <c r="O66" s="1614">
        <f t="shared" ca="1" si="24"/>
        <v>0.80651578947368419</v>
      </c>
      <c r="P66" s="1614">
        <f t="shared" ca="1" si="24"/>
        <v>1</v>
      </c>
      <c r="Q66" s="1614">
        <f t="shared" ca="1" si="24"/>
        <v>1</v>
      </c>
      <c r="R66" s="1614">
        <f t="shared" ca="1" si="24"/>
        <v>0.97851187913421267</v>
      </c>
      <c r="S66" s="1614">
        <f t="shared" ca="1" si="24"/>
        <v>0.66709722222222223</v>
      </c>
      <c r="T66" s="1614">
        <f t="shared" ca="1" si="24"/>
        <v>0.9</v>
      </c>
      <c r="U66" s="1614">
        <f t="shared" ca="1" si="24"/>
        <v>0.9</v>
      </c>
      <c r="V66" s="1614">
        <f t="shared" ca="1" si="24"/>
        <v>0.95</v>
      </c>
      <c r="W66" s="1614">
        <f t="shared" ca="1" si="24"/>
        <v>1</v>
      </c>
      <c r="X66" s="1614">
        <f t="shared" ca="1" si="24"/>
        <v>1</v>
      </c>
      <c r="Y66" s="1614">
        <f t="shared" ca="1" si="24"/>
        <v>1</v>
      </c>
      <c r="Z66" s="1614">
        <f t="shared" ca="1" si="24"/>
        <v>1</v>
      </c>
      <c r="AA66" s="1614">
        <f t="shared" ca="1" si="24"/>
        <v>1</v>
      </c>
      <c r="AB66" s="1614">
        <f t="shared" ca="1" si="24"/>
        <v>1</v>
      </c>
      <c r="AC66" s="1614">
        <f t="shared" ca="1" si="24"/>
        <v>1</v>
      </c>
      <c r="AD66" s="1614">
        <f t="shared" ca="1" si="24"/>
        <v>1</v>
      </c>
      <c r="AE66" s="1614">
        <f t="shared" ca="1" si="24"/>
        <v>1</v>
      </c>
      <c r="AF66" s="1614">
        <f t="shared" ca="1" si="24"/>
        <v>1</v>
      </c>
      <c r="AG66" s="1614">
        <f t="shared" ca="1" si="24"/>
        <v>1</v>
      </c>
      <c r="AH66" s="1614">
        <f t="shared" ca="1" si="24"/>
        <v>1</v>
      </c>
      <c r="AI66" s="1614">
        <f t="shared" ca="1" si="24"/>
        <v>1</v>
      </c>
      <c r="AJ66" s="1614">
        <f t="shared" ca="1" si="24"/>
        <v>1</v>
      </c>
      <c r="AK66" s="1614">
        <f t="shared" ca="1" si="24"/>
        <v>1</v>
      </c>
      <c r="AL66" s="1614">
        <f t="shared" ca="1" si="24"/>
        <v>1</v>
      </c>
    </row>
    <row r="67" spans="1:38" s="664" customFormat="1" ht="12.75" outlineLevel="1">
      <c r="A67" s="1125"/>
      <c r="B67" s="1125"/>
      <c r="D67" s="479" t="s">
        <v>813</v>
      </c>
      <c r="E67" s="779" t="s">
        <v>29</v>
      </c>
      <c r="F67" s="507">
        <f t="shared" ref="F67:AD67" si="25">1/(1+F68)-F69</f>
        <v>0.99889012208657058</v>
      </c>
      <c r="G67" s="507">
        <f t="shared" si="25"/>
        <v>0.9987882787761494</v>
      </c>
      <c r="H67" s="507">
        <f t="shared" si="25"/>
        <v>0.99884819796351831</v>
      </c>
      <c r="I67" s="507">
        <f t="shared" si="25"/>
        <v>0.99900058981584627</v>
      </c>
      <c r="J67" s="507">
        <f t="shared" si="25"/>
        <v>1</v>
      </c>
      <c r="K67" s="507">
        <f>1/(1+K68)-K69</f>
        <v>1</v>
      </c>
      <c r="L67" s="507">
        <f t="shared" si="25"/>
        <v>0.9982637991374177</v>
      </c>
      <c r="M67" s="507">
        <f t="shared" si="25"/>
        <v>0.9982637991374177</v>
      </c>
      <c r="N67" s="507">
        <f t="shared" si="25"/>
        <v>0.99748091406832384</v>
      </c>
      <c r="O67" s="507">
        <f t="shared" si="25"/>
        <v>0.99748091406832384</v>
      </c>
      <c r="P67" s="507">
        <f t="shared" si="25"/>
        <v>0.99889012208657058</v>
      </c>
      <c r="Q67" s="507">
        <f t="shared" si="25"/>
        <v>0.99790992029167414</v>
      </c>
      <c r="R67" s="507">
        <f t="shared" si="25"/>
        <v>1</v>
      </c>
      <c r="S67" s="507">
        <f t="shared" si="25"/>
        <v>1</v>
      </c>
      <c r="T67" s="507">
        <f t="shared" si="25"/>
        <v>1</v>
      </c>
      <c r="U67" s="507">
        <f t="shared" si="25"/>
        <v>1</v>
      </c>
      <c r="V67" s="507">
        <f>1/(1+V68)-V69</f>
        <v>1</v>
      </c>
      <c r="W67" s="507">
        <f t="shared" si="25"/>
        <v>0.99884819796351831</v>
      </c>
      <c r="X67" s="507">
        <f>1/(1+X68)-X69</f>
        <v>0.99868139469531569</v>
      </c>
      <c r="Y67" s="507">
        <f>1/(1+Y68)-Y69</f>
        <v>0.9982637991374177</v>
      </c>
      <c r="Z67" s="507">
        <f>1/(1+Z68)-Z69</f>
        <v>1</v>
      </c>
      <c r="AA67" s="507">
        <f>1/(1+AA68)-AA69</f>
        <v>1</v>
      </c>
      <c r="AB67" s="507">
        <f t="shared" si="25"/>
        <v>1</v>
      </c>
      <c r="AC67" s="507">
        <f t="shared" si="25"/>
        <v>1</v>
      </c>
      <c r="AD67" s="507">
        <f t="shared" si="25"/>
        <v>1</v>
      </c>
      <c r="AE67" s="507">
        <f t="shared" ref="AE67:AL67" si="26">1/(1+AE68)-AE69</f>
        <v>1</v>
      </c>
      <c r="AF67" s="507">
        <f t="shared" si="26"/>
        <v>1</v>
      </c>
      <c r="AG67" s="507">
        <f t="shared" si="26"/>
        <v>1</v>
      </c>
      <c r="AH67" s="507">
        <f t="shared" si="26"/>
        <v>1</v>
      </c>
      <c r="AI67" s="507">
        <f t="shared" si="26"/>
        <v>1</v>
      </c>
      <c r="AJ67" s="507">
        <f t="shared" si="26"/>
        <v>1</v>
      </c>
      <c r="AK67" s="507">
        <f t="shared" si="26"/>
        <v>1</v>
      </c>
      <c r="AL67" s="507">
        <f t="shared" si="26"/>
        <v>1</v>
      </c>
    </row>
    <row r="68" spans="1:38" s="664" customFormat="1" ht="12.75" outlineLevel="1">
      <c r="A68" s="1125"/>
      <c r="B68" s="1125"/>
      <c r="D68" s="476" t="s">
        <v>811</v>
      </c>
      <c r="E68" s="779" t="s">
        <v>29</v>
      </c>
      <c r="F68" s="1614">
        <f>IF(F$10&lt;&gt;"",VLOOKUP(F$10,Distribution!$B$8:$K$27,4,0),0)</f>
        <v>1.1111111111111111E-3</v>
      </c>
      <c r="G68" s="1614">
        <f>IF(G$10&lt;&gt;"",VLOOKUP(G$10,Distribution!$B$8:$K$27,4,0),0)</f>
        <v>1.2131912734652465E-3</v>
      </c>
      <c r="H68" s="1614">
        <f>IF(H$10&lt;&gt;"",VLOOKUP(H$10,Distribution!$B$8:$K$27,4,0),0)</f>
        <v>1.1531302142106228E-3</v>
      </c>
      <c r="I68" s="1614">
        <f>IF(I$10&lt;&gt;"",VLOOKUP(I$10,Distribution!$B$8:$K$27,4,0),0)</f>
        <v>1.0004100041000412E-3</v>
      </c>
      <c r="J68" s="1614">
        <f>IF(J$10&lt;&gt;"",VLOOKUP(J$10,Distribution!$B$8:$K$27,4,0),0)</f>
        <v>0</v>
      </c>
      <c r="K68" s="1614">
        <f>IF(K$10&lt;&gt;"",VLOOKUP(K$10,Distribution!$B$8:$K$27,4,0),0)</f>
        <v>0</v>
      </c>
      <c r="L68" s="1614">
        <f>IF(L$10&lt;&gt;"",VLOOKUP(L$10,Distribution!$B$8:$K$27,4,0),0)</f>
        <v>1.7392204987123139E-3</v>
      </c>
      <c r="M68" s="1614">
        <f>IF(M$10&lt;&gt;"",VLOOKUP(M$10,Distribution!$B$8:$K$27,4,0),0)</f>
        <v>1.7392204987123139E-3</v>
      </c>
      <c r="N68" s="1614">
        <f>IF(N$10&lt;&gt;"",VLOOKUP(N$10,Distribution!$B$8:$K$27,4,0),0)</f>
        <v>2.5254477515784051E-3</v>
      </c>
      <c r="O68" s="1614">
        <f>IF(O$10&lt;&gt;"",VLOOKUP(O$10,Distribution!$B$8:$K$27,4,0),0)</f>
        <v>2.5254477515784051E-3</v>
      </c>
      <c r="P68" s="1614">
        <f>IF(P$10&lt;&gt;"",VLOOKUP(P$10,Distribution!$B$8:$K$27,4,0),0)</f>
        <v>1.1111111111111111E-3</v>
      </c>
      <c r="Q68" s="1614">
        <f>IF(Q$10&lt;&gt;"",VLOOKUP(Q$10,Distribution!$B$8:$K$27,4,0),0)</f>
        <v>2.0944572910097403E-3</v>
      </c>
      <c r="R68" s="1614">
        <f>IF(R$10&lt;&gt;"",VLOOKUP(R$10,Distribution!$B$8:$K$27,4,0),0)</f>
        <v>0</v>
      </c>
      <c r="S68" s="1614">
        <f>IF(S$10&lt;&gt;"",VLOOKUP(S$10,Distribution!$B$8:$K$27,4,0),0)</f>
        <v>0</v>
      </c>
      <c r="T68" s="1614">
        <f>IF(T$10&lt;&gt;"",VLOOKUP(T$10,Distribution!$B$8:$K$27,4,0),0)</f>
        <v>0</v>
      </c>
      <c r="U68" s="1614">
        <f>IF(U$10&lt;&gt;"",VLOOKUP(U$10,Distribution!$B$8:$K$27,4,0),0)</f>
        <v>0</v>
      </c>
      <c r="V68" s="1614">
        <f>IF(V$10&lt;&gt;"",VLOOKUP(V$10,Distribution!$B$8:$K$27,4,0),0)</f>
        <v>0</v>
      </c>
      <c r="W68" s="1614">
        <f>IF(W$10&lt;&gt;"",VLOOKUP(W$10,Distribution!$B$8:$K$27,4,0),0)</f>
        <v>1.1531302142106228E-3</v>
      </c>
      <c r="X68" s="1614">
        <f>IF(X$10&lt;&gt;"",VLOOKUP(X$10,Distribution!$B$8:$K$27,4,0),0)</f>
        <v>1.3203463203463207E-3</v>
      </c>
      <c r="Y68" s="1614">
        <f>IF(Y$10&lt;&gt;"",VLOOKUP(Y$10,Distribution!$B$8:$K$27,4,0),0)</f>
        <v>1.7392204987123139E-3</v>
      </c>
      <c r="Z68" s="1614">
        <f>IF(Z$10&lt;&gt;"",VLOOKUP(Z$10,Distribution!$B$8:$K$27,4,0),0)</f>
        <v>0</v>
      </c>
      <c r="AA68" s="1614">
        <f>IF(AA$10&lt;&gt;"",VLOOKUP(AA$10,Distribution!$B$8:$K$27,4,0),0)</f>
        <v>0</v>
      </c>
      <c r="AB68" s="1614">
        <f>IF(AB$10&lt;&gt;"",VLOOKUP(AB$10,Distribution!$B$8:$K$27,4,0),0)</f>
        <v>0</v>
      </c>
      <c r="AC68" s="1614">
        <f>IF(AC$10&lt;&gt;"",VLOOKUP(AC$10,Distribution!$B$8:$K$27,4,0),0)</f>
        <v>0</v>
      </c>
      <c r="AD68" s="1614">
        <f>IF(AD$10&lt;&gt;"",VLOOKUP(AD$10,Distribution!$B$8:$K$27,4,0),0)</f>
        <v>0</v>
      </c>
      <c r="AE68" s="1614">
        <f>IF(AE$10&lt;&gt;"",VLOOKUP(AE$10,Distribution!$B$8:$K$27,4,0),0)</f>
        <v>0</v>
      </c>
      <c r="AF68" s="1614">
        <f>IF(AF$10&lt;&gt;"",VLOOKUP(AF$10,Distribution!$B$8:$K$27,4,0),0)</f>
        <v>0</v>
      </c>
      <c r="AG68" s="1614">
        <f>IF(AG$10&lt;&gt;"",VLOOKUP(AG$10,Distribution!$B$8:$K$27,4,0),0)</f>
        <v>0</v>
      </c>
      <c r="AH68" s="1614">
        <f>IF(AH$10&lt;&gt;"",VLOOKUP(AH$10,Distribution!$B$8:$K$27,4,0),0)</f>
        <v>0</v>
      </c>
      <c r="AI68" s="1614">
        <f>IF(AI$10&lt;&gt;"",VLOOKUP(AI$10,Distribution!$B$8:$K$27,4,0),0)</f>
        <v>0</v>
      </c>
      <c r="AJ68" s="1614">
        <f>IF(AJ$10&lt;&gt;"",VLOOKUP(AJ$10,Distribution!$B$8:$K$27,4,0),0)</f>
        <v>0</v>
      </c>
      <c r="AK68" s="1614">
        <f>IF(AK$10&lt;&gt;"",VLOOKUP(AK$10,Distribution!$B$8:$K$27,4,0),0)</f>
        <v>0</v>
      </c>
      <c r="AL68" s="1614">
        <f>IF(AL$10&lt;&gt;"",VLOOKUP(AL$10,Distribution!$B$8:$K$27,4,0),0)</f>
        <v>0</v>
      </c>
    </row>
    <row r="69" spans="1:38" s="664" customFormat="1" ht="12.75" outlineLevel="1">
      <c r="A69" s="1125"/>
      <c r="B69" s="1125"/>
      <c r="D69" s="774" t="s">
        <v>810</v>
      </c>
      <c r="E69" s="493" t="s">
        <v>29</v>
      </c>
      <c r="F69" s="1615">
        <f>IF(F$10&lt;&gt;"",VLOOKUP(F$10,Distribution!$B$8:$K$27,3,0),0)</f>
        <v>0</v>
      </c>
      <c r="G69" s="1615">
        <f>IF(G$10&lt;&gt;"",VLOOKUP(G$10,Distribution!$B$8:$K$27,3,0),0)</f>
        <v>0</v>
      </c>
      <c r="H69" s="1615">
        <f>IF(H$10&lt;&gt;"",VLOOKUP(H$10,Distribution!$B$8:$K$27,3,0),0)</f>
        <v>0</v>
      </c>
      <c r="I69" s="1615">
        <f>IF(I$10&lt;&gt;"",VLOOKUP(I$10,Distribution!$B$8:$K$27,3,0),0)</f>
        <v>0</v>
      </c>
      <c r="J69" s="1615">
        <f>IF(J$10&lt;&gt;"",VLOOKUP(J$10,Distribution!$B$8:$K$27,3,0),0)</f>
        <v>0</v>
      </c>
      <c r="K69" s="1615">
        <f>IF(K$10&lt;&gt;"",VLOOKUP(K$10,Distribution!$B$8:$K$27,3,0),0)</f>
        <v>0</v>
      </c>
      <c r="L69" s="1615">
        <f>IF(L$10&lt;&gt;"",VLOOKUP(L$10,Distribution!$B$8:$K$27,3,0),0)</f>
        <v>0</v>
      </c>
      <c r="M69" s="1615">
        <f>IF(M$10&lt;&gt;"",VLOOKUP(M$10,Distribution!$B$8:$K$27,3,0),0)</f>
        <v>0</v>
      </c>
      <c r="N69" s="1615">
        <f>IF(N$10&lt;&gt;"",VLOOKUP(N$10,Distribution!$B$8:$K$27,3,0),0)</f>
        <v>0</v>
      </c>
      <c r="O69" s="1615">
        <f>IF(O$10&lt;&gt;"",VLOOKUP(O$10,Distribution!$B$8:$K$27,3,0),0)</f>
        <v>0</v>
      </c>
      <c r="P69" s="1615">
        <f>IF(P$10&lt;&gt;"",VLOOKUP(P$10,Distribution!$B$8:$K$27,3,0),0)</f>
        <v>0</v>
      </c>
      <c r="Q69" s="1615">
        <f>IF(Q$10&lt;&gt;"",VLOOKUP(Q$10,Distribution!$B$8:$K$27,3,0),0)</f>
        <v>0</v>
      </c>
      <c r="R69" s="1615">
        <f>IF(R$10&lt;&gt;"",VLOOKUP(R$10,Distribution!$B$8:$K$27,3,0),0)</f>
        <v>0</v>
      </c>
      <c r="S69" s="1615">
        <f>IF(S$10&lt;&gt;"",VLOOKUP(S$10,Distribution!$B$8:$K$27,3,0),0)</f>
        <v>0</v>
      </c>
      <c r="T69" s="1615">
        <f>IF(T$10&lt;&gt;"",VLOOKUP(T$10,Distribution!$B$8:$K$27,3,0),0)</f>
        <v>0</v>
      </c>
      <c r="U69" s="1615">
        <f>IF(U$10&lt;&gt;"",VLOOKUP(U$10,Distribution!$B$8:$K$27,3,0),0)</f>
        <v>0</v>
      </c>
      <c r="V69" s="1615">
        <f>IF(V$10&lt;&gt;"",VLOOKUP(V$10,Distribution!$B$8:$K$27,3,0),0)</f>
        <v>0</v>
      </c>
      <c r="W69" s="1615">
        <f>IF(W$10&lt;&gt;"",VLOOKUP(W$10,Distribution!$B$8:$K$27,3,0),0)</f>
        <v>0</v>
      </c>
      <c r="X69" s="1615">
        <f>IF(X$10&lt;&gt;"",VLOOKUP(X$10,Distribution!$B$8:$K$27,3,0),0)</f>
        <v>0</v>
      </c>
      <c r="Y69" s="1615">
        <f>IF(Y$10&lt;&gt;"",VLOOKUP(Y$10,Distribution!$B$8:$K$27,3,0),0)</f>
        <v>0</v>
      </c>
      <c r="Z69" s="1615">
        <f>IF(Z$10&lt;&gt;"",VLOOKUP(Z$10,Distribution!$B$8:$K$27,3,0),0)</f>
        <v>0</v>
      </c>
      <c r="AA69" s="1615">
        <f>IF(AA$10&lt;&gt;"",VLOOKUP(AA$10,Distribution!$B$8:$K$27,3,0),0)</f>
        <v>0</v>
      </c>
      <c r="AB69" s="1615">
        <f>IF(AB$10&lt;&gt;"",VLOOKUP(AB$10,Distribution!$B$8:$K$27,3,0),0)</f>
        <v>0</v>
      </c>
      <c r="AC69" s="1615">
        <f>IF(AC$10&lt;&gt;"",VLOOKUP(AC$10,Distribution!$B$8:$K$27,3,0),0)</f>
        <v>0</v>
      </c>
      <c r="AD69" s="1615">
        <f>IF(AD$10&lt;&gt;"",VLOOKUP(AD$10,Distribution!$B$8:$K$27,3,0),0)</f>
        <v>0</v>
      </c>
      <c r="AE69" s="1615">
        <f>IF(AE$10&lt;&gt;"",VLOOKUP(AE$10,Distribution!$B$8:$K$27,3,0),0)</f>
        <v>0</v>
      </c>
      <c r="AF69" s="1615">
        <f>IF(AF$10&lt;&gt;"",VLOOKUP(AF$10,Distribution!$B$8:$K$27,3,0),0)</f>
        <v>0</v>
      </c>
      <c r="AG69" s="1615">
        <f>IF(AG$10&lt;&gt;"",VLOOKUP(AG$10,Distribution!$B$8:$K$27,3,0),0)</f>
        <v>0</v>
      </c>
      <c r="AH69" s="1615">
        <f>IF(AH$10&lt;&gt;"",VLOOKUP(AH$10,Distribution!$B$8:$K$27,3,0),0)</f>
        <v>0</v>
      </c>
      <c r="AI69" s="1615">
        <f>IF(AI$10&lt;&gt;"",VLOOKUP(AI$10,Distribution!$B$8:$K$27,3,0),0)</f>
        <v>0</v>
      </c>
      <c r="AJ69" s="1615">
        <f>IF(AJ$10&lt;&gt;"",VLOOKUP(AJ$10,Distribution!$B$8:$K$27,3,0),0)</f>
        <v>0</v>
      </c>
      <c r="AK69" s="1615">
        <f>IF(AK$10&lt;&gt;"",VLOOKUP(AK$10,Distribution!$B$8:$K$27,3,0),0)</f>
        <v>0</v>
      </c>
      <c r="AL69" s="1615">
        <f>IF(AL$10&lt;&gt;"",VLOOKUP(AL$10,Distribution!$B$8:$K$27,3,0),0)</f>
        <v>0</v>
      </c>
    </row>
    <row r="70" spans="1:38" s="664" customFormat="1" ht="12.75" outlineLevel="1">
      <c r="A70" s="1125"/>
      <c r="B70" s="1125"/>
      <c r="D70" s="489" t="s">
        <v>814</v>
      </c>
      <c r="E70" s="488"/>
      <c r="F70" s="489"/>
      <c r="G70" s="489"/>
      <c r="H70" s="489"/>
      <c r="I70" s="489"/>
      <c r="J70" s="489"/>
      <c r="K70" s="489"/>
      <c r="L70" s="489"/>
      <c r="M70" s="489"/>
      <c r="N70" s="489"/>
      <c r="O70" s="489"/>
      <c r="P70" s="489"/>
      <c r="Q70" s="489"/>
      <c r="R70" s="489"/>
      <c r="S70" s="489"/>
      <c r="T70" s="489"/>
      <c r="U70" s="489"/>
      <c r="V70" s="489"/>
      <c r="W70" s="489"/>
      <c r="X70" s="489"/>
      <c r="Y70" s="489"/>
      <c r="Z70" s="489"/>
      <c r="AA70" s="489"/>
      <c r="AB70" s="489"/>
      <c r="AC70" s="489"/>
      <c r="AD70" s="489"/>
      <c r="AE70" s="489"/>
      <c r="AF70" s="489"/>
      <c r="AG70" s="489"/>
      <c r="AH70" s="489"/>
      <c r="AI70" s="489"/>
      <c r="AJ70" s="489"/>
      <c r="AK70" s="489"/>
      <c r="AL70" s="489"/>
    </row>
    <row r="71" spans="1:38" s="664" customFormat="1" outlineLevel="1">
      <c r="A71" s="1125"/>
      <c r="B71" s="1125"/>
      <c r="E71" s="667"/>
    </row>
    <row r="72" spans="1:38" s="664" customFormat="1" outlineLevel="1">
      <c r="A72" s="1125"/>
      <c r="B72" s="1125"/>
      <c r="E72" s="667"/>
    </row>
    <row r="73" spans="1:38" s="664" customFormat="1">
      <c r="A73" s="1125"/>
      <c r="B73" s="1125"/>
      <c r="E73" s="667"/>
    </row>
    <row r="74" spans="1:38" s="765" customFormat="1" ht="17.25">
      <c r="A74" s="765" t="s">
        <v>49</v>
      </c>
      <c r="E74" s="766"/>
    </row>
    <row r="75" spans="1:38" ht="11.25" customHeight="1" outlineLevel="1">
      <c r="A75" s="1130"/>
    </row>
    <row r="76" spans="1:38" s="780" customFormat="1" ht="15.75" outlineLevel="1">
      <c r="A76" s="780" t="s">
        <v>767</v>
      </c>
      <c r="E76" s="781"/>
    </row>
    <row r="77" spans="1:38" s="469" customFormat="1" ht="11.25" customHeight="1" outlineLevel="2">
      <c r="A77" s="1131"/>
      <c r="B77" s="1131"/>
      <c r="E77" s="782"/>
    </row>
    <row r="78" spans="1:38" s="489" customFormat="1" ht="12.75" outlineLevel="2">
      <c r="A78" s="1126"/>
      <c r="B78" s="1126"/>
      <c r="D78" s="752" t="s">
        <v>815</v>
      </c>
      <c r="E78" s="488"/>
      <c r="F78" s="489" t="s">
        <v>789</v>
      </c>
    </row>
    <row r="79" spans="1:38" s="489" customFormat="1" ht="12.75" outlineLevel="2">
      <c r="A79" s="1132">
        <f>ROW(Diesel!$A$86)</f>
        <v>86</v>
      </c>
      <c r="B79" s="1126">
        <f>COLUMN(Diesel!$D$1)+chosenYear-1</f>
        <v>4</v>
      </c>
      <c r="D79" s="713" t="s">
        <v>816</v>
      </c>
      <c r="E79" s="1626" t="s">
        <v>449</v>
      </c>
      <c r="F79" s="1634">
        <f ca="1">IF(F$11="",1,INDIRECT(ADDRESS($A79,$B79,,,F$11)))</f>
        <v>0.47005025238867859</v>
      </c>
      <c r="G79" s="1634">
        <f t="shared" ref="G79:AL79" ca="1" si="27">IF(G$11="",1,INDIRECT(ADDRESS($A79,$B79,,,G$11)))</f>
        <v>0.34570375878853432</v>
      </c>
      <c r="H79" s="1634">
        <f t="shared" ca="1" si="27"/>
        <v>9.4037317468902096E-3</v>
      </c>
      <c r="I79" s="1634">
        <f t="shared" ca="1" si="27"/>
        <v>0.16099327339102218</v>
      </c>
      <c r="J79" s="1634">
        <f t="shared" ca="1" si="27"/>
        <v>1</v>
      </c>
      <c r="K79" s="1634">
        <f t="shared" ca="1" si="27"/>
        <v>1</v>
      </c>
      <c r="L79" s="1634">
        <f t="shared" ca="1" si="27"/>
        <v>0.57471264367816088</v>
      </c>
      <c r="M79" s="1634">
        <f t="shared" ca="1" si="27"/>
        <v>0.41666666666666669</v>
      </c>
      <c r="N79" s="1634">
        <f t="shared" ca="1" si="27"/>
        <v>0.52631578947368418</v>
      </c>
      <c r="O79" s="1634">
        <f t="shared" ca="1" si="27"/>
        <v>0.94474816369359926</v>
      </c>
      <c r="P79" s="1634">
        <f t="shared" ca="1" si="27"/>
        <v>0.4</v>
      </c>
      <c r="Q79" s="1634">
        <f t="shared" ca="1" si="27"/>
        <v>0.52631578947368418</v>
      </c>
      <c r="R79" s="1634">
        <f t="shared" ca="1" si="27"/>
        <v>1.1083658306896249</v>
      </c>
      <c r="S79" s="1634">
        <f t="shared" ca="1" si="27"/>
        <v>0.94474816369359926</v>
      </c>
      <c r="T79" s="1634">
        <f t="shared" ca="1" si="27"/>
        <v>0.94474816369359926</v>
      </c>
      <c r="U79" s="1634">
        <f t="shared" ca="1" si="27"/>
        <v>0.94474816369359926</v>
      </c>
      <c r="V79" s="1634">
        <f t="shared" ca="1" si="27"/>
        <v>0.94474816369359926</v>
      </c>
      <c r="W79" s="1634">
        <f t="shared" ca="1" si="27"/>
        <v>0.23809523809523805</v>
      </c>
      <c r="X79" s="1634">
        <f t="shared" ca="1" si="27"/>
        <v>0.64516129032258063</v>
      </c>
      <c r="Y79" s="1634">
        <f t="shared" ca="1" si="27"/>
        <v>0.55555555555555558</v>
      </c>
      <c r="Z79" s="1634">
        <f t="shared" ca="1" si="27"/>
        <v>1</v>
      </c>
      <c r="AA79" s="1634">
        <f t="shared" ca="1" si="27"/>
        <v>1</v>
      </c>
      <c r="AB79" s="1634">
        <f t="shared" ca="1" si="27"/>
        <v>1</v>
      </c>
      <c r="AC79" s="1634">
        <f t="shared" ca="1" si="27"/>
        <v>1</v>
      </c>
      <c r="AD79" s="1634">
        <f t="shared" ca="1" si="27"/>
        <v>1</v>
      </c>
      <c r="AE79" s="1634">
        <f t="shared" ca="1" si="27"/>
        <v>1</v>
      </c>
      <c r="AF79" s="1634">
        <f t="shared" ca="1" si="27"/>
        <v>1</v>
      </c>
      <c r="AG79" s="1634">
        <f t="shared" ca="1" si="27"/>
        <v>1</v>
      </c>
      <c r="AH79" s="1634">
        <f t="shared" ca="1" si="27"/>
        <v>1</v>
      </c>
      <c r="AI79" s="1634">
        <f t="shared" ca="1" si="27"/>
        <v>1</v>
      </c>
      <c r="AJ79" s="1634">
        <f t="shared" ca="1" si="27"/>
        <v>1</v>
      </c>
      <c r="AK79" s="1634">
        <f t="shared" ca="1" si="27"/>
        <v>1</v>
      </c>
      <c r="AL79" s="1634">
        <f t="shared" ca="1" si="27"/>
        <v>1</v>
      </c>
    </row>
    <row r="80" spans="1:38" s="489" customFormat="1" ht="12.75" outlineLevel="2">
      <c r="A80" s="1126"/>
      <c r="B80" s="1126"/>
      <c r="D80" s="494" t="s">
        <v>764</v>
      </c>
      <c r="E80" s="715"/>
      <c r="F80" s="805"/>
      <c r="G80" s="773"/>
      <c r="H80" s="773"/>
      <c r="I80" s="773"/>
      <c r="J80" s="773"/>
      <c r="K80" s="773"/>
      <c r="L80" s="773"/>
      <c r="M80" s="773"/>
      <c r="N80" s="773"/>
      <c r="O80" s="773"/>
      <c r="P80" s="773"/>
      <c r="Q80" s="805"/>
      <c r="R80" s="805"/>
      <c r="S80" s="773"/>
      <c r="T80" s="773"/>
      <c r="U80" s="773"/>
      <c r="V80" s="773"/>
      <c r="W80" s="773"/>
      <c r="X80" s="773"/>
      <c r="Y80" s="773"/>
      <c r="Z80" s="773"/>
      <c r="AA80" s="773"/>
      <c r="AB80" s="773"/>
      <c r="AC80" s="773"/>
      <c r="AD80" s="773"/>
      <c r="AE80" s="773"/>
      <c r="AF80" s="773"/>
      <c r="AG80" s="773"/>
      <c r="AH80" s="773"/>
      <c r="AI80" s="773"/>
      <c r="AJ80" s="773"/>
      <c r="AK80" s="773"/>
      <c r="AL80" s="773"/>
    </row>
    <row r="81" spans="1:38" s="489" customFormat="1" ht="12.75" outlineLevel="2">
      <c r="A81" s="1126"/>
      <c r="B81" s="1126"/>
      <c r="D81" s="714"/>
      <c r="E81" s="715"/>
      <c r="F81" s="788"/>
      <c r="G81" s="773"/>
      <c r="H81" s="773"/>
      <c r="I81" s="773"/>
      <c r="J81" s="773"/>
      <c r="K81" s="773"/>
      <c r="L81" s="773"/>
      <c r="M81" s="773"/>
      <c r="N81" s="773"/>
      <c r="O81" s="773"/>
      <c r="P81" s="773"/>
      <c r="Q81" s="788"/>
      <c r="R81" s="788"/>
      <c r="S81" s="773"/>
      <c r="T81" s="773"/>
      <c r="U81" s="773"/>
      <c r="V81" s="773"/>
      <c r="W81" s="773"/>
      <c r="X81" s="773"/>
      <c r="Y81" s="773"/>
      <c r="Z81" s="773"/>
      <c r="AA81" s="773"/>
      <c r="AB81" s="773"/>
      <c r="AC81" s="773"/>
      <c r="AD81" s="773"/>
      <c r="AE81" s="773"/>
      <c r="AF81" s="773"/>
      <c r="AG81" s="773"/>
      <c r="AH81" s="773"/>
      <c r="AI81" s="773"/>
      <c r="AJ81" s="773"/>
      <c r="AK81" s="773"/>
      <c r="AL81" s="773"/>
    </row>
    <row r="82" spans="1:38" s="489" customFormat="1" ht="12.75" outlineLevel="2">
      <c r="A82" s="1126"/>
      <c r="B82" s="1126"/>
      <c r="D82" s="783" t="s">
        <v>712</v>
      </c>
      <c r="E82" s="488"/>
      <c r="F82" s="784"/>
      <c r="G82" s="784"/>
      <c r="H82" s="784"/>
      <c r="I82" s="784"/>
      <c r="J82" s="784"/>
      <c r="K82" s="784"/>
      <c r="L82" s="784"/>
      <c r="M82" s="784"/>
      <c r="N82" s="784"/>
      <c r="O82" s="784"/>
      <c r="P82" s="784"/>
      <c r="Q82" s="784"/>
      <c r="R82" s="784"/>
      <c r="S82" s="784"/>
      <c r="T82" s="784"/>
      <c r="U82" s="784"/>
      <c r="V82" s="784"/>
      <c r="W82" s="784"/>
      <c r="X82" s="784"/>
      <c r="Y82" s="784"/>
      <c r="Z82" s="784"/>
      <c r="AA82" s="784"/>
      <c r="AB82" s="784"/>
      <c r="AC82" s="784"/>
      <c r="AD82" s="784"/>
      <c r="AE82" s="784"/>
      <c r="AF82" s="784"/>
      <c r="AG82" s="784"/>
      <c r="AH82" s="784"/>
      <c r="AI82" s="784"/>
      <c r="AJ82" s="784"/>
      <c r="AK82" s="784"/>
      <c r="AL82" s="784"/>
    </row>
    <row r="83" spans="1:38" s="489" customFormat="1" ht="12.75" outlineLevel="2">
      <c r="A83" s="1132">
        <f>ROW(Diesel!$A$10)</f>
        <v>10</v>
      </c>
      <c r="B83" s="1126">
        <f>COLUMN(Diesel!$C$10)</f>
        <v>3</v>
      </c>
      <c r="D83" s="495" t="s">
        <v>2386</v>
      </c>
      <c r="E83" s="491"/>
      <c r="F83" s="2248" t="str">
        <f t="shared" ref="F83:AL83" ca="1" si="28">IF(F$11&lt;&gt;"",INDIRECT(ADDRESS($A83,$B83,,,F$11)),0)</f>
        <v>Economic</v>
      </c>
      <c r="G83" s="2248" t="str">
        <f t="shared" ca="1" si="28"/>
        <v>Economic</v>
      </c>
      <c r="H83" s="2248" t="str">
        <f t="shared" ca="1" si="28"/>
        <v>Economic</v>
      </c>
      <c r="I83" s="2248" t="str">
        <f t="shared" ca="1" si="28"/>
        <v>Economic</v>
      </c>
      <c r="J83" s="2248">
        <f t="shared" ca="1" si="28"/>
        <v>0</v>
      </c>
      <c r="K83" s="2248">
        <f t="shared" ca="1" si="28"/>
        <v>0</v>
      </c>
      <c r="L83" s="2248">
        <f t="shared" ca="1" si="28"/>
        <v>0</v>
      </c>
      <c r="M83" s="2248">
        <f t="shared" ca="1" si="28"/>
        <v>0</v>
      </c>
      <c r="N83" s="2248">
        <f t="shared" ca="1" si="28"/>
        <v>0</v>
      </c>
      <c r="O83" s="2248">
        <f t="shared" ca="1" si="28"/>
        <v>0</v>
      </c>
      <c r="P83" s="2248">
        <f t="shared" ca="1" si="28"/>
        <v>0</v>
      </c>
      <c r="Q83" s="2248">
        <f t="shared" ca="1" si="28"/>
        <v>0</v>
      </c>
      <c r="R83" s="2248">
        <f t="shared" ca="1" si="28"/>
        <v>0</v>
      </c>
      <c r="S83" s="2248">
        <f t="shared" ca="1" si="28"/>
        <v>0</v>
      </c>
      <c r="T83" s="2248">
        <f t="shared" ca="1" si="28"/>
        <v>0</v>
      </c>
      <c r="U83" s="2248">
        <f t="shared" ca="1" si="28"/>
        <v>0</v>
      </c>
      <c r="V83" s="2248">
        <f t="shared" ca="1" si="28"/>
        <v>0</v>
      </c>
      <c r="W83" s="2248">
        <f t="shared" ca="1" si="28"/>
        <v>0</v>
      </c>
      <c r="X83" s="2248">
        <f t="shared" ca="1" si="28"/>
        <v>0</v>
      </c>
      <c r="Y83" s="2248">
        <f t="shared" ca="1" si="28"/>
        <v>0</v>
      </c>
      <c r="Z83" s="2248">
        <f t="shared" ca="1" si="28"/>
        <v>0</v>
      </c>
      <c r="AA83" s="2248">
        <f t="shared" ca="1" si="28"/>
        <v>0</v>
      </c>
      <c r="AB83" s="2248">
        <f t="shared" ca="1" si="28"/>
        <v>0</v>
      </c>
      <c r="AC83" s="2248">
        <f t="shared" ca="1" si="28"/>
        <v>0</v>
      </c>
      <c r="AD83" s="2248">
        <f t="shared" ca="1" si="28"/>
        <v>0</v>
      </c>
      <c r="AE83" s="2248">
        <f t="shared" ca="1" si="28"/>
        <v>0</v>
      </c>
      <c r="AF83" s="2248">
        <f t="shared" ca="1" si="28"/>
        <v>0</v>
      </c>
      <c r="AG83" s="2248">
        <f t="shared" ca="1" si="28"/>
        <v>0</v>
      </c>
      <c r="AH83" s="2248">
        <f t="shared" ca="1" si="28"/>
        <v>0</v>
      </c>
      <c r="AI83" s="2248">
        <f t="shared" ca="1" si="28"/>
        <v>0</v>
      </c>
      <c r="AJ83" s="2248">
        <f t="shared" ca="1" si="28"/>
        <v>0</v>
      </c>
      <c r="AK83" s="2248">
        <f t="shared" ca="1" si="28"/>
        <v>0</v>
      </c>
      <c r="AL83" s="2248">
        <f t="shared" ca="1" si="28"/>
        <v>0</v>
      </c>
    </row>
    <row r="84" spans="1:38" s="489" customFormat="1" ht="12.75" outlineLevel="2">
      <c r="A84" s="1132"/>
      <c r="B84" s="1126"/>
      <c r="D84" s="714" t="s">
        <v>713</v>
      </c>
      <c r="E84" s="715" t="s">
        <v>785</v>
      </c>
      <c r="F84" s="1617">
        <f t="shared" ref="F84:AL84" ca="1" si="29">F38</f>
        <v>122.83706250981901</v>
      </c>
      <c r="G84" s="1617">
        <f t="shared" ca="1" si="29"/>
        <v>124.11375352315923</v>
      </c>
      <c r="H84" s="1617">
        <f t="shared" ca="1" si="29"/>
        <v>131.47531679119129</v>
      </c>
      <c r="I84" s="1617">
        <f t="shared" ca="1" si="29"/>
        <v>97.179989949498122</v>
      </c>
      <c r="J84" s="1617">
        <f t="shared" ca="1" si="29"/>
        <v>56.4</v>
      </c>
      <c r="K84" s="1617">
        <f ca="1">K38</f>
        <v>56.4</v>
      </c>
      <c r="L84" s="1617">
        <f t="shared" ca="1" si="29"/>
        <v>150.20277810288218</v>
      </c>
      <c r="M84" s="1617">
        <f t="shared" ca="1" si="29"/>
        <v>153.58130164075624</v>
      </c>
      <c r="N84" s="1617">
        <f t="shared" ca="1" si="29"/>
        <v>109.78764062882706</v>
      </c>
      <c r="O84" s="1617">
        <f t="shared" ca="1" si="29"/>
        <v>104.5261652310887</v>
      </c>
      <c r="P84" s="1617">
        <f t="shared" ca="1" si="29"/>
        <v>174.18965884443546</v>
      </c>
      <c r="Q84" s="1617">
        <f t="shared" ca="1" si="29"/>
        <v>122.28282810171446</v>
      </c>
      <c r="R84" s="1617">
        <f t="shared" ca="1" si="29"/>
        <v>164.8387467655707</v>
      </c>
      <c r="S84" s="1617">
        <f t="shared" ca="1" si="29"/>
        <v>104.5261652310887</v>
      </c>
      <c r="T84" s="1617">
        <f t="shared" ca="1" si="29"/>
        <v>104.5261652310887</v>
      </c>
      <c r="U84" s="1617">
        <f t="shared" ca="1" si="29"/>
        <v>104.5261652310887</v>
      </c>
      <c r="V84" s="1617">
        <f t="shared" ca="1" si="29"/>
        <v>104.5261652310887</v>
      </c>
      <c r="W84" s="1617">
        <f t="shared" ca="1" si="29"/>
        <v>198.27601049636851</v>
      </c>
      <c r="X84" s="1617">
        <f t="shared" ca="1" si="29"/>
        <v>95.838009925783822</v>
      </c>
      <c r="Y84" s="1617">
        <f t="shared" ca="1" si="29"/>
        <v>71.415988943548911</v>
      </c>
      <c r="Z84" s="1617">
        <f t="shared" ca="1" si="29"/>
        <v>0</v>
      </c>
      <c r="AA84" s="1617">
        <f t="shared" ca="1" si="29"/>
        <v>0</v>
      </c>
      <c r="AB84" s="1617">
        <f t="shared" ca="1" si="29"/>
        <v>0</v>
      </c>
      <c r="AC84" s="1617">
        <f t="shared" ca="1" si="29"/>
        <v>28.441450277315031</v>
      </c>
      <c r="AD84" s="1617">
        <f t="shared" ca="1" si="29"/>
        <v>65.475944111002164</v>
      </c>
      <c r="AE84" s="1617">
        <f t="shared" ca="1" si="29"/>
        <v>40.902743399463397</v>
      </c>
      <c r="AF84" s="1617">
        <f t="shared" ca="1" si="29"/>
        <v>0</v>
      </c>
      <c r="AG84" s="1617">
        <f t="shared" ca="1" si="29"/>
        <v>0</v>
      </c>
      <c r="AH84" s="1617">
        <f t="shared" ca="1" si="29"/>
        <v>0</v>
      </c>
      <c r="AI84" s="1617">
        <f t="shared" ca="1" si="29"/>
        <v>0</v>
      </c>
      <c r="AJ84" s="1617">
        <f t="shared" ca="1" si="29"/>
        <v>0</v>
      </c>
      <c r="AK84" s="1617">
        <f t="shared" ca="1" si="29"/>
        <v>0</v>
      </c>
      <c r="AL84" s="1617">
        <f t="shared" ca="1" si="29"/>
        <v>48.120874587603993</v>
      </c>
    </row>
    <row r="85" spans="1:38" s="489" customFormat="1" ht="12.75" outlineLevel="2">
      <c r="A85" s="1132"/>
      <c r="B85" s="1126"/>
      <c r="D85" s="714" t="s">
        <v>714</v>
      </c>
      <c r="E85" s="715" t="s">
        <v>785</v>
      </c>
      <c r="F85" s="1617">
        <f t="shared" ref="F85:AL85" ca="1" si="30">F45</f>
        <v>-127.20102701339356</v>
      </c>
      <c r="G85" s="1617">
        <f t="shared" ca="1" si="30"/>
        <v>-215.86075962369372</v>
      </c>
      <c r="H85" s="1617">
        <f t="shared" ca="1" si="30"/>
        <v>-12366.804116374913</v>
      </c>
      <c r="I85" s="1617">
        <f t="shared" ca="1" si="30"/>
        <v>-632.8534121399781</v>
      </c>
      <c r="J85" s="1617">
        <f t="shared" ca="1" si="30"/>
        <v>0</v>
      </c>
      <c r="K85" s="1617">
        <f ca="1">K45</f>
        <v>0</v>
      </c>
      <c r="L85" s="1617">
        <f t="shared" ca="1" si="30"/>
        <v>-63.584908701344531</v>
      </c>
      <c r="M85" s="1617">
        <f t="shared" ca="1" si="30"/>
        <v>-30.523234619315691</v>
      </c>
      <c r="N85" s="1617">
        <f t="shared" ca="1" si="30"/>
        <v>-31.81281056763569</v>
      </c>
      <c r="O85" s="1617">
        <f t="shared" ca="1" si="30"/>
        <v>0</v>
      </c>
      <c r="P85" s="1617">
        <f t="shared" ca="1" si="30"/>
        <v>-89.442758978830199</v>
      </c>
      <c r="Q85" s="1617">
        <f t="shared" ca="1" si="30"/>
        <v>-31.610181200962845</v>
      </c>
      <c r="R85" s="1617">
        <f t="shared" ca="1" si="30"/>
        <v>0</v>
      </c>
      <c r="S85" s="1617">
        <f t="shared" ca="1" si="30"/>
        <v>0</v>
      </c>
      <c r="T85" s="1617">
        <f t="shared" ca="1" si="30"/>
        <v>0</v>
      </c>
      <c r="U85" s="1617">
        <f t="shared" ca="1" si="30"/>
        <v>0</v>
      </c>
      <c r="V85" s="1617">
        <f t="shared" ca="1" si="30"/>
        <v>0</v>
      </c>
      <c r="W85" s="1617">
        <f t="shared" ca="1" si="30"/>
        <v>-226.22763656960231</v>
      </c>
      <c r="X85" s="1617">
        <f t="shared" ca="1" si="30"/>
        <v>-79.764153634348801</v>
      </c>
      <c r="Y85" s="1617">
        <f t="shared" ca="1" si="30"/>
        <v>-38.394175147746907</v>
      </c>
      <c r="Z85" s="1617">
        <f t="shared" ca="1" si="30"/>
        <v>0</v>
      </c>
      <c r="AA85" s="1617">
        <f t="shared" ca="1" si="30"/>
        <v>0</v>
      </c>
      <c r="AB85" s="1617">
        <f t="shared" ca="1" si="30"/>
        <v>0</v>
      </c>
      <c r="AC85" s="1617">
        <f t="shared" ca="1" si="30"/>
        <v>0</v>
      </c>
      <c r="AD85" s="1617">
        <f t="shared" ca="1" si="30"/>
        <v>0</v>
      </c>
      <c r="AE85" s="1617">
        <f t="shared" ca="1" si="30"/>
        <v>0</v>
      </c>
      <c r="AF85" s="1617">
        <f t="shared" ca="1" si="30"/>
        <v>0</v>
      </c>
      <c r="AG85" s="1617">
        <f t="shared" ca="1" si="30"/>
        <v>0</v>
      </c>
      <c r="AH85" s="1617">
        <f t="shared" ca="1" si="30"/>
        <v>0</v>
      </c>
      <c r="AI85" s="1617">
        <f t="shared" ca="1" si="30"/>
        <v>0</v>
      </c>
      <c r="AJ85" s="1617">
        <f t="shared" ca="1" si="30"/>
        <v>0</v>
      </c>
      <c r="AK85" s="1617">
        <f t="shared" ca="1" si="30"/>
        <v>0</v>
      </c>
      <c r="AL85" s="1617">
        <f t="shared" ca="1" si="30"/>
        <v>0</v>
      </c>
    </row>
    <row r="86" spans="1:38" s="489" customFormat="1" ht="12.75" outlineLevel="2">
      <c r="A86" s="1126"/>
      <c r="B86" s="1126"/>
      <c r="D86" s="492" t="s">
        <v>715</v>
      </c>
      <c r="E86" s="493"/>
      <c r="F86" s="772">
        <f t="shared" ref="F86:AL86" ca="1" si="31">IF(F11&lt;&gt;"",F84/(F84-F85),1)</f>
        <v>0.49127340056089852</v>
      </c>
      <c r="G86" s="772">
        <f t="shared" ca="1" si="31"/>
        <v>0.36506781750886119</v>
      </c>
      <c r="H86" s="772">
        <f t="shared" ca="1" si="31"/>
        <v>1.0519473299844885E-2</v>
      </c>
      <c r="I86" s="772">
        <f t="shared" ca="1" si="31"/>
        <v>0.13311718295540031</v>
      </c>
      <c r="J86" s="772">
        <f t="shared" ca="1" si="31"/>
        <v>1</v>
      </c>
      <c r="K86" s="772">
        <f ca="1">IF(K11&lt;&gt;"",K84/(K84-K85),1)</f>
        <v>1</v>
      </c>
      <c r="L86" s="772">
        <f t="shared" ca="1" si="31"/>
        <v>0.70257918193590074</v>
      </c>
      <c r="M86" s="772">
        <f t="shared" ca="1" si="31"/>
        <v>0.83420704758628217</v>
      </c>
      <c r="N86" s="772">
        <f t="shared" ca="1" si="31"/>
        <v>0.77533397458248787</v>
      </c>
      <c r="O86" s="772">
        <f t="shared" ca="1" si="31"/>
        <v>1</v>
      </c>
      <c r="P86" s="772">
        <f t="shared" ca="1" si="31"/>
        <v>0.66072928467093528</v>
      </c>
      <c r="Q86" s="772">
        <f t="shared" ca="1" si="31"/>
        <v>0.79459638001624988</v>
      </c>
      <c r="R86" s="772">
        <f t="shared" ca="1" si="31"/>
        <v>1</v>
      </c>
      <c r="S86" s="772">
        <f t="shared" ca="1" si="31"/>
        <v>1</v>
      </c>
      <c r="T86" s="772">
        <f t="shared" ca="1" si="31"/>
        <v>1</v>
      </c>
      <c r="U86" s="772">
        <f t="shared" ca="1" si="31"/>
        <v>1</v>
      </c>
      <c r="V86" s="772">
        <f t="shared" ca="1" si="31"/>
        <v>1</v>
      </c>
      <c r="W86" s="772">
        <f t="shared" ca="1" si="31"/>
        <v>0.46707728394511305</v>
      </c>
      <c r="X86" s="772">
        <f t="shared" ca="1" si="31"/>
        <v>0.54576781961439425</v>
      </c>
      <c r="Y86" s="772">
        <f t="shared" ca="1" si="31"/>
        <v>0.65035863969908914</v>
      </c>
      <c r="Z86" s="772">
        <f t="shared" si="31"/>
        <v>1</v>
      </c>
      <c r="AA86" s="772">
        <f t="shared" si="31"/>
        <v>1</v>
      </c>
      <c r="AB86" s="772">
        <f t="shared" si="31"/>
        <v>1</v>
      </c>
      <c r="AC86" s="772">
        <f t="shared" si="31"/>
        <v>1</v>
      </c>
      <c r="AD86" s="772">
        <f t="shared" si="31"/>
        <v>1</v>
      </c>
      <c r="AE86" s="772">
        <f t="shared" si="31"/>
        <v>1</v>
      </c>
      <c r="AF86" s="772">
        <f t="shared" si="31"/>
        <v>1</v>
      </c>
      <c r="AG86" s="772">
        <f t="shared" si="31"/>
        <v>1</v>
      </c>
      <c r="AH86" s="772">
        <f t="shared" si="31"/>
        <v>1</v>
      </c>
      <c r="AI86" s="772">
        <f t="shared" si="31"/>
        <v>1</v>
      </c>
      <c r="AJ86" s="772">
        <f t="shared" si="31"/>
        <v>1</v>
      </c>
      <c r="AK86" s="772">
        <f t="shared" si="31"/>
        <v>1</v>
      </c>
      <c r="AL86" s="772">
        <f t="shared" si="31"/>
        <v>1</v>
      </c>
    </row>
    <row r="87" spans="1:38" s="489" customFormat="1" ht="12.75" outlineLevel="2">
      <c r="A87" s="1126"/>
      <c r="B87" s="1126"/>
      <c r="D87" s="713" t="s">
        <v>762</v>
      </c>
      <c r="E87" s="490" t="s">
        <v>29</v>
      </c>
      <c r="F87" s="711">
        <f ca="1">IF(F$11="",1,IF(F83="Economic",F86,1))</f>
        <v>0.49127340056089852</v>
      </c>
      <c r="G87" s="711">
        <f t="shared" ref="G87:AL87" ca="1" si="32">IF(G$11="",1,IF(G83="Economic",G86,1))</f>
        <v>0.36506781750886119</v>
      </c>
      <c r="H87" s="711">
        <f t="shared" ca="1" si="32"/>
        <v>1.0519473299844885E-2</v>
      </c>
      <c r="I87" s="711">
        <f t="shared" ca="1" si="32"/>
        <v>0.13311718295540031</v>
      </c>
      <c r="J87" s="711">
        <f t="shared" ca="1" si="32"/>
        <v>1</v>
      </c>
      <c r="K87" s="711">
        <f t="shared" ca="1" si="32"/>
        <v>1</v>
      </c>
      <c r="L87" s="711">
        <f t="shared" ca="1" si="32"/>
        <v>1</v>
      </c>
      <c r="M87" s="711">
        <f t="shared" ca="1" si="32"/>
        <v>1</v>
      </c>
      <c r="N87" s="711">
        <f t="shared" ca="1" si="32"/>
        <v>1</v>
      </c>
      <c r="O87" s="711">
        <f t="shared" ca="1" si="32"/>
        <v>1</v>
      </c>
      <c r="P87" s="711">
        <f t="shared" ca="1" si="32"/>
        <v>1</v>
      </c>
      <c r="Q87" s="711">
        <f t="shared" ca="1" si="32"/>
        <v>1</v>
      </c>
      <c r="R87" s="711">
        <f t="shared" ca="1" si="32"/>
        <v>1</v>
      </c>
      <c r="S87" s="711">
        <f t="shared" ca="1" si="32"/>
        <v>1</v>
      </c>
      <c r="T87" s="711">
        <f t="shared" ca="1" si="32"/>
        <v>1</v>
      </c>
      <c r="U87" s="711">
        <f t="shared" ca="1" si="32"/>
        <v>1</v>
      </c>
      <c r="V87" s="711">
        <f t="shared" ca="1" si="32"/>
        <v>1</v>
      </c>
      <c r="W87" s="711">
        <f t="shared" ca="1" si="32"/>
        <v>1</v>
      </c>
      <c r="X87" s="711">
        <f t="shared" ca="1" si="32"/>
        <v>1</v>
      </c>
      <c r="Y87" s="711">
        <f t="shared" ca="1" si="32"/>
        <v>1</v>
      </c>
      <c r="Z87" s="711">
        <f t="shared" si="32"/>
        <v>1</v>
      </c>
      <c r="AA87" s="711">
        <f t="shared" si="32"/>
        <v>1</v>
      </c>
      <c r="AB87" s="711">
        <f t="shared" si="32"/>
        <v>1</v>
      </c>
      <c r="AC87" s="711">
        <f t="shared" si="32"/>
        <v>1</v>
      </c>
      <c r="AD87" s="711">
        <f t="shared" si="32"/>
        <v>1</v>
      </c>
      <c r="AE87" s="711">
        <f t="shared" si="32"/>
        <v>1</v>
      </c>
      <c r="AF87" s="711">
        <f t="shared" si="32"/>
        <v>1</v>
      </c>
      <c r="AG87" s="711">
        <f t="shared" si="32"/>
        <v>1</v>
      </c>
      <c r="AH87" s="711">
        <f t="shared" si="32"/>
        <v>1</v>
      </c>
      <c r="AI87" s="711">
        <f t="shared" si="32"/>
        <v>1</v>
      </c>
      <c r="AJ87" s="711">
        <f t="shared" si="32"/>
        <v>1</v>
      </c>
      <c r="AK87" s="711">
        <f t="shared" si="32"/>
        <v>1</v>
      </c>
      <c r="AL87" s="711">
        <f t="shared" si="32"/>
        <v>1</v>
      </c>
    </row>
    <row r="88" spans="1:38" s="489" customFormat="1" ht="12.75" outlineLevel="2">
      <c r="A88" s="1126"/>
      <c r="B88" s="1126"/>
      <c r="D88" s="494" t="s">
        <v>764</v>
      </c>
      <c r="E88" s="491"/>
      <c r="F88" s="753"/>
      <c r="G88" s="753"/>
      <c r="H88" s="753"/>
      <c r="I88" s="753"/>
      <c r="J88" s="753"/>
      <c r="K88" s="753"/>
      <c r="L88" s="753"/>
      <c r="M88" s="753"/>
      <c r="N88" s="753"/>
      <c r="O88" s="753"/>
      <c r="P88" s="753"/>
      <c r="Q88" s="753"/>
      <c r="R88" s="753"/>
      <c r="S88" s="753"/>
      <c r="T88" s="753"/>
      <c r="U88" s="753"/>
      <c r="V88" s="753"/>
      <c r="W88" s="753"/>
      <c r="X88" s="753"/>
      <c r="Y88" s="753"/>
      <c r="Z88" s="753"/>
      <c r="AA88" s="753"/>
      <c r="AB88" s="753"/>
      <c r="AC88" s="753"/>
      <c r="AD88" s="753"/>
      <c r="AE88" s="753"/>
      <c r="AF88" s="753"/>
      <c r="AG88" s="753"/>
      <c r="AH88" s="753"/>
      <c r="AI88" s="753"/>
      <c r="AJ88" s="753"/>
      <c r="AK88" s="753"/>
      <c r="AL88" s="753"/>
    </row>
    <row r="89" spans="1:38" s="489" customFormat="1" ht="12.75" outlineLevel="2">
      <c r="A89" s="1126"/>
      <c r="B89" s="1126"/>
      <c r="D89" s="494"/>
      <c r="E89" s="488"/>
      <c r="F89" s="784"/>
    </row>
    <row r="90" spans="1:38" s="489" customFormat="1" ht="12.75" outlineLevel="2">
      <c r="A90" s="1126"/>
      <c r="B90" s="1126"/>
      <c r="D90" s="752" t="s">
        <v>2504</v>
      </c>
      <c r="E90" s="488"/>
      <c r="F90" s="784"/>
      <c r="G90" s="784"/>
      <c r="H90" s="784"/>
      <c r="I90" s="784"/>
      <c r="J90" s="784"/>
      <c r="K90" s="784"/>
      <c r="L90" s="784"/>
      <c r="M90" s="784"/>
      <c r="N90" s="784"/>
      <c r="O90" s="784"/>
      <c r="P90" s="784"/>
      <c r="Q90" s="784"/>
      <c r="R90" s="784"/>
      <c r="S90" s="784"/>
      <c r="T90" s="784"/>
      <c r="U90" s="784"/>
      <c r="V90" s="784"/>
      <c r="W90" s="784"/>
      <c r="X90" s="784"/>
      <c r="Y90" s="784"/>
      <c r="Z90" s="784"/>
      <c r="AA90" s="784"/>
      <c r="AB90" s="784"/>
      <c r="AC90" s="784"/>
      <c r="AD90" s="784"/>
      <c r="AE90" s="784"/>
      <c r="AF90" s="784"/>
      <c r="AG90" s="784"/>
      <c r="AH90" s="784"/>
      <c r="AI90" s="784"/>
      <c r="AJ90" s="784"/>
      <c r="AK90" s="784"/>
      <c r="AL90" s="784"/>
    </row>
    <row r="91" spans="1:38" s="489" customFormat="1" ht="12.75" outlineLevel="2">
      <c r="A91" s="1126"/>
      <c r="B91" s="1126">
        <f>COLUMN(Feedstocks!$Q$8)-1</f>
        <v>16</v>
      </c>
      <c r="D91" s="495" t="s">
        <v>24</v>
      </c>
      <c r="E91" s="491" t="s">
        <v>347</v>
      </c>
      <c r="F91" s="2137">
        <f ca="1">VLOOKUP(F$8,Feedstocks!$B$10:$Q$23,$B$91,0)</f>
        <v>5.71</v>
      </c>
      <c r="G91" s="862">
        <f ca="1">VLOOKUP(G$8,Feedstocks!$B$10:$Q$23,$B$91,0)</f>
        <v>5.71</v>
      </c>
      <c r="H91" s="862">
        <f ca="1">VLOOKUP(H$8,Feedstocks!$B$10:$Q$23,$B$91,0)</f>
        <v>5.71</v>
      </c>
      <c r="I91" s="862">
        <f ca="1">VLOOKUP(I$8,Feedstocks!$B$10:$Q$23,$B$91,0)</f>
        <v>5.71</v>
      </c>
      <c r="J91" s="862">
        <f ca="1">VLOOKUP(J$8,Feedstocks!$B$10:$Q$23,$B$91,0)</f>
        <v>5.56</v>
      </c>
      <c r="K91" s="862">
        <f ca="1">VLOOKUP(K$8,Feedstocks!$B$10:$Q$23,$B$91,0)</f>
        <v>5.56</v>
      </c>
      <c r="L91" s="862">
        <f ca="1">VLOOKUP(L$8,Feedstocks!$B$10:$Q$23,$B$91,0)</f>
        <v>346.10371146761742</v>
      </c>
      <c r="M91" s="862">
        <f ca="1">VLOOKUP(M$8,Feedstocks!$B$10:$Q$23,$B$91,0)</f>
        <v>1.6269396863923049</v>
      </c>
      <c r="N91" s="862">
        <f ca="1">VLOOKUP(N$8,Feedstocks!$B$10:$Q$23,$B$91,0)</f>
        <v>-11.241974602766481</v>
      </c>
      <c r="O91" s="862">
        <f ca="1">VLOOKUP(O$8,Feedstocks!$B$10:$Q$23,$B$91,0)</f>
        <v>0.26136510967038823</v>
      </c>
      <c r="P91" s="862">
        <f ca="1">VLOOKUP(P$8,Feedstocks!$B$10:$Q$23,$B$91,0)</f>
        <v>1.6269396863923049</v>
      </c>
      <c r="Q91" s="862">
        <f ca="1">VLOOKUP(Q$8,Feedstocks!$B$10:$Q$23,$B$91,0)</f>
        <v>-11.241974602766481</v>
      </c>
      <c r="R91" s="862">
        <f ca="1">VLOOKUP(R$8,Feedstocks!$B$10:$Q$23,$B$91,0)</f>
        <v>3.1936051162437287</v>
      </c>
      <c r="S91" s="862">
        <f ca="1">VLOOKUP(S$8,Feedstocks!$B$10:$Q$23,$B$91,0)</f>
        <v>0.26136510967038823</v>
      </c>
      <c r="T91" s="862">
        <f ca="1">VLOOKUP(T$8,Feedstocks!$B$10:$Q$23,$B$91,0)</f>
        <v>0.26136510967038823</v>
      </c>
      <c r="U91" s="862">
        <f ca="1">VLOOKUP(U$8,Feedstocks!$B$10:$Q$23,$B$91,0)</f>
        <v>0.26136510967038823</v>
      </c>
      <c r="V91" s="862">
        <f ca="1">VLOOKUP(V$8,Feedstocks!$B$10:$Q$23,$B$91,0)</f>
        <v>0.26136510967038823</v>
      </c>
      <c r="W91" s="862">
        <f ca="1">VLOOKUP(W$8,Feedstocks!$B$10:$Q$23,$B$91,0)</f>
        <v>1.6269396863923049</v>
      </c>
      <c r="X91" s="862">
        <f ca="1">VLOOKUP(X$8,Feedstocks!$B$10:$Q$23,$B$91,0)</f>
        <v>368.21777397504457</v>
      </c>
      <c r="Y91" s="862">
        <f ca="1">VLOOKUP(Y$8,Feedstocks!$B$10:$Q$23,$B$91,0)</f>
        <v>338.6237114676174</v>
      </c>
      <c r="Z91" s="862" t="e">
        <f>VLOOKUP(Z$8,Feedstocks!$B$10:$Q$23,$B$91,0)</f>
        <v>#N/A</v>
      </c>
      <c r="AA91" s="862" t="e">
        <f>VLOOKUP(AA$8,Feedstocks!$B$10:$Q$23,$B$91,0)</f>
        <v>#N/A</v>
      </c>
      <c r="AB91" s="862" t="e">
        <f>VLOOKUP(AB$8,Feedstocks!$B$10:$Q$23,$B$91,0)</f>
        <v>#N/A</v>
      </c>
      <c r="AC91" s="862">
        <f ca="1">VLOOKUP(AC$8,Feedstocks!$B$10:$Q$23,$B$91,0)</f>
        <v>15.32</v>
      </c>
      <c r="AD91" s="862">
        <f ca="1">VLOOKUP(AD$8,Feedstocks!$B$10:$Q$23,$B$91,0)</f>
        <v>-11.241974602766481</v>
      </c>
      <c r="AE91" s="862">
        <f ca="1">VLOOKUP(AE$8,Feedstocks!$B$10:$Q$23,$B$91,0)</f>
        <v>1.6269396863923049</v>
      </c>
      <c r="AF91" s="862" t="e">
        <f>VLOOKUP(AF$8,Feedstocks!$B$10:$Q$23,$B$91,0)</f>
        <v>#N/A</v>
      </c>
      <c r="AG91" s="862" t="e">
        <f>VLOOKUP(AG$8,Feedstocks!$B$10:$Q$23,$B$91,0)</f>
        <v>#N/A</v>
      </c>
      <c r="AH91" s="862" t="e">
        <f>VLOOKUP(AH$8,Feedstocks!$B$10:$Q$23,$B$91,0)</f>
        <v>#N/A</v>
      </c>
      <c r="AI91" s="862" t="e">
        <f>VLOOKUP(AI$8,Feedstocks!$B$10:$Q$23,$B$91,0)</f>
        <v>#N/A</v>
      </c>
      <c r="AJ91" s="862" t="e">
        <f>VLOOKUP(AJ$8,Feedstocks!$B$10:$Q$23,$B$91,0)</f>
        <v>#N/A</v>
      </c>
      <c r="AK91" s="862" t="e">
        <f>VLOOKUP(AK$8,Feedstocks!$B$10:$Q$23,$B$91,0)</f>
        <v>#N/A</v>
      </c>
      <c r="AL91" s="862">
        <f ca="1">VLOOKUP(AL$8,Feedstocks!$B$10:$Q$23,$B$91,0)</f>
        <v>-11.241974602766481</v>
      </c>
    </row>
    <row r="92" spans="1:38" s="489" customFormat="1" ht="12.75" outlineLevel="2">
      <c r="A92" s="1126"/>
      <c r="B92" s="1126"/>
      <c r="D92" s="714" t="s">
        <v>27</v>
      </c>
      <c r="E92" s="715" t="s">
        <v>347</v>
      </c>
      <c r="F92" s="787"/>
      <c r="G92" s="787"/>
      <c r="H92" s="787"/>
      <c r="I92" s="787"/>
      <c r="J92" s="787"/>
      <c r="K92" s="787"/>
      <c r="L92" s="787"/>
      <c r="M92" s="787"/>
      <c r="N92" s="787"/>
      <c r="O92" s="787"/>
      <c r="P92" s="787"/>
      <c r="Q92" s="787"/>
      <c r="R92" s="787"/>
      <c r="S92" s="787"/>
      <c r="T92" s="787"/>
      <c r="U92" s="787"/>
      <c r="V92" s="787"/>
      <c r="W92" s="787"/>
      <c r="X92" s="787"/>
      <c r="Y92" s="787"/>
      <c r="Z92" s="787"/>
      <c r="AA92" s="787"/>
      <c r="AB92" s="787"/>
      <c r="AC92" s="787"/>
      <c r="AD92" s="787"/>
      <c r="AE92" s="787"/>
      <c r="AF92" s="787"/>
      <c r="AG92" s="787"/>
      <c r="AH92" s="787"/>
      <c r="AI92" s="787"/>
      <c r="AJ92" s="787"/>
      <c r="AK92" s="787"/>
      <c r="AL92" s="787"/>
    </row>
    <row r="93" spans="1:38" s="489" customFormat="1" ht="12.75" outlineLevel="2">
      <c r="A93" s="1126"/>
      <c r="B93" s="1126"/>
      <c r="D93" s="714" t="s">
        <v>28</v>
      </c>
      <c r="E93" s="715" t="s">
        <v>347</v>
      </c>
      <c r="F93" s="787"/>
      <c r="G93" s="787"/>
      <c r="H93" s="787"/>
      <c r="I93" s="787"/>
      <c r="J93" s="787"/>
      <c r="K93" s="787"/>
      <c r="L93" s="787"/>
      <c r="M93" s="787"/>
      <c r="N93" s="787"/>
      <c r="O93" s="787"/>
      <c r="P93" s="787"/>
      <c r="Q93" s="787"/>
      <c r="R93" s="787"/>
      <c r="S93" s="787"/>
      <c r="T93" s="787"/>
      <c r="U93" s="787"/>
      <c r="V93" s="787"/>
      <c r="W93" s="787"/>
      <c r="X93" s="787"/>
      <c r="Y93" s="787"/>
      <c r="Z93" s="787"/>
      <c r="AA93" s="787"/>
      <c r="AB93" s="787"/>
      <c r="AC93" s="787"/>
      <c r="AD93" s="787"/>
      <c r="AE93" s="787"/>
      <c r="AF93" s="787"/>
      <c r="AG93" s="787"/>
      <c r="AH93" s="787"/>
      <c r="AI93" s="787"/>
      <c r="AJ93" s="787"/>
      <c r="AK93" s="787"/>
      <c r="AL93" s="787"/>
    </row>
    <row r="94" spans="1:38" s="489" customFormat="1" ht="12.75" outlineLevel="2">
      <c r="A94" s="1126"/>
      <c r="B94" s="1126">
        <f>COLUMN(Feedstocks!$K$8)-1</f>
        <v>10</v>
      </c>
      <c r="D94" s="714" t="s">
        <v>26</v>
      </c>
      <c r="E94" s="715" t="s">
        <v>347</v>
      </c>
      <c r="F94" s="2138">
        <f>VLOOKUP(F$8,Feedstocks!$B$10:$L$23,$B$94,0)</f>
        <v>3.4418604651162786E-5</v>
      </c>
      <c r="G94" s="863">
        <f>VLOOKUP(G$8,Feedstocks!$B$10:$L$23,$B$94,0)</f>
        <v>3.4418604651162786E-5</v>
      </c>
      <c r="H94" s="863">
        <f>VLOOKUP(H$8,Feedstocks!$B$10:$L$23,$B$94,0)</f>
        <v>3.4418604651162786E-5</v>
      </c>
      <c r="I94" s="863">
        <f>VLOOKUP(I$8,Feedstocks!$B$10:$L$23,$B$94,0)</f>
        <v>3.4418604651162786E-5</v>
      </c>
      <c r="J94" s="863">
        <f>VLOOKUP(J$8,Feedstocks!$B$10:$L$23,$B$94,0)</f>
        <v>1.3890015205271157E-5</v>
      </c>
      <c r="K94" s="863">
        <f>VLOOKUP(K$8,Feedstocks!$B$10:$L$23,$B$94,0)</f>
        <v>1.3890015205271157E-5</v>
      </c>
      <c r="L94" s="863">
        <f>VLOOKUP(L$8,Feedstocks!$B$10:$L$23,$B$94,0)</f>
        <v>5.2885377027663626E-5</v>
      </c>
      <c r="M94" s="863">
        <f>VLOOKUP(M$8,Feedstocks!$B$10:$L$23,$B$94,0)</f>
        <v>1.9914763175013182E-5</v>
      </c>
      <c r="N94" s="863">
        <f>VLOOKUP(N$8,Feedstocks!$B$10:$L$23,$B$94,0)</f>
        <v>1.9170179104477608E-5</v>
      </c>
      <c r="O94" s="863">
        <f>VLOOKUP(O$8,Feedstocks!$B$10:$L$23,$B$94,0)</f>
        <v>2.6861111111111108E-5</v>
      </c>
      <c r="P94" s="863">
        <f>VLOOKUP(P$8,Feedstocks!$B$10:$L$23,$B$94,0)</f>
        <v>1.9914763175013182E-5</v>
      </c>
      <c r="Q94" s="863">
        <f>VLOOKUP(Q$8,Feedstocks!$B$10:$L$23,$B$94,0)</f>
        <v>1.9170179104477608E-5</v>
      </c>
      <c r="R94" s="863">
        <f>VLOOKUP(R$8,Feedstocks!$B$10:$L$23,$B$94,0)</f>
        <v>2.1578412947592763E-5</v>
      </c>
      <c r="S94" s="863">
        <f>VLOOKUP(S$8,Feedstocks!$B$10:$L$23,$B$94,0)</f>
        <v>2.6861111111111108E-5</v>
      </c>
      <c r="T94" s="863">
        <f>VLOOKUP(T$8,Feedstocks!$B$10:$L$23,$B$94,0)</f>
        <v>2.6861111111111108E-5</v>
      </c>
      <c r="U94" s="863">
        <f>VLOOKUP(U$8,Feedstocks!$B$10:$L$23,$B$94,0)</f>
        <v>2.6861111111111108E-5</v>
      </c>
      <c r="V94" s="863">
        <f>VLOOKUP(V$8,Feedstocks!$B$10:$L$23,$B$94,0)</f>
        <v>2.6861111111111108E-5</v>
      </c>
      <c r="W94" s="863">
        <f>VLOOKUP(W$8,Feedstocks!$B$10:$L$23,$B$94,0)</f>
        <v>1.9914763175013182E-5</v>
      </c>
      <c r="X94" s="863">
        <f>VLOOKUP(X$8,Feedstocks!$B$10:$L$23,$B$94,0)</f>
        <v>7.6714814814814807E-5</v>
      </c>
      <c r="Y94" s="863">
        <f>VLOOKUP(Y$8,Feedstocks!$B$10:$L$23,$B$94,0)</f>
        <v>4.7318495235277981E-5</v>
      </c>
      <c r="Z94" s="863" t="e">
        <f>VLOOKUP(Z$8,Feedstocks!$B$10:$L$23,$B$94,0)</f>
        <v>#N/A</v>
      </c>
      <c r="AA94" s="863" t="e">
        <f>VLOOKUP(AA$8,Feedstocks!$B$10:$L$23,$B$94,0)</f>
        <v>#N/A</v>
      </c>
      <c r="AB94" s="863" t="e">
        <f>VLOOKUP(AB$8,Feedstocks!$B$10:$L$23,$B$94,0)</f>
        <v>#N/A</v>
      </c>
      <c r="AC94" s="863">
        <f>VLOOKUP(AC$8,Feedstocks!$B$10:$L$23,$B$94,0)</f>
        <v>4.4528301886792451E-5</v>
      </c>
      <c r="AD94" s="863">
        <f>VLOOKUP(AD$8,Feedstocks!$B$10:$L$23,$B$94,0)</f>
        <v>1.9170179104477608E-5</v>
      </c>
      <c r="AE94" s="863">
        <f>VLOOKUP(AE$8,Feedstocks!$B$10:$L$23,$B$94,0)</f>
        <v>1.9914763175013182E-5</v>
      </c>
      <c r="AF94" s="863" t="e">
        <f>VLOOKUP(AF$8,Feedstocks!$B$10:$L$23,$B$94,0)</f>
        <v>#N/A</v>
      </c>
      <c r="AG94" s="863" t="e">
        <f>VLOOKUP(AG$8,Feedstocks!$B$10:$L$23,$B$94,0)</f>
        <v>#N/A</v>
      </c>
      <c r="AH94" s="863" t="e">
        <f>VLOOKUP(AH$8,Feedstocks!$B$10:$L$23,$B$94,0)</f>
        <v>#N/A</v>
      </c>
      <c r="AI94" s="863" t="e">
        <f>VLOOKUP(AI$8,Feedstocks!$B$10:$L$23,$B$94,0)</f>
        <v>#N/A</v>
      </c>
      <c r="AJ94" s="863" t="e">
        <f>VLOOKUP(AJ$8,Feedstocks!$B$10:$L$23,$B$94,0)</f>
        <v>#N/A</v>
      </c>
      <c r="AK94" s="863" t="e">
        <f>VLOOKUP(AK$8,Feedstocks!$B$10:$L$23,$B$94,0)</f>
        <v>#N/A</v>
      </c>
      <c r="AL94" s="863">
        <f>VLOOKUP(AL$8,Feedstocks!$B$10:$L$23,$B$94,0)</f>
        <v>1.9170179104477608E-5</v>
      </c>
    </row>
    <row r="95" spans="1:38" s="489" customFormat="1" ht="12.75" outlineLevel="2">
      <c r="A95" s="1126"/>
      <c r="B95" s="1126">
        <f>COLUMN(Feedstocks!$L$8)-1</f>
        <v>11</v>
      </c>
      <c r="D95" s="714" t="s">
        <v>25</v>
      </c>
      <c r="E95" s="715" t="s">
        <v>347</v>
      </c>
      <c r="F95" s="2138">
        <f>VLOOKUP(F$8,Feedstocks!$B$10:$L$23,$B$95,0)</f>
        <v>4.8027720930232561E-2</v>
      </c>
      <c r="G95" s="863">
        <f>VLOOKUP(G$8,Feedstocks!$B$10:$L$23,$B$95,0)</f>
        <v>4.8027720930232561E-2</v>
      </c>
      <c r="H95" s="863">
        <f>VLOOKUP(H$8,Feedstocks!$B$10:$L$23,$B$95,0)</f>
        <v>4.8027720930232561E-2</v>
      </c>
      <c r="I95" s="863">
        <f>VLOOKUP(I$8,Feedstocks!$B$10:$L$23,$B$95,0)</f>
        <v>4.8027720930232561E-2</v>
      </c>
      <c r="J95" s="863">
        <f>VLOOKUP(J$8,Feedstocks!$B$10:$L$23,$B$95,0)</f>
        <v>2.5465027876330456E-3</v>
      </c>
      <c r="K95" s="863">
        <f>VLOOKUP(K$8,Feedstocks!$B$10:$L$23,$B$95,0)</f>
        <v>2.5465027876330456E-3</v>
      </c>
      <c r="L95" s="863">
        <f>VLOOKUP(L$8,Feedstocks!$B$10:$L$23,$B$95,0)</f>
        <v>7.3796255104401826E-2</v>
      </c>
      <c r="M95" s="863">
        <f>VLOOKUP(M$8,Feedstocks!$B$10:$L$23,$B$95,0)</f>
        <v>2.77890605344134E-2</v>
      </c>
      <c r="N95" s="863">
        <f>VLOOKUP(N$8,Feedstocks!$B$10:$L$23,$B$95,0)</f>
        <v>2.6750067922388057E-2</v>
      </c>
      <c r="O95" s="863">
        <f>VLOOKUP(O$8,Feedstocks!$B$10:$L$23,$B$95,0)</f>
        <v>3.7481994444444444E-2</v>
      </c>
      <c r="P95" s="863">
        <f>VLOOKUP(P$8,Feedstocks!$B$10:$L$23,$B$95,0)</f>
        <v>2.77890605344134E-2</v>
      </c>
      <c r="Q95" s="863">
        <f>VLOOKUP(Q$8,Feedstocks!$B$10:$L$23,$B$95,0)</f>
        <v>2.6750067922388057E-2</v>
      </c>
      <c r="R95" s="863">
        <f>VLOOKUP(R$8,Feedstocks!$B$10:$L$23,$B$95,0)</f>
        <v>3.0110517427070941E-2</v>
      </c>
      <c r="S95" s="863">
        <f>VLOOKUP(S$8,Feedstocks!$B$10:$L$23,$B$95,0)</f>
        <v>3.7481994444444444E-2</v>
      </c>
      <c r="T95" s="863">
        <f>VLOOKUP(T$8,Feedstocks!$B$10:$L$23,$B$95,0)</f>
        <v>3.7481994444444444E-2</v>
      </c>
      <c r="U95" s="863">
        <f>VLOOKUP(U$8,Feedstocks!$B$10:$L$23,$B$95,0)</f>
        <v>3.7481994444444444E-2</v>
      </c>
      <c r="V95" s="863">
        <f>VLOOKUP(V$8,Feedstocks!$B$10:$L$23,$B$95,0)</f>
        <v>3.7481994444444444E-2</v>
      </c>
      <c r="W95" s="863">
        <f>VLOOKUP(W$8,Feedstocks!$B$10:$L$23,$B$95,0)</f>
        <v>2.77890605344134E-2</v>
      </c>
      <c r="X95" s="863">
        <f>VLOOKUP(X$8,Feedstocks!$B$10:$L$23,$B$95,0)</f>
        <v>0.10704785259259259</v>
      </c>
      <c r="Y95" s="863">
        <f>VLOOKUP(Y$8,Feedstocks!$B$10:$L$23,$B$95,0)</f>
        <v>6.60282282513069E-2</v>
      </c>
      <c r="Z95" s="863" t="e">
        <f>VLOOKUP(Z$8,Feedstocks!$B$10:$L$23,$B$95,0)</f>
        <v>#N/A</v>
      </c>
      <c r="AA95" s="863" t="e">
        <f>VLOOKUP(AA$8,Feedstocks!$B$10:$L$23,$B$95,0)</f>
        <v>#N/A</v>
      </c>
      <c r="AB95" s="863" t="e">
        <f>VLOOKUP(AB$8,Feedstocks!$B$10:$L$23,$B$95,0)</f>
        <v>#N/A</v>
      </c>
      <c r="AC95" s="863">
        <f>VLOOKUP(AC$8,Feedstocks!$B$10:$L$23,$B$95,0)</f>
        <v>6.2134792452830191E-2</v>
      </c>
      <c r="AD95" s="863">
        <f>VLOOKUP(AD$8,Feedstocks!$B$10:$L$23,$B$95,0)</f>
        <v>2.6750067922388057E-2</v>
      </c>
      <c r="AE95" s="863">
        <f>VLOOKUP(AE$8,Feedstocks!$B$10:$L$23,$B$95,0)</f>
        <v>2.77890605344134E-2</v>
      </c>
      <c r="AF95" s="863" t="e">
        <f>VLOOKUP(AF$8,Feedstocks!$B$10:$L$23,$B$95,0)</f>
        <v>#N/A</v>
      </c>
      <c r="AG95" s="863" t="e">
        <f>VLOOKUP(AG$8,Feedstocks!$B$10:$L$23,$B$95,0)</f>
        <v>#N/A</v>
      </c>
      <c r="AH95" s="863" t="e">
        <f>VLOOKUP(AH$8,Feedstocks!$B$10:$L$23,$B$95,0)</f>
        <v>#N/A</v>
      </c>
      <c r="AI95" s="863" t="e">
        <f>VLOOKUP(AI$8,Feedstocks!$B$10:$L$23,$B$95,0)</f>
        <v>#N/A</v>
      </c>
      <c r="AJ95" s="863" t="e">
        <f>VLOOKUP(AJ$8,Feedstocks!$B$10:$L$23,$B$95,0)</f>
        <v>#N/A</v>
      </c>
      <c r="AK95" s="863" t="e">
        <f>VLOOKUP(AK$8,Feedstocks!$B$10:$L$23,$B$95,0)</f>
        <v>#N/A</v>
      </c>
      <c r="AL95" s="863">
        <f>VLOOKUP(AL$8,Feedstocks!$B$10:$L$23,$B$95,0)</f>
        <v>2.6750067922388057E-2</v>
      </c>
    </row>
    <row r="96" spans="1:38" s="489" customFormat="1" ht="12.75" outlineLevel="2">
      <c r="A96" s="1126"/>
      <c r="B96" s="1126"/>
      <c r="D96" s="492" t="s">
        <v>45</v>
      </c>
      <c r="E96" s="493" t="s">
        <v>347</v>
      </c>
      <c r="F96" s="789"/>
      <c r="G96" s="789"/>
      <c r="H96" s="789"/>
      <c r="I96" s="789"/>
      <c r="J96" s="789"/>
      <c r="K96" s="789"/>
      <c r="L96" s="789"/>
      <c r="M96" s="789"/>
      <c r="N96" s="789"/>
      <c r="O96" s="789"/>
      <c r="P96" s="789"/>
      <c r="Q96" s="789"/>
      <c r="R96" s="789"/>
      <c r="S96" s="789"/>
      <c r="T96" s="789"/>
      <c r="U96" s="789"/>
      <c r="V96" s="789"/>
      <c r="W96" s="789"/>
      <c r="X96" s="789"/>
      <c r="Y96" s="789"/>
      <c r="Z96" s="789"/>
      <c r="AA96" s="789"/>
      <c r="AB96" s="789"/>
      <c r="AC96" s="789"/>
      <c r="AD96" s="789"/>
      <c r="AE96" s="789"/>
      <c r="AF96" s="789"/>
      <c r="AG96" s="789"/>
      <c r="AH96" s="789"/>
      <c r="AI96" s="789"/>
      <c r="AJ96" s="789"/>
      <c r="AK96" s="789"/>
      <c r="AL96" s="789"/>
    </row>
    <row r="97" spans="1:38" s="489" customFormat="1" ht="12.75" outlineLevel="2">
      <c r="A97" s="1126"/>
      <c r="B97" s="1126"/>
      <c r="D97" s="494" t="s">
        <v>765</v>
      </c>
      <c r="E97" s="488"/>
    </row>
    <row r="98" spans="1:38" s="489" customFormat="1" ht="12.75" outlineLevel="2">
      <c r="A98" s="1126"/>
      <c r="B98" s="1126"/>
      <c r="D98" s="494"/>
      <c r="E98" s="488"/>
    </row>
    <row r="99" spans="1:38" s="489" customFormat="1" ht="12.75" outlineLevel="2">
      <c r="A99" s="1132"/>
      <c r="B99" s="1132"/>
      <c r="D99" s="790" t="s">
        <v>1015</v>
      </c>
      <c r="E99" s="492"/>
      <c r="F99" s="774"/>
      <c r="G99" s="774"/>
      <c r="H99" s="774"/>
      <c r="I99" s="774"/>
      <c r="J99" s="774"/>
      <c r="K99" s="774"/>
      <c r="L99" s="774"/>
      <c r="M99" s="774"/>
      <c r="N99" s="774"/>
      <c r="O99" s="774"/>
      <c r="P99" s="774"/>
      <c r="Q99" s="774"/>
      <c r="R99" s="774"/>
      <c r="S99" s="774"/>
      <c r="T99" s="774"/>
      <c r="U99" s="774"/>
      <c r="V99" s="774"/>
      <c r="W99" s="774"/>
      <c r="X99" s="774"/>
      <c r="Y99" s="774"/>
      <c r="Z99" s="774"/>
      <c r="AA99" s="774"/>
      <c r="AB99" s="774"/>
      <c r="AC99" s="774"/>
      <c r="AD99" s="774"/>
      <c r="AE99" s="774"/>
      <c r="AF99" s="774"/>
      <c r="AG99" s="774"/>
      <c r="AH99" s="774"/>
      <c r="AI99" s="774"/>
      <c r="AJ99" s="774"/>
      <c r="AK99" s="774"/>
      <c r="AL99" s="774"/>
    </row>
    <row r="100" spans="1:38" s="489" customFormat="1" ht="12.75" outlineLevel="2">
      <c r="A100" s="1132">
        <f>ROW(Diesel!$A59)</f>
        <v>59</v>
      </c>
      <c r="B100" s="1126">
        <f>COLUMN(Diesel!$D$1)+chosenYear-1</f>
        <v>4</v>
      </c>
      <c r="D100" s="714" t="str">
        <f>ProcessEnergy!B5</f>
        <v>EL - peakload</v>
      </c>
      <c r="E100" s="715" t="s">
        <v>345</v>
      </c>
      <c r="F100" s="860">
        <f t="shared" ref="F100:U119" ca="1" si="33">IF(F$11&lt;&gt;"",INDIRECT(ADDRESS($A100,$B100,,,F$11)),0)</f>
        <v>0</v>
      </c>
      <c r="G100" s="860">
        <f t="shared" ca="1" si="33"/>
        <v>0</v>
      </c>
      <c r="H100" s="860">
        <f t="shared" ca="1" si="33"/>
        <v>0</v>
      </c>
      <c r="I100" s="860">
        <f t="shared" ref="I100:AJ119" ca="1" si="34">IF(I$11&lt;&gt;"",INDIRECT(ADDRESS($A100,$B100,,,I$11)),0)</f>
        <v>0</v>
      </c>
      <c r="J100" s="860">
        <f t="shared" ca="1" si="34"/>
        <v>0</v>
      </c>
      <c r="K100" s="860">
        <f t="shared" ref="K100:K119" ca="1" si="35">IF(K$11&lt;&gt;"",INDIRECT(ADDRESS($A100,$B100,,,K$11)),0)</f>
        <v>0</v>
      </c>
      <c r="L100" s="860">
        <f t="shared" ca="1" si="34"/>
        <v>1.7816091954022988E-2</v>
      </c>
      <c r="M100" s="860">
        <f t="shared" ca="1" si="34"/>
        <v>0</v>
      </c>
      <c r="N100" s="860">
        <f t="shared" ca="1" si="34"/>
        <v>0</v>
      </c>
      <c r="O100" s="860">
        <f t="shared" ca="1" si="34"/>
        <v>0</v>
      </c>
      <c r="P100" s="860">
        <f t="shared" ca="1" si="34"/>
        <v>0</v>
      </c>
      <c r="Q100" s="860">
        <f t="shared" ca="1" si="34"/>
        <v>0</v>
      </c>
      <c r="R100" s="860">
        <f t="shared" ca="1" si="34"/>
        <v>0</v>
      </c>
      <c r="S100" s="860">
        <f t="shared" ca="1" si="34"/>
        <v>0</v>
      </c>
      <c r="T100" s="860">
        <f t="shared" ca="1" si="34"/>
        <v>0</v>
      </c>
      <c r="U100" s="860">
        <f t="shared" ca="1" si="34"/>
        <v>0</v>
      </c>
      <c r="V100" s="860">
        <f ca="1">IF(V$11&lt;&gt;"",INDIRECT(ADDRESS($A100,$B100,,,V$11)),0)</f>
        <v>0</v>
      </c>
      <c r="W100" s="860">
        <f t="shared" ca="1" si="34"/>
        <v>0</v>
      </c>
      <c r="X100" s="860">
        <f t="shared" ca="1" si="34"/>
        <v>1.2258064516129031E-2</v>
      </c>
      <c r="Y100" s="860">
        <f t="shared" ca="1" si="34"/>
        <v>9.4444444444444445E-3</v>
      </c>
      <c r="Z100" s="860">
        <f t="shared" ref="Z100:AA119" ca="1" si="36">IF(Z$11&lt;&gt;"",INDIRECT(ADDRESS($A100,$B100,,,Z$11)),0)</f>
        <v>0</v>
      </c>
      <c r="AA100" s="860">
        <f t="shared" ca="1" si="36"/>
        <v>0</v>
      </c>
      <c r="AB100" s="860">
        <f t="shared" ca="1" si="34"/>
        <v>0</v>
      </c>
      <c r="AC100" s="860">
        <f t="shared" ca="1" si="34"/>
        <v>0</v>
      </c>
      <c r="AD100" s="860">
        <f t="shared" ca="1" si="34"/>
        <v>0</v>
      </c>
      <c r="AE100" s="860">
        <f t="shared" ca="1" si="34"/>
        <v>0</v>
      </c>
      <c r="AF100" s="860">
        <f t="shared" ca="1" si="34"/>
        <v>0</v>
      </c>
      <c r="AG100" s="860">
        <f t="shared" ca="1" si="34"/>
        <v>0</v>
      </c>
      <c r="AH100" s="860">
        <f t="shared" ca="1" si="34"/>
        <v>0</v>
      </c>
      <c r="AI100" s="860">
        <f t="shared" ca="1" si="34"/>
        <v>0</v>
      </c>
      <c r="AJ100" s="860">
        <f t="shared" ca="1" si="34"/>
        <v>0</v>
      </c>
      <c r="AK100" s="860">
        <f t="shared" ref="AK100:AL119" ca="1" si="37">IF(AK$11&lt;&gt;"",INDIRECT(ADDRESS($A100,$B100,,,AK$11)),0)</f>
        <v>0</v>
      </c>
      <c r="AL100" s="860">
        <f t="shared" ca="1" si="37"/>
        <v>0</v>
      </c>
    </row>
    <row r="101" spans="1:38" s="489" customFormat="1" ht="12.75" outlineLevel="2">
      <c r="A101" s="1132">
        <f>ROW(Diesel!$A60)</f>
        <v>60</v>
      </c>
      <c r="B101" s="1126">
        <f>COLUMN(Diesel!$D$1)+chosenYear-1</f>
        <v>4</v>
      </c>
      <c r="D101" s="714" t="str">
        <f>ProcessEnergy!B6</f>
        <v>El - baseload</v>
      </c>
      <c r="E101" s="715" t="s">
        <v>345</v>
      </c>
      <c r="F101" s="860">
        <f t="shared" ca="1" si="33"/>
        <v>3.6002230935640888E-3</v>
      </c>
      <c r="G101" s="860">
        <f t="shared" ca="1" si="33"/>
        <v>3.6002230935640888E-3</v>
      </c>
      <c r="H101" s="860">
        <f t="shared" ca="1" si="33"/>
        <v>3.6002230935640888E-3</v>
      </c>
      <c r="I101" s="860">
        <f t="shared" ref="I101:AL101" ca="1" si="38">IF(I$11&lt;&gt;"",INDIRECT(ADDRESS($A101,$B101,,,I$11)),0)</f>
        <v>3.6002230935640888E-3</v>
      </c>
      <c r="J101" s="860">
        <f t="shared" ca="1" si="38"/>
        <v>0</v>
      </c>
      <c r="K101" s="860">
        <f t="shared" ca="1" si="38"/>
        <v>0</v>
      </c>
      <c r="L101" s="860">
        <f t="shared" ca="1" si="38"/>
        <v>0</v>
      </c>
      <c r="M101" s="860">
        <f t="shared" ca="1" si="38"/>
        <v>0</v>
      </c>
      <c r="N101" s="860">
        <f t="shared" ca="1" si="38"/>
        <v>0</v>
      </c>
      <c r="O101" s="860">
        <f t="shared" ca="1" si="38"/>
        <v>0</v>
      </c>
      <c r="P101" s="860">
        <f t="shared" ca="1" si="38"/>
        <v>0</v>
      </c>
      <c r="Q101" s="860">
        <f t="shared" ca="1" si="38"/>
        <v>0</v>
      </c>
      <c r="R101" s="860">
        <f t="shared" ca="1" si="38"/>
        <v>8.2799999999999999E-2</v>
      </c>
      <c r="S101" s="860">
        <f t="shared" ca="1" si="38"/>
        <v>0</v>
      </c>
      <c r="T101" s="860">
        <f t="shared" ca="1" si="38"/>
        <v>0</v>
      </c>
      <c r="U101" s="860">
        <f t="shared" ca="1" si="38"/>
        <v>0</v>
      </c>
      <c r="V101" s="860">
        <f t="shared" ca="1" si="38"/>
        <v>0</v>
      </c>
      <c r="W101" s="860">
        <f t="shared" ca="1" si="38"/>
        <v>0</v>
      </c>
      <c r="X101" s="860">
        <f t="shared" ca="1" si="38"/>
        <v>0</v>
      </c>
      <c r="Y101" s="860">
        <f t="shared" ca="1" si="38"/>
        <v>0</v>
      </c>
      <c r="Z101" s="860">
        <f t="shared" ca="1" si="38"/>
        <v>0</v>
      </c>
      <c r="AA101" s="860">
        <f t="shared" ca="1" si="38"/>
        <v>0</v>
      </c>
      <c r="AB101" s="860">
        <f t="shared" ca="1" si="38"/>
        <v>0</v>
      </c>
      <c r="AC101" s="860">
        <f t="shared" ca="1" si="38"/>
        <v>0</v>
      </c>
      <c r="AD101" s="860">
        <f t="shared" ca="1" si="38"/>
        <v>0</v>
      </c>
      <c r="AE101" s="860">
        <f t="shared" ca="1" si="38"/>
        <v>0</v>
      </c>
      <c r="AF101" s="860">
        <f t="shared" ca="1" si="38"/>
        <v>0</v>
      </c>
      <c r="AG101" s="860">
        <f t="shared" ca="1" si="38"/>
        <v>0</v>
      </c>
      <c r="AH101" s="860">
        <f t="shared" ca="1" si="38"/>
        <v>0</v>
      </c>
      <c r="AI101" s="860">
        <f t="shared" ca="1" si="38"/>
        <v>0</v>
      </c>
      <c r="AJ101" s="860">
        <f t="shared" ca="1" si="38"/>
        <v>0</v>
      </c>
      <c r="AK101" s="860">
        <f t="shared" ca="1" si="38"/>
        <v>0</v>
      </c>
      <c r="AL101" s="860">
        <f t="shared" ca="1" si="38"/>
        <v>0</v>
      </c>
    </row>
    <row r="102" spans="1:38" s="489" customFormat="1" ht="12.75" outlineLevel="2">
      <c r="A102" s="1132">
        <f>ROW(Diesel!$A61)</f>
        <v>61</v>
      </c>
      <c r="B102" s="1126">
        <f>COLUMN(Diesel!$D$1)+chosenYear-1</f>
        <v>4</v>
      </c>
      <c r="D102" s="714" t="str">
        <f>ProcessEnergy!B7</f>
        <v xml:space="preserve">Varme </v>
      </c>
      <c r="E102" s="715" t="s">
        <v>345</v>
      </c>
      <c r="F102" s="860">
        <f t="shared" ca="1" si="33"/>
        <v>0</v>
      </c>
      <c r="G102" s="860">
        <f t="shared" ca="1" si="33"/>
        <v>0</v>
      </c>
      <c r="H102" s="860">
        <f t="shared" ca="1" si="33"/>
        <v>0</v>
      </c>
      <c r="I102" s="860">
        <f t="shared" ca="1" si="34"/>
        <v>0</v>
      </c>
      <c r="J102" s="860">
        <f t="shared" ca="1" si="34"/>
        <v>0</v>
      </c>
      <c r="K102" s="860">
        <f t="shared" ca="1" si="35"/>
        <v>0</v>
      </c>
      <c r="L102" s="860">
        <f t="shared" ca="1" si="34"/>
        <v>0.2471264367816092</v>
      </c>
      <c r="M102" s="860">
        <f t="shared" ca="1" si="34"/>
        <v>0</v>
      </c>
      <c r="N102" s="860">
        <f t="shared" ca="1" si="34"/>
        <v>0</v>
      </c>
      <c r="O102" s="860">
        <f t="shared" ca="1" si="34"/>
        <v>0</v>
      </c>
      <c r="P102" s="860">
        <f t="shared" ca="1" si="34"/>
        <v>0</v>
      </c>
      <c r="Q102" s="860">
        <f t="shared" ca="1" si="34"/>
        <v>0</v>
      </c>
      <c r="R102" s="860">
        <f t="shared" ca="1" si="34"/>
        <v>0.1</v>
      </c>
      <c r="S102" s="860">
        <f t="shared" ca="1" si="34"/>
        <v>0</v>
      </c>
      <c r="T102" s="860">
        <f t="shared" ca="1" si="34"/>
        <v>0</v>
      </c>
      <c r="U102" s="860">
        <f t="shared" ca="1" si="34"/>
        <v>0</v>
      </c>
      <c r="V102" s="860">
        <f ca="1">IF(V$11&lt;&gt;"",INDIRECT(ADDRESS($A102,$B102,,,V$11)),0)</f>
        <v>0</v>
      </c>
      <c r="W102" s="860">
        <f t="shared" ca="1" si="34"/>
        <v>0</v>
      </c>
      <c r="X102" s="860">
        <f t="shared" ca="1" si="34"/>
        <v>3.2258064516129031E-2</v>
      </c>
      <c r="Y102" s="860">
        <f t="shared" ca="1" si="34"/>
        <v>0</v>
      </c>
      <c r="Z102" s="860">
        <f t="shared" ca="1" si="36"/>
        <v>0</v>
      </c>
      <c r="AA102" s="860">
        <f t="shared" ca="1" si="36"/>
        <v>0</v>
      </c>
      <c r="AB102" s="860">
        <f t="shared" ca="1" si="34"/>
        <v>0</v>
      </c>
      <c r="AC102" s="860">
        <f t="shared" ca="1" si="34"/>
        <v>0</v>
      </c>
      <c r="AD102" s="860">
        <f t="shared" ca="1" si="34"/>
        <v>0</v>
      </c>
      <c r="AE102" s="860">
        <f t="shared" ca="1" si="34"/>
        <v>0</v>
      </c>
      <c r="AF102" s="860">
        <f t="shared" ca="1" si="34"/>
        <v>0</v>
      </c>
      <c r="AG102" s="860">
        <f t="shared" ca="1" si="34"/>
        <v>0</v>
      </c>
      <c r="AH102" s="860">
        <f t="shared" ca="1" si="34"/>
        <v>0</v>
      </c>
      <c r="AI102" s="860">
        <f t="shared" ca="1" si="34"/>
        <v>0</v>
      </c>
      <c r="AJ102" s="860">
        <f t="shared" ca="1" si="34"/>
        <v>0</v>
      </c>
      <c r="AK102" s="860">
        <f t="shared" ca="1" si="37"/>
        <v>0</v>
      </c>
      <c r="AL102" s="860">
        <f t="shared" ca="1" si="37"/>
        <v>0</v>
      </c>
    </row>
    <row r="103" spans="1:38" s="489" customFormat="1" ht="12.75" outlineLevel="2">
      <c r="A103" s="1132">
        <f>ROW(Diesel!$A62)</f>
        <v>62</v>
      </c>
      <c r="B103" s="1126">
        <f>COLUMN(Diesel!$D$1)+chosenYear-1</f>
        <v>4</v>
      </c>
      <c r="D103" s="714" t="str">
        <f>ProcessEnergy!B8</f>
        <v>Damp</v>
      </c>
      <c r="E103" s="715" t="s">
        <v>345</v>
      </c>
      <c r="F103" s="860">
        <f t="shared" ca="1" si="33"/>
        <v>2.6665359653866953E-3</v>
      </c>
      <c r="G103" s="860">
        <f t="shared" ca="1" si="33"/>
        <v>2.6665359653866953E-3</v>
      </c>
      <c r="H103" s="860">
        <f t="shared" ca="1" si="33"/>
        <v>2.6665359653866953E-3</v>
      </c>
      <c r="I103" s="860">
        <f t="shared" ca="1" si="34"/>
        <v>2.6665359653866953E-3</v>
      </c>
      <c r="J103" s="860">
        <f t="shared" ca="1" si="34"/>
        <v>0</v>
      </c>
      <c r="K103" s="860">
        <f t="shared" ca="1" si="35"/>
        <v>0</v>
      </c>
      <c r="L103" s="860">
        <f t="shared" ca="1" si="34"/>
        <v>0</v>
      </c>
      <c r="M103" s="860">
        <f t="shared" ca="1" si="34"/>
        <v>0</v>
      </c>
      <c r="N103" s="860">
        <f t="shared" ca="1" si="34"/>
        <v>0</v>
      </c>
      <c r="O103" s="860">
        <f t="shared" ca="1" si="34"/>
        <v>0</v>
      </c>
      <c r="P103" s="860">
        <f t="shared" ca="1" si="34"/>
        <v>0</v>
      </c>
      <c r="Q103" s="860">
        <f t="shared" ca="1" si="34"/>
        <v>0</v>
      </c>
      <c r="R103" s="860">
        <f t="shared" ca="1" si="34"/>
        <v>0</v>
      </c>
      <c r="S103" s="860">
        <f t="shared" ca="1" si="34"/>
        <v>0</v>
      </c>
      <c r="T103" s="860">
        <f t="shared" ca="1" si="34"/>
        <v>0</v>
      </c>
      <c r="U103" s="860">
        <f t="shared" ca="1" si="34"/>
        <v>0</v>
      </c>
      <c r="V103" s="860">
        <f t="shared" ref="V103:AJ119" ca="1" si="39">IF(V$11&lt;&gt;"",INDIRECT(ADDRESS($A103,$B103,,,V$11)),0)</f>
        <v>0</v>
      </c>
      <c r="W103" s="860">
        <f t="shared" ca="1" si="39"/>
        <v>0</v>
      </c>
      <c r="X103" s="860">
        <f t="shared" ca="1" si="34"/>
        <v>0</v>
      </c>
      <c r="Y103" s="860">
        <f t="shared" ca="1" si="34"/>
        <v>0</v>
      </c>
      <c r="Z103" s="860">
        <f t="shared" ca="1" si="36"/>
        <v>0</v>
      </c>
      <c r="AA103" s="860">
        <f t="shared" ca="1" si="36"/>
        <v>0</v>
      </c>
      <c r="AB103" s="860">
        <f t="shared" ca="1" si="34"/>
        <v>0</v>
      </c>
      <c r="AC103" s="860">
        <f t="shared" ca="1" si="34"/>
        <v>0</v>
      </c>
      <c r="AD103" s="860">
        <f t="shared" ca="1" si="34"/>
        <v>0</v>
      </c>
      <c r="AE103" s="860">
        <f t="shared" ca="1" si="34"/>
        <v>0</v>
      </c>
      <c r="AF103" s="860">
        <f t="shared" ca="1" si="34"/>
        <v>0</v>
      </c>
      <c r="AG103" s="860">
        <f t="shared" ca="1" si="34"/>
        <v>0</v>
      </c>
      <c r="AH103" s="860">
        <f t="shared" ca="1" si="34"/>
        <v>0</v>
      </c>
      <c r="AI103" s="860">
        <f t="shared" ca="1" si="34"/>
        <v>0</v>
      </c>
      <c r="AJ103" s="860">
        <f t="shared" ca="1" si="34"/>
        <v>0</v>
      </c>
      <c r="AK103" s="860">
        <f t="shared" ca="1" si="37"/>
        <v>0</v>
      </c>
      <c r="AL103" s="860">
        <f t="shared" ca="1" si="37"/>
        <v>0</v>
      </c>
    </row>
    <row r="104" spans="1:38" s="489" customFormat="1" ht="12.75" outlineLevel="2">
      <c r="A104" s="1132">
        <f>ROW(Diesel!$A63)</f>
        <v>63</v>
      </c>
      <c r="B104" s="1126">
        <f>COLUMN(Diesel!$D$1)+chosenYear-1</f>
        <v>4</v>
      </c>
      <c r="D104" s="714" t="str">
        <f>ProcessEnergy!B9</f>
        <v xml:space="preserve">Olie </v>
      </c>
      <c r="E104" s="715" t="s">
        <v>345</v>
      </c>
      <c r="F104" s="860">
        <f t="shared" ca="1" si="33"/>
        <v>0</v>
      </c>
      <c r="G104" s="860">
        <f t="shared" ca="1" si="33"/>
        <v>0</v>
      </c>
      <c r="H104" s="860">
        <f t="shared" ca="1" si="33"/>
        <v>0</v>
      </c>
      <c r="I104" s="860">
        <f t="shared" ca="1" si="34"/>
        <v>0</v>
      </c>
      <c r="J104" s="860">
        <f t="shared" ca="1" si="34"/>
        <v>0</v>
      </c>
      <c r="K104" s="860">
        <f t="shared" ca="1" si="35"/>
        <v>0</v>
      </c>
      <c r="L104" s="860">
        <f t="shared" ca="1" si="34"/>
        <v>0</v>
      </c>
      <c r="M104" s="860">
        <f t="shared" ca="1" si="34"/>
        <v>0</v>
      </c>
      <c r="N104" s="860">
        <f t="shared" ca="1" si="34"/>
        <v>0</v>
      </c>
      <c r="O104" s="860">
        <f t="shared" ca="1" si="34"/>
        <v>0</v>
      </c>
      <c r="P104" s="860">
        <f t="shared" ca="1" si="34"/>
        <v>0</v>
      </c>
      <c r="Q104" s="860">
        <f t="shared" ca="1" si="34"/>
        <v>0</v>
      </c>
      <c r="R104" s="860">
        <f t="shared" ca="1" si="34"/>
        <v>0</v>
      </c>
      <c r="S104" s="860">
        <f t="shared" ca="1" si="34"/>
        <v>0</v>
      </c>
      <c r="T104" s="860">
        <f t="shared" ca="1" si="34"/>
        <v>0</v>
      </c>
      <c r="U104" s="860">
        <f t="shared" ca="1" si="34"/>
        <v>0</v>
      </c>
      <c r="V104" s="860">
        <f t="shared" ca="1" si="39"/>
        <v>0</v>
      </c>
      <c r="W104" s="860">
        <f t="shared" ca="1" si="39"/>
        <v>0</v>
      </c>
      <c r="X104" s="860">
        <f t="shared" ca="1" si="34"/>
        <v>0</v>
      </c>
      <c r="Y104" s="860">
        <f t="shared" ca="1" si="34"/>
        <v>0</v>
      </c>
      <c r="Z104" s="860">
        <f t="shared" ca="1" si="36"/>
        <v>0</v>
      </c>
      <c r="AA104" s="860">
        <f t="shared" ca="1" si="36"/>
        <v>0</v>
      </c>
      <c r="AB104" s="860">
        <f t="shared" ca="1" si="34"/>
        <v>0</v>
      </c>
      <c r="AC104" s="860">
        <f t="shared" ca="1" si="34"/>
        <v>0</v>
      </c>
      <c r="AD104" s="860">
        <f t="shared" ca="1" si="34"/>
        <v>0</v>
      </c>
      <c r="AE104" s="860">
        <f t="shared" ca="1" si="34"/>
        <v>0</v>
      </c>
      <c r="AF104" s="860">
        <f t="shared" ca="1" si="34"/>
        <v>0</v>
      </c>
      <c r="AG104" s="860">
        <f t="shared" ca="1" si="34"/>
        <v>0</v>
      </c>
      <c r="AH104" s="860">
        <f t="shared" ca="1" si="34"/>
        <v>0</v>
      </c>
      <c r="AI104" s="860">
        <f t="shared" ca="1" si="34"/>
        <v>0</v>
      </c>
      <c r="AJ104" s="860">
        <f t="shared" ca="1" si="34"/>
        <v>0</v>
      </c>
      <c r="AK104" s="860">
        <f t="shared" ca="1" si="37"/>
        <v>0</v>
      </c>
      <c r="AL104" s="860">
        <f t="shared" ca="1" si="37"/>
        <v>0</v>
      </c>
    </row>
    <row r="105" spans="1:38" s="489" customFormat="1" ht="12.75" outlineLevel="2">
      <c r="A105" s="1132">
        <f>ROW(Diesel!$A64)</f>
        <v>64</v>
      </c>
      <c r="B105" s="1126">
        <f>COLUMN(Diesel!$D$1)+chosenYear-1</f>
        <v>4</v>
      </c>
      <c r="D105" s="714" t="str">
        <f>ProcessEnergy!B10</f>
        <v>Kul</v>
      </c>
      <c r="E105" s="715" t="s">
        <v>345</v>
      </c>
      <c r="F105" s="860">
        <f t="shared" ca="1" si="33"/>
        <v>0</v>
      </c>
      <c r="G105" s="860">
        <f t="shared" ca="1" si="33"/>
        <v>0</v>
      </c>
      <c r="H105" s="860">
        <f t="shared" ca="1" si="33"/>
        <v>0</v>
      </c>
      <c r="I105" s="860">
        <f t="shared" ca="1" si="34"/>
        <v>0</v>
      </c>
      <c r="J105" s="860">
        <f t="shared" ca="1" si="34"/>
        <v>0</v>
      </c>
      <c r="K105" s="860">
        <f t="shared" ca="1" si="35"/>
        <v>0</v>
      </c>
      <c r="L105" s="860">
        <f t="shared" ca="1" si="34"/>
        <v>0</v>
      </c>
      <c r="M105" s="860">
        <f t="shared" ca="1" si="34"/>
        <v>0</v>
      </c>
      <c r="N105" s="860">
        <f t="shared" ca="1" si="34"/>
        <v>0</v>
      </c>
      <c r="O105" s="860">
        <f t="shared" ca="1" si="34"/>
        <v>0</v>
      </c>
      <c r="P105" s="860">
        <f t="shared" ca="1" si="34"/>
        <v>0</v>
      </c>
      <c r="Q105" s="860">
        <f t="shared" ca="1" si="34"/>
        <v>0</v>
      </c>
      <c r="R105" s="860">
        <f t="shared" ca="1" si="34"/>
        <v>0</v>
      </c>
      <c r="S105" s="860">
        <f t="shared" ca="1" si="34"/>
        <v>0</v>
      </c>
      <c r="T105" s="860">
        <f t="shared" ca="1" si="34"/>
        <v>0</v>
      </c>
      <c r="U105" s="860">
        <f t="shared" ca="1" si="34"/>
        <v>0</v>
      </c>
      <c r="V105" s="860">
        <f t="shared" ca="1" si="39"/>
        <v>0</v>
      </c>
      <c r="W105" s="860">
        <f t="shared" ca="1" si="39"/>
        <v>0</v>
      </c>
      <c r="X105" s="860">
        <f t="shared" ca="1" si="34"/>
        <v>0</v>
      </c>
      <c r="Y105" s="860">
        <f t="shared" ca="1" si="34"/>
        <v>0</v>
      </c>
      <c r="Z105" s="860">
        <f t="shared" ca="1" si="36"/>
        <v>0</v>
      </c>
      <c r="AA105" s="860">
        <f t="shared" ca="1" si="36"/>
        <v>0</v>
      </c>
      <c r="AB105" s="860">
        <f t="shared" ca="1" si="34"/>
        <v>0</v>
      </c>
      <c r="AC105" s="860">
        <f t="shared" ca="1" si="34"/>
        <v>0</v>
      </c>
      <c r="AD105" s="860">
        <f t="shared" ca="1" si="34"/>
        <v>0</v>
      </c>
      <c r="AE105" s="860">
        <f t="shared" ca="1" si="34"/>
        <v>0</v>
      </c>
      <c r="AF105" s="860">
        <f t="shared" ca="1" si="34"/>
        <v>0</v>
      </c>
      <c r="AG105" s="860">
        <f t="shared" ca="1" si="34"/>
        <v>0</v>
      </c>
      <c r="AH105" s="860">
        <f t="shared" ca="1" si="34"/>
        <v>0</v>
      </c>
      <c r="AI105" s="860">
        <f t="shared" ca="1" si="34"/>
        <v>0</v>
      </c>
      <c r="AJ105" s="860">
        <f t="shared" ca="1" si="34"/>
        <v>0</v>
      </c>
      <c r="AK105" s="860">
        <f t="shared" ca="1" si="37"/>
        <v>0</v>
      </c>
      <c r="AL105" s="860">
        <f t="shared" ca="1" si="37"/>
        <v>0</v>
      </c>
    </row>
    <row r="106" spans="1:38" s="489" customFormat="1" ht="12.75" outlineLevel="2">
      <c r="A106" s="1132">
        <f>ROW(Diesel!$A65)</f>
        <v>65</v>
      </c>
      <c r="B106" s="1126">
        <f>COLUMN(Diesel!$D$1)+chosenYear-1</f>
        <v>4</v>
      </c>
      <c r="D106" s="714" t="str">
        <f>ProcessEnergy!B11</f>
        <v>Naturgas kedel</v>
      </c>
      <c r="E106" s="715" t="s">
        <v>345</v>
      </c>
      <c r="F106" s="860">
        <f t="shared" ca="1" si="33"/>
        <v>4.5287425635478641E-2</v>
      </c>
      <c r="G106" s="860">
        <f t="shared" ca="1" si="33"/>
        <v>4.5287425635478641E-2</v>
      </c>
      <c r="H106" s="860">
        <f t="shared" ca="1" si="33"/>
        <v>4.5287425635478641E-2</v>
      </c>
      <c r="I106" s="860">
        <f t="shared" ca="1" si="34"/>
        <v>4.5287425635478641E-2</v>
      </c>
      <c r="J106" s="860">
        <f t="shared" ca="1" si="34"/>
        <v>0</v>
      </c>
      <c r="K106" s="860">
        <f t="shared" ca="1" si="35"/>
        <v>0</v>
      </c>
      <c r="L106" s="860">
        <f t="shared" ca="1" si="34"/>
        <v>0</v>
      </c>
      <c r="M106" s="860">
        <f t="shared" ca="1" si="34"/>
        <v>0</v>
      </c>
      <c r="N106" s="860">
        <f t="shared" ca="1" si="34"/>
        <v>0</v>
      </c>
      <c r="O106" s="860">
        <f t="shared" ca="1" si="34"/>
        <v>0</v>
      </c>
      <c r="P106" s="860">
        <f t="shared" ca="1" si="34"/>
        <v>0</v>
      </c>
      <c r="Q106" s="860">
        <f t="shared" ca="1" si="34"/>
        <v>0</v>
      </c>
      <c r="R106" s="860">
        <f t="shared" ca="1" si="34"/>
        <v>0</v>
      </c>
      <c r="S106" s="860">
        <f t="shared" ca="1" si="34"/>
        <v>0</v>
      </c>
      <c r="T106" s="860">
        <f t="shared" ca="1" si="34"/>
        <v>0</v>
      </c>
      <c r="U106" s="860">
        <f t="shared" ca="1" si="34"/>
        <v>0</v>
      </c>
      <c r="V106" s="860">
        <f t="shared" ca="1" si="39"/>
        <v>0</v>
      </c>
      <c r="W106" s="860">
        <f t="shared" ca="1" si="39"/>
        <v>0</v>
      </c>
      <c r="X106" s="860">
        <f t="shared" ca="1" si="34"/>
        <v>0</v>
      </c>
      <c r="Y106" s="860">
        <f t="shared" ca="1" si="34"/>
        <v>0</v>
      </c>
      <c r="Z106" s="860">
        <f t="shared" ca="1" si="36"/>
        <v>0</v>
      </c>
      <c r="AA106" s="860">
        <f t="shared" ca="1" si="36"/>
        <v>0</v>
      </c>
      <c r="AB106" s="860">
        <f t="shared" ca="1" si="34"/>
        <v>0</v>
      </c>
      <c r="AC106" s="860">
        <f t="shared" ca="1" si="34"/>
        <v>0</v>
      </c>
      <c r="AD106" s="860">
        <f t="shared" ca="1" si="34"/>
        <v>0</v>
      </c>
      <c r="AE106" s="860">
        <f t="shared" ca="1" si="34"/>
        <v>0</v>
      </c>
      <c r="AF106" s="860">
        <f t="shared" ca="1" si="34"/>
        <v>0</v>
      </c>
      <c r="AG106" s="860">
        <f t="shared" ca="1" si="34"/>
        <v>0</v>
      </c>
      <c r="AH106" s="860">
        <f t="shared" ca="1" si="34"/>
        <v>0</v>
      </c>
      <c r="AI106" s="860">
        <f t="shared" ca="1" si="34"/>
        <v>0</v>
      </c>
      <c r="AJ106" s="860">
        <f t="shared" ca="1" si="34"/>
        <v>0</v>
      </c>
      <c r="AK106" s="860">
        <f t="shared" ca="1" si="37"/>
        <v>0</v>
      </c>
      <c r="AL106" s="860">
        <f t="shared" ca="1" si="37"/>
        <v>0</v>
      </c>
    </row>
    <row r="107" spans="1:38" s="773" customFormat="1" ht="12.75" outlineLevel="2">
      <c r="A107" s="1132">
        <f>ROW(Diesel!$A66)</f>
        <v>66</v>
      </c>
      <c r="B107" s="1126">
        <f>COLUMN(Diesel!$D$1)+chosenYear-1</f>
        <v>4</v>
      </c>
      <c r="D107" s="714" t="str">
        <f>ProcessEnergy!B12</f>
        <v>Gylle</v>
      </c>
      <c r="E107" s="715" t="s">
        <v>345</v>
      </c>
      <c r="F107" s="860">
        <f t="shared" ca="1" si="33"/>
        <v>0</v>
      </c>
      <c r="G107" s="860">
        <f t="shared" ca="1" si="33"/>
        <v>0</v>
      </c>
      <c r="H107" s="860">
        <f t="shared" ca="1" si="33"/>
        <v>0</v>
      </c>
      <c r="I107" s="860">
        <f t="shared" ca="1" si="34"/>
        <v>0</v>
      </c>
      <c r="J107" s="860">
        <f t="shared" ca="1" si="34"/>
        <v>0</v>
      </c>
      <c r="K107" s="860">
        <f t="shared" ca="1" si="35"/>
        <v>0</v>
      </c>
      <c r="L107" s="860">
        <f t="shared" ca="1" si="34"/>
        <v>0</v>
      </c>
      <c r="M107" s="860">
        <f t="shared" ca="1" si="34"/>
        <v>0</v>
      </c>
      <c r="N107" s="860">
        <f t="shared" ca="1" si="34"/>
        <v>0</v>
      </c>
      <c r="O107" s="860">
        <f t="shared" ca="1" si="34"/>
        <v>0</v>
      </c>
      <c r="P107" s="860">
        <f t="shared" ca="1" si="34"/>
        <v>0</v>
      </c>
      <c r="Q107" s="860">
        <f t="shared" ca="1" si="34"/>
        <v>0</v>
      </c>
      <c r="R107" s="860">
        <f t="shared" ca="1" si="34"/>
        <v>0</v>
      </c>
      <c r="S107" s="860">
        <f t="shared" ca="1" si="34"/>
        <v>0</v>
      </c>
      <c r="T107" s="860">
        <f t="shared" ca="1" si="34"/>
        <v>0</v>
      </c>
      <c r="U107" s="860">
        <f t="shared" ca="1" si="34"/>
        <v>0</v>
      </c>
      <c r="V107" s="860">
        <f t="shared" ca="1" si="39"/>
        <v>0</v>
      </c>
      <c r="W107" s="860">
        <f t="shared" ca="1" si="39"/>
        <v>0</v>
      </c>
      <c r="X107" s="860">
        <f t="shared" ca="1" si="34"/>
        <v>0</v>
      </c>
      <c r="Y107" s="860">
        <f t="shared" ca="1" si="34"/>
        <v>0</v>
      </c>
      <c r="Z107" s="860">
        <f t="shared" ca="1" si="36"/>
        <v>0</v>
      </c>
      <c r="AA107" s="860">
        <f t="shared" ca="1" si="36"/>
        <v>0</v>
      </c>
      <c r="AB107" s="860">
        <f t="shared" ca="1" si="34"/>
        <v>0</v>
      </c>
      <c r="AC107" s="860">
        <f t="shared" ca="1" si="34"/>
        <v>0</v>
      </c>
      <c r="AD107" s="860">
        <f t="shared" ca="1" si="34"/>
        <v>0</v>
      </c>
      <c r="AE107" s="860">
        <f t="shared" ca="1" si="34"/>
        <v>0</v>
      </c>
      <c r="AF107" s="860">
        <f t="shared" ca="1" si="34"/>
        <v>0</v>
      </c>
      <c r="AG107" s="860">
        <f t="shared" ca="1" si="34"/>
        <v>0</v>
      </c>
      <c r="AH107" s="860">
        <f t="shared" ca="1" si="34"/>
        <v>0</v>
      </c>
      <c r="AI107" s="860">
        <f t="shared" ca="1" si="34"/>
        <v>0</v>
      </c>
      <c r="AJ107" s="860">
        <f t="shared" ca="1" si="34"/>
        <v>0</v>
      </c>
      <c r="AK107" s="860">
        <f t="shared" ca="1" si="37"/>
        <v>0</v>
      </c>
      <c r="AL107" s="860">
        <f t="shared" ca="1" si="37"/>
        <v>0</v>
      </c>
    </row>
    <row r="108" spans="1:38" s="489" customFormat="1" ht="12.75" outlineLevel="2">
      <c r="A108" s="1132">
        <f>ROW(Diesel!$A67)</f>
        <v>67</v>
      </c>
      <c r="B108" s="1126">
        <f>COLUMN(Diesel!$D$1)+chosenYear-1</f>
        <v>4</v>
      </c>
      <c r="D108" s="714" t="str">
        <f>ProcessEnergy!B13</f>
        <v>Affald</v>
      </c>
      <c r="E108" s="715" t="s">
        <v>345</v>
      </c>
      <c r="F108" s="860">
        <f t="shared" ca="1" si="33"/>
        <v>0</v>
      </c>
      <c r="G108" s="860">
        <f t="shared" ca="1" si="33"/>
        <v>0</v>
      </c>
      <c r="H108" s="860">
        <f t="shared" ca="1" si="33"/>
        <v>0</v>
      </c>
      <c r="I108" s="860">
        <f t="shared" ca="1" si="34"/>
        <v>0</v>
      </c>
      <c r="J108" s="860">
        <f t="shared" ca="1" si="34"/>
        <v>0</v>
      </c>
      <c r="K108" s="860">
        <f t="shared" ca="1" si="35"/>
        <v>0</v>
      </c>
      <c r="L108" s="860">
        <f t="shared" ca="1" si="34"/>
        <v>0</v>
      </c>
      <c r="M108" s="860">
        <f t="shared" ca="1" si="34"/>
        <v>0</v>
      </c>
      <c r="N108" s="860">
        <f t="shared" ca="1" si="34"/>
        <v>0</v>
      </c>
      <c r="O108" s="860">
        <f t="shared" ca="1" si="34"/>
        <v>0</v>
      </c>
      <c r="P108" s="860">
        <f t="shared" ca="1" si="34"/>
        <v>0</v>
      </c>
      <c r="Q108" s="860">
        <f t="shared" ca="1" si="34"/>
        <v>0</v>
      </c>
      <c r="R108" s="860">
        <f t="shared" ca="1" si="34"/>
        <v>0</v>
      </c>
      <c r="S108" s="860">
        <f t="shared" ca="1" si="34"/>
        <v>0</v>
      </c>
      <c r="T108" s="860">
        <f t="shared" ca="1" si="34"/>
        <v>0</v>
      </c>
      <c r="U108" s="860">
        <f t="shared" ca="1" si="34"/>
        <v>0</v>
      </c>
      <c r="V108" s="860">
        <f t="shared" ca="1" si="39"/>
        <v>0</v>
      </c>
      <c r="W108" s="860">
        <f t="shared" ca="1" si="39"/>
        <v>0</v>
      </c>
      <c r="X108" s="860">
        <f t="shared" ca="1" si="34"/>
        <v>0</v>
      </c>
      <c r="Y108" s="860">
        <f t="shared" ca="1" si="34"/>
        <v>0</v>
      </c>
      <c r="Z108" s="860">
        <f t="shared" ca="1" si="36"/>
        <v>0</v>
      </c>
      <c r="AA108" s="860">
        <f t="shared" ca="1" si="36"/>
        <v>0</v>
      </c>
      <c r="AB108" s="860">
        <f t="shared" ca="1" si="34"/>
        <v>0</v>
      </c>
      <c r="AC108" s="860">
        <f t="shared" ca="1" si="34"/>
        <v>0</v>
      </c>
      <c r="AD108" s="860">
        <f t="shared" ca="1" si="34"/>
        <v>0</v>
      </c>
      <c r="AE108" s="860">
        <f t="shared" ca="1" si="34"/>
        <v>0</v>
      </c>
      <c r="AF108" s="860">
        <f t="shared" ca="1" si="34"/>
        <v>0</v>
      </c>
      <c r="AG108" s="860">
        <f t="shared" ca="1" si="34"/>
        <v>0</v>
      </c>
      <c r="AH108" s="860">
        <f t="shared" ca="1" si="34"/>
        <v>0</v>
      </c>
      <c r="AI108" s="860">
        <f t="shared" ca="1" si="34"/>
        <v>0</v>
      </c>
      <c r="AJ108" s="860">
        <f t="shared" ca="1" si="34"/>
        <v>0</v>
      </c>
      <c r="AK108" s="860">
        <f t="shared" ca="1" si="37"/>
        <v>0</v>
      </c>
      <c r="AL108" s="860">
        <f t="shared" ca="1" si="37"/>
        <v>0</v>
      </c>
    </row>
    <row r="109" spans="1:38" s="489" customFormat="1" ht="12.75" outlineLevel="2">
      <c r="A109" s="1132">
        <f>ROW(Diesel!$A68)</f>
        <v>68</v>
      </c>
      <c r="B109" s="1126">
        <f>COLUMN(Diesel!$D$1)+chosenYear-1</f>
        <v>4</v>
      </c>
      <c r="D109" s="714" t="str">
        <f>ProcessEnergy!B14</f>
        <v>Hydrogen</v>
      </c>
      <c r="E109" s="715" t="s">
        <v>345</v>
      </c>
      <c r="F109" s="860">
        <f t="shared" ca="1" si="33"/>
        <v>0</v>
      </c>
      <c r="G109" s="860">
        <f t="shared" ca="1" si="33"/>
        <v>0</v>
      </c>
      <c r="H109" s="860">
        <f t="shared" ca="1" si="33"/>
        <v>0</v>
      </c>
      <c r="I109" s="860">
        <f t="shared" ca="1" si="34"/>
        <v>0</v>
      </c>
      <c r="J109" s="860">
        <f t="shared" ca="1" si="34"/>
        <v>0</v>
      </c>
      <c r="K109" s="860">
        <f t="shared" ca="1" si="35"/>
        <v>0</v>
      </c>
      <c r="L109" s="860">
        <f t="shared" ca="1" si="34"/>
        <v>0</v>
      </c>
      <c r="M109" s="860">
        <f t="shared" ca="1" si="34"/>
        <v>0</v>
      </c>
      <c r="N109" s="860">
        <f t="shared" ca="1" si="34"/>
        <v>0</v>
      </c>
      <c r="O109" s="860">
        <f t="shared" ca="1" si="34"/>
        <v>0</v>
      </c>
      <c r="P109" s="860">
        <f t="shared" ca="1" si="34"/>
        <v>0</v>
      </c>
      <c r="Q109" s="860">
        <f t="shared" ca="1" si="34"/>
        <v>0</v>
      </c>
      <c r="R109" s="860">
        <f t="shared" ca="1" si="34"/>
        <v>0</v>
      </c>
      <c r="S109" s="860">
        <f t="shared" ca="1" si="34"/>
        <v>0</v>
      </c>
      <c r="T109" s="860">
        <f t="shared" ca="1" si="34"/>
        <v>0</v>
      </c>
      <c r="U109" s="860">
        <f t="shared" ca="1" si="34"/>
        <v>0</v>
      </c>
      <c r="V109" s="860">
        <f t="shared" ca="1" si="39"/>
        <v>0</v>
      </c>
      <c r="W109" s="860">
        <f t="shared" ca="1" si="39"/>
        <v>0</v>
      </c>
      <c r="X109" s="860">
        <f t="shared" ca="1" si="34"/>
        <v>0</v>
      </c>
      <c r="Y109" s="860">
        <f t="shared" ca="1" si="34"/>
        <v>0</v>
      </c>
      <c r="Z109" s="860">
        <f t="shared" ca="1" si="36"/>
        <v>0</v>
      </c>
      <c r="AA109" s="860">
        <f t="shared" ca="1" si="36"/>
        <v>0</v>
      </c>
      <c r="AB109" s="860">
        <f t="shared" ca="1" si="34"/>
        <v>0</v>
      </c>
      <c r="AC109" s="860">
        <f t="shared" ca="1" si="34"/>
        <v>0</v>
      </c>
      <c r="AD109" s="860">
        <f t="shared" ca="1" si="34"/>
        <v>0</v>
      </c>
      <c r="AE109" s="860">
        <f t="shared" ca="1" si="34"/>
        <v>0</v>
      </c>
      <c r="AF109" s="860">
        <f t="shared" ca="1" si="34"/>
        <v>0</v>
      </c>
      <c r="AG109" s="860">
        <f t="shared" ca="1" si="34"/>
        <v>0</v>
      </c>
      <c r="AH109" s="860">
        <f t="shared" ca="1" si="34"/>
        <v>0</v>
      </c>
      <c r="AI109" s="860">
        <f t="shared" ca="1" si="34"/>
        <v>0</v>
      </c>
      <c r="AJ109" s="860">
        <f t="shared" ca="1" si="34"/>
        <v>0</v>
      </c>
      <c r="AK109" s="860">
        <f t="shared" ca="1" si="37"/>
        <v>0</v>
      </c>
      <c r="AL109" s="860">
        <f t="shared" ca="1" si="37"/>
        <v>0</v>
      </c>
    </row>
    <row r="110" spans="1:38" s="489" customFormat="1" ht="12.75" outlineLevel="2">
      <c r="A110" s="1132">
        <f>ROW(Diesel!$A69)</f>
        <v>69</v>
      </c>
      <c r="B110" s="1126">
        <f>COLUMN(Diesel!$D$1)+chosenYear-1</f>
        <v>4</v>
      </c>
      <c r="D110" s="714" t="str">
        <f>ProcessEnergy!B15</f>
        <v>Biomasse</v>
      </c>
      <c r="E110" s="715" t="s">
        <v>345</v>
      </c>
      <c r="F110" s="860">
        <f t="shared" ca="1" si="33"/>
        <v>0</v>
      </c>
      <c r="G110" s="860">
        <f t="shared" ca="1" si="33"/>
        <v>0</v>
      </c>
      <c r="H110" s="860">
        <f t="shared" ca="1" si="33"/>
        <v>0</v>
      </c>
      <c r="I110" s="860">
        <f t="shared" ca="1" si="34"/>
        <v>0</v>
      </c>
      <c r="J110" s="860">
        <f t="shared" ca="1" si="34"/>
        <v>0</v>
      </c>
      <c r="K110" s="860">
        <f t="shared" ca="1" si="35"/>
        <v>0</v>
      </c>
      <c r="L110" s="860">
        <f t="shared" ca="1" si="34"/>
        <v>0</v>
      </c>
      <c r="M110" s="860">
        <f t="shared" ca="1" si="34"/>
        <v>0</v>
      </c>
      <c r="N110" s="860">
        <f t="shared" ca="1" si="34"/>
        <v>0</v>
      </c>
      <c r="O110" s="860">
        <f t="shared" ca="1" si="34"/>
        <v>0</v>
      </c>
      <c r="P110" s="860">
        <f t="shared" ca="1" si="34"/>
        <v>0</v>
      </c>
      <c r="Q110" s="860">
        <f t="shared" ca="1" si="34"/>
        <v>0</v>
      </c>
      <c r="R110" s="860">
        <f t="shared" ca="1" si="34"/>
        <v>0</v>
      </c>
      <c r="S110" s="860">
        <f t="shared" ca="1" si="34"/>
        <v>0</v>
      </c>
      <c r="T110" s="860">
        <f t="shared" ca="1" si="34"/>
        <v>0</v>
      </c>
      <c r="U110" s="860">
        <f t="shared" ca="1" si="34"/>
        <v>0</v>
      </c>
      <c r="V110" s="860">
        <f t="shared" ca="1" si="39"/>
        <v>0</v>
      </c>
      <c r="W110" s="860">
        <f t="shared" ca="1" si="39"/>
        <v>0</v>
      </c>
      <c r="X110" s="860">
        <f t="shared" ca="1" si="34"/>
        <v>0</v>
      </c>
      <c r="Y110" s="860">
        <f t="shared" ca="1" si="34"/>
        <v>0</v>
      </c>
      <c r="Z110" s="860">
        <f t="shared" ca="1" si="36"/>
        <v>0</v>
      </c>
      <c r="AA110" s="860">
        <f t="shared" ca="1" si="36"/>
        <v>0</v>
      </c>
      <c r="AB110" s="860">
        <f t="shared" ca="1" si="34"/>
        <v>0</v>
      </c>
      <c r="AC110" s="860">
        <f t="shared" ca="1" si="34"/>
        <v>0</v>
      </c>
      <c r="AD110" s="860">
        <f t="shared" ca="1" si="34"/>
        <v>0</v>
      </c>
      <c r="AE110" s="860">
        <f t="shared" ca="1" si="34"/>
        <v>0</v>
      </c>
      <c r="AF110" s="860">
        <f t="shared" ca="1" si="34"/>
        <v>0</v>
      </c>
      <c r="AG110" s="860">
        <f t="shared" ca="1" si="34"/>
        <v>0</v>
      </c>
      <c r="AH110" s="860">
        <f t="shared" ca="1" si="34"/>
        <v>0</v>
      </c>
      <c r="AI110" s="860">
        <f t="shared" ca="1" si="34"/>
        <v>0</v>
      </c>
      <c r="AJ110" s="860">
        <f t="shared" ca="1" si="34"/>
        <v>0</v>
      </c>
      <c r="AK110" s="860">
        <f t="shared" ca="1" si="37"/>
        <v>0</v>
      </c>
      <c r="AL110" s="860">
        <f t="shared" ca="1" si="37"/>
        <v>0</v>
      </c>
    </row>
    <row r="111" spans="1:38" s="489" customFormat="1" ht="12.75" outlineLevel="2">
      <c r="A111" s="1132">
        <f>ROW(Diesel!$A70)</f>
        <v>70</v>
      </c>
      <c r="B111" s="1126">
        <f>COLUMN(Diesel!$D$1)+chosenYear-1</f>
        <v>4</v>
      </c>
      <c r="D111" s="714" t="str">
        <f>ProcessEnergy!B16</f>
        <v>Methanol</v>
      </c>
      <c r="E111" s="715" t="s">
        <v>345</v>
      </c>
      <c r="F111" s="860">
        <f t="shared" ca="1" si="33"/>
        <v>0</v>
      </c>
      <c r="G111" s="860">
        <f t="shared" ca="1" si="33"/>
        <v>0</v>
      </c>
      <c r="H111" s="860">
        <f t="shared" ca="1" si="33"/>
        <v>0</v>
      </c>
      <c r="I111" s="860">
        <f t="shared" ca="1" si="33"/>
        <v>0</v>
      </c>
      <c r="J111" s="860">
        <f t="shared" ca="1" si="33"/>
        <v>0</v>
      </c>
      <c r="K111" s="860">
        <f t="shared" ca="1" si="35"/>
        <v>0</v>
      </c>
      <c r="L111" s="860">
        <f t="shared" ca="1" si="33"/>
        <v>0</v>
      </c>
      <c r="M111" s="860">
        <f t="shared" ca="1" si="33"/>
        <v>0</v>
      </c>
      <c r="N111" s="860">
        <f t="shared" ca="1" si="33"/>
        <v>0</v>
      </c>
      <c r="O111" s="860">
        <f t="shared" ca="1" si="33"/>
        <v>0</v>
      </c>
      <c r="P111" s="860">
        <f t="shared" ca="1" si="33"/>
        <v>0</v>
      </c>
      <c r="Q111" s="860">
        <f t="shared" ca="1" si="33"/>
        <v>0</v>
      </c>
      <c r="R111" s="860">
        <f t="shared" ca="1" si="33"/>
        <v>0</v>
      </c>
      <c r="S111" s="860">
        <f t="shared" ca="1" si="33"/>
        <v>0</v>
      </c>
      <c r="T111" s="860">
        <f t="shared" ca="1" si="33"/>
        <v>0</v>
      </c>
      <c r="U111" s="860">
        <f t="shared" ca="1" si="33"/>
        <v>0</v>
      </c>
      <c r="V111" s="860">
        <f t="shared" ca="1" si="39"/>
        <v>0</v>
      </c>
      <c r="W111" s="860">
        <f t="shared" ca="1" si="39"/>
        <v>0</v>
      </c>
      <c r="X111" s="860">
        <f t="shared" ca="1" si="39"/>
        <v>3.8709677419354833E-2</v>
      </c>
      <c r="Y111" s="860">
        <f t="shared" ca="1" si="39"/>
        <v>0</v>
      </c>
      <c r="Z111" s="860">
        <f t="shared" ca="1" si="36"/>
        <v>0</v>
      </c>
      <c r="AA111" s="860">
        <f t="shared" ca="1" si="36"/>
        <v>0</v>
      </c>
      <c r="AB111" s="860">
        <f t="shared" ca="1" si="39"/>
        <v>0</v>
      </c>
      <c r="AC111" s="860">
        <f t="shared" ca="1" si="39"/>
        <v>0</v>
      </c>
      <c r="AD111" s="860">
        <f t="shared" ca="1" si="39"/>
        <v>0</v>
      </c>
      <c r="AE111" s="860">
        <f t="shared" ca="1" si="39"/>
        <v>0</v>
      </c>
      <c r="AF111" s="860">
        <f t="shared" ca="1" si="39"/>
        <v>0</v>
      </c>
      <c r="AG111" s="860">
        <f t="shared" ca="1" si="39"/>
        <v>0</v>
      </c>
      <c r="AH111" s="860">
        <f t="shared" ca="1" si="39"/>
        <v>0</v>
      </c>
      <c r="AI111" s="860">
        <f t="shared" ca="1" si="39"/>
        <v>0</v>
      </c>
      <c r="AJ111" s="860">
        <f t="shared" ca="1" si="39"/>
        <v>0</v>
      </c>
      <c r="AK111" s="860">
        <f t="shared" ca="1" si="37"/>
        <v>0</v>
      </c>
      <c r="AL111" s="860">
        <f t="shared" ca="1" si="37"/>
        <v>0</v>
      </c>
    </row>
    <row r="112" spans="1:38" s="489" customFormat="1" ht="12.75" outlineLevel="2">
      <c r="A112" s="1132">
        <f>ROW(Diesel!$A71)</f>
        <v>71</v>
      </c>
      <c r="B112" s="1126">
        <f>COLUMN(Diesel!$D$1)+chosenYear-1</f>
        <v>4</v>
      </c>
      <c r="D112" s="714" t="str">
        <f>ProcessEnergy!B17</f>
        <v>&lt;empty&gt;</v>
      </c>
      <c r="E112" s="715" t="s">
        <v>345</v>
      </c>
      <c r="F112" s="860">
        <f t="shared" ca="1" si="33"/>
        <v>0</v>
      </c>
      <c r="G112" s="860">
        <f t="shared" ca="1" si="33"/>
        <v>0</v>
      </c>
      <c r="H112" s="860">
        <f t="shared" ca="1" si="33"/>
        <v>0</v>
      </c>
      <c r="I112" s="860">
        <f t="shared" ca="1" si="33"/>
        <v>0</v>
      </c>
      <c r="J112" s="860">
        <f t="shared" ca="1" si="33"/>
        <v>0</v>
      </c>
      <c r="K112" s="860">
        <f t="shared" ca="1" si="35"/>
        <v>0</v>
      </c>
      <c r="L112" s="860">
        <f t="shared" ca="1" si="33"/>
        <v>0</v>
      </c>
      <c r="M112" s="860">
        <f t="shared" ca="1" si="33"/>
        <v>0</v>
      </c>
      <c r="N112" s="860">
        <f t="shared" ca="1" si="33"/>
        <v>0</v>
      </c>
      <c r="O112" s="860">
        <f t="shared" ca="1" si="33"/>
        <v>0</v>
      </c>
      <c r="P112" s="860">
        <f t="shared" ca="1" si="33"/>
        <v>0</v>
      </c>
      <c r="Q112" s="860">
        <f t="shared" ca="1" si="33"/>
        <v>0</v>
      </c>
      <c r="R112" s="860">
        <f t="shared" ca="1" si="33"/>
        <v>0</v>
      </c>
      <c r="S112" s="860">
        <f t="shared" ca="1" si="33"/>
        <v>0</v>
      </c>
      <c r="T112" s="860">
        <f t="shared" ca="1" si="33"/>
        <v>0</v>
      </c>
      <c r="U112" s="860">
        <f t="shared" ca="1" si="33"/>
        <v>0</v>
      </c>
      <c r="V112" s="860">
        <f t="shared" ca="1" si="39"/>
        <v>0</v>
      </c>
      <c r="W112" s="860">
        <f t="shared" ca="1" si="39"/>
        <v>0</v>
      </c>
      <c r="X112" s="860">
        <f t="shared" ca="1" si="39"/>
        <v>0</v>
      </c>
      <c r="Y112" s="860">
        <f t="shared" ca="1" si="39"/>
        <v>0</v>
      </c>
      <c r="Z112" s="860">
        <f t="shared" ca="1" si="36"/>
        <v>0</v>
      </c>
      <c r="AA112" s="860">
        <f t="shared" ca="1" si="36"/>
        <v>0</v>
      </c>
      <c r="AB112" s="860">
        <f t="shared" ca="1" si="39"/>
        <v>0</v>
      </c>
      <c r="AC112" s="860">
        <f t="shared" ca="1" si="39"/>
        <v>0</v>
      </c>
      <c r="AD112" s="860">
        <f t="shared" ca="1" si="39"/>
        <v>0</v>
      </c>
      <c r="AE112" s="860">
        <f t="shared" ca="1" si="39"/>
        <v>0</v>
      </c>
      <c r="AF112" s="860">
        <f t="shared" ca="1" si="39"/>
        <v>0</v>
      </c>
      <c r="AG112" s="860">
        <f t="shared" ca="1" si="39"/>
        <v>0</v>
      </c>
      <c r="AH112" s="860">
        <f t="shared" ca="1" si="39"/>
        <v>0</v>
      </c>
      <c r="AI112" s="860">
        <f t="shared" ca="1" si="39"/>
        <v>0</v>
      </c>
      <c r="AJ112" s="860">
        <f t="shared" ca="1" si="39"/>
        <v>0</v>
      </c>
      <c r="AK112" s="860">
        <f t="shared" ca="1" si="37"/>
        <v>0</v>
      </c>
      <c r="AL112" s="860">
        <f t="shared" ca="1" si="37"/>
        <v>0</v>
      </c>
    </row>
    <row r="113" spans="1:38" s="489" customFormat="1" ht="12.75" outlineLevel="2">
      <c r="A113" s="1132">
        <f>ROW(Diesel!$A72)</f>
        <v>72</v>
      </c>
      <c r="B113" s="1126">
        <f>COLUMN(Diesel!$D$1)+chosenYear-1</f>
        <v>4</v>
      </c>
      <c r="D113" s="714" t="str">
        <f>ProcessEnergy!B18</f>
        <v>&lt;empty&gt;</v>
      </c>
      <c r="E113" s="715" t="s">
        <v>345</v>
      </c>
      <c r="F113" s="860">
        <f t="shared" ca="1" si="33"/>
        <v>0</v>
      </c>
      <c r="G113" s="860">
        <f t="shared" ca="1" si="33"/>
        <v>0</v>
      </c>
      <c r="H113" s="860">
        <f t="shared" ca="1" si="33"/>
        <v>0</v>
      </c>
      <c r="I113" s="860">
        <f t="shared" ca="1" si="33"/>
        <v>0</v>
      </c>
      <c r="J113" s="860">
        <f t="shared" ca="1" si="33"/>
        <v>0</v>
      </c>
      <c r="K113" s="860">
        <f t="shared" ca="1" si="35"/>
        <v>0</v>
      </c>
      <c r="L113" s="860">
        <f t="shared" ca="1" si="33"/>
        <v>0</v>
      </c>
      <c r="M113" s="860">
        <f t="shared" ca="1" si="33"/>
        <v>0</v>
      </c>
      <c r="N113" s="860">
        <f t="shared" ca="1" si="33"/>
        <v>0</v>
      </c>
      <c r="O113" s="860">
        <f t="shared" ca="1" si="33"/>
        <v>0</v>
      </c>
      <c r="P113" s="860">
        <f t="shared" ca="1" si="33"/>
        <v>0</v>
      </c>
      <c r="Q113" s="860">
        <f t="shared" ca="1" si="33"/>
        <v>0</v>
      </c>
      <c r="R113" s="860">
        <f t="shared" ca="1" si="33"/>
        <v>0</v>
      </c>
      <c r="S113" s="860">
        <f t="shared" ca="1" si="33"/>
        <v>0</v>
      </c>
      <c r="T113" s="860">
        <f t="shared" ca="1" si="33"/>
        <v>0</v>
      </c>
      <c r="U113" s="860">
        <f t="shared" ca="1" si="33"/>
        <v>0</v>
      </c>
      <c r="V113" s="860">
        <f t="shared" ca="1" si="39"/>
        <v>0</v>
      </c>
      <c r="W113" s="860">
        <f t="shared" ca="1" si="39"/>
        <v>0</v>
      </c>
      <c r="X113" s="860">
        <f t="shared" ca="1" si="39"/>
        <v>0</v>
      </c>
      <c r="Y113" s="860">
        <f t="shared" ca="1" si="39"/>
        <v>0</v>
      </c>
      <c r="Z113" s="860">
        <f t="shared" ca="1" si="36"/>
        <v>0</v>
      </c>
      <c r="AA113" s="860">
        <f t="shared" ca="1" si="36"/>
        <v>0</v>
      </c>
      <c r="AB113" s="860">
        <f t="shared" ca="1" si="39"/>
        <v>0</v>
      </c>
      <c r="AC113" s="860">
        <f t="shared" ca="1" si="39"/>
        <v>0</v>
      </c>
      <c r="AD113" s="860">
        <f t="shared" ca="1" si="39"/>
        <v>0</v>
      </c>
      <c r="AE113" s="860">
        <f t="shared" ca="1" si="39"/>
        <v>0</v>
      </c>
      <c r="AF113" s="860">
        <f t="shared" ca="1" si="39"/>
        <v>0</v>
      </c>
      <c r="AG113" s="860">
        <f t="shared" ca="1" si="39"/>
        <v>0</v>
      </c>
      <c r="AH113" s="860">
        <f t="shared" ca="1" si="39"/>
        <v>0</v>
      </c>
      <c r="AI113" s="860">
        <f t="shared" ca="1" si="39"/>
        <v>0</v>
      </c>
      <c r="AJ113" s="860">
        <f t="shared" ca="1" si="39"/>
        <v>0</v>
      </c>
      <c r="AK113" s="860">
        <f t="shared" ca="1" si="37"/>
        <v>0</v>
      </c>
      <c r="AL113" s="860">
        <f t="shared" ca="1" si="37"/>
        <v>0</v>
      </c>
    </row>
    <row r="114" spans="1:38" s="489" customFormat="1" ht="12.75" outlineLevel="2">
      <c r="A114" s="1132">
        <f>ROW(Diesel!$A73)</f>
        <v>73</v>
      </c>
      <c r="B114" s="1126">
        <f>COLUMN(Diesel!$D$1)+chosenYear-1</f>
        <v>4</v>
      </c>
      <c r="D114" s="714" t="str">
        <f>ProcessEnergy!B19</f>
        <v>&lt;empty&gt;</v>
      </c>
      <c r="E114" s="715" t="s">
        <v>345</v>
      </c>
      <c r="F114" s="860">
        <f t="shared" ca="1" si="33"/>
        <v>0</v>
      </c>
      <c r="G114" s="860">
        <f t="shared" ca="1" si="33"/>
        <v>0</v>
      </c>
      <c r="H114" s="860">
        <f t="shared" ca="1" si="33"/>
        <v>0</v>
      </c>
      <c r="I114" s="860">
        <f t="shared" ca="1" si="33"/>
        <v>0</v>
      </c>
      <c r="J114" s="860">
        <f t="shared" ca="1" si="33"/>
        <v>0</v>
      </c>
      <c r="K114" s="860">
        <f t="shared" ca="1" si="35"/>
        <v>0</v>
      </c>
      <c r="L114" s="860">
        <f t="shared" ca="1" si="33"/>
        <v>0</v>
      </c>
      <c r="M114" s="860">
        <f t="shared" ca="1" si="33"/>
        <v>0</v>
      </c>
      <c r="N114" s="860">
        <f t="shared" ca="1" si="33"/>
        <v>0</v>
      </c>
      <c r="O114" s="860">
        <f t="shared" ca="1" si="33"/>
        <v>0</v>
      </c>
      <c r="P114" s="860">
        <f t="shared" ca="1" si="33"/>
        <v>0</v>
      </c>
      <c r="Q114" s="860">
        <f t="shared" ca="1" si="33"/>
        <v>0</v>
      </c>
      <c r="R114" s="860">
        <f t="shared" ca="1" si="33"/>
        <v>0</v>
      </c>
      <c r="S114" s="860">
        <f t="shared" ca="1" si="33"/>
        <v>0</v>
      </c>
      <c r="T114" s="860">
        <f t="shared" ca="1" si="33"/>
        <v>0</v>
      </c>
      <c r="U114" s="860">
        <f t="shared" ca="1" si="33"/>
        <v>0</v>
      </c>
      <c r="V114" s="860">
        <f t="shared" ca="1" si="39"/>
        <v>0</v>
      </c>
      <c r="W114" s="860">
        <f t="shared" ca="1" si="39"/>
        <v>0</v>
      </c>
      <c r="X114" s="860">
        <f t="shared" ca="1" si="39"/>
        <v>0</v>
      </c>
      <c r="Y114" s="860">
        <f t="shared" ca="1" si="39"/>
        <v>0</v>
      </c>
      <c r="Z114" s="860">
        <f t="shared" ca="1" si="36"/>
        <v>0</v>
      </c>
      <c r="AA114" s="860">
        <f t="shared" ca="1" si="36"/>
        <v>0</v>
      </c>
      <c r="AB114" s="860">
        <f t="shared" ca="1" si="39"/>
        <v>0</v>
      </c>
      <c r="AC114" s="860">
        <f t="shared" ca="1" si="39"/>
        <v>0</v>
      </c>
      <c r="AD114" s="860">
        <f t="shared" ca="1" si="39"/>
        <v>0</v>
      </c>
      <c r="AE114" s="860">
        <f t="shared" ca="1" si="39"/>
        <v>0</v>
      </c>
      <c r="AF114" s="860">
        <f t="shared" ca="1" si="39"/>
        <v>0</v>
      </c>
      <c r="AG114" s="860">
        <f t="shared" ca="1" si="39"/>
        <v>0</v>
      </c>
      <c r="AH114" s="860">
        <f t="shared" ca="1" si="39"/>
        <v>0</v>
      </c>
      <c r="AI114" s="860">
        <f t="shared" ca="1" si="39"/>
        <v>0</v>
      </c>
      <c r="AJ114" s="860">
        <f t="shared" ca="1" si="39"/>
        <v>0</v>
      </c>
      <c r="AK114" s="860">
        <f t="shared" ca="1" si="37"/>
        <v>0</v>
      </c>
      <c r="AL114" s="860">
        <f t="shared" ca="1" si="37"/>
        <v>0</v>
      </c>
    </row>
    <row r="115" spans="1:38" s="489" customFormat="1" ht="12.75" outlineLevel="2">
      <c r="A115" s="1132">
        <f>ROW(Diesel!$A74)</f>
        <v>74</v>
      </c>
      <c r="B115" s="1126">
        <f>COLUMN(Diesel!$D$1)+chosenYear-1</f>
        <v>4</v>
      </c>
      <c r="D115" s="714" t="str">
        <f>ProcessEnergy!B20</f>
        <v>&lt;empty&gt;</v>
      </c>
      <c r="E115" s="715" t="s">
        <v>345</v>
      </c>
      <c r="F115" s="860">
        <f t="shared" ca="1" si="33"/>
        <v>0</v>
      </c>
      <c r="G115" s="860">
        <f t="shared" ca="1" si="33"/>
        <v>0</v>
      </c>
      <c r="H115" s="860">
        <f t="shared" ca="1" si="33"/>
        <v>0</v>
      </c>
      <c r="I115" s="860">
        <f t="shared" ca="1" si="33"/>
        <v>0</v>
      </c>
      <c r="J115" s="860">
        <f t="shared" ca="1" si="33"/>
        <v>0</v>
      </c>
      <c r="K115" s="860">
        <f t="shared" ca="1" si="35"/>
        <v>0</v>
      </c>
      <c r="L115" s="860">
        <f t="shared" ca="1" si="33"/>
        <v>0</v>
      </c>
      <c r="M115" s="860">
        <f t="shared" ca="1" si="33"/>
        <v>0</v>
      </c>
      <c r="N115" s="860">
        <f t="shared" ca="1" si="33"/>
        <v>0</v>
      </c>
      <c r="O115" s="860">
        <f t="shared" ca="1" si="33"/>
        <v>0</v>
      </c>
      <c r="P115" s="860">
        <f t="shared" ca="1" si="33"/>
        <v>0</v>
      </c>
      <c r="Q115" s="860">
        <f t="shared" ca="1" si="33"/>
        <v>0</v>
      </c>
      <c r="R115" s="860">
        <f t="shared" ca="1" si="33"/>
        <v>0</v>
      </c>
      <c r="S115" s="860">
        <f t="shared" ca="1" si="33"/>
        <v>0</v>
      </c>
      <c r="T115" s="860">
        <f t="shared" ca="1" si="33"/>
        <v>0</v>
      </c>
      <c r="U115" s="860">
        <f t="shared" ca="1" si="33"/>
        <v>0</v>
      </c>
      <c r="V115" s="860">
        <f t="shared" ca="1" si="39"/>
        <v>0</v>
      </c>
      <c r="W115" s="860">
        <f t="shared" ca="1" si="39"/>
        <v>0</v>
      </c>
      <c r="X115" s="860">
        <f t="shared" ca="1" si="39"/>
        <v>0</v>
      </c>
      <c r="Y115" s="860">
        <f t="shared" ca="1" si="39"/>
        <v>0</v>
      </c>
      <c r="Z115" s="860">
        <f t="shared" ca="1" si="36"/>
        <v>0</v>
      </c>
      <c r="AA115" s="860">
        <f t="shared" ca="1" si="36"/>
        <v>0</v>
      </c>
      <c r="AB115" s="860">
        <f t="shared" ca="1" si="39"/>
        <v>0</v>
      </c>
      <c r="AC115" s="860">
        <f t="shared" ca="1" si="39"/>
        <v>0</v>
      </c>
      <c r="AD115" s="860">
        <f t="shared" ca="1" si="39"/>
        <v>0</v>
      </c>
      <c r="AE115" s="860">
        <f t="shared" ca="1" si="39"/>
        <v>0</v>
      </c>
      <c r="AF115" s="860">
        <f t="shared" ca="1" si="39"/>
        <v>0</v>
      </c>
      <c r="AG115" s="860">
        <f t="shared" ca="1" si="39"/>
        <v>0</v>
      </c>
      <c r="AH115" s="860">
        <f t="shared" ca="1" si="39"/>
        <v>0</v>
      </c>
      <c r="AI115" s="860">
        <f t="shared" ca="1" si="39"/>
        <v>0</v>
      </c>
      <c r="AJ115" s="860">
        <f t="shared" ca="1" si="39"/>
        <v>0</v>
      </c>
      <c r="AK115" s="860">
        <f t="shared" ca="1" si="37"/>
        <v>0</v>
      </c>
      <c r="AL115" s="860">
        <f t="shared" ca="1" si="37"/>
        <v>0</v>
      </c>
    </row>
    <row r="116" spans="1:38" s="489" customFormat="1" ht="12.75" outlineLevel="2">
      <c r="A116" s="1132">
        <f>ROW(Diesel!$A75)</f>
        <v>75</v>
      </c>
      <c r="B116" s="1126">
        <f>COLUMN(Diesel!$D$1)+chosenYear-1</f>
        <v>4</v>
      </c>
      <c r="D116" s="714" t="str">
        <f>ProcessEnergy!B21</f>
        <v>&lt;empty&gt;</v>
      </c>
      <c r="E116" s="715" t="s">
        <v>345</v>
      </c>
      <c r="F116" s="860">
        <f t="shared" ca="1" si="33"/>
        <v>0</v>
      </c>
      <c r="G116" s="860">
        <f t="shared" ca="1" si="33"/>
        <v>0</v>
      </c>
      <c r="H116" s="860">
        <f t="shared" ca="1" si="33"/>
        <v>0</v>
      </c>
      <c r="I116" s="860">
        <f t="shared" ca="1" si="33"/>
        <v>0</v>
      </c>
      <c r="J116" s="860">
        <f t="shared" ca="1" si="33"/>
        <v>0</v>
      </c>
      <c r="K116" s="860">
        <f t="shared" ca="1" si="35"/>
        <v>0</v>
      </c>
      <c r="L116" s="860">
        <f t="shared" ca="1" si="33"/>
        <v>0</v>
      </c>
      <c r="M116" s="860">
        <f t="shared" ca="1" si="33"/>
        <v>0</v>
      </c>
      <c r="N116" s="860">
        <f t="shared" ca="1" si="33"/>
        <v>0</v>
      </c>
      <c r="O116" s="860">
        <f t="shared" ca="1" si="33"/>
        <v>0</v>
      </c>
      <c r="P116" s="860">
        <f t="shared" ca="1" si="33"/>
        <v>0</v>
      </c>
      <c r="Q116" s="860">
        <f t="shared" ca="1" si="33"/>
        <v>0</v>
      </c>
      <c r="R116" s="860">
        <f t="shared" ca="1" si="33"/>
        <v>0</v>
      </c>
      <c r="S116" s="860">
        <f t="shared" ca="1" si="33"/>
        <v>0</v>
      </c>
      <c r="T116" s="860">
        <f t="shared" ca="1" si="33"/>
        <v>0</v>
      </c>
      <c r="U116" s="860">
        <f t="shared" ca="1" si="33"/>
        <v>0</v>
      </c>
      <c r="V116" s="860">
        <f t="shared" ca="1" si="39"/>
        <v>0</v>
      </c>
      <c r="W116" s="860">
        <f t="shared" ca="1" si="39"/>
        <v>0</v>
      </c>
      <c r="X116" s="860">
        <f t="shared" ca="1" si="39"/>
        <v>0</v>
      </c>
      <c r="Y116" s="860">
        <f t="shared" ca="1" si="39"/>
        <v>0</v>
      </c>
      <c r="Z116" s="860">
        <f t="shared" ca="1" si="36"/>
        <v>0</v>
      </c>
      <c r="AA116" s="860">
        <f t="shared" ca="1" si="36"/>
        <v>0</v>
      </c>
      <c r="AB116" s="860">
        <f t="shared" ca="1" si="39"/>
        <v>0</v>
      </c>
      <c r="AC116" s="860">
        <f t="shared" ca="1" si="39"/>
        <v>0</v>
      </c>
      <c r="AD116" s="860">
        <f t="shared" ca="1" si="39"/>
        <v>0</v>
      </c>
      <c r="AE116" s="860">
        <f t="shared" ca="1" si="39"/>
        <v>0</v>
      </c>
      <c r="AF116" s="860">
        <f t="shared" ca="1" si="39"/>
        <v>0</v>
      </c>
      <c r="AG116" s="860">
        <f t="shared" ca="1" si="39"/>
        <v>0</v>
      </c>
      <c r="AH116" s="860">
        <f t="shared" ca="1" si="39"/>
        <v>0</v>
      </c>
      <c r="AI116" s="860">
        <f t="shared" ca="1" si="39"/>
        <v>0</v>
      </c>
      <c r="AJ116" s="860">
        <f t="shared" ca="1" si="39"/>
        <v>0</v>
      </c>
      <c r="AK116" s="860">
        <f t="shared" ca="1" si="37"/>
        <v>0</v>
      </c>
      <c r="AL116" s="860">
        <f t="shared" ca="1" si="37"/>
        <v>0</v>
      </c>
    </row>
    <row r="117" spans="1:38" s="489" customFormat="1" ht="12.75" outlineLevel="2">
      <c r="A117" s="1132">
        <f>ROW(Diesel!$A76)</f>
        <v>76</v>
      </c>
      <c r="B117" s="1126">
        <f>COLUMN(Diesel!$D$1)+chosenYear-1</f>
        <v>4</v>
      </c>
      <c r="D117" s="714" t="str">
        <f>ProcessEnergy!B22</f>
        <v>&lt;empty&gt;</v>
      </c>
      <c r="E117" s="715" t="s">
        <v>345</v>
      </c>
      <c r="F117" s="860">
        <f t="shared" ca="1" si="33"/>
        <v>0</v>
      </c>
      <c r="G117" s="860">
        <f t="shared" ca="1" si="33"/>
        <v>0</v>
      </c>
      <c r="H117" s="860">
        <f t="shared" ca="1" si="33"/>
        <v>0</v>
      </c>
      <c r="I117" s="860">
        <f t="shared" ca="1" si="33"/>
        <v>0</v>
      </c>
      <c r="J117" s="860">
        <f t="shared" ca="1" si="33"/>
        <v>0</v>
      </c>
      <c r="K117" s="860">
        <f t="shared" ca="1" si="35"/>
        <v>0</v>
      </c>
      <c r="L117" s="860">
        <f t="shared" ca="1" si="33"/>
        <v>0</v>
      </c>
      <c r="M117" s="860">
        <f t="shared" ca="1" si="33"/>
        <v>0</v>
      </c>
      <c r="N117" s="860">
        <f t="shared" ca="1" si="33"/>
        <v>0</v>
      </c>
      <c r="O117" s="860">
        <f t="shared" ca="1" si="33"/>
        <v>0</v>
      </c>
      <c r="P117" s="860">
        <f t="shared" ca="1" si="33"/>
        <v>0</v>
      </c>
      <c r="Q117" s="860">
        <f t="shared" ca="1" si="33"/>
        <v>0</v>
      </c>
      <c r="R117" s="860">
        <f t="shared" ca="1" si="33"/>
        <v>0</v>
      </c>
      <c r="S117" s="860">
        <f t="shared" ca="1" si="33"/>
        <v>0</v>
      </c>
      <c r="T117" s="860">
        <f t="shared" ca="1" si="33"/>
        <v>0</v>
      </c>
      <c r="U117" s="860">
        <f t="shared" ca="1" si="33"/>
        <v>0</v>
      </c>
      <c r="V117" s="860">
        <f t="shared" ca="1" si="39"/>
        <v>0</v>
      </c>
      <c r="W117" s="860">
        <f t="shared" ca="1" si="39"/>
        <v>0</v>
      </c>
      <c r="X117" s="860">
        <f t="shared" ca="1" si="39"/>
        <v>0</v>
      </c>
      <c r="Y117" s="860">
        <f t="shared" ca="1" si="39"/>
        <v>0</v>
      </c>
      <c r="Z117" s="860">
        <f t="shared" ca="1" si="36"/>
        <v>0</v>
      </c>
      <c r="AA117" s="860">
        <f t="shared" ca="1" si="36"/>
        <v>0</v>
      </c>
      <c r="AB117" s="860">
        <f t="shared" ca="1" si="39"/>
        <v>0</v>
      </c>
      <c r="AC117" s="860">
        <f t="shared" ca="1" si="39"/>
        <v>0</v>
      </c>
      <c r="AD117" s="860">
        <f t="shared" ca="1" si="39"/>
        <v>0</v>
      </c>
      <c r="AE117" s="860">
        <f t="shared" ca="1" si="39"/>
        <v>0</v>
      </c>
      <c r="AF117" s="860">
        <f t="shared" ca="1" si="39"/>
        <v>0</v>
      </c>
      <c r="AG117" s="860">
        <f t="shared" ca="1" si="39"/>
        <v>0</v>
      </c>
      <c r="AH117" s="860">
        <f t="shared" ca="1" si="39"/>
        <v>0</v>
      </c>
      <c r="AI117" s="860">
        <f t="shared" ca="1" si="39"/>
        <v>0</v>
      </c>
      <c r="AJ117" s="860">
        <f t="shared" ca="1" si="39"/>
        <v>0</v>
      </c>
      <c r="AK117" s="860">
        <f t="shared" ca="1" si="37"/>
        <v>0</v>
      </c>
      <c r="AL117" s="860">
        <f t="shared" ca="1" si="37"/>
        <v>0</v>
      </c>
    </row>
    <row r="118" spans="1:38" s="489" customFormat="1" ht="12.75" outlineLevel="2">
      <c r="A118" s="1132">
        <f>ROW(Diesel!$A77)</f>
        <v>77</v>
      </c>
      <c r="B118" s="1126">
        <f>COLUMN(Diesel!$D$1)+chosenYear-1</f>
        <v>4</v>
      </c>
      <c r="D118" s="714" t="str">
        <f>ProcessEnergy!B23</f>
        <v>&lt;empty&gt;</v>
      </c>
      <c r="E118" s="715" t="s">
        <v>345</v>
      </c>
      <c r="F118" s="860">
        <f t="shared" ca="1" si="33"/>
        <v>0</v>
      </c>
      <c r="G118" s="860">
        <f t="shared" ca="1" si="33"/>
        <v>0</v>
      </c>
      <c r="H118" s="860">
        <f t="shared" ca="1" si="33"/>
        <v>0</v>
      </c>
      <c r="I118" s="860">
        <f t="shared" ca="1" si="33"/>
        <v>0</v>
      </c>
      <c r="J118" s="860">
        <f t="shared" ca="1" si="33"/>
        <v>0</v>
      </c>
      <c r="K118" s="860">
        <f t="shared" ca="1" si="35"/>
        <v>0</v>
      </c>
      <c r="L118" s="860">
        <f t="shared" ca="1" si="33"/>
        <v>0</v>
      </c>
      <c r="M118" s="860">
        <f t="shared" ca="1" si="33"/>
        <v>0</v>
      </c>
      <c r="N118" s="860">
        <f t="shared" ca="1" si="33"/>
        <v>0</v>
      </c>
      <c r="O118" s="860">
        <f t="shared" ca="1" si="33"/>
        <v>0</v>
      </c>
      <c r="P118" s="860">
        <f t="shared" ca="1" si="33"/>
        <v>0</v>
      </c>
      <c r="Q118" s="860">
        <f t="shared" ca="1" si="33"/>
        <v>0</v>
      </c>
      <c r="R118" s="860">
        <f t="shared" ca="1" si="33"/>
        <v>0</v>
      </c>
      <c r="S118" s="860">
        <f t="shared" ca="1" si="33"/>
        <v>0</v>
      </c>
      <c r="T118" s="860">
        <f t="shared" ca="1" si="33"/>
        <v>0</v>
      </c>
      <c r="U118" s="860">
        <f t="shared" ca="1" si="33"/>
        <v>0</v>
      </c>
      <c r="V118" s="860">
        <f t="shared" ca="1" si="39"/>
        <v>0</v>
      </c>
      <c r="W118" s="860">
        <f t="shared" ca="1" si="39"/>
        <v>0</v>
      </c>
      <c r="X118" s="860">
        <f t="shared" ca="1" si="39"/>
        <v>0</v>
      </c>
      <c r="Y118" s="860">
        <f t="shared" ca="1" si="39"/>
        <v>0</v>
      </c>
      <c r="Z118" s="860">
        <f t="shared" ca="1" si="36"/>
        <v>0</v>
      </c>
      <c r="AA118" s="860">
        <f t="shared" ca="1" si="36"/>
        <v>0</v>
      </c>
      <c r="AB118" s="860">
        <f t="shared" ca="1" si="39"/>
        <v>0</v>
      </c>
      <c r="AC118" s="860">
        <f t="shared" ca="1" si="39"/>
        <v>0</v>
      </c>
      <c r="AD118" s="860">
        <f t="shared" ca="1" si="39"/>
        <v>0</v>
      </c>
      <c r="AE118" s="860">
        <f t="shared" ca="1" si="39"/>
        <v>0</v>
      </c>
      <c r="AF118" s="860">
        <f t="shared" ca="1" si="39"/>
        <v>0</v>
      </c>
      <c r="AG118" s="860">
        <f t="shared" ca="1" si="39"/>
        <v>0</v>
      </c>
      <c r="AH118" s="860">
        <f t="shared" ca="1" si="39"/>
        <v>0</v>
      </c>
      <c r="AI118" s="860">
        <f t="shared" ca="1" si="39"/>
        <v>0</v>
      </c>
      <c r="AJ118" s="860">
        <f t="shared" ca="1" si="39"/>
        <v>0</v>
      </c>
      <c r="AK118" s="860">
        <f t="shared" ca="1" si="37"/>
        <v>0</v>
      </c>
      <c r="AL118" s="860">
        <f t="shared" ca="1" si="37"/>
        <v>0</v>
      </c>
    </row>
    <row r="119" spans="1:38" s="489" customFormat="1" ht="12.75" outlineLevel="2">
      <c r="A119" s="1132">
        <f>ROW(Diesel!$A78)</f>
        <v>78</v>
      </c>
      <c r="B119" s="1126">
        <f>COLUMN(Diesel!$D$1)+chosenYear-1</f>
        <v>4</v>
      </c>
      <c r="D119" s="492" t="str">
        <f>ProcessEnergy!B24</f>
        <v>&lt;empty&gt;</v>
      </c>
      <c r="E119" s="493" t="s">
        <v>345</v>
      </c>
      <c r="F119" s="861">
        <f t="shared" ca="1" si="33"/>
        <v>0</v>
      </c>
      <c r="G119" s="861">
        <f t="shared" ca="1" si="33"/>
        <v>0</v>
      </c>
      <c r="H119" s="861">
        <f t="shared" ca="1" si="33"/>
        <v>0</v>
      </c>
      <c r="I119" s="861">
        <f t="shared" ca="1" si="34"/>
        <v>0</v>
      </c>
      <c r="J119" s="861">
        <f t="shared" ca="1" si="34"/>
        <v>0</v>
      </c>
      <c r="K119" s="861">
        <f t="shared" ca="1" si="35"/>
        <v>0</v>
      </c>
      <c r="L119" s="861">
        <f t="shared" ca="1" si="34"/>
        <v>0</v>
      </c>
      <c r="M119" s="861">
        <f t="shared" ca="1" si="34"/>
        <v>0</v>
      </c>
      <c r="N119" s="861">
        <f t="shared" ca="1" si="34"/>
        <v>0</v>
      </c>
      <c r="O119" s="861">
        <f t="shared" ca="1" si="34"/>
        <v>0</v>
      </c>
      <c r="P119" s="861">
        <f t="shared" ca="1" si="34"/>
        <v>0</v>
      </c>
      <c r="Q119" s="861">
        <f t="shared" ca="1" si="34"/>
        <v>0</v>
      </c>
      <c r="R119" s="861">
        <f t="shared" ca="1" si="34"/>
        <v>0</v>
      </c>
      <c r="S119" s="861">
        <f t="shared" ca="1" si="34"/>
        <v>0</v>
      </c>
      <c r="T119" s="861">
        <f t="shared" ca="1" si="34"/>
        <v>0</v>
      </c>
      <c r="U119" s="861">
        <f t="shared" ca="1" si="34"/>
        <v>0</v>
      </c>
      <c r="V119" s="861">
        <f t="shared" ca="1" si="39"/>
        <v>0</v>
      </c>
      <c r="W119" s="861">
        <f t="shared" ca="1" si="39"/>
        <v>0</v>
      </c>
      <c r="X119" s="861">
        <f t="shared" ca="1" si="34"/>
        <v>3.8709677419354833E-2</v>
      </c>
      <c r="Y119" s="861">
        <f t="shared" ca="1" si="34"/>
        <v>0</v>
      </c>
      <c r="Z119" s="861">
        <f t="shared" ca="1" si="36"/>
        <v>0</v>
      </c>
      <c r="AA119" s="861">
        <f t="shared" ca="1" si="36"/>
        <v>0</v>
      </c>
      <c r="AB119" s="861">
        <f t="shared" ca="1" si="34"/>
        <v>0</v>
      </c>
      <c r="AC119" s="861">
        <f t="shared" ca="1" si="34"/>
        <v>0</v>
      </c>
      <c r="AD119" s="861">
        <f t="shared" ca="1" si="34"/>
        <v>0</v>
      </c>
      <c r="AE119" s="861">
        <f t="shared" ca="1" si="34"/>
        <v>0</v>
      </c>
      <c r="AF119" s="861">
        <f t="shared" ca="1" si="34"/>
        <v>0</v>
      </c>
      <c r="AG119" s="861">
        <f t="shared" ca="1" si="34"/>
        <v>0</v>
      </c>
      <c r="AH119" s="861">
        <f t="shared" ca="1" si="34"/>
        <v>0</v>
      </c>
      <c r="AI119" s="861">
        <f t="shared" ca="1" si="34"/>
        <v>0</v>
      </c>
      <c r="AJ119" s="861">
        <f t="shared" ca="1" si="34"/>
        <v>0</v>
      </c>
      <c r="AK119" s="861">
        <f t="shared" ca="1" si="37"/>
        <v>0</v>
      </c>
      <c r="AL119" s="861">
        <f t="shared" ca="1" si="37"/>
        <v>0</v>
      </c>
    </row>
    <row r="120" spans="1:38" s="489" customFormat="1" ht="12.75" outlineLevel="2">
      <c r="A120" s="1132"/>
      <c r="B120" s="1126"/>
      <c r="D120" s="494" t="s">
        <v>895</v>
      </c>
      <c r="E120" s="715"/>
      <c r="G120" s="773"/>
      <c r="H120" s="773"/>
      <c r="I120" s="773"/>
      <c r="J120" s="773"/>
      <c r="K120" s="773"/>
      <c r="L120" s="773"/>
      <c r="M120" s="773"/>
      <c r="N120" s="773"/>
      <c r="O120" s="773"/>
      <c r="P120" s="773"/>
      <c r="Q120" s="773"/>
      <c r="R120" s="773"/>
      <c r="S120" s="773"/>
      <c r="T120" s="773"/>
      <c r="U120" s="773"/>
      <c r="V120" s="773"/>
      <c r="W120" s="773"/>
      <c r="X120" s="773"/>
      <c r="Y120" s="773"/>
      <c r="Z120" s="773"/>
      <c r="AA120" s="773"/>
      <c r="AB120" s="773"/>
      <c r="AC120" s="773"/>
      <c r="AD120" s="773"/>
      <c r="AE120" s="773"/>
      <c r="AF120" s="773"/>
      <c r="AG120" s="773"/>
      <c r="AH120" s="773"/>
      <c r="AI120" s="773"/>
      <c r="AJ120" s="773"/>
      <c r="AK120" s="773"/>
      <c r="AL120" s="773"/>
    </row>
    <row r="121" spans="1:38" s="489" customFormat="1" ht="12.75" outlineLevel="2">
      <c r="A121" s="1132"/>
      <c r="B121" s="1126"/>
      <c r="D121" s="714"/>
      <c r="E121" s="715"/>
      <c r="G121" s="773"/>
      <c r="H121" s="773"/>
      <c r="I121" s="773"/>
      <c r="J121" s="773"/>
      <c r="K121" s="773"/>
      <c r="L121" s="773"/>
      <c r="M121" s="773"/>
      <c r="N121" s="773"/>
      <c r="O121" s="773"/>
      <c r="P121" s="773"/>
      <c r="Q121" s="773"/>
      <c r="R121" s="773"/>
      <c r="S121" s="773"/>
      <c r="T121" s="773"/>
      <c r="U121" s="773"/>
      <c r="V121" s="773"/>
      <c r="W121" s="773"/>
      <c r="X121" s="773"/>
      <c r="Y121" s="773"/>
      <c r="Z121" s="773"/>
      <c r="AA121" s="773"/>
      <c r="AB121" s="773"/>
      <c r="AC121" s="773"/>
      <c r="AD121" s="773"/>
      <c r="AE121" s="773"/>
      <c r="AF121" s="773"/>
      <c r="AG121" s="773"/>
      <c r="AH121" s="773"/>
      <c r="AI121" s="773"/>
      <c r="AJ121" s="773"/>
      <c r="AK121" s="773"/>
      <c r="AL121" s="773"/>
    </row>
    <row r="122" spans="1:38" s="489" customFormat="1" ht="12.75" outlineLevel="2">
      <c r="A122" s="1132"/>
      <c r="B122" s="1132"/>
      <c r="D122" s="783" t="s">
        <v>759</v>
      </c>
      <c r="E122" s="715"/>
      <c r="F122" s="664" t="s">
        <v>763</v>
      </c>
      <c r="G122" s="773"/>
      <c r="H122" s="773"/>
      <c r="I122" s="773"/>
      <c r="J122" s="773"/>
      <c r="K122" s="773"/>
      <c r="L122" s="773"/>
      <c r="M122" s="773"/>
      <c r="N122" s="773"/>
      <c r="O122" s="773"/>
      <c r="P122" s="773"/>
      <c r="Q122" s="773"/>
      <c r="R122" s="773"/>
      <c r="S122" s="773"/>
      <c r="T122" s="773"/>
      <c r="U122" s="773"/>
      <c r="V122" s="773"/>
      <c r="W122" s="773"/>
      <c r="X122" s="773"/>
      <c r="Y122" s="773"/>
      <c r="Z122" s="773"/>
      <c r="AA122" s="773"/>
      <c r="AB122" s="773"/>
      <c r="AC122" s="773"/>
      <c r="AD122" s="773"/>
      <c r="AE122" s="773"/>
      <c r="AF122" s="773"/>
      <c r="AG122" s="773"/>
      <c r="AH122" s="773"/>
      <c r="AI122" s="773"/>
      <c r="AJ122" s="773"/>
      <c r="AK122" s="773"/>
      <c r="AL122" s="773"/>
    </row>
    <row r="123" spans="1:38" s="489" customFormat="1" ht="12.75" outlineLevel="2">
      <c r="A123" s="1132"/>
      <c r="B123" s="1132"/>
      <c r="D123" s="495" t="str">
        <f t="shared" ref="D123:D128" si="40">D162</f>
        <v>CO2</v>
      </c>
      <c r="E123" s="491" t="s">
        <v>347</v>
      </c>
      <c r="F123" s="2337">
        <f ca="1">SUMPRODUCT(F$100:F$119,ProcessEnergy!$C$5:$C$24)/1000</f>
        <v>2.5998946551256696</v>
      </c>
      <c r="G123" s="786">
        <f ca="1">SUMPRODUCT(G$100:G$119,ProcessEnergy!$C$5:$C$24)/1000</f>
        <v>2.5998946551256696</v>
      </c>
      <c r="H123" s="786">
        <f ca="1">SUMPRODUCT(H$100:H$119,ProcessEnergy!$C$5:$C$24)/1000</f>
        <v>2.5998946551256696</v>
      </c>
      <c r="I123" s="786">
        <f ca="1">SUMPRODUCT(I$100:I$119,ProcessEnergy!$C$5:$C$24)/1000</f>
        <v>2.5998946551256696</v>
      </c>
      <c r="J123" s="786">
        <f ca="1">SUMPRODUCT(J$100:J$119,ProcessEnergy!$C$5:$C$24)/1000</f>
        <v>0</v>
      </c>
      <c r="K123" s="786">
        <f ca="1">SUMPRODUCT(K$100:K$119,ProcessEnergy!$C$5:$C$24)/1000</f>
        <v>0</v>
      </c>
      <c r="L123" s="786">
        <f ca="1">SUMPRODUCT(L$100:L$119,ProcessEnergy!$C$5:$C$24)/1000</f>
        <v>2.988019486165864</v>
      </c>
      <c r="M123" s="786">
        <f ca="1">SUMPRODUCT(M$100:M$119,ProcessEnergy!$C$5:$C$24)/1000</f>
        <v>0</v>
      </c>
      <c r="N123" s="786">
        <f ca="1">SUMPRODUCT(N$100:N$119,ProcessEnergy!$C$5:$C$24)/1000</f>
        <v>0</v>
      </c>
      <c r="O123" s="786">
        <f ca="1">SUMPRODUCT(O$100:O$119,ProcessEnergy!$C$5:$C$24)/1000</f>
        <v>0</v>
      </c>
      <c r="P123" s="786">
        <f ca="1">SUMPRODUCT(P$100:P$119,ProcessEnergy!$C$5:$C$24)/1000</f>
        <v>0</v>
      </c>
      <c r="Q123" s="786">
        <f ca="1">SUMPRODUCT(Q$100:Q$119,ProcessEnergy!$C$5:$C$24)/1000</f>
        <v>0</v>
      </c>
      <c r="R123" s="786">
        <f ca="1">SUMPRODUCT(R$100:R$119,ProcessEnergy!$C$5:$C$24)/1000</f>
        <v>1.574421868069477</v>
      </c>
      <c r="S123" s="786">
        <f ca="1">SUMPRODUCT(S$100:S$119,ProcessEnergy!$C$5:$C$24)/1000</f>
        <v>0</v>
      </c>
      <c r="T123" s="786">
        <f ca="1">SUMPRODUCT(T$100:T$119,ProcessEnergy!$C$5:$C$24)/1000</f>
        <v>0</v>
      </c>
      <c r="U123" s="786">
        <f ca="1">SUMPRODUCT(U$100:U$119,ProcessEnergy!$C$5:$C$24)/1000</f>
        <v>0</v>
      </c>
      <c r="V123" s="786">
        <f ca="1">SUMPRODUCT(V$100:V$119,ProcessEnergy!$C$5:$C$24)/1000</f>
        <v>0</v>
      </c>
      <c r="W123" s="786">
        <f ca="1">SUMPRODUCT(W$100:W$119,ProcessEnergy!$C$5:$C$24)/1000</f>
        <v>0</v>
      </c>
      <c r="X123" s="786">
        <f ca="1">SUMPRODUCT(X$100:X$119,ProcessEnergy!$C$5:$C$24)/1000</f>
        <v>4.607068222192007</v>
      </c>
      <c r="Y123" s="786">
        <f ca="1">SUMPRODUCT(Y$100:Y$119,ProcessEnergy!$C$5:$C$24)/1000</f>
        <v>4.5643309122796058E-2</v>
      </c>
      <c r="Z123" s="786">
        <f ca="1">SUMPRODUCT(Z$100:Z$119,ProcessEnergy!$C$5:$C$24)/1000</f>
        <v>0</v>
      </c>
      <c r="AA123" s="786">
        <f ca="1">SUMPRODUCT(AA$100:AA$119,ProcessEnergy!$C$5:$C$24)/1000</f>
        <v>0</v>
      </c>
      <c r="AB123" s="786">
        <f ca="1">SUMPRODUCT(AB$100:AB$119,ProcessEnergy!$C$5:$C$24)/1000</f>
        <v>0</v>
      </c>
      <c r="AC123" s="786">
        <f ca="1">SUMPRODUCT(AC$100:AC$119,ProcessEnergy!$C$5:$C$24)/1000</f>
        <v>0</v>
      </c>
      <c r="AD123" s="786">
        <f ca="1">SUMPRODUCT(AD$100:AD$119,ProcessEnergy!$C$5:$C$24)/1000</f>
        <v>0</v>
      </c>
      <c r="AE123" s="786">
        <f ca="1">SUMPRODUCT(AE$100:AE$119,ProcessEnergy!$C$5:$C$24)/1000</f>
        <v>0</v>
      </c>
      <c r="AF123" s="786">
        <f ca="1">SUMPRODUCT(AF$100:AF$119,ProcessEnergy!$C$5:$C$24)/1000</f>
        <v>0</v>
      </c>
      <c r="AG123" s="786">
        <f ca="1">SUMPRODUCT(AG$100:AG$119,ProcessEnergy!$C$5:$C$24)/1000</f>
        <v>0</v>
      </c>
      <c r="AH123" s="786">
        <f ca="1">SUMPRODUCT(AH$100:AH$119,ProcessEnergy!$C$5:$C$24)/1000</f>
        <v>0</v>
      </c>
      <c r="AI123" s="786">
        <f ca="1">SUMPRODUCT(AI$100:AI$119,ProcessEnergy!$C$5:$C$24)/1000</f>
        <v>0</v>
      </c>
      <c r="AJ123" s="786">
        <f ca="1">SUMPRODUCT(AJ$100:AJ$119,ProcessEnergy!$C$5:$C$24)/1000</f>
        <v>0</v>
      </c>
      <c r="AK123" s="786">
        <f ca="1">SUMPRODUCT(AK$100:AK$119,ProcessEnergy!$C$5:$C$24)/1000</f>
        <v>0</v>
      </c>
      <c r="AL123" s="786">
        <f ca="1">SUMPRODUCT(AL$100:AL$119,ProcessEnergy!$C$5:$C$24)/1000</f>
        <v>0</v>
      </c>
    </row>
    <row r="124" spans="1:38" s="489" customFormat="1" ht="12.75" outlineLevel="2">
      <c r="A124" s="1132"/>
      <c r="B124" s="1132"/>
      <c r="D124" s="714" t="str">
        <f t="shared" si="40"/>
        <v>CH4</v>
      </c>
      <c r="E124" s="715" t="s">
        <v>347</v>
      </c>
      <c r="F124" s="788">
        <f ca="1">SUMPRODUCT(F$100:F$119,ProcessEnergy!$D$5:$D$24)/1000</f>
        <v>5.155418469442943E-6</v>
      </c>
      <c r="G124" s="788">
        <f ca="1">SUMPRODUCT(G$100:G$119,ProcessEnergy!$D$5:$D$24)/1000</f>
        <v>5.155418469442943E-6</v>
      </c>
      <c r="H124" s="788">
        <f ca="1">SUMPRODUCT(H$100:H$119,ProcessEnergy!$D$5:$D$24)/1000</f>
        <v>5.155418469442943E-6</v>
      </c>
      <c r="I124" s="788">
        <f ca="1">SUMPRODUCT(I$100:I$119,ProcessEnergy!$D$5:$D$24)/1000</f>
        <v>5.155418469442943E-6</v>
      </c>
      <c r="J124" s="788">
        <f ca="1">SUMPRODUCT(J$100:J$119,ProcessEnergy!$D$5:$D$24)/1000</f>
        <v>0</v>
      </c>
      <c r="K124" s="788">
        <f ca="1">SUMPRODUCT(K$100:K$119,ProcessEnergy!$D$5:$D$24)/1000</f>
        <v>0</v>
      </c>
      <c r="L124" s="788">
        <f ca="1">SUMPRODUCT(L$100:L$119,ProcessEnergy!$D$5:$D$24)/1000</f>
        <v>1.9989098085770184E-3</v>
      </c>
      <c r="M124" s="788">
        <f ca="1">SUMPRODUCT(M$100:M$119,ProcessEnergy!$D$5:$D$24)/1000</f>
        <v>0</v>
      </c>
      <c r="N124" s="788">
        <f ca="1">SUMPRODUCT(N$100:N$119,ProcessEnergy!$D$5:$D$24)/1000</f>
        <v>0</v>
      </c>
      <c r="O124" s="788">
        <f ca="1">SUMPRODUCT(O$100:O$119,ProcessEnergy!$D$5:$D$24)/1000</f>
        <v>0</v>
      </c>
      <c r="P124" s="788">
        <f ca="1">SUMPRODUCT(P$100:P$119,ProcessEnergy!$D$5:$D$24)/1000</f>
        <v>0</v>
      </c>
      <c r="Q124" s="788">
        <f ca="1">SUMPRODUCT(Q$100:Q$119,ProcessEnergy!$D$5:$D$24)/1000</f>
        <v>0</v>
      </c>
      <c r="R124" s="788">
        <f ca="1">SUMPRODUCT(R$100:R$119,ProcessEnergy!$D$5:$D$24)/1000</f>
        <v>8.1642024812186322E-4</v>
      </c>
      <c r="S124" s="788">
        <f ca="1">SUMPRODUCT(S$100:S$119,ProcessEnergy!$D$5:$D$24)/1000</f>
        <v>0</v>
      </c>
      <c r="T124" s="788">
        <f ca="1">SUMPRODUCT(T$100:T$119,ProcessEnergy!$D$5:$D$24)/1000</f>
        <v>0</v>
      </c>
      <c r="U124" s="788">
        <f ca="1">SUMPRODUCT(U$100:U$119,ProcessEnergy!$D$5:$D$24)/1000</f>
        <v>0</v>
      </c>
      <c r="V124" s="788">
        <f ca="1">SUMPRODUCT(V$100:V$119,ProcessEnergy!$D$5:$D$24)/1000</f>
        <v>0</v>
      </c>
      <c r="W124" s="788">
        <f ca="1">SUMPRODUCT(W$100:W$119,ProcessEnergy!$D$5:$D$24)/1000</f>
        <v>0</v>
      </c>
      <c r="X124" s="788">
        <f ca="1">SUMPRODUCT(X$100:X$119,ProcessEnergy!$D$5:$D$24)/1000</f>
        <v>2.6191620907156876E-4</v>
      </c>
      <c r="Y124" s="788">
        <f ca="1">SUMPRODUCT(Y$100:Y$119,ProcessEnergy!$D$5:$D$24)/1000</f>
        <v>9.4444444444444452E-7</v>
      </c>
      <c r="Z124" s="788">
        <f ca="1">SUMPRODUCT(Z$100:Z$119,ProcessEnergy!$D$5:$D$24)/1000</f>
        <v>0</v>
      </c>
      <c r="AA124" s="788">
        <f ca="1">SUMPRODUCT(AA$100:AA$119,ProcessEnergy!$D$5:$D$24)/1000</f>
        <v>0</v>
      </c>
      <c r="AB124" s="788">
        <f ca="1">SUMPRODUCT(AB$100:AB$119,ProcessEnergy!$D$5:$D$24)/1000</f>
        <v>0</v>
      </c>
      <c r="AC124" s="788">
        <f ca="1">SUMPRODUCT(AC$100:AC$119,ProcessEnergy!$D$5:$D$24)/1000</f>
        <v>0</v>
      </c>
      <c r="AD124" s="788">
        <f ca="1">SUMPRODUCT(AD$100:AD$119,ProcessEnergy!$D$5:$D$24)/1000</f>
        <v>0</v>
      </c>
      <c r="AE124" s="788">
        <f ca="1">SUMPRODUCT(AE$100:AE$119,ProcessEnergy!$D$5:$D$24)/1000</f>
        <v>0</v>
      </c>
      <c r="AF124" s="788">
        <f ca="1">SUMPRODUCT(AF$100:AF$119,ProcessEnergy!$D$5:$D$24)/1000</f>
        <v>0</v>
      </c>
      <c r="AG124" s="788">
        <f ca="1">SUMPRODUCT(AG$100:AG$119,ProcessEnergy!$D$5:$D$24)/1000</f>
        <v>0</v>
      </c>
      <c r="AH124" s="788">
        <f ca="1">SUMPRODUCT(AH$100:AH$119,ProcessEnergy!$D$5:$D$24)/1000</f>
        <v>0</v>
      </c>
      <c r="AI124" s="788">
        <f ca="1">SUMPRODUCT(AI$100:AI$119,ProcessEnergy!$D$5:$D$24)/1000</f>
        <v>0</v>
      </c>
      <c r="AJ124" s="788">
        <f ca="1">SUMPRODUCT(AJ$100:AJ$119,ProcessEnergy!$D$5:$D$24)/1000</f>
        <v>0</v>
      </c>
      <c r="AK124" s="788">
        <f ca="1">SUMPRODUCT(AK$100:AK$119,ProcessEnergy!$D$5:$D$24)/1000</f>
        <v>0</v>
      </c>
      <c r="AL124" s="788">
        <f ca="1">SUMPRODUCT(AL$100:AL$119,ProcessEnergy!$D$5:$D$24)/1000</f>
        <v>0</v>
      </c>
    </row>
    <row r="125" spans="1:38" s="489" customFormat="1" ht="12.75" outlineLevel="2">
      <c r="A125" s="1132"/>
      <c r="B125" s="1132"/>
      <c r="D125" s="714" t="str">
        <f t="shared" si="40"/>
        <v>N2O</v>
      </c>
      <c r="E125" s="715" t="s">
        <v>347</v>
      </c>
      <c r="F125" s="788">
        <f ca="1">SUMPRODUCT(F$100:F$119,ProcessEnergy!$E$5:$E$24)/1000</f>
        <v>5.155418469442943E-6</v>
      </c>
      <c r="G125" s="788">
        <f ca="1">SUMPRODUCT(G$100:G$119,ProcessEnergy!$E$5:$E$24)/1000</f>
        <v>5.155418469442943E-6</v>
      </c>
      <c r="H125" s="788">
        <f ca="1">SUMPRODUCT(H$100:H$119,ProcessEnergy!$E$5:$E$24)/1000</f>
        <v>5.155418469442943E-6</v>
      </c>
      <c r="I125" s="788">
        <f ca="1">SUMPRODUCT(I$100:I$119,ProcessEnergy!$E$5:$E$24)/1000</f>
        <v>5.155418469442943E-6</v>
      </c>
      <c r="J125" s="788">
        <f ca="1">SUMPRODUCT(J$100:J$119,ProcessEnergy!$E$5:$E$24)/1000</f>
        <v>0</v>
      </c>
      <c r="K125" s="788">
        <f ca="1">SUMPRODUCT(K$100:K$119,ProcessEnergy!$E$5:$E$24)/1000</f>
        <v>0</v>
      </c>
      <c r="L125" s="788">
        <f ca="1">SUMPRODUCT(L$100:L$119,ProcessEnergy!$E$5:$E$24)/1000</f>
        <v>1.0474872620552869E-4</v>
      </c>
      <c r="M125" s="788">
        <f ca="1">SUMPRODUCT(M$100:M$119,ProcessEnergy!$E$5:$E$24)/1000</f>
        <v>0</v>
      </c>
      <c r="N125" s="788">
        <f ca="1">SUMPRODUCT(N$100:N$119,ProcessEnergy!$E$5:$E$24)/1000</f>
        <v>0</v>
      </c>
      <c r="O125" s="788">
        <f ca="1">SUMPRODUCT(O$100:O$119,ProcessEnergy!$E$5:$E$24)/1000</f>
        <v>0</v>
      </c>
      <c r="P125" s="788">
        <f ca="1">SUMPRODUCT(P$100:P$119,ProcessEnergy!$E$5:$E$24)/1000</f>
        <v>0</v>
      </c>
      <c r="Q125" s="788">
        <f ca="1">SUMPRODUCT(Q$100:Q$119,ProcessEnergy!$E$5:$E$24)/1000</f>
        <v>0</v>
      </c>
      <c r="R125" s="788">
        <f ca="1">SUMPRODUCT(R$100:R$119,ProcessEnergy!$E$5:$E$24)/1000</f>
        <v>4.9945763627353473E-5</v>
      </c>
      <c r="S125" s="788">
        <f ca="1">SUMPRODUCT(S$100:S$119,ProcessEnergy!$E$5:$E$24)/1000</f>
        <v>0</v>
      </c>
      <c r="T125" s="788">
        <f ca="1">SUMPRODUCT(T$100:T$119,ProcessEnergy!$E$5:$E$24)/1000</f>
        <v>0</v>
      </c>
      <c r="U125" s="788">
        <f ca="1">SUMPRODUCT(U$100:U$119,ProcessEnergy!$E$5:$E$24)/1000</f>
        <v>0</v>
      </c>
      <c r="V125" s="788">
        <f ca="1">SUMPRODUCT(V$100:V$119,ProcessEnergy!$E$5:$E$24)/1000</f>
        <v>0</v>
      </c>
      <c r="W125" s="788">
        <f ca="1">SUMPRODUCT(W$100:W$119,ProcessEnergy!$E$5:$E$24)/1000</f>
        <v>0</v>
      </c>
      <c r="X125" s="788">
        <f ca="1">SUMPRODUCT(X$100:X$119,ProcessEnergy!$E$5:$E$24)/1000</f>
        <v>1.4666375363662407E-5</v>
      </c>
      <c r="Y125" s="788">
        <f ca="1">SUMPRODUCT(Y$100:Y$119,ProcessEnergy!$E$5:$E$24)/1000</f>
        <v>9.4444444444444452E-7</v>
      </c>
      <c r="Z125" s="788">
        <f ca="1">SUMPRODUCT(Z$100:Z$119,ProcessEnergy!$E$5:$E$24)/1000</f>
        <v>0</v>
      </c>
      <c r="AA125" s="788">
        <f ca="1">SUMPRODUCT(AA$100:AA$119,ProcessEnergy!$E$5:$E$24)/1000</f>
        <v>0</v>
      </c>
      <c r="AB125" s="788">
        <f ca="1">SUMPRODUCT(AB$100:AB$119,ProcessEnergy!$E$5:$E$24)/1000</f>
        <v>0</v>
      </c>
      <c r="AC125" s="788">
        <f ca="1">SUMPRODUCT(AC$100:AC$119,ProcessEnergy!$E$5:$E$24)/1000</f>
        <v>0</v>
      </c>
      <c r="AD125" s="788">
        <f ca="1">SUMPRODUCT(AD$100:AD$119,ProcessEnergy!$E$5:$E$24)/1000</f>
        <v>0</v>
      </c>
      <c r="AE125" s="788">
        <f ca="1">SUMPRODUCT(AE$100:AE$119,ProcessEnergy!$E$5:$E$24)/1000</f>
        <v>0</v>
      </c>
      <c r="AF125" s="788">
        <f ca="1">SUMPRODUCT(AF$100:AF$119,ProcessEnergy!$E$5:$E$24)/1000</f>
        <v>0</v>
      </c>
      <c r="AG125" s="788">
        <f ca="1">SUMPRODUCT(AG$100:AG$119,ProcessEnergy!$E$5:$E$24)/1000</f>
        <v>0</v>
      </c>
      <c r="AH125" s="788">
        <f ca="1">SUMPRODUCT(AH$100:AH$119,ProcessEnergy!$E$5:$E$24)/1000</f>
        <v>0</v>
      </c>
      <c r="AI125" s="788">
        <f ca="1">SUMPRODUCT(AI$100:AI$119,ProcessEnergy!$E$5:$E$24)/1000</f>
        <v>0</v>
      </c>
      <c r="AJ125" s="788">
        <f ca="1">SUMPRODUCT(AJ$100:AJ$119,ProcessEnergy!$E$5:$E$24)/1000</f>
        <v>0</v>
      </c>
      <c r="AK125" s="788">
        <f ca="1">SUMPRODUCT(AK$100:AK$119,ProcessEnergy!$E$5:$E$24)/1000</f>
        <v>0</v>
      </c>
      <c r="AL125" s="788">
        <f ca="1">SUMPRODUCT(AL$100:AL$119,ProcessEnergy!$E$5:$E$24)/1000</f>
        <v>0</v>
      </c>
    </row>
    <row r="126" spans="1:38" s="489" customFormat="1" ht="12.75" outlineLevel="2">
      <c r="A126" s="1132"/>
      <c r="B126" s="1132"/>
      <c r="D126" s="714" t="str">
        <f t="shared" si="40"/>
        <v>SO2</v>
      </c>
      <c r="E126" s="715" t="s">
        <v>347</v>
      </c>
      <c r="F126" s="788">
        <f ca="1">SUMPRODUCT(F$100:F$119,ProcessEnergy!$F$5:$F$24)/1000</f>
        <v>1.5466255408328829E-5</v>
      </c>
      <c r="G126" s="788">
        <f ca="1">SUMPRODUCT(G$100:G$119,ProcessEnergy!$F$5:$F$24)/1000</f>
        <v>1.5466255408328829E-5</v>
      </c>
      <c r="H126" s="788">
        <f ca="1">SUMPRODUCT(H$100:H$119,ProcessEnergy!$F$5:$F$24)/1000</f>
        <v>1.5466255408328829E-5</v>
      </c>
      <c r="I126" s="788">
        <f ca="1">SUMPRODUCT(I$100:I$119,ProcessEnergy!$F$5:$F$24)/1000</f>
        <v>1.5466255408328829E-5</v>
      </c>
      <c r="J126" s="788">
        <f ca="1">SUMPRODUCT(J$100:J$119,ProcessEnergy!$F$5:$F$24)/1000</f>
        <v>0</v>
      </c>
      <c r="K126" s="788">
        <f ca="1">SUMPRODUCT(K$100:K$119,ProcessEnergy!$F$5:$F$24)/1000</f>
        <v>0</v>
      </c>
      <c r="L126" s="788">
        <f ca="1">SUMPRODUCT(L$100:L$119,ProcessEnergy!$F$5:$F$24)/1000</f>
        <v>4.7331610044796793E-3</v>
      </c>
      <c r="M126" s="788">
        <f ca="1">SUMPRODUCT(M$100:M$119,ProcessEnergy!$F$5:$F$24)/1000</f>
        <v>0</v>
      </c>
      <c r="N126" s="788">
        <f ca="1">SUMPRODUCT(N$100:N$119,ProcessEnergy!$F$5:$F$24)/1000</f>
        <v>0</v>
      </c>
      <c r="O126" s="788">
        <f ca="1">SUMPRODUCT(O$100:O$119,ProcessEnergy!$F$5:$F$24)/1000</f>
        <v>0</v>
      </c>
      <c r="P126" s="788">
        <f ca="1">SUMPRODUCT(P$100:P$119,ProcessEnergy!$F$5:$F$24)/1000</f>
        <v>0</v>
      </c>
      <c r="Q126" s="788">
        <f ca="1">SUMPRODUCT(Q$100:Q$119,ProcessEnergy!$F$5:$F$24)/1000</f>
        <v>0</v>
      </c>
      <c r="R126" s="788">
        <f ca="1">SUMPRODUCT(R$100:R$119,ProcessEnergy!$F$5:$F$24)/1000</f>
        <v>1.9379563134406148E-3</v>
      </c>
      <c r="S126" s="788">
        <f ca="1">SUMPRODUCT(S$100:S$119,ProcessEnergy!$F$5:$F$24)/1000</f>
        <v>0</v>
      </c>
      <c r="T126" s="788">
        <f ca="1">SUMPRODUCT(T$100:T$119,ProcessEnergy!$F$5:$F$24)/1000</f>
        <v>0</v>
      </c>
      <c r="U126" s="788">
        <f ca="1">SUMPRODUCT(U$100:U$119,ProcessEnergy!$F$5:$F$24)/1000</f>
        <v>0</v>
      </c>
      <c r="V126" s="788">
        <f ca="1">SUMPRODUCT(V$100:V$119,ProcessEnergy!$F$5:$F$24)/1000</f>
        <v>0</v>
      </c>
      <c r="W126" s="788">
        <f ca="1">SUMPRODUCT(W$100:W$119,ProcessEnergy!$F$5:$F$24)/1000</f>
        <v>0</v>
      </c>
      <c r="X126" s="788">
        <f ca="1">SUMPRODUCT(X$100:X$119,ProcessEnergy!$F$5:$F$24)/1000</f>
        <v>6.2081171401310144E-4</v>
      </c>
      <c r="Y126" s="788">
        <f ca="1">SUMPRODUCT(Y$100:Y$119,ProcessEnergy!$F$5:$F$24)/1000</f>
        <v>2.833333333333333E-6</v>
      </c>
      <c r="Z126" s="788">
        <f ca="1">SUMPRODUCT(Z$100:Z$119,ProcessEnergy!$F$5:$F$24)/1000</f>
        <v>0</v>
      </c>
      <c r="AA126" s="788">
        <f ca="1">SUMPRODUCT(AA$100:AA$119,ProcessEnergy!$F$5:$F$24)/1000</f>
        <v>0</v>
      </c>
      <c r="AB126" s="788">
        <f ca="1">SUMPRODUCT(AB$100:AB$119,ProcessEnergy!$F$5:$F$24)/1000</f>
        <v>0</v>
      </c>
      <c r="AC126" s="788">
        <f ca="1">SUMPRODUCT(AC$100:AC$119,ProcessEnergy!$F$5:$F$24)/1000</f>
        <v>0</v>
      </c>
      <c r="AD126" s="788">
        <f ca="1">SUMPRODUCT(AD$100:AD$119,ProcessEnergy!$F$5:$F$24)/1000</f>
        <v>0</v>
      </c>
      <c r="AE126" s="788">
        <f ca="1">SUMPRODUCT(AE$100:AE$119,ProcessEnergy!$F$5:$F$24)/1000</f>
        <v>0</v>
      </c>
      <c r="AF126" s="788">
        <f ca="1">SUMPRODUCT(AF$100:AF$119,ProcessEnergy!$F$5:$F$24)/1000</f>
        <v>0</v>
      </c>
      <c r="AG126" s="788">
        <f ca="1">SUMPRODUCT(AG$100:AG$119,ProcessEnergy!$F$5:$F$24)/1000</f>
        <v>0</v>
      </c>
      <c r="AH126" s="788">
        <f ca="1">SUMPRODUCT(AH$100:AH$119,ProcessEnergy!$F$5:$F$24)/1000</f>
        <v>0</v>
      </c>
      <c r="AI126" s="788">
        <f ca="1">SUMPRODUCT(AI$100:AI$119,ProcessEnergy!$F$5:$F$24)/1000</f>
        <v>0</v>
      </c>
      <c r="AJ126" s="788">
        <f ca="1">SUMPRODUCT(AJ$100:AJ$119,ProcessEnergy!$F$5:$F$24)/1000</f>
        <v>0</v>
      </c>
      <c r="AK126" s="788">
        <f ca="1">SUMPRODUCT(AK$100:AK$119,ProcessEnergy!$F$5:$F$24)/1000</f>
        <v>0</v>
      </c>
      <c r="AL126" s="788">
        <f ca="1">SUMPRODUCT(AL$100:AL$119,ProcessEnergy!$F$5:$F$24)/1000</f>
        <v>0</v>
      </c>
    </row>
    <row r="127" spans="1:38" s="489" customFormat="1" ht="12.75" outlineLevel="2">
      <c r="A127" s="1132"/>
      <c r="B127" s="1132"/>
      <c r="D127" s="714" t="str">
        <f t="shared" si="40"/>
        <v>NOx</v>
      </c>
      <c r="E127" s="715" t="s">
        <v>347</v>
      </c>
      <c r="F127" s="788">
        <f ca="1">SUMPRODUCT(F$100:F$119,ProcessEnergy!$G$5:$G$24)/1000</f>
        <v>2.246743624932396E-3</v>
      </c>
      <c r="G127" s="788">
        <f ca="1">SUMPRODUCT(G$100:G$119,ProcessEnergy!$G$5:$G$24)/1000</f>
        <v>2.246743624932396E-3</v>
      </c>
      <c r="H127" s="788">
        <f ca="1">SUMPRODUCT(H$100:H$119,ProcessEnergy!$G$5:$G$24)/1000</f>
        <v>2.246743624932396E-3</v>
      </c>
      <c r="I127" s="788">
        <f ca="1">SUMPRODUCT(I$100:I$119,ProcessEnergy!$G$5:$G$24)/1000</f>
        <v>2.246743624932396E-3</v>
      </c>
      <c r="J127" s="788">
        <f ca="1">SUMPRODUCT(J$100:J$119,ProcessEnergy!$G$5:$G$24)/1000</f>
        <v>0</v>
      </c>
      <c r="K127" s="788">
        <f ca="1">SUMPRODUCT(K$100:K$119,ProcessEnergy!$G$5:$G$24)/1000</f>
        <v>0</v>
      </c>
      <c r="L127" s="788">
        <f ca="1">SUMPRODUCT(L$100:L$119,ProcessEnergy!$G$5:$G$24)/1000</f>
        <v>7.3457053014826228E-3</v>
      </c>
      <c r="M127" s="788">
        <f ca="1">SUMPRODUCT(M$100:M$119,ProcessEnergy!$G$5:$G$24)/1000</f>
        <v>0</v>
      </c>
      <c r="N127" s="788">
        <f ca="1">SUMPRODUCT(N$100:N$119,ProcessEnergy!$G$5:$G$24)/1000</f>
        <v>0</v>
      </c>
      <c r="O127" s="788">
        <f ca="1">SUMPRODUCT(O$100:O$119,ProcessEnergy!$G$5:$G$24)/1000</f>
        <v>0</v>
      </c>
      <c r="P127" s="788">
        <f ca="1">SUMPRODUCT(P$100:P$119,ProcessEnergy!$G$5:$G$24)/1000</f>
        <v>0</v>
      </c>
      <c r="Q127" s="788">
        <f ca="1">SUMPRODUCT(Q$100:Q$119,ProcessEnergy!$G$5:$G$24)/1000</f>
        <v>0</v>
      </c>
      <c r="R127" s="788">
        <f ca="1">SUMPRODUCT(R$100:R$119,ProcessEnergy!$G$5:$G$24)/1000</f>
        <v>7.1299365638557589E-3</v>
      </c>
      <c r="S127" s="788">
        <f ca="1">SUMPRODUCT(S$100:S$119,ProcessEnergy!$G$5:$G$24)/1000</f>
        <v>0</v>
      </c>
      <c r="T127" s="788">
        <f ca="1">SUMPRODUCT(T$100:T$119,ProcessEnergy!$G$5:$G$24)/1000</f>
        <v>0</v>
      </c>
      <c r="U127" s="788">
        <f ca="1">SUMPRODUCT(U$100:U$119,ProcessEnergy!$G$5:$G$24)/1000</f>
        <v>0</v>
      </c>
      <c r="V127" s="788">
        <f ca="1">SUMPRODUCT(V$100:V$119,ProcessEnergy!$G$5:$G$24)/1000</f>
        <v>0</v>
      </c>
      <c r="W127" s="788">
        <f ca="1">SUMPRODUCT(W$100:W$119,ProcessEnergy!$G$5:$G$24)/1000</f>
        <v>0</v>
      </c>
      <c r="X127" s="788">
        <f ca="1">SUMPRODUCT(X$100:X$119,ProcessEnergy!$G$5:$G$24)/1000</f>
        <v>1.5051408270502446E-3</v>
      </c>
      <c r="Y127" s="788">
        <f ca="1">SUMPRODUCT(Y$100:Y$119,ProcessEnergy!$G$5:$G$24)/1000</f>
        <v>5.1944444444444445E-4</v>
      </c>
      <c r="Z127" s="788">
        <f ca="1">SUMPRODUCT(Z$100:Z$119,ProcessEnergy!$G$5:$G$24)/1000</f>
        <v>0</v>
      </c>
      <c r="AA127" s="788">
        <f ca="1">SUMPRODUCT(AA$100:AA$119,ProcessEnergy!$G$5:$G$24)/1000</f>
        <v>0</v>
      </c>
      <c r="AB127" s="788">
        <f ca="1">SUMPRODUCT(AB$100:AB$119,ProcessEnergy!$G$5:$G$24)/1000</f>
        <v>0</v>
      </c>
      <c r="AC127" s="788">
        <f ca="1">SUMPRODUCT(AC$100:AC$119,ProcessEnergy!$G$5:$G$24)/1000</f>
        <v>0</v>
      </c>
      <c r="AD127" s="788">
        <f ca="1">SUMPRODUCT(AD$100:AD$119,ProcessEnergy!$G$5:$G$24)/1000</f>
        <v>0</v>
      </c>
      <c r="AE127" s="788">
        <f ca="1">SUMPRODUCT(AE$100:AE$119,ProcessEnergy!$G$5:$G$24)/1000</f>
        <v>0</v>
      </c>
      <c r="AF127" s="788">
        <f ca="1">SUMPRODUCT(AF$100:AF$119,ProcessEnergy!$G$5:$G$24)/1000</f>
        <v>0</v>
      </c>
      <c r="AG127" s="788">
        <f ca="1">SUMPRODUCT(AG$100:AG$119,ProcessEnergy!$G$5:$G$24)/1000</f>
        <v>0</v>
      </c>
      <c r="AH127" s="788">
        <f ca="1">SUMPRODUCT(AH$100:AH$119,ProcessEnergy!$G$5:$G$24)/1000</f>
        <v>0</v>
      </c>
      <c r="AI127" s="788">
        <f ca="1">SUMPRODUCT(AI$100:AI$119,ProcessEnergy!$G$5:$G$24)/1000</f>
        <v>0</v>
      </c>
      <c r="AJ127" s="788">
        <f ca="1">SUMPRODUCT(AJ$100:AJ$119,ProcessEnergy!$G$5:$G$24)/1000</f>
        <v>0</v>
      </c>
      <c r="AK127" s="788">
        <f ca="1">SUMPRODUCT(AK$100:AK$119,ProcessEnergy!$G$5:$G$24)/1000</f>
        <v>0</v>
      </c>
      <c r="AL127" s="788">
        <f ca="1">SUMPRODUCT(AL$100:AL$119,ProcessEnergy!$G$5:$G$24)/1000</f>
        <v>0</v>
      </c>
    </row>
    <row r="128" spans="1:38" s="489" customFormat="1" ht="12.75" outlineLevel="2">
      <c r="A128" s="1132"/>
      <c r="B128" s="1132"/>
      <c r="D128" s="492" t="str">
        <f t="shared" si="40"/>
        <v>Partikler</v>
      </c>
      <c r="E128" s="493" t="s">
        <v>347</v>
      </c>
      <c r="F128" s="791">
        <f ca="1">SUMPRODUCT(F$100:F$119,ProcessEnergy!$H$5:$H$24)/1000</f>
        <v>5.155418469442943E-6</v>
      </c>
      <c r="G128" s="791">
        <f ca="1">SUMPRODUCT(G$100:G$119,ProcessEnergy!$H$5:$H$24)/1000</f>
        <v>5.155418469442943E-6</v>
      </c>
      <c r="H128" s="791">
        <f ca="1">SUMPRODUCT(H$100:H$119,ProcessEnergy!$H$5:$H$24)/1000</f>
        <v>5.155418469442943E-6</v>
      </c>
      <c r="I128" s="791">
        <f ca="1">SUMPRODUCT(I$100:I$119,ProcessEnergy!$H$5:$H$24)/1000</f>
        <v>5.155418469442943E-6</v>
      </c>
      <c r="J128" s="791">
        <f ca="1">SUMPRODUCT(J$100:J$119,ProcessEnergy!$H$5:$H$24)/1000</f>
        <v>0</v>
      </c>
      <c r="K128" s="791">
        <f ca="1">SUMPRODUCT(K$100:K$119,ProcessEnergy!$H$5:$H$24)/1000</f>
        <v>0</v>
      </c>
      <c r="L128" s="791">
        <f ca="1">SUMPRODUCT(L$100:L$119,ProcessEnergy!$H$5:$H$24)/1000</f>
        <v>4.9603448275862075E-4</v>
      </c>
      <c r="M128" s="791">
        <f ca="1">SUMPRODUCT(M$100:M$119,ProcessEnergy!$H$5:$H$24)/1000</f>
        <v>0</v>
      </c>
      <c r="N128" s="791">
        <f ca="1">SUMPRODUCT(N$100:N$119,ProcessEnergy!$H$5:$H$24)/1000</f>
        <v>0</v>
      </c>
      <c r="O128" s="791">
        <f ca="1">SUMPRODUCT(O$100:O$119,ProcessEnergy!$H$5:$H$24)/1000</f>
        <v>0</v>
      </c>
      <c r="P128" s="791">
        <f ca="1">SUMPRODUCT(P$100:P$119,ProcessEnergy!$H$5:$H$24)/1000</f>
        <v>0</v>
      </c>
      <c r="Q128" s="791">
        <f ca="1">SUMPRODUCT(Q$100:Q$119,ProcessEnergy!$H$5:$H$24)/1000</f>
        <v>0</v>
      </c>
      <c r="R128" s="791">
        <f ca="1">SUMPRODUCT(R$100:R$119,ProcessEnergy!$H$5:$H$24)/1000</f>
        <v>2.0828000000000003E-4</v>
      </c>
      <c r="S128" s="791">
        <f ca="1">SUMPRODUCT(S$100:S$119,ProcessEnergy!$H$5:$H$24)/1000</f>
        <v>0</v>
      </c>
      <c r="T128" s="791">
        <f ca="1">SUMPRODUCT(T$100:T$119,ProcessEnergy!$H$5:$H$24)/1000</f>
        <v>0</v>
      </c>
      <c r="U128" s="791">
        <f ca="1">SUMPRODUCT(U$100:U$119,ProcessEnergy!$H$5:$H$24)/1000</f>
        <v>0</v>
      </c>
      <c r="V128" s="791">
        <f ca="1">SUMPRODUCT(V$100:V$119,ProcessEnergy!$H$5:$H$24)/1000</f>
        <v>0</v>
      </c>
      <c r="W128" s="791">
        <f ca="1">SUMPRODUCT(W$100:W$119,ProcessEnergy!$H$5:$H$24)/1000</f>
        <v>0</v>
      </c>
      <c r="X128" s="791">
        <f ca="1">SUMPRODUCT(X$100:X$119,ProcessEnergy!$H$5:$H$24)/1000</f>
        <v>6.574193548387097E-5</v>
      </c>
      <c r="Y128" s="791">
        <f ca="1">SUMPRODUCT(Y$100:Y$119,ProcessEnergy!$H$5:$H$24)/1000</f>
        <v>9.4444444444444452E-7</v>
      </c>
      <c r="Z128" s="791">
        <f ca="1">SUMPRODUCT(Z$100:Z$119,ProcessEnergy!$H$5:$H$24)/1000</f>
        <v>0</v>
      </c>
      <c r="AA128" s="791">
        <f ca="1">SUMPRODUCT(AA$100:AA$119,ProcessEnergy!$H$5:$H$24)/1000</f>
        <v>0</v>
      </c>
      <c r="AB128" s="791">
        <f ca="1">SUMPRODUCT(AB$100:AB$119,ProcessEnergy!$H$5:$H$24)/1000</f>
        <v>0</v>
      </c>
      <c r="AC128" s="791">
        <f ca="1">SUMPRODUCT(AC$100:AC$119,ProcessEnergy!$H$5:$H$24)/1000</f>
        <v>0</v>
      </c>
      <c r="AD128" s="791">
        <f ca="1">SUMPRODUCT(AD$100:AD$119,ProcessEnergy!$H$5:$H$24)/1000</f>
        <v>0</v>
      </c>
      <c r="AE128" s="791">
        <f ca="1">SUMPRODUCT(AE$100:AE$119,ProcessEnergy!$H$5:$H$24)/1000</f>
        <v>0</v>
      </c>
      <c r="AF128" s="791">
        <f ca="1">SUMPRODUCT(AF$100:AF$119,ProcessEnergy!$H$5:$H$24)/1000</f>
        <v>0</v>
      </c>
      <c r="AG128" s="791">
        <f ca="1">SUMPRODUCT(AG$100:AG$119,ProcessEnergy!$H$5:$H$24)/1000</f>
        <v>0</v>
      </c>
      <c r="AH128" s="791">
        <f ca="1">SUMPRODUCT(AH$100:AH$119,ProcessEnergy!$H$5:$H$24)/1000</f>
        <v>0</v>
      </c>
      <c r="AI128" s="791">
        <f ca="1">SUMPRODUCT(AI$100:AI$119,ProcessEnergy!$H$5:$H$24)/1000</f>
        <v>0</v>
      </c>
      <c r="AJ128" s="791">
        <f ca="1">SUMPRODUCT(AJ$100:AJ$119,ProcessEnergy!$H$5:$H$24)/1000</f>
        <v>0</v>
      </c>
      <c r="AK128" s="791">
        <f ca="1">SUMPRODUCT(AK$100:AK$119,ProcessEnergy!$H$5:$H$24)/1000</f>
        <v>0</v>
      </c>
      <c r="AL128" s="791">
        <f ca="1">SUMPRODUCT(AL$100:AL$119,ProcessEnergy!$H$5:$H$24)/1000</f>
        <v>0</v>
      </c>
    </row>
    <row r="129" spans="1:38" s="664" customFormat="1" ht="12.75" outlineLevel="2">
      <c r="A129" s="1125"/>
      <c r="B129" s="1125"/>
      <c r="D129" s="666"/>
      <c r="E129" s="667"/>
      <c r="F129" s="792"/>
      <c r="G129" s="792"/>
      <c r="H129" s="792"/>
      <c r="I129" s="792"/>
      <c r="J129" s="792"/>
      <c r="K129" s="792"/>
      <c r="L129" s="792"/>
      <c r="M129" s="792"/>
      <c r="N129" s="792"/>
      <c r="O129" s="792"/>
      <c r="P129" s="792"/>
      <c r="Q129" s="792"/>
      <c r="R129" s="792"/>
      <c r="S129" s="792"/>
      <c r="T129" s="792"/>
      <c r="U129" s="792"/>
      <c r="V129" s="792"/>
      <c r="W129" s="792"/>
      <c r="X129" s="792"/>
      <c r="Y129" s="792"/>
      <c r="Z129" s="792"/>
      <c r="AA129" s="792"/>
      <c r="AB129" s="792"/>
      <c r="AC129" s="792"/>
      <c r="AD129" s="792"/>
      <c r="AE129" s="792"/>
      <c r="AF129" s="792"/>
      <c r="AG129" s="792"/>
      <c r="AH129" s="792"/>
      <c r="AI129" s="792"/>
      <c r="AJ129" s="792"/>
      <c r="AK129" s="792"/>
      <c r="AL129" s="792"/>
    </row>
    <row r="130" spans="1:38" s="489" customFormat="1" ht="12.75" outlineLevel="2">
      <c r="A130" s="1132"/>
      <c r="B130" s="1132"/>
      <c r="D130" s="790" t="s">
        <v>1016</v>
      </c>
      <c r="E130" s="492"/>
      <c r="F130" s="774"/>
      <c r="G130" s="774"/>
      <c r="H130" s="774"/>
      <c r="I130" s="774"/>
      <c r="J130" s="774"/>
      <c r="K130" s="774"/>
      <c r="L130" s="774"/>
      <c r="M130" s="774"/>
      <c r="N130" s="774"/>
      <c r="O130" s="774"/>
      <c r="P130" s="774"/>
      <c r="Q130" s="774"/>
      <c r="R130" s="774"/>
      <c r="S130" s="774"/>
      <c r="T130" s="774"/>
      <c r="U130" s="774"/>
      <c r="V130" s="774"/>
      <c r="W130" s="774"/>
      <c r="X130" s="774"/>
      <c r="Y130" s="774"/>
      <c r="Z130" s="774"/>
      <c r="AA130" s="774"/>
      <c r="AB130" s="774"/>
      <c r="AC130" s="774"/>
      <c r="AD130" s="774"/>
      <c r="AE130" s="774"/>
      <c r="AF130" s="774"/>
      <c r="AG130" s="774"/>
      <c r="AH130" s="774"/>
      <c r="AI130" s="774"/>
      <c r="AJ130" s="774"/>
      <c r="AK130" s="774"/>
      <c r="AL130" s="774"/>
    </row>
    <row r="131" spans="1:38" s="489" customFormat="1" ht="12.75" outlineLevel="2">
      <c r="A131" s="1132">
        <f>ROW(Diesel!A37)</f>
        <v>37</v>
      </c>
      <c r="B131" s="1126">
        <f>COLUMN(Diesel!$D$1)+chosenYear-1</f>
        <v>4</v>
      </c>
      <c r="D131" s="2339" t="str">
        <f>ProcessEnergy!B35</f>
        <v xml:space="preserve">Green diesel </v>
      </c>
      <c r="E131" s="715" t="s">
        <v>345</v>
      </c>
      <c r="F131" s="860">
        <f t="shared" ref="F131:V150" ca="1" si="41">IF(F$11&lt;&gt;"",INDIRECT(ADDRESS($A131,$B131,,,F$11)),0)</f>
        <v>0</v>
      </c>
      <c r="G131" s="860">
        <f t="shared" ca="1" si="41"/>
        <v>0</v>
      </c>
      <c r="H131" s="860">
        <f t="shared" ca="1" si="41"/>
        <v>0</v>
      </c>
      <c r="I131" s="860">
        <f t="shared" ca="1" si="41"/>
        <v>0</v>
      </c>
      <c r="J131" s="860">
        <f t="shared" ca="1" si="41"/>
        <v>0</v>
      </c>
      <c r="K131" s="860">
        <f t="shared" ca="1" si="41"/>
        <v>0</v>
      </c>
      <c r="L131" s="860">
        <f t="shared" ca="1" si="41"/>
        <v>0</v>
      </c>
      <c r="M131" s="860">
        <f t="shared" ca="1" si="41"/>
        <v>0</v>
      </c>
      <c r="N131" s="860">
        <f t="shared" ca="1" si="41"/>
        <v>0</v>
      </c>
      <c r="O131" s="860">
        <f t="shared" ca="1" si="41"/>
        <v>0</v>
      </c>
      <c r="P131" s="860">
        <f t="shared" ca="1" si="41"/>
        <v>0</v>
      </c>
      <c r="Q131" s="860">
        <f t="shared" ca="1" si="41"/>
        <v>0</v>
      </c>
      <c r="R131" s="860">
        <f t="shared" ca="1" si="41"/>
        <v>0</v>
      </c>
      <c r="S131" s="860">
        <f t="shared" ca="1" si="41"/>
        <v>0</v>
      </c>
      <c r="T131" s="860">
        <f t="shared" ca="1" si="41"/>
        <v>0</v>
      </c>
      <c r="U131" s="860">
        <f t="shared" ca="1" si="41"/>
        <v>0</v>
      </c>
      <c r="V131" s="860">
        <f t="shared" ca="1" si="41"/>
        <v>0</v>
      </c>
      <c r="W131" s="860">
        <f t="shared" ref="W131:AL150" ca="1" si="42">IF(W$11&lt;&gt;"",INDIRECT(ADDRESS($A131,$B131,,,W$11)),0)</f>
        <v>0</v>
      </c>
      <c r="X131" s="860">
        <f t="shared" ca="1" si="42"/>
        <v>0</v>
      </c>
      <c r="Y131" s="860">
        <f t="shared" ca="1" si="42"/>
        <v>0</v>
      </c>
      <c r="Z131" s="860">
        <f t="shared" ca="1" si="42"/>
        <v>0</v>
      </c>
      <c r="AA131" s="860">
        <f t="shared" ca="1" si="42"/>
        <v>0</v>
      </c>
      <c r="AB131" s="860">
        <f t="shared" ca="1" si="42"/>
        <v>0</v>
      </c>
      <c r="AC131" s="860">
        <f t="shared" ca="1" si="42"/>
        <v>0</v>
      </c>
      <c r="AD131" s="860">
        <f t="shared" ca="1" si="42"/>
        <v>0</v>
      </c>
      <c r="AE131" s="860">
        <f t="shared" ca="1" si="42"/>
        <v>0</v>
      </c>
      <c r="AF131" s="860">
        <f t="shared" ca="1" si="42"/>
        <v>0</v>
      </c>
      <c r="AG131" s="860">
        <f t="shared" ca="1" si="42"/>
        <v>0</v>
      </c>
      <c r="AH131" s="860">
        <f t="shared" ca="1" si="42"/>
        <v>0</v>
      </c>
      <c r="AI131" s="860">
        <f t="shared" ca="1" si="42"/>
        <v>0</v>
      </c>
      <c r="AJ131" s="860">
        <f t="shared" ca="1" si="42"/>
        <v>0</v>
      </c>
      <c r="AK131" s="860">
        <f t="shared" ca="1" si="42"/>
        <v>0</v>
      </c>
      <c r="AL131" s="860">
        <f t="shared" ca="1" si="42"/>
        <v>0</v>
      </c>
    </row>
    <row r="132" spans="1:38" s="489" customFormat="1" ht="12.75" outlineLevel="2">
      <c r="A132" s="1132">
        <f>ROW(Diesel!A38)</f>
        <v>38</v>
      </c>
      <c r="B132" s="1126">
        <f>COLUMN(Diesel!$D$1)+chosenYear-1</f>
        <v>4</v>
      </c>
      <c r="D132" s="2338" t="str">
        <f>ProcessEnergy!B36</f>
        <v>Green gasoline</v>
      </c>
      <c r="E132" s="715" t="s">
        <v>345</v>
      </c>
      <c r="F132" s="860">
        <f t="shared" ca="1" si="41"/>
        <v>0</v>
      </c>
      <c r="G132" s="860">
        <f t="shared" ca="1" si="41"/>
        <v>0</v>
      </c>
      <c r="H132" s="860">
        <f t="shared" ca="1" si="41"/>
        <v>0</v>
      </c>
      <c r="I132" s="860">
        <f t="shared" ca="1" si="41"/>
        <v>0</v>
      </c>
      <c r="J132" s="860">
        <f t="shared" ca="1" si="41"/>
        <v>0</v>
      </c>
      <c r="K132" s="860">
        <f t="shared" ca="1" si="41"/>
        <v>0</v>
      </c>
      <c r="L132" s="860">
        <f t="shared" ca="1" si="41"/>
        <v>0</v>
      </c>
      <c r="M132" s="860">
        <f t="shared" ca="1" si="41"/>
        <v>0</v>
      </c>
      <c r="N132" s="860">
        <f t="shared" ca="1" si="41"/>
        <v>0</v>
      </c>
      <c r="O132" s="860">
        <f t="shared" ca="1" si="41"/>
        <v>0</v>
      </c>
      <c r="P132" s="860">
        <f t="shared" ca="1" si="41"/>
        <v>0.16799999999999998</v>
      </c>
      <c r="Q132" s="860">
        <f t="shared" ca="1" si="41"/>
        <v>0</v>
      </c>
      <c r="R132" s="860">
        <f t="shared" ca="1" si="41"/>
        <v>0</v>
      </c>
      <c r="S132" s="860">
        <f t="shared" ca="1" si="41"/>
        <v>0</v>
      </c>
      <c r="T132" s="860">
        <f t="shared" ca="1" si="41"/>
        <v>0</v>
      </c>
      <c r="U132" s="860">
        <f t="shared" ca="1" si="41"/>
        <v>0</v>
      </c>
      <c r="V132" s="860">
        <f t="shared" ca="1" si="41"/>
        <v>0</v>
      </c>
      <c r="W132" s="860">
        <f t="shared" ca="1" si="42"/>
        <v>0.32380952380952377</v>
      </c>
      <c r="X132" s="860">
        <f t="shared" ca="1" si="42"/>
        <v>0</v>
      </c>
      <c r="Y132" s="860">
        <f t="shared" ca="1" si="42"/>
        <v>0</v>
      </c>
      <c r="Z132" s="860">
        <f t="shared" ca="1" si="42"/>
        <v>0</v>
      </c>
      <c r="AA132" s="860">
        <f t="shared" ca="1" si="42"/>
        <v>0</v>
      </c>
      <c r="AB132" s="860">
        <f t="shared" ca="1" si="42"/>
        <v>0</v>
      </c>
      <c r="AC132" s="860">
        <f t="shared" ca="1" si="42"/>
        <v>0</v>
      </c>
      <c r="AD132" s="860">
        <f t="shared" ca="1" si="42"/>
        <v>0</v>
      </c>
      <c r="AE132" s="860">
        <f t="shared" ca="1" si="42"/>
        <v>0</v>
      </c>
      <c r="AF132" s="860">
        <f t="shared" ca="1" si="42"/>
        <v>0</v>
      </c>
      <c r="AG132" s="860">
        <f t="shared" ca="1" si="42"/>
        <v>0</v>
      </c>
      <c r="AH132" s="860">
        <f t="shared" ca="1" si="42"/>
        <v>0</v>
      </c>
      <c r="AI132" s="860">
        <f t="shared" ca="1" si="42"/>
        <v>0</v>
      </c>
      <c r="AJ132" s="860">
        <f t="shared" ca="1" si="42"/>
        <v>0</v>
      </c>
      <c r="AK132" s="860">
        <f t="shared" ca="1" si="42"/>
        <v>0</v>
      </c>
      <c r="AL132" s="860">
        <f t="shared" ca="1" si="42"/>
        <v>0</v>
      </c>
    </row>
    <row r="133" spans="1:38" s="489" customFormat="1" ht="12.75" outlineLevel="2">
      <c r="A133" s="1132">
        <f>ROW(Diesel!A39)</f>
        <v>39</v>
      </c>
      <c r="B133" s="1126">
        <f>COLUMN(Diesel!$D$1)+chosenYear-1</f>
        <v>4</v>
      </c>
      <c r="D133" s="714" t="str">
        <f>ProcessEnergy!B37</f>
        <v>Electricity - balancing</v>
      </c>
      <c r="E133" s="715" t="s">
        <v>345</v>
      </c>
      <c r="F133" s="860">
        <f t="shared" ca="1" si="41"/>
        <v>0</v>
      </c>
      <c r="G133" s="860">
        <f t="shared" ca="1" si="41"/>
        <v>0</v>
      </c>
      <c r="H133" s="860">
        <f t="shared" ca="1" si="41"/>
        <v>0</v>
      </c>
      <c r="I133" s="860">
        <f t="shared" ca="1" si="41"/>
        <v>0</v>
      </c>
      <c r="J133" s="860">
        <f t="shared" ca="1" si="41"/>
        <v>0</v>
      </c>
      <c r="K133" s="860">
        <f t="shared" ca="1" si="41"/>
        <v>0</v>
      </c>
      <c r="L133" s="860">
        <f t="shared" ca="1" si="41"/>
        <v>0</v>
      </c>
      <c r="M133" s="860">
        <f t="shared" ca="1" si="41"/>
        <v>0</v>
      </c>
      <c r="N133" s="860">
        <f t="shared" ca="1" si="41"/>
        <v>0</v>
      </c>
      <c r="O133" s="860">
        <f t="shared" ca="1" si="41"/>
        <v>0</v>
      </c>
      <c r="P133" s="860">
        <f t="shared" ca="1" si="41"/>
        <v>0</v>
      </c>
      <c r="Q133" s="860">
        <f t="shared" ca="1" si="41"/>
        <v>0</v>
      </c>
      <c r="R133" s="860">
        <f t="shared" ca="1" si="41"/>
        <v>0</v>
      </c>
      <c r="S133" s="860">
        <f t="shared" ca="1" si="41"/>
        <v>0</v>
      </c>
      <c r="T133" s="860">
        <f t="shared" ca="1" si="41"/>
        <v>0</v>
      </c>
      <c r="U133" s="860">
        <f t="shared" ca="1" si="41"/>
        <v>0</v>
      </c>
      <c r="V133" s="860">
        <f t="shared" ca="1" si="41"/>
        <v>0</v>
      </c>
      <c r="W133" s="860">
        <f t="shared" ca="1" si="42"/>
        <v>0</v>
      </c>
      <c r="X133" s="860">
        <f t="shared" ca="1" si="42"/>
        <v>0</v>
      </c>
      <c r="Y133" s="860">
        <f t="shared" ca="1" si="42"/>
        <v>0</v>
      </c>
      <c r="Z133" s="860">
        <f t="shared" ca="1" si="42"/>
        <v>0</v>
      </c>
      <c r="AA133" s="860">
        <f t="shared" ca="1" si="42"/>
        <v>0</v>
      </c>
      <c r="AB133" s="860">
        <f t="shared" ca="1" si="42"/>
        <v>0</v>
      </c>
      <c r="AC133" s="860">
        <f t="shared" ca="1" si="42"/>
        <v>0</v>
      </c>
      <c r="AD133" s="860">
        <f t="shared" ca="1" si="42"/>
        <v>0</v>
      </c>
      <c r="AE133" s="860">
        <f t="shared" ca="1" si="42"/>
        <v>0</v>
      </c>
      <c r="AF133" s="860">
        <f t="shared" ca="1" si="42"/>
        <v>0</v>
      </c>
      <c r="AG133" s="860">
        <f t="shared" ca="1" si="42"/>
        <v>0</v>
      </c>
      <c r="AH133" s="860">
        <f t="shared" ca="1" si="42"/>
        <v>0</v>
      </c>
      <c r="AI133" s="860">
        <f t="shared" ca="1" si="42"/>
        <v>0</v>
      </c>
      <c r="AJ133" s="860">
        <f t="shared" ca="1" si="42"/>
        <v>0</v>
      </c>
      <c r="AK133" s="860">
        <f t="shared" ca="1" si="42"/>
        <v>0</v>
      </c>
      <c r="AL133" s="860">
        <f t="shared" ca="1" si="42"/>
        <v>0</v>
      </c>
    </row>
    <row r="134" spans="1:38" s="489" customFormat="1" ht="12.75" outlineLevel="2">
      <c r="A134" s="1132">
        <f>ROW(Diesel!A40)</f>
        <v>40</v>
      </c>
      <c r="B134" s="1126">
        <f>COLUMN(Diesel!$D$1)+chosenYear-1</f>
        <v>4</v>
      </c>
      <c r="D134" s="714" t="str">
        <f>ProcessEnergy!B38</f>
        <v>Electricity  - continous</v>
      </c>
      <c r="E134" s="715" t="s">
        <v>345</v>
      </c>
      <c r="F134" s="860">
        <f t="shared" ca="1" si="41"/>
        <v>0</v>
      </c>
      <c r="G134" s="860">
        <f t="shared" ca="1" si="41"/>
        <v>0</v>
      </c>
      <c r="H134" s="860">
        <f t="shared" ca="1" si="41"/>
        <v>0</v>
      </c>
      <c r="I134" s="860">
        <f t="shared" ca="1" si="41"/>
        <v>0</v>
      </c>
      <c r="J134" s="860">
        <f t="shared" ca="1" si="41"/>
        <v>0</v>
      </c>
      <c r="K134" s="860">
        <f t="shared" ca="1" si="41"/>
        <v>0</v>
      </c>
      <c r="L134" s="860">
        <f t="shared" ca="1" si="41"/>
        <v>0</v>
      </c>
      <c r="M134" s="860">
        <f t="shared" ca="1" si="41"/>
        <v>0</v>
      </c>
      <c r="N134" s="860">
        <f t="shared" ca="1" si="41"/>
        <v>0</v>
      </c>
      <c r="O134" s="860">
        <f t="shared" ca="1" si="41"/>
        <v>0</v>
      </c>
      <c r="P134" s="860">
        <f t="shared" ca="1" si="41"/>
        <v>3.5999999999999997E-2</v>
      </c>
      <c r="Q134" s="860">
        <f t="shared" ca="1" si="41"/>
        <v>0</v>
      </c>
      <c r="R134" s="860">
        <f t="shared" ca="1" si="41"/>
        <v>0</v>
      </c>
      <c r="S134" s="860">
        <f t="shared" ca="1" si="41"/>
        <v>0</v>
      </c>
      <c r="T134" s="860">
        <f t="shared" ca="1" si="41"/>
        <v>0</v>
      </c>
      <c r="U134" s="860">
        <f t="shared" ca="1" si="41"/>
        <v>0</v>
      </c>
      <c r="V134" s="860">
        <f t="shared" ca="1" si="41"/>
        <v>0</v>
      </c>
      <c r="W134" s="860">
        <f t="shared" ca="1" si="42"/>
        <v>9.5238095238095229E-3</v>
      </c>
      <c r="X134" s="860">
        <f t="shared" ca="1" si="42"/>
        <v>0</v>
      </c>
      <c r="Y134" s="860">
        <f t="shared" ca="1" si="42"/>
        <v>0</v>
      </c>
      <c r="Z134" s="860">
        <f t="shared" ca="1" si="42"/>
        <v>0</v>
      </c>
      <c r="AA134" s="860">
        <f t="shared" ca="1" si="42"/>
        <v>0</v>
      </c>
      <c r="AB134" s="860">
        <f t="shared" ca="1" si="42"/>
        <v>0</v>
      </c>
      <c r="AC134" s="860">
        <f t="shared" ca="1" si="42"/>
        <v>0</v>
      </c>
      <c r="AD134" s="860">
        <f t="shared" ca="1" si="42"/>
        <v>0</v>
      </c>
      <c r="AE134" s="860">
        <f t="shared" ca="1" si="42"/>
        <v>0</v>
      </c>
      <c r="AF134" s="860">
        <f t="shared" ca="1" si="42"/>
        <v>0</v>
      </c>
      <c r="AG134" s="860">
        <f t="shared" ca="1" si="42"/>
        <v>0</v>
      </c>
      <c r="AH134" s="860">
        <f t="shared" ca="1" si="42"/>
        <v>0</v>
      </c>
      <c r="AI134" s="860">
        <f t="shared" ca="1" si="42"/>
        <v>0</v>
      </c>
      <c r="AJ134" s="860">
        <f t="shared" ca="1" si="42"/>
        <v>0</v>
      </c>
      <c r="AK134" s="860">
        <f t="shared" ca="1" si="42"/>
        <v>0</v>
      </c>
      <c r="AL134" s="860">
        <f t="shared" ca="1" si="42"/>
        <v>0</v>
      </c>
    </row>
    <row r="135" spans="1:38" s="489" customFormat="1" ht="12.75" outlineLevel="2">
      <c r="A135" s="1132">
        <f>ROW(Diesel!A41)</f>
        <v>41</v>
      </c>
      <c r="B135" s="1126">
        <f>COLUMN(Diesel!$D$1)+chosenYear-1</f>
        <v>4</v>
      </c>
      <c r="D135" s="714" t="str">
        <f>ProcessEnergy!B39</f>
        <v>Elec/heat fuel</v>
      </c>
      <c r="E135" s="715" t="s">
        <v>345</v>
      </c>
      <c r="F135" s="860">
        <f t="shared" ca="1" si="41"/>
        <v>0</v>
      </c>
      <c r="G135" s="860">
        <f t="shared" ca="1" si="41"/>
        <v>0</v>
      </c>
      <c r="H135" s="860">
        <f t="shared" ca="1" si="41"/>
        <v>0</v>
      </c>
      <c r="I135" s="860">
        <f t="shared" ca="1" si="41"/>
        <v>0</v>
      </c>
      <c r="J135" s="860">
        <f t="shared" ca="1" si="41"/>
        <v>0</v>
      </c>
      <c r="K135" s="860">
        <f t="shared" ca="1" si="41"/>
        <v>0</v>
      </c>
      <c r="L135" s="860">
        <f t="shared" ca="1" si="41"/>
        <v>0</v>
      </c>
      <c r="M135" s="860">
        <f t="shared" ca="1" si="41"/>
        <v>0</v>
      </c>
      <c r="N135" s="860">
        <f t="shared" ca="1" si="41"/>
        <v>0</v>
      </c>
      <c r="O135" s="860">
        <f t="shared" ca="1" si="41"/>
        <v>0</v>
      </c>
      <c r="P135" s="860">
        <f t="shared" ca="1" si="41"/>
        <v>0</v>
      </c>
      <c r="Q135" s="860">
        <f t="shared" ca="1" si="41"/>
        <v>0</v>
      </c>
      <c r="R135" s="860">
        <f t="shared" ca="1" si="41"/>
        <v>0</v>
      </c>
      <c r="S135" s="860">
        <f t="shared" ca="1" si="41"/>
        <v>0</v>
      </c>
      <c r="T135" s="860">
        <f t="shared" ca="1" si="41"/>
        <v>0</v>
      </c>
      <c r="U135" s="860">
        <f t="shared" ca="1" si="41"/>
        <v>0</v>
      </c>
      <c r="V135" s="860">
        <f t="shared" ca="1" si="41"/>
        <v>0</v>
      </c>
      <c r="W135" s="860">
        <f t="shared" ca="1" si="42"/>
        <v>0</v>
      </c>
      <c r="X135" s="860">
        <f t="shared" ca="1" si="42"/>
        <v>0</v>
      </c>
      <c r="Y135" s="860">
        <f t="shared" ca="1" si="42"/>
        <v>0</v>
      </c>
      <c r="Z135" s="860">
        <f t="shared" ca="1" si="42"/>
        <v>0</v>
      </c>
      <c r="AA135" s="860">
        <f t="shared" ca="1" si="42"/>
        <v>0</v>
      </c>
      <c r="AB135" s="860">
        <f t="shared" ca="1" si="42"/>
        <v>0</v>
      </c>
      <c r="AC135" s="860">
        <f t="shared" ca="1" si="42"/>
        <v>0</v>
      </c>
      <c r="AD135" s="860">
        <f t="shared" ca="1" si="42"/>
        <v>0</v>
      </c>
      <c r="AE135" s="860">
        <f t="shared" ca="1" si="42"/>
        <v>0</v>
      </c>
      <c r="AF135" s="860">
        <f t="shared" ca="1" si="42"/>
        <v>0</v>
      </c>
      <c r="AG135" s="860">
        <f t="shared" ca="1" si="42"/>
        <v>0</v>
      </c>
      <c r="AH135" s="860">
        <f t="shared" ca="1" si="42"/>
        <v>0</v>
      </c>
      <c r="AI135" s="860">
        <f t="shared" ca="1" si="42"/>
        <v>0</v>
      </c>
      <c r="AJ135" s="860">
        <f t="shared" ca="1" si="42"/>
        <v>0</v>
      </c>
      <c r="AK135" s="860">
        <f t="shared" ca="1" si="42"/>
        <v>0</v>
      </c>
      <c r="AL135" s="860">
        <f t="shared" ca="1" si="42"/>
        <v>0</v>
      </c>
    </row>
    <row r="136" spans="1:38" s="489" customFormat="1" ht="12.75" outlineLevel="2">
      <c r="A136" s="1132">
        <f>ROW(Diesel!A42)</f>
        <v>42</v>
      </c>
      <c r="B136" s="1126">
        <f>COLUMN(Diesel!$D$1)+chosenYear-1</f>
        <v>4</v>
      </c>
      <c r="D136" s="714" t="str">
        <f>ProcessEnergy!B40</f>
        <v>Biogas (100% CH4)</v>
      </c>
      <c r="E136" s="715" t="s">
        <v>345</v>
      </c>
      <c r="F136" s="860">
        <f t="shared" ca="1" si="41"/>
        <v>0</v>
      </c>
      <c r="G136" s="860">
        <f t="shared" ca="1" si="41"/>
        <v>0</v>
      </c>
      <c r="H136" s="860">
        <f t="shared" ca="1" si="41"/>
        <v>0</v>
      </c>
      <c r="I136" s="860">
        <f t="shared" ca="1" si="41"/>
        <v>0</v>
      </c>
      <c r="J136" s="860">
        <f t="shared" ca="1" si="41"/>
        <v>0</v>
      </c>
      <c r="K136" s="860">
        <f t="shared" ca="1" si="41"/>
        <v>0</v>
      </c>
      <c r="L136" s="860">
        <f t="shared" ca="1" si="41"/>
        <v>0</v>
      </c>
      <c r="M136" s="860">
        <f t="shared" ca="1" si="41"/>
        <v>0</v>
      </c>
      <c r="N136" s="860">
        <f t="shared" ca="1" si="41"/>
        <v>0</v>
      </c>
      <c r="O136" s="860">
        <f t="shared" ca="1" si="41"/>
        <v>0</v>
      </c>
      <c r="P136" s="860">
        <f t="shared" ca="1" si="41"/>
        <v>0</v>
      </c>
      <c r="Q136" s="860">
        <f t="shared" ca="1" si="41"/>
        <v>0</v>
      </c>
      <c r="R136" s="860">
        <f t="shared" ca="1" si="41"/>
        <v>0</v>
      </c>
      <c r="S136" s="860">
        <f t="shared" ca="1" si="41"/>
        <v>0</v>
      </c>
      <c r="T136" s="860">
        <f t="shared" ca="1" si="41"/>
        <v>0</v>
      </c>
      <c r="U136" s="860">
        <f t="shared" ca="1" si="41"/>
        <v>0</v>
      </c>
      <c r="V136" s="860">
        <f t="shared" ca="1" si="41"/>
        <v>0</v>
      </c>
      <c r="W136" s="860">
        <f t="shared" ca="1" si="42"/>
        <v>0</v>
      </c>
      <c r="X136" s="860">
        <f t="shared" ca="1" si="42"/>
        <v>0</v>
      </c>
      <c r="Y136" s="860">
        <f t="shared" ca="1" si="42"/>
        <v>0</v>
      </c>
      <c r="Z136" s="860">
        <f t="shared" ca="1" si="42"/>
        <v>0</v>
      </c>
      <c r="AA136" s="860">
        <f t="shared" ca="1" si="42"/>
        <v>0</v>
      </c>
      <c r="AB136" s="860">
        <f t="shared" ca="1" si="42"/>
        <v>0</v>
      </c>
      <c r="AC136" s="860">
        <f t="shared" ca="1" si="42"/>
        <v>0</v>
      </c>
      <c r="AD136" s="860">
        <f t="shared" ca="1" si="42"/>
        <v>0</v>
      </c>
      <c r="AE136" s="860">
        <f t="shared" ca="1" si="42"/>
        <v>0</v>
      </c>
      <c r="AF136" s="860">
        <f t="shared" ca="1" si="42"/>
        <v>0</v>
      </c>
      <c r="AG136" s="860">
        <f t="shared" ca="1" si="42"/>
        <v>0</v>
      </c>
      <c r="AH136" s="860">
        <f t="shared" ca="1" si="42"/>
        <v>0</v>
      </c>
      <c r="AI136" s="860">
        <f t="shared" ca="1" si="42"/>
        <v>0</v>
      </c>
      <c r="AJ136" s="860">
        <f t="shared" ca="1" si="42"/>
        <v>0</v>
      </c>
      <c r="AK136" s="860">
        <f t="shared" ca="1" si="42"/>
        <v>0</v>
      </c>
      <c r="AL136" s="860">
        <f t="shared" ca="1" si="42"/>
        <v>0</v>
      </c>
    </row>
    <row r="137" spans="1:38" s="489" customFormat="1" ht="12.75" outlineLevel="2">
      <c r="A137" s="1132">
        <f>ROW(Diesel!A43)</f>
        <v>43</v>
      </c>
      <c r="B137" s="1126">
        <f>COLUMN(Diesel!$D$1)+chosenYear-1</f>
        <v>4</v>
      </c>
      <c r="D137" s="714" t="str">
        <f>ProcessEnergy!B41</f>
        <v>District heating</v>
      </c>
      <c r="E137" s="715" t="s">
        <v>345</v>
      </c>
      <c r="F137" s="860">
        <f t="shared" ca="1" si="41"/>
        <v>0</v>
      </c>
      <c r="G137" s="860">
        <f t="shared" ca="1" si="41"/>
        <v>0</v>
      </c>
      <c r="H137" s="860">
        <f t="shared" ca="1" si="41"/>
        <v>0</v>
      </c>
      <c r="I137" s="860">
        <f t="shared" ca="1" si="41"/>
        <v>0</v>
      </c>
      <c r="J137" s="860">
        <f t="shared" ca="1" si="41"/>
        <v>0</v>
      </c>
      <c r="K137" s="860">
        <f t="shared" ca="1" si="41"/>
        <v>0</v>
      </c>
      <c r="L137" s="860">
        <f t="shared" ca="1" si="41"/>
        <v>5.9452298850574709E-2</v>
      </c>
      <c r="M137" s="860">
        <f t="shared" ca="1" si="41"/>
        <v>0.26831999999999995</v>
      </c>
      <c r="N137" s="860">
        <f t="shared" ca="1" si="41"/>
        <v>0.35325000000000001</v>
      </c>
      <c r="O137" s="860">
        <f t="shared" ca="1" si="41"/>
        <v>0</v>
      </c>
      <c r="P137" s="860">
        <f t="shared" ca="1" si="41"/>
        <v>0.21268000000000001</v>
      </c>
      <c r="Q137" s="860">
        <f t="shared" ca="1" si="41"/>
        <v>0.35099999999999998</v>
      </c>
      <c r="R137" s="860">
        <f t="shared" ca="1" si="41"/>
        <v>0</v>
      </c>
      <c r="S137" s="860">
        <f t="shared" ca="1" si="41"/>
        <v>0</v>
      </c>
      <c r="T137" s="860">
        <f t="shared" ca="1" si="41"/>
        <v>0</v>
      </c>
      <c r="U137" s="860">
        <f t="shared" ca="1" si="41"/>
        <v>0</v>
      </c>
      <c r="V137" s="860">
        <f t="shared" ca="1" si="41"/>
        <v>0</v>
      </c>
      <c r="W137" s="860">
        <f t="shared" ca="1" si="42"/>
        <v>0.21428571428571438</v>
      </c>
      <c r="X137" s="860">
        <f t="shared" ca="1" si="42"/>
        <v>0</v>
      </c>
      <c r="Y137" s="860">
        <f t="shared" ca="1" si="42"/>
        <v>4.5425E-2</v>
      </c>
      <c r="Z137" s="860">
        <f t="shared" ca="1" si="42"/>
        <v>0</v>
      </c>
      <c r="AA137" s="860">
        <f t="shared" ca="1" si="42"/>
        <v>0</v>
      </c>
      <c r="AB137" s="860">
        <f t="shared" ca="1" si="42"/>
        <v>0</v>
      </c>
      <c r="AC137" s="860">
        <f t="shared" ca="1" si="42"/>
        <v>0</v>
      </c>
      <c r="AD137" s="860">
        <f t="shared" ca="1" si="42"/>
        <v>0</v>
      </c>
      <c r="AE137" s="860">
        <f t="shared" ca="1" si="42"/>
        <v>0</v>
      </c>
      <c r="AF137" s="860">
        <f t="shared" ca="1" si="42"/>
        <v>0</v>
      </c>
      <c r="AG137" s="860">
        <f t="shared" ca="1" si="42"/>
        <v>0</v>
      </c>
      <c r="AH137" s="860">
        <f t="shared" ca="1" si="42"/>
        <v>0</v>
      </c>
      <c r="AI137" s="860">
        <f t="shared" ca="1" si="42"/>
        <v>0</v>
      </c>
      <c r="AJ137" s="860">
        <f t="shared" ca="1" si="42"/>
        <v>0</v>
      </c>
      <c r="AK137" s="860">
        <f t="shared" ca="1" si="42"/>
        <v>0</v>
      </c>
      <c r="AL137" s="860">
        <f t="shared" ca="1" si="42"/>
        <v>0</v>
      </c>
    </row>
    <row r="138" spans="1:38" s="489" customFormat="1" ht="12.75" outlineLevel="2">
      <c r="A138" s="1132">
        <f>ROW(Diesel!A44)</f>
        <v>44</v>
      </c>
      <c r="B138" s="1126">
        <f>COLUMN(Diesel!$D$1)+chosenYear-1</f>
        <v>4</v>
      </c>
      <c r="D138" s="714" t="str">
        <f>ProcessEnergy!B42</f>
        <v>&lt;empty&gt;</v>
      </c>
      <c r="E138" s="715" t="s">
        <v>345</v>
      </c>
      <c r="F138" s="860">
        <f t="shared" ca="1" si="41"/>
        <v>0</v>
      </c>
      <c r="G138" s="860">
        <f t="shared" ca="1" si="41"/>
        <v>0</v>
      </c>
      <c r="H138" s="860">
        <f t="shared" ca="1" si="41"/>
        <v>0</v>
      </c>
      <c r="I138" s="860">
        <f t="shared" ca="1" si="41"/>
        <v>0</v>
      </c>
      <c r="J138" s="860">
        <f t="shared" ca="1" si="41"/>
        <v>0</v>
      </c>
      <c r="K138" s="860">
        <f t="shared" ca="1" si="41"/>
        <v>0</v>
      </c>
      <c r="L138" s="860">
        <f t="shared" ca="1" si="41"/>
        <v>0</v>
      </c>
      <c r="M138" s="860">
        <f t="shared" ca="1" si="41"/>
        <v>0</v>
      </c>
      <c r="N138" s="860">
        <f t="shared" ca="1" si="41"/>
        <v>0</v>
      </c>
      <c r="O138" s="860">
        <f t="shared" ca="1" si="41"/>
        <v>0</v>
      </c>
      <c r="P138" s="860">
        <f t="shared" ca="1" si="41"/>
        <v>0</v>
      </c>
      <c r="Q138" s="860">
        <f t="shared" ca="1" si="41"/>
        <v>0</v>
      </c>
      <c r="R138" s="860">
        <f t="shared" ca="1" si="41"/>
        <v>0</v>
      </c>
      <c r="S138" s="860">
        <f t="shared" ca="1" si="41"/>
        <v>0</v>
      </c>
      <c r="T138" s="860">
        <f t="shared" ca="1" si="41"/>
        <v>0</v>
      </c>
      <c r="U138" s="860">
        <f t="shared" ca="1" si="41"/>
        <v>0</v>
      </c>
      <c r="V138" s="860">
        <f t="shared" ca="1" si="41"/>
        <v>0</v>
      </c>
      <c r="W138" s="860">
        <f t="shared" ca="1" si="42"/>
        <v>0</v>
      </c>
      <c r="X138" s="860">
        <f t="shared" ca="1" si="42"/>
        <v>0</v>
      </c>
      <c r="Y138" s="860">
        <f t="shared" ca="1" si="42"/>
        <v>0</v>
      </c>
      <c r="Z138" s="860">
        <f t="shared" ca="1" si="42"/>
        <v>0</v>
      </c>
      <c r="AA138" s="860">
        <f t="shared" ca="1" si="42"/>
        <v>0</v>
      </c>
      <c r="AB138" s="860">
        <f t="shared" ca="1" si="42"/>
        <v>0</v>
      </c>
      <c r="AC138" s="860">
        <f t="shared" ca="1" si="42"/>
        <v>0</v>
      </c>
      <c r="AD138" s="860">
        <f t="shared" ca="1" si="42"/>
        <v>0</v>
      </c>
      <c r="AE138" s="860">
        <f t="shared" ca="1" si="42"/>
        <v>0</v>
      </c>
      <c r="AF138" s="860">
        <f t="shared" ca="1" si="42"/>
        <v>0</v>
      </c>
      <c r="AG138" s="860">
        <f t="shared" ca="1" si="42"/>
        <v>0</v>
      </c>
      <c r="AH138" s="860">
        <f t="shared" ca="1" si="42"/>
        <v>0</v>
      </c>
      <c r="AI138" s="860">
        <f t="shared" ca="1" si="42"/>
        <v>0</v>
      </c>
      <c r="AJ138" s="860">
        <f t="shared" ca="1" si="42"/>
        <v>0</v>
      </c>
      <c r="AK138" s="860">
        <f t="shared" ca="1" si="42"/>
        <v>0</v>
      </c>
      <c r="AL138" s="860">
        <f t="shared" ca="1" si="42"/>
        <v>0</v>
      </c>
    </row>
    <row r="139" spans="1:38" s="489" customFormat="1" ht="12.75" outlineLevel="2">
      <c r="A139" s="1132">
        <f>ROW(Diesel!A45)</f>
        <v>45</v>
      </c>
      <c r="B139" s="1126">
        <f>COLUMN(Diesel!$D$1)+chosenYear-1</f>
        <v>4</v>
      </c>
      <c r="D139" s="714" t="str">
        <f>ProcessEnergy!B43</f>
        <v>&lt;empty&gt;</v>
      </c>
      <c r="E139" s="715" t="s">
        <v>345</v>
      </c>
      <c r="F139" s="860">
        <f t="shared" ca="1" si="41"/>
        <v>0</v>
      </c>
      <c r="G139" s="860">
        <f t="shared" ca="1" si="41"/>
        <v>0</v>
      </c>
      <c r="H139" s="860">
        <f t="shared" ca="1" si="41"/>
        <v>0</v>
      </c>
      <c r="I139" s="860">
        <f t="shared" ca="1" si="41"/>
        <v>0</v>
      </c>
      <c r="J139" s="860">
        <f t="shared" ca="1" si="41"/>
        <v>0</v>
      </c>
      <c r="K139" s="860">
        <f t="shared" ca="1" si="41"/>
        <v>0</v>
      </c>
      <c r="L139" s="860">
        <f t="shared" ca="1" si="41"/>
        <v>0</v>
      </c>
      <c r="M139" s="860">
        <f t="shared" ca="1" si="41"/>
        <v>0</v>
      </c>
      <c r="N139" s="860">
        <f t="shared" ca="1" si="41"/>
        <v>0</v>
      </c>
      <c r="O139" s="860">
        <f t="shared" ca="1" si="41"/>
        <v>0</v>
      </c>
      <c r="P139" s="860">
        <f t="shared" ca="1" si="41"/>
        <v>0</v>
      </c>
      <c r="Q139" s="860">
        <f t="shared" ca="1" si="41"/>
        <v>0</v>
      </c>
      <c r="R139" s="860">
        <f t="shared" ca="1" si="41"/>
        <v>0</v>
      </c>
      <c r="S139" s="860">
        <f t="shared" ca="1" si="41"/>
        <v>0</v>
      </c>
      <c r="T139" s="860">
        <f t="shared" ca="1" si="41"/>
        <v>0</v>
      </c>
      <c r="U139" s="860">
        <f t="shared" ca="1" si="41"/>
        <v>0</v>
      </c>
      <c r="V139" s="860">
        <f t="shared" ca="1" si="41"/>
        <v>0</v>
      </c>
      <c r="W139" s="860">
        <f t="shared" ca="1" si="42"/>
        <v>0</v>
      </c>
      <c r="X139" s="860">
        <f t="shared" ca="1" si="42"/>
        <v>0</v>
      </c>
      <c r="Y139" s="860">
        <f t="shared" ca="1" si="42"/>
        <v>0</v>
      </c>
      <c r="Z139" s="860">
        <f t="shared" ca="1" si="42"/>
        <v>0</v>
      </c>
      <c r="AA139" s="860">
        <f t="shared" ca="1" si="42"/>
        <v>0</v>
      </c>
      <c r="AB139" s="860">
        <f t="shared" ca="1" si="42"/>
        <v>0</v>
      </c>
      <c r="AC139" s="860">
        <f t="shared" ca="1" si="42"/>
        <v>0</v>
      </c>
      <c r="AD139" s="860">
        <f t="shared" ca="1" si="42"/>
        <v>0</v>
      </c>
      <c r="AE139" s="860">
        <f t="shared" ca="1" si="42"/>
        <v>0</v>
      </c>
      <c r="AF139" s="860">
        <f t="shared" ca="1" si="42"/>
        <v>0</v>
      </c>
      <c r="AG139" s="860">
        <f t="shared" ca="1" si="42"/>
        <v>0</v>
      </c>
      <c r="AH139" s="860">
        <f t="shared" ca="1" si="42"/>
        <v>0</v>
      </c>
      <c r="AI139" s="860">
        <f t="shared" ca="1" si="42"/>
        <v>0</v>
      </c>
      <c r="AJ139" s="860">
        <f t="shared" ca="1" si="42"/>
        <v>0</v>
      </c>
      <c r="AK139" s="860">
        <f t="shared" ca="1" si="42"/>
        <v>0</v>
      </c>
      <c r="AL139" s="860">
        <f t="shared" ca="1" si="42"/>
        <v>0</v>
      </c>
    </row>
    <row r="140" spans="1:38" s="489" customFormat="1" ht="12.75" outlineLevel="2">
      <c r="A140" s="1132">
        <f>ROW(Diesel!A46)</f>
        <v>46</v>
      </c>
      <c r="B140" s="1126">
        <f>COLUMN(Diesel!$D$1)+chosenYear-1</f>
        <v>4</v>
      </c>
      <c r="D140" s="714" t="str">
        <f>ProcessEnergy!B44</f>
        <v>&lt;empty&gt;</v>
      </c>
      <c r="E140" s="715" t="s">
        <v>345</v>
      </c>
      <c r="F140" s="860">
        <f t="shared" ca="1" si="41"/>
        <v>0</v>
      </c>
      <c r="G140" s="860">
        <f t="shared" ca="1" si="41"/>
        <v>0</v>
      </c>
      <c r="H140" s="860">
        <f t="shared" ca="1" si="41"/>
        <v>0</v>
      </c>
      <c r="I140" s="860">
        <f t="shared" ca="1" si="41"/>
        <v>0</v>
      </c>
      <c r="J140" s="860">
        <f t="shared" ca="1" si="41"/>
        <v>0</v>
      </c>
      <c r="K140" s="860">
        <f t="shared" ca="1" si="41"/>
        <v>0</v>
      </c>
      <c r="L140" s="860">
        <f t="shared" ca="1" si="41"/>
        <v>0</v>
      </c>
      <c r="M140" s="860">
        <f t="shared" ca="1" si="41"/>
        <v>0</v>
      </c>
      <c r="N140" s="860">
        <f t="shared" ca="1" si="41"/>
        <v>0</v>
      </c>
      <c r="O140" s="860">
        <f t="shared" ca="1" si="41"/>
        <v>0</v>
      </c>
      <c r="P140" s="860">
        <f t="shared" ca="1" si="41"/>
        <v>0</v>
      </c>
      <c r="Q140" s="860">
        <f t="shared" ca="1" si="41"/>
        <v>0</v>
      </c>
      <c r="R140" s="860">
        <f t="shared" ca="1" si="41"/>
        <v>0</v>
      </c>
      <c r="S140" s="860">
        <f t="shared" ca="1" si="41"/>
        <v>0</v>
      </c>
      <c r="T140" s="860">
        <f t="shared" ca="1" si="41"/>
        <v>0</v>
      </c>
      <c r="U140" s="860">
        <f t="shared" ca="1" si="41"/>
        <v>0</v>
      </c>
      <c r="V140" s="860">
        <f t="shared" ca="1" si="41"/>
        <v>0</v>
      </c>
      <c r="W140" s="860">
        <f t="shared" ca="1" si="42"/>
        <v>0</v>
      </c>
      <c r="X140" s="860">
        <f t="shared" ca="1" si="42"/>
        <v>0</v>
      </c>
      <c r="Y140" s="860">
        <f t="shared" ca="1" si="42"/>
        <v>0</v>
      </c>
      <c r="Z140" s="860">
        <f t="shared" ca="1" si="42"/>
        <v>0</v>
      </c>
      <c r="AA140" s="860">
        <f t="shared" ca="1" si="42"/>
        <v>0</v>
      </c>
      <c r="AB140" s="860">
        <f t="shared" ca="1" si="42"/>
        <v>0</v>
      </c>
      <c r="AC140" s="860">
        <f t="shared" ca="1" si="42"/>
        <v>0</v>
      </c>
      <c r="AD140" s="860">
        <f t="shared" ca="1" si="42"/>
        <v>0</v>
      </c>
      <c r="AE140" s="860">
        <f t="shared" ca="1" si="42"/>
        <v>0</v>
      </c>
      <c r="AF140" s="860">
        <f t="shared" ca="1" si="42"/>
        <v>0</v>
      </c>
      <c r="AG140" s="860">
        <f t="shared" ca="1" si="42"/>
        <v>0</v>
      </c>
      <c r="AH140" s="860">
        <f t="shared" ca="1" si="42"/>
        <v>0</v>
      </c>
      <c r="AI140" s="860">
        <f t="shared" ca="1" si="42"/>
        <v>0</v>
      </c>
      <c r="AJ140" s="860">
        <f t="shared" ca="1" si="42"/>
        <v>0</v>
      </c>
      <c r="AK140" s="860">
        <f t="shared" ca="1" si="42"/>
        <v>0</v>
      </c>
      <c r="AL140" s="860">
        <f t="shared" ca="1" si="42"/>
        <v>0</v>
      </c>
    </row>
    <row r="141" spans="1:38" s="489" customFormat="1" ht="12.75" outlineLevel="2">
      <c r="A141" s="1132">
        <f>ROW(Diesel!A47)</f>
        <v>47</v>
      </c>
      <c r="B141" s="1126">
        <f>COLUMN(Diesel!$D$1)+chosenYear-1</f>
        <v>4</v>
      </c>
      <c r="D141" s="714" t="str">
        <f>ProcessEnergy!B45</f>
        <v>&lt;empty&gt;</v>
      </c>
      <c r="E141" s="715" t="s">
        <v>345</v>
      </c>
      <c r="F141" s="860">
        <f t="shared" ca="1" si="41"/>
        <v>0</v>
      </c>
      <c r="G141" s="860">
        <f t="shared" ca="1" si="41"/>
        <v>0</v>
      </c>
      <c r="H141" s="860">
        <f t="shared" ca="1" si="41"/>
        <v>0</v>
      </c>
      <c r="I141" s="860">
        <f t="shared" ca="1" si="41"/>
        <v>0</v>
      </c>
      <c r="J141" s="860">
        <f t="shared" ca="1" si="41"/>
        <v>0</v>
      </c>
      <c r="K141" s="860">
        <f t="shared" ca="1" si="41"/>
        <v>0</v>
      </c>
      <c r="L141" s="860">
        <f t="shared" ca="1" si="41"/>
        <v>0</v>
      </c>
      <c r="M141" s="860">
        <f t="shared" ca="1" si="41"/>
        <v>0</v>
      </c>
      <c r="N141" s="860">
        <f t="shared" ca="1" si="41"/>
        <v>0</v>
      </c>
      <c r="O141" s="860">
        <f t="shared" ca="1" si="41"/>
        <v>0</v>
      </c>
      <c r="P141" s="860">
        <f t="shared" ca="1" si="41"/>
        <v>0</v>
      </c>
      <c r="Q141" s="860">
        <f t="shared" ca="1" si="41"/>
        <v>0</v>
      </c>
      <c r="R141" s="860">
        <f t="shared" ca="1" si="41"/>
        <v>0</v>
      </c>
      <c r="S141" s="860">
        <f t="shared" ca="1" si="41"/>
        <v>0</v>
      </c>
      <c r="T141" s="860">
        <f t="shared" ca="1" si="41"/>
        <v>0</v>
      </c>
      <c r="U141" s="860">
        <f t="shared" ca="1" si="41"/>
        <v>0</v>
      </c>
      <c r="V141" s="860">
        <f t="shared" ca="1" si="41"/>
        <v>0</v>
      </c>
      <c r="W141" s="860">
        <f t="shared" ca="1" si="42"/>
        <v>0</v>
      </c>
      <c r="X141" s="860">
        <f t="shared" ca="1" si="42"/>
        <v>0</v>
      </c>
      <c r="Y141" s="860">
        <f t="shared" ca="1" si="42"/>
        <v>0</v>
      </c>
      <c r="Z141" s="860">
        <f t="shared" ca="1" si="42"/>
        <v>0</v>
      </c>
      <c r="AA141" s="860">
        <f t="shared" ca="1" si="42"/>
        <v>0</v>
      </c>
      <c r="AB141" s="860">
        <f t="shared" ca="1" si="42"/>
        <v>0</v>
      </c>
      <c r="AC141" s="860">
        <f t="shared" ca="1" si="42"/>
        <v>0</v>
      </c>
      <c r="AD141" s="860">
        <f t="shared" ca="1" si="42"/>
        <v>0</v>
      </c>
      <c r="AE141" s="860">
        <f t="shared" ca="1" si="42"/>
        <v>0</v>
      </c>
      <c r="AF141" s="860">
        <f t="shared" ca="1" si="42"/>
        <v>0</v>
      </c>
      <c r="AG141" s="860">
        <f t="shared" ca="1" si="42"/>
        <v>0</v>
      </c>
      <c r="AH141" s="860">
        <f t="shared" ca="1" si="42"/>
        <v>0</v>
      </c>
      <c r="AI141" s="860">
        <f t="shared" ca="1" si="42"/>
        <v>0</v>
      </c>
      <c r="AJ141" s="860">
        <f t="shared" ca="1" si="42"/>
        <v>0</v>
      </c>
      <c r="AK141" s="860">
        <f t="shared" ca="1" si="42"/>
        <v>0</v>
      </c>
      <c r="AL141" s="860">
        <f t="shared" ca="1" si="42"/>
        <v>0</v>
      </c>
    </row>
    <row r="142" spans="1:38" s="489" customFormat="1" ht="12.75" outlineLevel="2">
      <c r="A142" s="1132">
        <f>ROW(Diesel!A48)</f>
        <v>48</v>
      </c>
      <c r="B142" s="1126">
        <f>COLUMN(Diesel!$D$1)+chosenYear-1</f>
        <v>4</v>
      </c>
      <c r="D142" s="714" t="str">
        <f>ProcessEnergy!B46</f>
        <v>&lt;empty&gt;</v>
      </c>
      <c r="E142" s="715" t="s">
        <v>345</v>
      </c>
      <c r="F142" s="860">
        <f t="shared" ref="F142:U142" ca="1" si="43">IF(F$11&lt;&gt;"",INDIRECT(ADDRESS($A142,$B142,,,F$11)),0)</f>
        <v>0</v>
      </c>
      <c r="G142" s="860">
        <f t="shared" ca="1" si="43"/>
        <v>0</v>
      </c>
      <c r="H142" s="860">
        <f t="shared" ca="1" si="43"/>
        <v>0</v>
      </c>
      <c r="I142" s="860">
        <f t="shared" ca="1" si="43"/>
        <v>0</v>
      </c>
      <c r="J142" s="860">
        <f t="shared" ca="1" si="43"/>
        <v>0</v>
      </c>
      <c r="K142" s="860">
        <f t="shared" ca="1" si="43"/>
        <v>0</v>
      </c>
      <c r="L142" s="860">
        <f t="shared" ca="1" si="43"/>
        <v>0</v>
      </c>
      <c r="M142" s="860">
        <f t="shared" ca="1" si="43"/>
        <v>0</v>
      </c>
      <c r="N142" s="860">
        <f t="shared" ca="1" si="43"/>
        <v>0</v>
      </c>
      <c r="O142" s="860">
        <f t="shared" ca="1" si="43"/>
        <v>0</v>
      </c>
      <c r="P142" s="860">
        <f t="shared" ca="1" si="43"/>
        <v>0</v>
      </c>
      <c r="Q142" s="860">
        <f t="shared" ca="1" si="43"/>
        <v>0</v>
      </c>
      <c r="R142" s="860">
        <f t="shared" ca="1" si="43"/>
        <v>0</v>
      </c>
      <c r="S142" s="860">
        <f t="shared" ca="1" si="43"/>
        <v>0</v>
      </c>
      <c r="T142" s="860">
        <f t="shared" ca="1" si="43"/>
        <v>0</v>
      </c>
      <c r="U142" s="860">
        <f t="shared" ca="1" si="43"/>
        <v>0</v>
      </c>
      <c r="V142" s="860">
        <f t="shared" ref="F142:V147" ca="1" si="44">IF(V$11&lt;&gt;"",INDIRECT(ADDRESS($A142,$B142,,,V$11)),0)</f>
        <v>0</v>
      </c>
      <c r="W142" s="860">
        <f t="shared" ca="1" si="42"/>
        <v>0</v>
      </c>
      <c r="X142" s="860">
        <f t="shared" ca="1" si="42"/>
        <v>0</v>
      </c>
      <c r="Y142" s="860">
        <f t="shared" ca="1" si="42"/>
        <v>0</v>
      </c>
      <c r="Z142" s="860">
        <f t="shared" ca="1" si="42"/>
        <v>0</v>
      </c>
      <c r="AA142" s="860">
        <f t="shared" ca="1" si="42"/>
        <v>0</v>
      </c>
      <c r="AB142" s="860">
        <f t="shared" ca="1" si="42"/>
        <v>0</v>
      </c>
      <c r="AC142" s="860">
        <f t="shared" ca="1" si="42"/>
        <v>0</v>
      </c>
      <c r="AD142" s="860">
        <f t="shared" ca="1" si="42"/>
        <v>0</v>
      </c>
      <c r="AE142" s="860">
        <f t="shared" ca="1" si="42"/>
        <v>0</v>
      </c>
      <c r="AF142" s="860">
        <f t="shared" ca="1" si="42"/>
        <v>0</v>
      </c>
      <c r="AG142" s="860">
        <f t="shared" ca="1" si="42"/>
        <v>0</v>
      </c>
      <c r="AH142" s="860">
        <f t="shared" ca="1" si="42"/>
        <v>0</v>
      </c>
      <c r="AI142" s="860">
        <f t="shared" ca="1" si="42"/>
        <v>0</v>
      </c>
      <c r="AJ142" s="860">
        <f t="shared" ca="1" si="42"/>
        <v>0</v>
      </c>
      <c r="AK142" s="860">
        <f t="shared" ca="1" si="42"/>
        <v>0</v>
      </c>
      <c r="AL142" s="860">
        <f t="shared" ref="W142:AL147" ca="1" si="45">IF(AL$11&lt;&gt;"",INDIRECT(ADDRESS($A142,$B142,,,AL$11)),0)</f>
        <v>0</v>
      </c>
    </row>
    <row r="143" spans="1:38" s="489" customFormat="1" ht="12.75" outlineLevel="2">
      <c r="A143" s="1132">
        <f>ROW(Diesel!A49)</f>
        <v>49</v>
      </c>
      <c r="B143" s="1126">
        <f>COLUMN(Diesel!$D$1)+chosenYear-1</f>
        <v>4</v>
      </c>
      <c r="D143" s="714" t="str">
        <f>ProcessEnergy!B47</f>
        <v>&lt;empty&gt;</v>
      </c>
      <c r="E143" s="715" t="s">
        <v>345</v>
      </c>
      <c r="F143" s="860">
        <f t="shared" ca="1" si="44"/>
        <v>0</v>
      </c>
      <c r="G143" s="860">
        <f t="shared" ca="1" si="44"/>
        <v>0</v>
      </c>
      <c r="H143" s="860">
        <f t="shared" ca="1" si="44"/>
        <v>0</v>
      </c>
      <c r="I143" s="860">
        <f t="shared" ca="1" si="44"/>
        <v>0</v>
      </c>
      <c r="J143" s="860">
        <f t="shared" ca="1" si="44"/>
        <v>0</v>
      </c>
      <c r="K143" s="860">
        <f t="shared" ca="1" si="44"/>
        <v>0</v>
      </c>
      <c r="L143" s="860">
        <f t="shared" ca="1" si="44"/>
        <v>0</v>
      </c>
      <c r="M143" s="860">
        <f t="shared" ca="1" si="44"/>
        <v>0</v>
      </c>
      <c r="N143" s="860">
        <f t="shared" ca="1" si="44"/>
        <v>0</v>
      </c>
      <c r="O143" s="860">
        <f t="shared" ca="1" si="44"/>
        <v>0</v>
      </c>
      <c r="P143" s="860">
        <f t="shared" ca="1" si="44"/>
        <v>0</v>
      </c>
      <c r="Q143" s="860">
        <f t="shared" ca="1" si="44"/>
        <v>0</v>
      </c>
      <c r="R143" s="860">
        <f t="shared" ca="1" si="44"/>
        <v>0</v>
      </c>
      <c r="S143" s="860">
        <f t="shared" ca="1" si="44"/>
        <v>0</v>
      </c>
      <c r="T143" s="860">
        <f t="shared" ca="1" si="44"/>
        <v>0</v>
      </c>
      <c r="U143" s="860">
        <f t="shared" ca="1" si="44"/>
        <v>0</v>
      </c>
      <c r="V143" s="860">
        <f t="shared" ca="1" si="44"/>
        <v>0</v>
      </c>
      <c r="W143" s="860">
        <f t="shared" ca="1" si="45"/>
        <v>0</v>
      </c>
      <c r="X143" s="860">
        <f t="shared" ca="1" si="45"/>
        <v>0</v>
      </c>
      <c r="Y143" s="860">
        <f t="shared" ca="1" si="45"/>
        <v>0</v>
      </c>
      <c r="Z143" s="860">
        <f t="shared" ca="1" si="45"/>
        <v>0</v>
      </c>
      <c r="AA143" s="860">
        <f t="shared" ca="1" si="45"/>
        <v>0</v>
      </c>
      <c r="AB143" s="860">
        <f t="shared" ca="1" si="45"/>
        <v>0</v>
      </c>
      <c r="AC143" s="860">
        <f t="shared" ca="1" si="45"/>
        <v>0</v>
      </c>
      <c r="AD143" s="860">
        <f t="shared" ca="1" si="45"/>
        <v>0</v>
      </c>
      <c r="AE143" s="860">
        <f t="shared" ca="1" si="45"/>
        <v>0</v>
      </c>
      <c r="AF143" s="860">
        <f t="shared" ca="1" si="45"/>
        <v>0</v>
      </c>
      <c r="AG143" s="860">
        <f t="shared" ca="1" si="45"/>
        <v>0</v>
      </c>
      <c r="AH143" s="860">
        <f t="shared" ca="1" si="45"/>
        <v>0</v>
      </c>
      <c r="AI143" s="860">
        <f t="shared" ca="1" si="45"/>
        <v>0</v>
      </c>
      <c r="AJ143" s="860">
        <f t="shared" ca="1" si="45"/>
        <v>0</v>
      </c>
      <c r="AK143" s="860">
        <f t="shared" ca="1" si="45"/>
        <v>0</v>
      </c>
      <c r="AL143" s="860">
        <f t="shared" ca="1" si="45"/>
        <v>0</v>
      </c>
    </row>
    <row r="144" spans="1:38" s="489" customFormat="1" ht="12.75" outlineLevel="2">
      <c r="A144" s="1132">
        <f>ROW(Diesel!A50)</f>
        <v>50</v>
      </c>
      <c r="B144" s="1126">
        <f>COLUMN(Diesel!$D$1)+chosenYear-1</f>
        <v>4</v>
      </c>
      <c r="D144" s="714" t="str">
        <f>ProcessEnergy!B48</f>
        <v>Glycerol</v>
      </c>
      <c r="E144" s="715" t="s">
        <v>345</v>
      </c>
      <c r="F144" s="860">
        <f t="shared" ca="1" si="44"/>
        <v>0</v>
      </c>
      <c r="G144" s="860">
        <f t="shared" ca="1" si="44"/>
        <v>0</v>
      </c>
      <c r="H144" s="860">
        <f t="shared" ca="1" si="44"/>
        <v>0</v>
      </c>
      <c r="I144" s="860">
        <f t="shared" ca="1" si="44"/>
        <v>0</v>
      </c>
      <c r="J144" s="860">
        <f t="shared" ca="1" si="44"/>
        <v>0</v>
      </c>
      <c r="K144" s="860">
        <f t="shared" ca="1" si="44"/>
        <v>0</v>
      </c>
      <c r="L144" s="860">
        <f t="shared" ca="1" si="44"/>
        <v>0</v>
      </c>
      <c r="M144" s="860">
        <f t="shared" ca="1" si="44"/>
        <v>0</v>
      </c>
      <c r="N144" s="860">
        <f t="shared" ca="1" si="44"/>
        <v>0</v>
      </c>
      <c r="O144" s="860">
        <f t="shared" ca="1" si="44"/>
        <v>0</v>
      </c>
      <c r="P144" s="860">
        <f t="shared" ca="1" si="44"/>
        <v>0</v>
      </c>
      <c r="Q144" s="860">
        <f t="shared" ca="1" si="44"/>
        <v>0</v>
      </c>
      <c r="R144" s="860">
        <f t="shared" ca="1" si="44"/>
        <v>0</v>
      </c>
      <c r="S144" s="860">
        <f t="shared" ca="1" si="44"/>
        <v>0</v>
      </c>
      <c r="T144" s="860">
        <f t="shared" ca="1" si="44"/>
        <v>0</v>
      </c>
      <c r="U144" s="860">
        <f t="shared" ca="1" si="44"/>
        <v>0</v>
      </c>
      <c r="V144" s="860">
        <f t="shared" ca="1" si="44"/>
        <v>0</v>
      </c>
      <c r="W144" s="860">
        <f t="shared" ca="1" si="45"/>
        <v>0</v>
      </c>
      <c r="X144" s="860">
        <f t="shared" ca="1" si="45"/>
        <v>3.2258064516129031E-2</v>
      </c>
      <c r="Y144" s="860">
        <f t="shared" ca="1" si="45"/>
        <v>0</v>
      </c>
      <c r="Z144" s="860">
        <f t="shared" ca="1" si="45"/>
        <v>0</v>
      </c>
      <c r="AA144" s="860">
        <f t="shared" ca="1" si="45"/>
        <v>0</v>
      </c>
      <c r="AB144" s="860">
        <f t="shared" ca="1" si="45"/>
        <v>0</v>
      </c>
      <c r="AC144" s="860">
        <f t="shared" ca="1" si="45"/>
        <v>0</v>
      </c>
      <c r="AD144" s="860">
        <f t="shared" ca="1" si="45"/>
        <v>0</v>
      </c>
      <c r="AE144" s="860">
        <f t="shared" ca="1" si="45"/>
        <v>0</v>
      </c>
      <c r="AF144" s="860">
        <f t="shared" ca="1" si="45"/>
        <v>0</v>
      </c>
      <c r="AG144" s="860">
        <f t="shared" ca="1" si="45"/>
        <v>0</v>
      </c>
      <c r="AH144" s="860">
        <f t="shared" ca="1" si="45"/>
        <v>0</v>
      </c>
      <c r="AI144" s="860">
        <f t="shared" ca="1" si="45"/>
        <v>0</v>
      </c>
      <c r="AJ144" s="860">
        <f t="shared" ca="1" si="45"/>
        <v>0</v>
      </c>
      <c r="AK144" s="860">
        <f t="shared" ca="1" si="45"/>
        <v>0</v>
      </c>
      <c r="AL144" s="860">
        <f t="shared" ca="1" si="45"/>
        <v>0</v>
      </c>
    </row>
    <row r="145" spans="1:38" s="489" customFormat="1" ht="12.75" outlineLevel="2">
      <c r="A145" s="1132">
        <f>ROW(Diesel!A51)</f>
        <v>51</v>
      </c>
      <c r="B145" s="1126">
        <f>COLUMN(Diesel!$D$1)+chosenYear-1</f>
        <v>4</v>
      </c>
      <c r="D145" s="714" t="str">
        <f>ProcessEnergy!B49</f>
        <v>&lt;empty&gt;</v>
      </c>
      <c r="E145" s="715" t="s">
        <v>345</v>
      </c>
      <c r="F145" s="860">
        <f t="shared" ca="1" si="44"/>
        <v>0</v>
      </c>
      <c r="G145" s="860">
        <f t="shared" ca="1" si="44"/>
        <v>0</v>
      </c>
      <c r="H145" s="860">
        <f t="shared" ca="1" si="44"/>
        <v>0</v>
      </c>
      <c r="I145" s="860">
        <f t="shared" ca="1" si="44"/>
        <v>0</v>
      </c>
      <c r="J145" s="860">
        <f t="shared" ca="1" si="44"/>
        <v>0</v>
      </c>
      <c r="K145" s="860">
        <f t="shared" ca="1" si="44"/>
        <v>0</v>
      </c>
      <c r="L145" s="860">
        <f t="shared" ca="1" si="44"/>
        <v>0</v>
      </c>
      <c r="M145" s="860">
        <f t="shared" ca="1" si="44"/>
        <v>0</v>
      </c>
      <c r="N145" s="860">
        <f t="shared" ca="1" si="44"/>
        <v>0</v>
      </c>
      <c r="O145" s="860">
        <f t="shared" ca="1" si="44"/>
        <v>0</v>
      </c>
      <c r="P145" s="860">
        <f t="shared" ca="1" si="44"/>
        <v>0</v>
      </c>
      <c r="Q145" s="860">
        <f t="shared" ca="1" si="44"/>
        <v>0</v>
      </c>
      <c r="R145" s="860">
        <f t="shared" ca="1" si="44"/>
        <v>0</v>
      </c>
      <c r="S145" s="860">
        <f t="shared" ca="1" si="44"/>
        <v>0</v>
      </c>
      <c r="T145" s="860">
        <f t="shared" ca="1" si="44"/>
        <v>0</v>
      </c>
      <c r="U145" s="860">
        <f t="shared" ca="1" si="44"/>
        <v>0</v>
      </c>
      <c r="V145" s="860">
        <f t="shared" ca="1" si="44"/>
        <v>0</v>
      </c>
      <c r="W145" s="860">
        <f t="shared" ca="1" si="45"/>
        <v>0</v>
      </c>
      <c r="X145" s="860">
        <f t="shared" ca="1" si="45"/>
        <v>0</v>
      </c>
      <c r="Y145" s="860">
        <f t="shared" ca="1" si="45"/>
        <v>0</v>
      </c>
      <c r="Z145" s="860">
        <f t="shared" ca="1" si="45"/>
        <v>0</v>
      </c>
      <c r="AA145" s="860">
        <f t="shared" ca="1" si="45"/>
        <v>0</v>
      </c>
      <c r="AB145" s="860">
        <f t="shared" ca="1" si="45"/>
        <v>0</v>
      </c>
      <c r="AC145" s="860">
        <f t="shared" ca="1" si="45"/>
        <v>0</v>
      </c>
      <c r="AD145" s="860">
        <f t="shared" ca="1" si="45"/>
        <v>0</v>
      </c>
      <c r="AE145" s="860">
        <f t="shared" ca="1" si="45"/>
        <v>0</v>
      </c>
      <c r="AF145" s="860">
        <f t="shared" ca="1" si="45"/>
        <v>0</v>
      </c>
      <c r="AG145" s="860">
        <f t="shared" ca="1" si="45"/>
        <v>0</v>
      </c>
      <c r="AH145" s="860">
        <f t="shared" ca="1" si="45"/>
        <v>0</v>
      </c>
      <c r="AI145" s="860">
        <f t="shared" ca="1" si="45"/>
        <v>0</v>
      </c>
      <c r="AJ145" s="860">
        <f t="shared" ca="1" si="45"/>
        <v>0</v>
      </c>
      <c r="AK145" s="860">
        <f t="shared" ca="1" si="45"/>
        <v>0</v>
      </c>
      <c r="AL145" s="860">
        <f t="shared" ca="1" si="45"/>
        <v>0</v>
      </c>
    </row>
    <row r="146" spans="1:38" s="489" customFormat="1" ht="12.75" outlineLevel="2">
      <c r="A146" s="1132">
        <f>ROW(Diesel!A52)</f>
        <v>52</v>
      </c>
      <c r="B146" s="1126">
        <f>COLUMN(Diesel!$D$1)+chosenYear-1</f>
        <v>4</v>
      </c>
      <c r="D146" s="714" t="str">
        <f>ProcessEnergy!B50</f>
        <v>&lt;empty&gt;</v>
      </c>
      <c r="E146" s="715" t="s">
        <v>345</v>
      </c>
      <c r="F146" s="860">
        <f t="shared" ca="1" si="44"/>
        <v>0</v>
      </c>
      <c r="G146" s="860">
        <f t="shared" ca="1" si="44"/>
        <v>0</v>
      </c>
      <c r="H146" s="860">
        <f t="shared" ca="1" si="44"/>
        <v>0</v>
      </c>
      <c r="I146" s="860">
        <f t="shared" ca="1" si="44"/>
        <v>0</v>
      </c>
      <c r="J146" s="860">
        <f t="shared" ca="1" si="44"/>
        <v>0</v>
      </c>
      <c r="K146" s="860">
        <f t="shared" ca="1" si="44"/>
        <v>0</v>
      </c>
      <c r="L146" s="860">
        <f t="shared" ca="1" si="44"/>
        <v>0</v>
      </c>
      <c r="M146" s="860">
        <f t="shared" ca="1" si="44"/>
        <v>0</v>
      </c>
      <c r="N146" s="860">
        <f t="shared" ca="1" si="44"/>
        <v>0</v>
      </c>
      <c r="O146" s="860">
        <f t="shared" ca="1" si="44"/>
        <v>0</v>
      </c>
      <c r="P146" s="860">
        <f t="shared" ca="1" si="44"/>
        <v>0</v>
      </c>
      <c r="Q146" s="860">
        <f t="shared" ca="1" si="44"/>
        <v>0</v>
      </c>
      <c r="R146" s="860">
        <f t="shared" ca="1" si="44"/>
        <v>0</v>
      </c>
      <c r="S146" s="860">
        <f t="shared" ca="1" si="44"/>
        <v>0</v>
      </c>
      <c r="T146" s="860">
        <f t="shared" ca="1" si="44"/>
        <v>0</v>
      </c>
      <c r="U146" s="860">
        <f t="shared" ca="1" si="44"/>
        <v>0</v>
      </c>
      <c r="V146" s="860">
        <f t="shared" ca="1" si="44"/>
        <v>0</v>
      </c>
      <c r="W146" s="860">
        <f t="shared" ca="1" si="45"/>
        <v>0</v>
      </c>
      <c r="X146" s="860">
        <f t="shared" ca="1" si="45"/>
        <v>0</v>
      </c>
      <c r="Y146" s="860">
        <f t="shared" ca="1" si="45"/>
        <v>0</v>
      </c>
      <c r="Z146" s="860">
        <f t="shared" ca="1" si="45"/>
        <v>0</v>
      </c>
      <c r="AA146" s="860">
        <f t="shared" ca="1" si="45"/>
        <v>0</v>
      </c>
      <c r="AB146" s="860">
        <f t="shared" ca="1" si="45"/>
        <v>0</v>
      </c>
      <c r="AC146" s="860">
        <f t="shared" ca="1" si="45"/>
        <v>0</v>
      </c>
      <c r="AD146" s="860">
        <f t="shared" ca="1" si="45"/>
        <v>0</v>
      </c>
      <c r="AE146" s="860">
        <f t="shared" ca="1" si="45"/>
        <v>0</v>
      </c>
      <c r="AF146" s="860">
        <f t="shared" ca="1" si="45"/>
        <v>0</v>
      </c>
      <c r="AG146" s="860">
        <f t="shared" ca="1" si="45"/>
        <v>0</v>
      </c>
      <c r="AH146" s="860">
        <f t="shared" ca="1" si="45"/>
        <v>0</v>
      </c>
      <c r="AI146" s="860">
        <f t="shared" ca="1" si="45"/>
        <v>0</v>
      </c>
      <c r="AJ146" s="860">
        <f t="shared" ca="1" si="45"/>
        <v>0</v>
      </c>
      <c r="AK146" s="860">
        <f t="shared" ca="1" si="45"/>
        <v>0</v>
      </c>
      <c r="AL146" s="860">
        <f t="shared" ca="1" si="45"/>
        <v>0</v>
      </c>
    </row>
    <row r="147" spans="1:38" s="489" customFormat="1" ht="12.75" outlineLevel="2">
      <c r="A147" s="1132">
        <f>ROW(Diesel!A53)</f>
        <v>53</v>
      </c>
      <c r="B147" s="1126">
        <f>COLUMN(Diesel!$D$1)+chosenYear-1</f>
        <v>4</v>
      </c>
      <c r="D147" s="714" t="str">
        <f>ProcessEnergy!B51</f>
        <v>Fodder (wheat like)</v>
      </c>
      <c r="E147" s="715" t="s">
        <v>345</v>
      </c>
      <c r="F147" s="860">
        <f t="shared" ca="1" si="44"/>
        <v>0</v>
      </c>
      <c r="G147" s="860">
        <f t="shared" ca="1" si="44"/>
        <v>0</v>
      </c>
      <c r="H147" s="860">
        <f t="shared" ca="1" si="44"/>
        <v>0</v>
      </c>
      <c r="I147" s="860">
        <f t="shared" ca="1" si="44"/>
        <v>0</v>
      </c>
      <c r="J147" s="860">
        <f t="shared" ca="1" si="44"/>
        <v>0</v>
      </c>
      <c r="K147" s="860">
        <f t="shared" ca="1" si="44"/>
        <v>0</v>
      </c>
      <c r="L147" s="860">
        <f t="shared" ca="1" si="44"/>
        <v>0</v>
      </c>
      <c r="M147" s="860">
        <f t="shared" ca="1" si="44"/>
        <v>0</v>
      </c>
      <c r="N147" s="860">
        <f t="shared" ca="1" si="44"/>
        <v>0</v>
      </c>
      <c r="O147" s="860">
        <f t="shared" ca="1" si="44"/>
        <v>0</v>
      </c>
      <c r="P147" s="860">
        <f t="shared" ca="1" si="44"/>
        <v>0</v>
      </c>
      <c r="Q147" s="860">
        <f t="shared" ca="1" si="44"/>
        <v>0</v>
      </c>
      <c r="R147" s="860">
        <f t="shared" ca="1" si="44"/>
        <v>0</v>
      </c>
      <c r="S147" s="860">
        <f t="shared" ca="1" si="44"/>
        <v>0</v>
      </c>
      <c r="T147" s="860">
        <f t="shared" ca="1" si="44"/>
        <v>0</v>
      </c>
      <c r="U147" s="860">
        <f t="shared" ca="1" si="44"/>
        <v>0</v>
      </c>
      <c r="V147" s="860">
        <f t="shared" ca="1" si="44"/>
        <v>0</v>
      </c>
      <c r="W147" s="860">
        <f t="shared" ca="1" si="45"/>
        <v>0</v>
      </c>
      <c r="X147" s="860">
        <f t="shared" ca="1" si="45"/>
        <v>0</v>
      </c>
      <c r="Y147" s="860">
        <f t="shared" ca="1" si="45"/>
        <v>0.22222222222222224</v>
      </c>
      <c r="Z147" s="860">
        <f t="shared" ca="1" si="45"/>
        <v>0</v>
      </c>
      <c r="AA147" s="860">
        <f t="shared" ca="1" si="45"/>
        <v>0</v>
      </c>
      <c r="AB147" s="860">
        <f t="shared" ca="1" si="45"/>
        <v>0</v>
      </c>
      <c r="AC147" s="860">
        <f t="shared" ca="1" si="45"/>
        <v>0</v>
      </c>
      <c r="AD147" s="860">
        <f t="shared" ca="1" si="45"/>
        <v>0</v>
      </c>
      <c r="AE147" s="860">
        <f t="shared" ca="1" si="45"/>
        <v>0</v>
      </c>
      <c r="AF147" s="860">
        <f t="shared" ca="1" si="45"/>
        <v>0</v>
      </c>
      <c r="AG147" s="860">
        <f t="shared" ca="1" si="45"/>
        <v>0</v>
      </c>
      <c r="AH147" s="860">
        <f t="shared" ca="1" si="45"/>
        <v>0</v>
      </c>
      <c r="AI147" s="860">
        <f t="shared" ca="1" si="45"/>
        <v>0</v>
      </c>
      <c r="AJ147" s="860">
        <f t="shared" ca="1" si="45"/>
        <v>0</v>
      </c>
      <c r="AK147" s="860">
        <f t="shared" ca="1" si="45"/>
        <v>0</v>
      </c>
      <c r="AL147" s="860">
        <f t="shared" ca="1" si="45"/>
        <v>0</v>
      </c>
    </row>
    <row r="148" spans="1:38" s="773" customFormat="1" ht="12.75" outlineLevel="2">
      <c r="A148" s="1132">
        <f>ROW(Diesel!A54)</f>
        <v>54</v>
      </c>
      <c r="B148" s="1126">
        <f>COLUMN(Diesel!$D$1)+chosenYear-1</f>
        <v>4</v>
      </c>
      <c r="D148" s="714" t="str">
        <f>ProcessEnergy!B52</f>
        <v>Rape seed cake</v>
      </c>
      <c r="E148" s="715" t="s">
        <v>345</v>
      </c>
      <c r="F148" s="860">
        <f t="shared" ca="1" si="41"/>
        <v>0</v>
      </c>
      <c r="G148" s="860">
        <f t="shared" ca="1" si="41"/>
        <v>0</v>
      </c>
      <c r="H148" s="860">
        <f t="shared" ca="1" si="41"/>
        <v>0</v>
      </c>
      <c r="I148" s="860">
        <f t="shared" ca="1" si="41"/>
        <v>0</v>
      </c>
      <c r="J148" s="860">
        <f t="shared" ca="1" si="41"/>
        <v>0</v>
      </c>
      <c r="K148" s="860">
        <f t="shared" ca="1" si="41"/>
        <v>0</v>
      </c>
      <c r="L148" s="860">
        <f t="shared" ca="1" si="41"/>
        <v>0</v>
      </c>
      <c r="M148" s="860">
        <f t="shared" ca="1" si="41"/>
        <v>0</v>
      </c>
      <c r="N148" s="860">
        <f t="shared" ca="1" si="41"/>
        <v>0</v>
      </c>
      <c r="O148" s="860">
        <f t="shared" ca="1" si="41"/>
        <v>0</v>
      </c>
      <c r="P148" s="860">
        <f t="shared" ca="1" si="41"/>
        <v>0</v>
      </c>
      <c r="Q148" s="860">
        <f t="shared" ca="1" si="41"/>
        <v>0</v>
      </c>
      <c r="R148" s="860">
        <f t="shared" ca="1" si="41"/>
        <v>0</v>
      </c>
      <c r="S148" s="860">
        <f t="shared" ca="1" si="41"/>
        <v>0</v>
      </c>
      <c r="T148" s="860">
        <f t="shared" ca="1" si="41"/>
        <v>0</v>
      </c>
      <c r="U148" s="860">
        <f t="shared" ca="1" si="41"/>
        <v>0</v>
      </c>
      <c r="V148" s="860">
        <f t="shared" ca="1" si="41"/>
        <v>0</v>
      </c>
      <c r="W148" s="860">
        <f t="shared" ca="1" si="42"/>
        <v>0</v>
      </c>
      <c r="X148" s="860">
        <f t="shared" ca="1" si="42"/>
        <v>0.37419354838709673</v>
      </c>
      <c r="Y148" s="860">
        <f t="shared" ca="1" si="42"/>
        <v>0</v>
      </c>
      <c r="Z148" s="860">
        <f t="shared" ca="1" si="42"/>
        <v>0</v>
      </c>
      <c r="AA148" s="860">
        <f t="shared" ca="1" si="42"/>
        <v>0</v>
      </c>
      <c r="AB148" s="860">
        <f t="shared" ca="1" si="42"/>
        <v>0</v>
      </c>
      <c r="AC148" s="860">
        <f t="shared" ca="1" si="42"/>
        <v>0</v>
      </c>
      <c r="AD148" s="860">
        <f t="shared" ca="1" si="42"/>
        <v>0</v>
      </c>
      <c r="AE148" s="860">
        <f t="shared" ca="1" si="42"/>
        <v>0</v>
      </c>
      <c r="AF148" s="860">
        <f t="shared" ca="1" si="42"/>
        <v>0</v>
      </c>
      <c r="AG148" s="860">
        <f t="shared" ca="1" si="42"/>
        <v>0</v>
      </c>
      <c r="AH148" s="860">
        <f t="shared" ca="1" si="42"/>
        <v>0</v>
      </c>
      <c r="AI148" s="860">
        <f t="shared" ca="1" si="42"/>
        <v>0</v>
      </c>
      <c r="AJ148" s="860">
        <f t="shared" ca="1" si="42"/>
        <v>0</v>
      </c>
      <c r="AK148" s="860">
        <f t="shared" ca="1" si="42"/>
        <v>0</v>
      </c>
      <c r="AL148" s="860">
        <f t="shared" ca="1" si="42"/>
        <v>0</v>
      </c>
    </row>
    <row r="149" spans="1:38" s="489" customFormat="1" ht="12.75" outlineLevel="2">
      <c r="A149" s="1132">
        <f>ROW(Diesel!A55)</f>
        <v>55</v>
      </c>
      <c r="B149" s="1126">
        <f>COLUMN(Diesel!$D$1)+chosenYear-1</f>
        <v>4</v>
      </c>
      <c r="D149" s="714" t="str">
        <f>ProcessEnergy!B53</f>
        <v>&lt;empty&gt;</v>
      </c>
      <c r="E149" s="715" t="s">
        <v>345</v>
      </c>
      <c r="F149" s="860">
        <f t="shared" ca="1" si="41"/>
        <v>0</v>
      </c>
      <c r="G149" s="860">
        <f t="shared" ca="1" si="41"/>
        <v>0</v>
      </c>
      <c r="H149" s="860">
        <f t="shared" ca="1" si="41"/>
        <v>0</v>
      </c>
      <c r="I149" s="860">
        <f t="shared" ca="1" si="41"/>
        <v>0</v>
      </c>
      <c r="J149" s="860">
        <f t="shared" ca="1" si="41"/>
        <v>0</v>
      </c>
      <c r="K149" s="860">
        <f t="shared" ca="1" si="41"/>
        <v>0</v>
      </c>
      <c r="L149" s="860">
        <f t="shared" ca="1" si="41"/>
        <v>0</v>
      </c>
      <c r="M149" s="860">
        <f t="shared" ca="1" si="41"/>
        <v>0</v>
      </c>
      <c r="N149" s="860">
        <f t="shared" ca="1" si="41"/>
        <v>0</v>
      </c>
      <c r="O149" s="860">
        <f t="shared" ca="1" si="41"/>
        <v>0</v>
      </c>
      <c r="P149" s="860">
        <f t="shared" ca="1" si="41"/>
        <v>0</v>
      </c>
      <c r="Q149" s="860">
        <f t="shared" ca="1" si="41"/>
        <v>0</v>
      </c>
      <c r="R149" s="860">
        <f t="shared" ca="1" si="41"/>
        <v>0</v>
      </c>
      <c r="S149" s="860">
        <f t="shared" ca="1" si="41"/>
        <v>0</v>
      </c>
      <c r="T149" s="860">
        <f t="shared" ca="1" si="41"/>
        <v>0</v>
      </c>
      <c r="U149" s="860">
        <f t="shared" ca="1" si="41"/>
        <v>0</v>
      </c>
      <c r="V149" s="860">
        <f t="shared" ca="1" si="41"/>
        <v>0</v>
      </c>
      <c r="W149" s="860">
        <f t="shared" ca="1" si="42"/>
        <v>0</v>
      </c>
      <c r="X149" s="860">
        <f t="shared" ca="1" si="42"/>
        <v>0</v>
      </c>
      <c r="Y149" s="860">
        <f t="shared" ca="1" si="42"/>
        <v>0</v>
      </c>
      <c r="Z149" s="860">
        <f t="shared" ca="1" si="42"/>
        <v>0</v>
      </c>
      <c r="AA149" s="860">
        <f t="shared" ca="1" si="42"/>
        <v>0</v>
      </c>
      <c r="AB149" s="860">
        <f t="shared" ca="1" si="42"/>
        <v>0</v>
      </c>
      <c r="AC149" s="860">
        <f t="shared" ca="1" si="42"/>
        <v>0</v>
      </c>
      <c r="AD149" s="860">
        <f t="shared" ca="1" si="42"/>
        <v>0</v>
      </c>
      <c r="AE149" s="860">
        <f t="shared" ca="1" si="42"/>
        <v>0</v>
      </c>
      <c r="AF149" s="860">
        <f t="shared" ca="1" si="42"/>
        <v>0</v>
      </c>
      <c r="AG149" s="860">
        <f t="shared" ca="1" si="42"/>
        <v>0</v>
      </c>
      <c r="AH149" s="860">
        <f t="shared" ca="1" si="42"/>
        <v>0</v>
      </c>
      <c r="AI149" s="860">
        <f t="shared" ca="1" si="42"/>
        <v>0</v>
      </c>
      <c r="AJ149" s="860">
        <f t="shared" ca="1" si="42"/>
        <v>0</v>
      </c>
      <c r="AK149" s="860">
        <f t="shared" ca="1" si="42"/>
        <v>0</v>
      </c>
      <c r="AL149" s="860">
        <f t="shared" ca="1" si="42"/>
        <v>0</v>
      </c>
    </row>
    <row r="150" spans="1:38" s="489" customFormat="1" ht="12.75" outlineLevel="2">
      <c r="A150" s="1132">
        <f>ROW(Diesel!A56)</f>
        <v>56</v>
      </c>
      <c r="B150" s="1126">
        <f>COLUMN(Diesel!$D$1)+chosenYear-1</f>
        <v>4</v>
      </c>
      <c r="D150" s="492" t="str">
        <f>ProcessEnergy!B54</f>
        <v>DDGS</v>
      </c>
      <c r="E150" s="493" t="s">
        <v>345</v>
      </c>
      <c r="F150" s="861">
        <f t="shared" ca="1" si="41"/>
        <v>0</v>
      </c>
      <c r="G150" s="861">
        <f t="shared" ca="1" si="41"/>
        <v>0</v>
      </c>
      <c r="H150" s="861">
        <f t="shared" ca="1" si="41"/>
        <v>0</v>
      </c>
      <c r="I150" s="861">
        <f t="shared" ca="1" si="41"/>
        <v>0</v>
      </c>
      <c r="J150" s="861">
        <f t="shared" ca="1" si="41"/>
        <v>0</v>
      </c>
      <c r="K150" s="861">
        <f t="shared" ca="1" si="41"/>
        <v>0</v>
      </c>
      <c r="L150" s="861">
        <f t="shared" ca="1" si="41"/>
        <v>0.39080459770114945</v>
      </c>
      <c r="M150" s="861">
        <f t="shared" ca="1" si="41"/>
        <v>0</v>
      </c>
      <c r="N150" s="861">
        <f t="shared" ca="1" si="41"/>
        <v>0</v>
      </c>
      <c r="O150" s="861">
        <f t="shared" ca="1" si="41"/>
        <v>0</v>
      </c>
      <c r="P150" s="861">
        <f t="shared" ca="1" si="41"/>
        <v>0</v>
      </c>
      <c r="Q150" s="861">
        <f t="shared" ca="1" si="41"/>
        <v>0</v>
      </c>
      <c r="R150" s="861">
        <f t="shared" ca="1" si="41"/>
        <v>0</v>
      </c>
      <c r="S150" s="861">
        <f t="shared" ca="1" si="41"/>
        <v>0</v>
      </c>
      <c r="T150" s="861">
        <f t="shared" ca="1" si="41"/>
        <v>0</v>
      </c>
      <c r="U150" s="861">
        <f t="shared" ca="1" si="41"/>
        <v>0</v>
      </c>
      <c r="V150" s="861">
        <f t="shared" ca="1" si="41"/>
        <v>0</v>
      </c>
      <c r="W150" s="861">
        <f t="shared" ca="1" si="42"/>
        <v>0</v>
      </c>
      <c r="X150" s="861">
        <f t="shared" ca="1" si="42"/>
        <v>0</v>
      </c>
      <c r="Y150" s="861">
        <f t="shared" ca="1" si="42"/>
        <v>0</v>
      </c>
      <c r="Z150" s="861">
        <f t="shared" ca="1" si="42"/>
        <v>0</v>
      </c>
      <c r="AA150" s="861">
        <f t="shared" ca="1" si="42"/>
        <v>0</v>
      </c>
      <c r="AB150" s="861">
        <f t="shared" ca="1" si="42"/>
        <v>0</v>
      </c>
      <c r="AC150" s="861">
        <f t="shared" ca="1" si="42"/>
        <v>0</v>
      </c>
      <c r="AD150" s="861">
        <f t="shared" ca="1" si="42"/>
        <v>0</v>
      </c>
      <c r="AE150" s="861">
        <f t="shared" ca="1" si="42"/>
        <v>0</v>
      </c>
      <c r="AF150" s="861">
        <f t="shared" ca="1" si="42"/>
        <v>0</v>
      </c>
      <c r="AG150" s="861">
        <f t="shared" ca="1" si="42"/>
        <v>0</v>
      </c>
      <c r="AH150" s="861">
        <f t="shared" ca="1" si="42"/>
        <v>0</v>
      </c>
      <c r="AI150" s="861">
        <f t="shared" ca="1" si="42"/>
        <v>0</v>
      </c>
      <c r="AJ150" s="861">
        <f t="shared" ca="1" si="42"/>
        <v>0</v>
      </c>
      <c r="AK150" s="861">
        <f t="shared" ca="1" si="42"/>
        <v>0</v>
      </c>
      <c r="AL150" s="861">
        <f t="shared" ca="1" si="42"/>
        <v>0</v>
      </c>
    </row>
    <row r="151" spans="1:38" s="489" customFormat="1" ht="12.75" outlineLevel="2">
      <c r="A151" s="1132"/>
      <c r="B151" s="1126"/>
      <c r="D151" s="494" t="s">
        <v>895</v>
      </c>
      <c r="E151" s="715"/>
      <c r="G151" s="773"/>
      <c r="H151" s="773"/>
      <c r="I151" s="773"/>
      <c r="J151" s="773"/>
      <c r="K151" s="773"/>
      <c r="L151" s="773"/>
      <c r="M151" s="773"/>
      <c r="N151" s="773"/>
      <c r="O151" s="773"/>
      <c r="P151" s="773"/>
      <c r="Q151" s="773"/>
      <c r="R151" s="773"/>
      <c r="S151" s="773"/>
      <c r="T151" s="773"/>
      <c r="U151" s="773"/>
      <c r="V151" s="773"/>
      <c r="W151" s="773"/>
      <c r="X151" s="773"/>
      <c r="Y151" s="773"/>
      <c r="Z151" s="773"/>
      <c r="AA151" s="773"/>
      <c r="AB151" s="773"/>
      <c r="AC151" s="773"/>
      <c r="AD151" s="773"/>
      <c r="AE151" s="773"/>
      <c r="AF151" s="773"/>
      <c r="AG151" s="773"/>
      <c r="AH151" s="773"/>
      <c r="AI151" s="773"/>
      <c r="AJ151" s="773"/>
      <c r="AK151" s="773"/>
      <c r="AL151" s="773"/>
    </row>
    <row r="152" spans="1:38" s="489" customFormat="1" ht="12.75" outlineLevel="2">
      <c r="A152" s="1132"/>
      <c r="B152" s="1126"/>
      <c r="D152" s="494"/>
      <c r="E152" s="715"/>
      <c r="G152" s="773"/>
      <c r="H152" s="773"/>
      <c r="I152" s="773"/>
      <c r="J152" s="773"/>
      <c r="K152" s="773"/>
      <c r="L152" s="773"/>
      <c r="M152" s="773"/>
      <c r="N152" s="773"/>
      <c r="O152" s="773"/>
      <c r="P152" s="773"/>
      <c r="Q152" s="773"/>
      <c r="R152" s="773"/>
      <c r="S152" s="773"/>
      <c r="T152" s="773"/>
      <c r="U152" s="773"/>
      <c r="V152" s="773"/>
      <c r="W152" s="773"/>
      <c r="X152" s="773"/>
      <c r="Y152" s="773"/>
      <c r="Z152" s="773"/>
      <c r="AA152" s="773"/>
      <c r="AB152" s="773"/>
      <c r="AC152" s="773"/>
      <c r="AD152" s="773"/>
      <c r="AE152" s="773"/>
      <c r="AF152" s="773"/>
      <c r="AG152" s="773"/>
      <c r="AH152" s="773"/>
      <c r="AI152" s="773"/>
      <c r="AJ152" s="773"/>
      <c r="AK152" s="773"/>
      <c r="AL152" s="773"/>
    </row>
    <row r="153" spans="1:38" s="489" customFormat="1" ht="12.75" outlineLevel="2">
      <c r="A153" s="1132"/>
      <c r="B153" s="1132"/>
      <c r="D153" s="783" t="s">
        <v>2503</v>
      </c>
      <c r="E153" s="715"/>
      <c r="F153" s="664"/>
      <c r="G153" s="773"/>
      <c r="H153" s="773"/>
      <c r="I153" s="773"/>
      <c r="J153" s="773"/>
      <c r="K153" s="773"/>
      <c r="L153" s="773"/>
      <c r="M153" s="773"/>
      <c r="N153" s="773"/>
      <c r="O153" s="773"/>
      <c r="P153" s="773"/>
      <c r="Q153" s="773"/>
      <c r="R153" s="773"/>
      <c r="S153" s="773"/>
      <c r="T153" s="773"/>
      <c r="U153" s="773"/>
      <c r="V153" s="773"/>
      <c r="W153" s="773"/>
      <c r="X153" s="773"/>
      <c r="Y153" s="773"/>
      <c r="Z153" s="773"/>
      <c r="AA153" s="773"/>
      <c r="AB153" s="773"/>
      <c r="AC153" s="773"/>
      <c r="AD153" s="773"/>
      <c r="AE153" s="773"/>
      <c r="AF153" s="773"/>
      <c r="AG153" s="773"/>
      <c r="AH153" s="773"/>
      <c r="AI153" s="773"/>
      <c r="AJ153" s="773"/>
      <c r="AK153" s="773"/>
      <c r="AL153" s="773"/>
    </row>
    <row r="154" spans="1:38" s="489" customFormat="1" ht="12.75" outlineLevel="2">
      <c r="A154" s="1132"/>
      <c r="B154" s="1132"/>
      <c r="D154" s="495" t="str">
        <f t="shared" ref="D154:D159" si="46">D162</f>
        <v>CO2</v>
      </c>
      <c r="E154" s="491" t="s">
        <v>347</v>
      </c>
      <c r="F154" s="2340">
        <f ca="1">SUMPRODUCT(F$131:F$150,ProcessEnergy!$C$35:$C$54)/1000</f>
        <v>0</v>
      </c>
      <c r="G154" s="786">
        <f ca="1">SUMPRODUCT(G$131:G$150,ProcessEnergy!$C$35:$C$54)/1000</f>
        <v>0</v>
      </c>
      <c r="H154" s="786">
        <f ca="1">SUMPRODUCT(H$131:H$150,ProcessEnergy!$C$35:$C$54)/1000</f>
        <v>0</v>
      </c>
      <c r="I154" s="786">
        <f ca="1">SUMPRODUCT(I$131:I$150,ProcessEnergy!$C$35:$C$54)/1000</f>
        <v>0</v>
      </c>
      <c r="J154" s="786">
        <f ca="1">SUMPRODUCT(J$131:J$150,ProcessEnergy!$C$35:$C$54)/1000</f>
        <v>0</v>
      </c>
      <c r="K154" s="786">
        <f ca="1">SUMPRODUCT(K$131:K$150,ProcessEnergy!$C$35:$C$54)/1000</f>
        <v>0</v>
      </c>
      <c r="L154" s="786">
        <f ca="1">SUMPRODUCT(L$131:L$150,ProcessEnergy!$C$35:$C$54)/1000</f>
        <v>135.9570488392055</v>
      </c>
      <c r="M154" s="786">
        <f ca="1">SUMPRODUCT(M$131:M$150,ProcessEnergy!$C$35:$C$54)/1000</f>
        <v>3.150785948534244</v>
      </c>
      <c r="N154" s="786">
        <f ca="1">SUMPRODUCT(N$131:N$150,ProcessEnergy!$C$35:$C$54)/1000</f>
        <v>4.1480886118057612</v>
      </c>
      <c r="O154" s="786">
        <f ca="1">SUMPRODUCT(O$131:O$150,ProcessEnergy!$C$35:$C$54)/1000</f>
        <v>0</v>
      </c>
      <c r="P154" s="786">
        <f ca="1">SUMPRODUCT(P$131:P$150,ProcessEnergy!$C$35:$C$54)/1000</f>
        <v>13.27229278959433</v>
      </c>
      <c r="Q154" s="786">
        <f ca="1">SUMPRODUCT(Q$131:Q$150,ProcessEnergy!$C$35:$C$54)/1000</f>
        <v>4.1216676652337503</v>
      </c>
      <c r="R154" s="786">
        <f ca="1">SUMPRODUCT(R$131:R$150,ProcessEnergy!$C$35:$C$54)/1000</f>
        <v>0</v>
      </c>
      <c r="S154" s="786">
        <f ca="1">SUMPRODUCT(S$131:S$150,ProcessEnergy!$C$35:$C$54)/1000</f>
        <v>0</v>
      </c>
      <c r="T154" s="786">
        <f ca="1">SUMPRODUCT(T$131:T$150,ProcessEnergy!$C$35:$C$54)/1000</f>
        <v>0</v>
      </c>
      <c r="U154" s="786">
        <f ca="1">SUMPRODUCT(U$131:U$150,ProcessEnergy!$C$35:$C$54)/1000</f>
        <v>0</v>
      </c>
      <c r="V154" s="786">
        <f ca="1">SUMPRODUCT(V$131:V$150,ProcessEnergy!$C$35:$C$54)/1000</f>
        <v>0</v>
      </c>
      <c r="W154" s="786">
        <f ca="1">SUMPRODUCT(W$131:W$150,ProcessEnergy!$C$35:$C$54)/1000</f>
        <v>22.994854085545128</v>
      </c>
      <c r="X154" s="786">
        <f ca="1">SUMPRODUCT(X$131:X$150,ProcessEnergy!$C$35:$C$54)/1000</f>
        <v>149.66270813179227</v>
      </c>
      <c r="Y154" s="786">
        <f ca="1">SUMPRODUCT(Y$131:Y$150,ProcessEnergy!$C$35:$C$54)/1000</f>
        <v>77.445345436374382</v>
      </c>
      <c r="Z154" s="786">
        <f ca="1">SUMPRODUCT(Z$131:Z$150,ProcessEnergy!$C$35:$C$54)/1000</f>
        <v>0</v>
      </c>
      <c r="AA154" s="786">
        <f ca="1">SUMPRODUCT(AA$131:AA$150,ProcessEnergy!$C$35:$C$54)/1000</f>
        <v>0</v>
      </c>
      <c r="AB154" s="786">
        <f ca="1">SUMPRODUCT(AB$131:AB$150,ProcessEnergy!$C$35:$C$54)/1000</f>
        <v>0</v>
      </c>
      <c r="AC154" s="786">
        <f ca="1">SUMPRODUCT(AC$131:AC$150,ProcessEnergy!$C$35:$C$54)/1000</f>
        <v>0</v>
      </c>
      <c r="AD154" s="786">
        <f ca="1">SUMPRODUCT(AD$131:AD$150,ProcessEnergy!$C$35:$C$54)/1000</f>
        <v>0</v>
      </c>
      <c r="AE154" s="786">
        <f ca="1">SUMPRODUCT(AE$131:AE$150,ProcessEnergy!$C$35:$C$54)/1000</f>
        <v>0</v>
      </c>
      <c r="AF154" s="786">
        <f ca="1">SUMPRODUCT(AF$131:AF$150,ProcessEnergy!$C$35:$C$54)/1000</f>
        <v>0</v>
      </c>
      <c r="AG154" s="786">
        <f ca="1">SUMPRODUCT(AG$131:AG$150,ProcessEnergy!$C$35:$C$54)/1000</f>
        <v>0</v>
      </c>
      <c r="AH154" s="786">
        <f ca="1">SUMPRODUCT(AH$131:AH$150,ProcessEnergy!$C$35:$C$54)/1000</f>
        <v>0</v>
      </c>
      <c r="AI154" s="786">
        <f ca="1">SUMPRODUCT(AI$131:AI$150,ProcessEnergy!$C$35:$C$54)/1000</f>
        <v>0</v>
      </c>
      <c r="AJ154" s="786">
        <f ca="1">SUMPRODUCT(AJ$131:AJ$150,ProcessEnergy!$C$35:$C$54)/1000</f>
        <v>0</v>
      </c>
      <c r="AK154" s="786">
        <f ca="1">SUMPRODUCT(AK$131:AK$150,ProcessEnergy!$C$35:$C$54)/1000</f>
        <v>0</v>
      </c>
      <c r="AL154" s="786">
        <f ca="1">SUMPRODUCT(AL$131:AL$150,ProcessEnergy!$C$35:$C$54)/1000</f>
        <v>0</v>
      </c>
    </row>
    <row r="155" spans="1:38" s="489" customFormat="1" ht="12.75" outlineLevel="2">
      <c r="A155" s="1132"/>
      <c r="B155" s="1132"/>
      <c r="D155" s="714" t="str">
        <f t="shared" si="46"/>
        <v>CH4</v>
      </c>
      <c r="E155" s="715" t="s">
        <v>347</v>
      </c>
      <c r="F155" s="788">
        <f ca="1">SUMPRODUCT(F$131:F$150,ProcessEnergy!$D$35:$D$54)/1000</f>
        <v>0</v>
      </c>
      <c r="G155" s="788">
        <f ca="1">SUMPRODUCT(G$131:G$150,ProcessEnergy!$D$35:$D$54)/1000</f>
        <v>0</v>
      </c>
      <c r="H155" s="788">
        <f ca="1">SUMPRODUCT(H$131:H$150,ProcessEnergy!$D$35:$D$54)/1000</f>
        <v>0</v>
      </c>
      <c r="I155" s="788">
        <f ca="1">SUMPRODUCT(I$131:I$150,ProcessEnergy!$D$35:$D$54)/1000</f>
        <v>0</v>
      </c>
      <c r="J155" s="788">
        <f ca="1">SUMPRODUCT(J$131:J$150,ProcessEnergy!$D$35:$D$54)/1000</f>
        <v>0</v>
      </c>
      <c r="K155" s="788">
        <f ca="1">SUMPRODUCT(K$131:K$150,ProcessEnergy!$D$35:$D$54)/1000</f>
        <v>0</v>
      </c>
      <c r="L155" s="788">
        <f ca="1">SUMPRODUCT(L$131:L$150,ProcessEnergy!$D$35:$D$54)/1000</f>
        <v>4.8045795544518607E-4</v>
      </c>
      <c r="M155" s="788">
        <f ca="1">SUMPRODUCT(M$131:M$150,ProcessEnergy!$D$35:$D$54)/1000</f>
        <v>2.1684019137605832E-3</v>
      </c>
      <c r="N155" s="788">
        <f ca="1">SUMPRODUCT(N$131:N$150,ProcessEnergy!$D$35:$D$54)/1000</f>
        <v>2.8547554264904819E-3</v>
      </c>
      <c r="O155" s="788">
        <f ca="1">SUMPRODUCT(O$131:O$150,ProcessEnergy!$D$35:$D$54)/1000</f>
        <v>0</v>
      </c>
      <c r="P155" s="788">
        <f ca="1">SUMPRODUCT(P$131:P$150,ProcessEnergy!$D$35:$D$54)/1000</f>
        <v>1.7223526797055788E-3</v>
      </c>
      <c r="Q155" s="788">
        <f ca="1">SUMPRODUCT(Q$131:Q$150,ProcessEnergy!$D$35:$D$54)/1000</f>
        <v>2.8365722709077397E-3</v>
      </c>
      <c r="R155" s="788">
        <f ca="1">SUMPRODUCT(R$131:R$150,ProcessEnergy!$D$35:$D$54)/1000</f>
        <v>0</v>
      </c>
      <c r="S155" s="788">
        <f ca="1">SUMPRODUCT(S$131:S$150,ProcessEnergy!$D$35:$D$54)/1000</f>
        <v>0</v>
      </c>
      <c r="T155" s="788">
        <f ca="1">SUMPRODUCT(T$131:T$150,ProcessEnergy!$D$35:$D$54)/1000</f>
        <v>0</v>
      </c>
      <c r="U155" s="788">
        <f ca="1">SUMPRODUCT(U$131:U$150,ProcessEnergy!$D$35:$D$54)/1000</f>
        <v>0</v>
      </c>
      <c r="V155" s="788">
        <f ca="1">SUMPRODUCT(V$131:V$150,ProcessEnergy!$D$35:$D$54)/1000</f>
        <v>0</v>
      </c>
      <c r="W155" s="788">
        <f ca="1">SUMPRODUCT(W$131:W$150,ProcessEnergy!$D$35:$D$54)/1000</f>
        <v>1.7326814840706601E-3</v>
      </c>
      <c r="X155" s="788">
        <f ca="1">SUMPRODUCT(X$131:X$150,ProcessEnergy!$D$35:$D$54)/1000</f>
        <v>0</v>
      </c>
      <c r="Y155" s="788">
        <f ca="1">SUMPRODUCT(Y$131:Y$150,ProcessEnergy!$D$35:$D$54)/1000</f>
        <v>3.6709770770935633E-4</v>
      </c>
      <c r="Z155" s="788">
        <f ca="1">SUMPRODUCT(Z$131:Z$150,ProcessEnergy!$D$35:$D$54)/1000</f>
        <v>0</v>
      </c>
      <c r="AA155" s="788">
        <f ca="1">SUMPRODUCT(AA$131:AA$150,ProcessEnergy!$D$35:$D$54)/1000</f>
        <v>0</v>
      </c>
      <c r="AB155" s="788">
        <f ca="1">SUMPRODUCT(AB$131:AB$150,ProcessEnergy!$D$35:$D$54)/1000</f>
        <v>0</v>
      </c>
      <c r="AC155" s="788">
        <f ca="1">SUMPRODUCT(AC$131:AC$150,ProcessEnergy!$D$35:$D$54)/1000</f>
        <v>0</v>
      </c>
      <c r="AD155" s="788">
        <f ca="1">SUMPRODUCT(AD$131:AD$150,ProcessEnergy!$D$35:$D$54)/1000</f>
        <v>0</v>
      </c>
      <c r="AE155" s="788">
        <f ca="1">SUMPRODUCT(AE$131:AE$150,ProcessEnergy!$D$35:$D$54)/1000</f>
        <v>0</v>
      </c>
      <c r="AF155" s="788">
        <f ca="1">SUMPRODUCT(AF$131:AF$150,ProcessEnergy!$D$35:$D$54)/1000</f>
        <v>0</v>
      </c>
      <c r="AG155" s="788">
        <f ca="1">SUMPRODUCT(AG$131:AG$150,ProcessEnergy!$D$35:$D$54)/1000</f>
        <v>0</v>
      </c>
      <c r="AH155" s="788">
        <f ca="1">SUMPRODUCT(AH$131:AH$150,ProcessEnergy!$D$35:$D$54)/1000</f>
        <v>0</v>
      </c>
      <c r="AI155" s="788">
        <f ca="1">SUMPRODUCT(AI$131:AI$150,ProcessEnergy!$D$35:$D$54)/1000</f>
        <v>0</v>
      </c>
      <c r="AJ155" s="788">
        <f ca="1">SUMPRODUCT(AJ$131:AJ$150,ProcessEnergy!$D$35:$D$54)/1000</f>
        <v>0</v>
      </c>
      <c r="AK155" s="788">
        <f ca="1">SUMPRODUCT(AK$131:AK$150,ProcessEnergy!$D$35:$D$54)/1000</f>
        <v>0</v>
      </c>
      <c r="AL155" s="788">
        <f ca="1">SUMPRODUCT(AL$131:AL$150,ProcessEnergy!$D$35:$D$54)/1000</f>
        <v>0</v>
      </c>
    </row>
    <row r="156" spans="1:38" s="489" customFormat="1" ht="12.75" outlineLevel="2">
      <c r="A156" s="1132"/>
      <c r="B156" s="1132"/>
      <c r="D156" s="714" t="str">
        <f t="shared" si="46"/>
        <v>N2O</v>
      </c>
      <c r="E156" s="715" t="s">
        <v>347</v>
      </c>
      <c r="F156" s="788">
        <f ca="1">SUMPRODUCT(F$131:F$150,ProcessEnergy!$E$35:$E$54)/1000</f>
        <v>0</v>
      </c>
      <c r="G156" s="788">
        <f ca="1">SUMPRODUCT(G$131:G$150,ProcessEnergy!$E$35:$E$54)/1000</f>
        <v>0</v>
      </c>
      <c r="H156" s="788">
        <f ca="1">SUMPRODUCT(H$131:H$150,ProcessEnergy!$E$35:$E$54)/1000</f>
        <v>0</v>
      </c>
      <c r="I156" s="788">
        <f ca="1">SUMPRODUCT(I$131:I$150,ProcessEnergy!$E$35:$E$54)/1000</f>
        <v>0</v>
      </c>
      <c r="J156" s="788">
        <f ca="1">SUMPRODUCT(J$131:J$150,ProcessEnergy!$E$35:$E$54)/1000</f>
        <v>0</v>
      </c>
      <c r="K156" s="788">
        <f ca="1">SUMPRODUCT(K$131:K$150,ProcessEnergy!$E$35:$E$54)/1000</f>
        <v>0</v>
      </c>
      <c r="L156" s="788">
        <f ca="1">SUMPRODUCT(L$131:L$150,ProcessEnergy!$E$35:$E$54)/1000</f>
        <v>2.4771254310108241E-5</v>
      </c>
      <c r="M156" s="788">
        <f ca="1">SUMPRODUCT(M$131:M$150,ProcessEnergy!$E$35:$E$54)/1000</f>
        <v>1.1179757696491481E-4</v>
      </c>
      <c r="N156" s="788">
        <f ca="1">SUMPRODUCT(N$131:N$150,ProcessEnergy!$E$35:$E$54)/1000</f>
        <v>1.4718431001362614E-4</v>
      </c>
      <c r="O156" s="788">
        <f ca="1">SUMPRODUCT(O$131:O$150,ProcessEnergy!$E$35:$E$54)/1000</f>
        <v>0</v>
      </c>
      <c r="P156" s="788">
        <f ca="1">SUMPRODUCT(P$131:P$150,ProcessEnergy!$E$35:$E$54)/1000</f>
        <v>9.2214746082655368E-5</v>
      </c>
      <c r="Q156" s="788">
        <f ca="1">SUMPRODUCT(Q$131:Q$150,ProcessEnergy!$E$35:$E$54)/1000</f>
        <v>1.4624683033201066E-4</v>
      </c>
      <c r="R156" s="788">
        <f ca="1">SUMPRODUCT(R$131:R$150,ProcessEnergy!$E$35:$E$54)/1000</f>
        <v>0</v>
      </c>
      <c r="S156" s="788">
        <f ca="1">SUMPRODUCT(S$131:S$150,ProcessEnergy!$E$35:$E$54)/1000</f>
        <v>0</v>
      </c>
      <c r="T156" s="788">
        <f ca="1">SUMPRODUCT(T$131:T$150,ProcessEnergy!$E$35:$E$54)/1000</f>
        <v>0</v>
      </c>
      <c r="U156" s="788">
        <f ca="1">SUMPRODUCT(U$131:U$150,ProcessEnergy!$E$35:$E$54)/1000</f>
        <v>0</v>
      </c>
      <c r="V156" s="788">
        <f ca="1">SUMPRODUCT(V$131:V$150,ProcessEnergy!$E$35:$E$54)/1000</f>
        <v>0</v>
      </c>
      <c r="W156" s="788">
        <f ca="1">SUMPRODUCT(W$131:W$150,ProcessEnergy!$E$35:$E$54)/1000</f>
        <v>9.0236160153852712E-5</v>
      </c>
      <c r="X156" s="788">
        <f ca="1">SUMPRODUCT(X$131:X$150,ProcessEnergy!$E$35:$E$54)/1000</f>
        <v>0</v>
      </c>
      <c r="Y156" s="788">
        <f ca="1">SUMPRODUCT(Y$131:Y$150,ProcessEnergy!$E$35:$E$54)/1000</f>
        <v>1.8926673127725313E-5</v>
      </c>
      <c r="Z156" s="788">
        <f ca="1">SUMPRODUCT(Z$131:Z$150,ProcessEnergy!$E$35:$E$54)/1000</f>
        <v>0</v>
      </c>
      <c r="AA156" s="788">
        <f ca="1">SUMPRODUCT(AA$131:AA$150,ProcessEnergy!$E$35:$E$54)/1000</f>
        <v>0</v>
      </c>
      <c r="AB156" s="788">
        <f ca="1">SUMPRODUCT(AB$131:AB$150,ProcessEnergy!$E$35:$E$54)/1000</f>
        <v>0</v>
      </c>
      <c r="AC156" s="788">
        <f ca="1">SUMPRODUCT(AC$131:AC$150,ProcessEnergy!$E$35:$E$54)/1000</f>
        <v>0</v>
      </c>
      <c r="AD156" s="788">
        <f ca="1">SUMPRODUCT(AD$131:AD$150,ProcessEnergy!$E$35:$E$54)/1000</f>
        <v>0</v>
      </c>
      <c r="AE156" s="788">
        <f ca="1">SUMPRODUCT(AE$131:AE$150,ProcessEnergy!$E$35:$E$54)/1000</f>
        <v>0</v>
      </c>
      <c r="AF156" s="788">
        <f ca="1">SUMPRODUCT(AF$131:AF$150,ProcessEnergy!$E$35:$E$54)/1000</f>
        <v>0</v>
      </c>
      <c r="AG156" s="788">
        <f ca="1">SUMPRODUCT(AG$131:AG$150,ProcessEnergy!$E$35:$E$54)/1000</f>
        <v>0</v>
      </c>
      <c r="AH156" s="788">
        <f ca="1">SUMPRODUCT(AH$131:AH$150,ProcessEnergy!$E$35:$E$54)/1000</f>
        <v>0</v>
      </c>
      <c r="AI156" s="788">
        <f ca="1">SUMPRODUCT(AI$131:AI$150,ProcessEnergy!$E$35:$E$54)/1000</f>
        <v>0</v>
      </c>
      <c r="AJ156" s="788">
        <f ca="1">SUMPRODUCT(AJ$131:AJ$150,ProcessEnergy!$E$35:$E$54)/1000</f>
        <v>0</v>
      </c>
      <c r="AK156" s="788">
        <f ca="1">SUMPRODUCT(AK$131:AK$150,ProcessEnergy!$E$35:$E$54)/1000</f>
        <v>0</v>
      </c>
      <c r="AL156" s="788">
        <f ca="1">SUMPRODUCT(AL$131:AL$150,ProcessEnergy!$E$35:$E$54)/1000</f>
        <v>0</v>
      </c>
    </row>
    <row r="157" spans="1:38" s="489" customFormat="1" ht="12.75" outlineLevel="2">
      <c r="A157" s="1132"/>
      <c r="B157" s="1132"/>
      <c r="D157" s="714" t="str">
        <f t="shared" si="46"/>
        <v>SO2</v>
      </c>
      <c r="E157" s="715" t="s">
        <v>347</v>
      </c>
      <c r="F157" s="788">
        <f ca="1">SUMPRODUCT(F$131:F$150,ProcessEnergy!$F$35:$F$54)/1000</f>
        <v>0</v>
      </c>
      <c r="G157" s="788">
        <f ca="1">SUMPRODUCT(G$131:G$150,ProcessEnergy!$F$35:$F$54)/1000</f>
        <v>0</v>
      </c>
      <c r="H157" s="788">
        <f ca="1">SUMPRODUCT(H$131:H$150,ProcessEnergy!$F$35:$F$54)/1000</f>
        <v>0</v>
      </c>
      <c r="I157" s="788">
        <f ca="1">SUMPRODUCT(I$131:I$150,ProcessEnergy!$F$35:$F$54)/1000</f>
        <v>0</v>
      </c>
      <c r="J157" s="788">
        <f ca="1">SUMPRODUCT(J$131:J$150,ProcessEnergy!$F$35:$F$54)/1000</f>
        <v>0</v>
      </c>
      <c r="K157" s="788">
        <f ca="1">SUMPRODUCT(K$131:K$150,ProcessEnergy!$F$35:$F$54)/1000</f>
        <v>0</v>
      </c>
      <c r="L157" s="788">
        <f ca="1">SUMPRODUCT(L$131:L$150,ProcessEnergy!$F$35:$F$54)/1000</f>
        <v>1.1373916280258119E-3</v>
      </c>
      <c r="M157" s="788">
        <f ca="1">SUMPRODUCT(M$131:M$150,ProcessEnergy!$F$35:$F$54)/1000</f>
        <v>5.1332736922238571E-3</v>
      </c>
      <c r="N157" s="788">
        <f ca="1">SUMPRODUCT(N$131:N$150,ProcessEnergy!$F$35:$F$54)/1000</f>
        <v>6.7580833772289718E-3</v>
      </c>
      <c r="O157" s="788">
        <f ca="1">SUMPRODUCT(O$131:O$150,ProcessEnergy!$F$35:$F$54)/1000</f>
        <v>0</v>
      </c>
      <c r="P157" s="788">
        <f ca="1">SUMPRODUCT(P$131:P$150,ProcessEnergy!$F$35:$F$54)/1000</f>
        <v>4.079615775425499E-3</v>
      </c>
      <c r="Q157" s="788">
        <f ca="1">SUMPRODUCT(Q$131:Q$150,ProcessEnergy!$F$35:$F$54)/1000</f>
        <v>6.7150382601765578E-3</v>
      </c>
      <c r="R157" s="788">
        <f ca="1">SUMPRODUCT(R$131:R$150,ProcessEnergy!$F$35:$F$54)/1000</f>
        <v>0</v>
      </c>
      <c r="S157" s="788">
        <f ca="1">SUMPRODUCT(S$131:S$150,ProcessEnergy!$F$35:$F$54)/1000</f>
        <v>0</v>
      </c>
      <c r="T157" s="788">
        <f ca="1">SUMPRODUCT(T$131:T$150,ProcessEnergy!$F$35:$F$54)/1000</f>
        <v>0</v>
      </c>
      <c r="U157" s="788">
        <f ca="1">SUMPRODUCT(U$131:U$150,ProcessEnergy!$F$35:$F$54)/1000</f>
        <v>0</v>
      </c>
      <c r="V157" s="788">
        <f ca="1">SUMPRODUCT(V$131:V$150,ProcessEnergy!$F$35:$F$54)/1000</f>
        <v>0</v>
      </c>
      <c r="W157" s="788">
        <f ca="1">SUMPRODUCT(W$131:W$150,ProcessEnergy!$F$35:$F$54)/1000</f>
        <v>4.1023921002298902E-3</v>
      </c>
      <c r="X157" s="788">
        <f ca="1">SUMPRODUCT(X$131:X$150,ProcessEnergy!$F$35:$F$54)/1000</f>
        <v>0</v>
      </c>
      <c r="Y157" s="788">
        <f ca="1">SUMPRODUCT(Y$131:Y$150,ProcessEnergy!$F$35:$F$54)/1000</f>
        <v>8.6903308538039922E-4</v>
      </c>
      <c r="Z157" s="788">
        <f ca="1">SUMPRODUCT(Z$131:Z$150,ProcessEnergy!$F$35:$F$54)/1000</f>
        <v>0</v>
      </c>
      <c r="AA157" s="788">
        <f ca="1">SUMPRODUCT(AA$131:AA$150,ProcessEnergy!$F$35:$F$54)/1000</f>
        <v>0</v>
      </c>
      <c r="AB157" s="788">
        <f ca="1">SUMPRODUCT(AB$131:AB$150,ProcessEnergy!$F$35:$F$54)/1000</f>
        <v>0</v>
      </c>
      <c r="AC157" s="788">
        <f ca="1">SUMPRODUCT(AC$131:AC$150,ProcessEnergy!$F$35:$F$54)/1000</f>
        <v>0</v>
      </c>
      <c r="AD157" s="788">
        <f ca="1">SUMPRODUCT(AD$131:AD$150,ProcessEnergy!$F$35:$F$54)/1000</f>
        <v>0</v>
      </c>
      <c r="AE157" s="788">
        <f ca="1">SUMPRODUCT(AE$131:AE$150,ProcessEnergy!$F$35:$F$54)/1000</f>
        <v>0</v>
      </c>
      <c r="AF157" s="788">
        <f ca="1">SUMPRODUCT(AF$131:AF$150,ProcessEnergy!$F$35:$F$54)/1000</f>
        <v>0</v>
      </c>
      <c r="AG157" s="788">
        <f ca="1">SUMPRODUCT(AG$131:AG$150,ProcessEnergy!$F$35:$F$54)/1000</f>
        <v>0</v>
      </c>
      <c r="AH157" s="788">
        <f ca="1">SUMPRODUCT(AH$131:AH$150,ProcessEnergy!$F$35:$F$54)/1000</f>
        <v>0</v>
      </c>
      <c r="AI157" s="788">
        <f ca="1">SUMPRODUCT(AI$131:AI$150,ProcessEnergy!$F$35:$F$54)/1000</f>
        <v>0</v>
      </c>
      <c r="AJ157" s="788">
        <f ca="1">SUMPRODUCT(AJ$131:AJ$150,ProcessEnergy!$F$35:$F$54)/1000</f>
        <v>0</v>
      </c>
      <c r="AK157" s="788">
        <f ca="1">SUMPRODUCT(AK$131:AK$150,ProcessEnergy!$F$35:$F$54)/1000</f>
        <v>0</v>
      </c>
      <c r="AL157" s="788">
        <f ca="1">SUMPRODUCT(AL$131:AL$150,ProcessEnergy!$F$35:$F$54)/1000</f>
        <v>0</v>
      </c>
    </row>
    <row r="158" spans="1:38" s="489" customFormat="1" ht="12.75" outlineLevel="2">
      <c r="A158" s="1132"/>
      <c r="B158" s="1132"/>
      <c r="D158" s="714" t="str">
        <f t="shared" si="46"/>
        <v>NOx</v>
      </c>
      <c r="E158" s="715" t="s">
        <v>347</v>
      </c>
      <c r="F158" s="788">
        <f ca="1">SUMPRODUCT(F$131:F$150,ProcessEnergy!$G$35:$G$54)/1000</f>
        <v>0</v>
      </c>
      <c r="G158" s="788">
        <f ca="1">SUMPRODUCT(G$131:G$150,ProcessEnergy!$G$35:$G$54)/1000</f>
        <v>0</v>
      </c>
      <c r="H158" s="788">
        <f ca="1">SUMPRODUCT(H$131:H$150,ProcessEnergy!$G$35:$G$54)/1000</f>
        <v>0</v>
      </c>
      <c r="I158" s="788">
        <f ca="1">SUMPRODUCT(I$131:I$150,ProcessEnergy!$G$35:$G$54)/1000</f>
        <v>0</v>
      </c>
      <c r="J158" s="788">
        <f ca="1">SUMPRODUCT(J$131:J$150,ProcessEnergy!$G$35:$G$54)/1000</f>
        <v>0</v>
      </c>
      <c r="K158" s="788">
        <f ca="1">SUMPRODUCT(K$131:K$150,ProcessEnergy!$G$35:$G$54)/1000</f>
        <v>0</v>
      </c>
      <c r="L158" s="788">
        <f ca="1">SUMPRODUCT(L$131:L$150,ProcessEnergy!$G$35:$G$54)/1000</f>
        <v>1.531453504144751E-3</v>
      </c>
      <c r="M158" s="788">
        <f ca="1">SUMPRODUCT(M$131:M$150,ProcessEnergy!$G$35:$G$54)/1000</f>
        <v>6.9117529881377714E-3</v>
      </c>
      <c r="N158" s="788">
        <f ca="1">SUMPRODUCT(N$131:N$150,ProcessEnergy!$G$35:$G$54)/1000</f>
        <v>9.0994959118204689E-3</v>
      </c>
      <c r="O158" s="788">
        <f ca="1">SUMPRODUCT(O$131:O$150,ProcessEnergy!$G$35:$G$54)/1000</f>
        <v>0</v>
      </c>
      <c r="P158" s="788">
        <f ca="1">SUMPRODUCT(P$131:P$150,ProcessEnergy!$G$35:$G$54)/1000</f>
        <v>7.4585018840084283E-3</v>
      </c>
      <c r="Q158" s="788">
        <f ca="1">SUMPRODUCT(Q$131:Q$150,ProcessEnergy!$G$35:$G$54)/1000</f>
        <v>9.041537339133713E-3</v>
      </c>
      <c r="R158" s="788">
        <f ca="1">SUMPRODUCT(R$131:R$150,ProcessEnergy!$G$35:$G$54)/1000</f>
        <v>0</v>
      </c>
      <c r="S158" s="788">
        <f ca="1">SUMPRODUCT(S$131:S$150,ProcessEnergy!$G$35:$G$54)/1000</f>
        <v>0</v>
      </c>
      <c r="T158" s="788">
        <f ca="1">SUMPRODUCT(T$131:T$150,ProcessEnergy!$G$35:$G$54)/1000</f>
        <v>0</v>
      </c>
      <c r="U158" s="788">
        <f ca="1">SUMPRODUCT(U$131:U$150,ProcessEnergy!$G$35:$G$54)/1000</f>
        <v>0</v>
      </c>
      <c r="V158" s="788">
        <f ca="1">SUMPRODUCT(V$131:V$150,ProcessEnergy!$G$35:$G$54)/1000</f>
        <v>0</v>
      </c>
      <c r="W158" s="788">
        <f ca="1">SUMPRODUCT(W$131:W$150,ProcessEnergy!$G$35:$G$54)/1000</f>
        <v>6.0436735892147242E-3</v>
      </c>
      <c r="X158" s="788">
        <f ca="1">SUMPRODUCT(X$131:X$150,ProcessEnergy!$G$35:$G$54)/1000</f>
        <v>0</v>
      </c>
      <c r="Y158" s="788">
        <f ca="1">SUMPRODUCT(Y$131:Y$150,ProcessEnergy!$G$35:$G$54)/1000</f>
        <v>1.1701191841314784E-3</v>
      </c>
      <c r="Z158" s="788">
        <f ca="1">SUMPRODUCT(Z$131:Z$150,ProcessEnergy!$G$35:$G$54)/1000</f>
        <v>0</v>
      </c>
      <c r="AA158" s="788">
        <f ca="1">SUMPRODUCT(AA$131:AA$150,ProcessEnergy!$G$35:$G$54)/1000</f>
        <v>0</v>
      </c>
      <c r="AB158" s="788">
        <f ca="1">SUMPRODUCT(AB$131:AB$150,ProcessEnergy!$G$35:$G$54)/1000</f>
        <v>0</v>
      </c>
      <c r="AC158" s="788">
        <f ca="1">SUMPRODUCT(AC$131:AC$150,ProcessEnergy!$G$35:$G$54)/1000</f>
        <v>0</v>
      </c>
      <c r="AD158" s="788">
        <f ca="1">SUMPRODUCT(AD$131:AD$150,ProcessEnergy!$G$35:$G$54)/1000</f>
        <v>0</v>
      </c>
      <c r="AE158" s="788">
        <f ca="1">SUMPRODUCT(AE$131:AE$150,ProcessEnergy!$G$35:$G$54)/1000</f>
        <v>0</v>
      </c>
      <c r="AF158" s="788">
        <f ca="1">SUMPRODUCT(AF$131:AF$150,ProcessEnergy!$G$35:$G$54)/1000</f>
        <v>0</v>
      </c>
      <c r="AG158" s="788">
        <f ca="1">SUMPRODUCT(AG$131:AG$150,ProcessEnergy!$G$35:$G$54)/1000</f>
        <v>0</v>
      </c>
      <c r="AH158" s="788">
        <f ca="1">SUMPRODUCT(AH$131:AH$150,ProcessEnergy!$G$35:$G$54)/1000</f>
        <v>0</v>
      </c>
      <c r="AI158" s="788">
        <f ca="1">SUMPRODUCT(AI$131:AI$150,ProcessEnergy!$G$35:$G$54)/1000</f>
        <v>0</v>
      </c>
      <c r="AJ158" s="788">
        <f ca="1">SUMPRODUCT(AJ$131:AJ$150,ProcessEnergy!$G$35:$G$54)/1000</f>
        <v>0</v>
      </c>
      <c r="AK158" s="788">
        <f ca="1">SUMPRODUCT(AK$131:AK$150,ProcessEnergy!$G$35:$G$54)/1000</f>
        <v>0</v>
      </c>
      <c r="AL158" s="788">
        <f ca="1">SUMPRODUCT(AL$131:AL$150,ProcessEnergy!$G$35:$G$54)/1000</f>
        <v>0</v>
      </c>
    </row>
    <row r="159" spans="1:38" s="489" customFormat="1" ht="12.75" outlineLevel="2">
      <c r="A159" s="1132"/>
      <c r="B159" s="1132"/>
      <c r="D159" s="492" t="str">
        <f t="shared" si="46"/>
        <v>Partikler</v>
      </c>
      <c r="E159" s="493" t="s">
        <v>347</v>
      </c>
      <c r="F159" s="791">
        <f ca="1">SUMPRODUCT(F$131:F$150,ProcessEnergy!$H$35:$H$54)/1000</f>
        <v>0</v>
      </c>
      <c r="G159" s="791">
        <f ca="1">SUMPRODUCT(G$131:G$150,ProcessEnergy!$H$35:$H$54)/1000</f>
        <v>0</v>
      </c>
      <c r="H159" s="791">
        <f ca="1">SUMPRODUCT(H$131:H$150,ProcessEnergy!$H$35:$H$54)/1000</f>
        <v>0</v>
      </c>
      <c r="I159" s="791">
        <f ca="1">SUMPRODUCT(I$131:I$150,ProcessEnergy!$H$35:$H$54)/1000</f>
        <v>0</v>
      </c>
      <c r="J159" s="791">
        <f ca="1">SUMPRODUCT(J$131:J$150,ProcessEnergy!$H$35:$H$54)/1000</f>
        <v>0</v>
      </c>
      <c r="K159" s="791">
        <f ca="1">SUMPRODUCT(K$131:K$150,ProcessEnergy!$H$35:$H$54)/1000</f>
        <v>0</v>
      </c>
      <c r="L159" s="791">
        <f ca="1">SUMPRODUCT(L$131:L$150,ProcessEnergy!$H$35:$H$54)/1000</f>
        <v>1.1890459770114942E-4</v>
      </c>
      <c r="M159" s="791">
        <f ca="1">SUMPRODUCT(M$131:M$150,ProcessEnergy!$H$35:$H$54)/1000</f>
        <v>5.366399999999999E-4</v>
      </c>
      <c r="N159" s="791">
        <f ca="1">SUMPRODUCT(N$131:N$150,ProcessEnergy!$H$35:$H$54)/1000</f>
        <v>7.0649999999999999E-4</v>
      </c>
      <c r="O159" s="791">
        <f ca="1">SUMPRODUCT(O$131:O$150,ProcessEnergy!$H$35:$H$54)/1000</f>
        <v>0</v>
      </c>
      <c r="P159" s="791">
        <f ca="1">SUMPRODUCT(P$131:P$150,ProcessEnergy!$H$35:$H$54)/1000</f>
        <v>4.2895999999999999E-4</v>
      </c>
      <c r="Q159" s="791">
        <f ca="1">SUMPRODUCT(Q$131:Q$150,ProcessEnergy!$H$35:$H$54)/1000</f>
        <v>7.0199999999999993E-4</v>
      </c>
      <c r="R159" s="791">
        <f ca="1">SUMPRODUCT(R$131:R$150,ProcessEnergy!$H$35:$H$54)/1000</f>
        <v>0</v>
      </c>
      <c r="S159" s="791">
        <f ca="1">SUMPRODUCT(S$131:S$150,ProcessEnergy!$H$35:$H$54)/1000</f>
        <v>0</v>
      </c>
      <c r="T159" s="791">
        <f ca="1">SUMPRODUCT(T$131:T$150,ProcessEnergy!$H$35:$H$54)/1000</f>
        <v>0</v>
      </c>
      <c r="U159" s="791">
        <f ca="1">SUMPRODUCT(U$131:U$150,ProcessEnergy!$H$35:$H$54)/1000</f>
        <v>0</v>
      </c>
      <c r="V159" s="791">
        <f ca="1">SUMPRODUCT(V$131:V$150,ProcessEnergy!$H$35:$H$54)/1000</f>
        <v>0</v>
      </c>
      <c r="W159" s="791">
        <f ca="1">SUMPRODUCT(W$131:W$150,ProcessEnergy!$H$35:$H$54)/1000</f>
        <v>4.2952380952380971E-4</v>
      </c>
      <c r="X159" s="791">
        <f ca="1">SUMPRODUCT(X$131:X$150,ProcessEnergy!$H$35:$H$54)/1000</f>
        <v>0</v>
      </c>
      <c r="Y159" s="791">
        <f ca="1">SUMPRODUCT(Y$131:Y$150,ProcessEnergy!$H$35:$H$54)/1000</f>
        <v>9.0849999999999999E-5</v>
      </c>
      <c r="Z159" s="791">
        <f ca="1">SUMPRODUCT(Z$131:Z$150,ProcessEnergy!$H$35:$H$54)/1000</f>
        <v>0</v>
      </c>
      <c r="AA159" s="791">
        <f ca="1">SUMPRODUCT(AA$131:AA$150,ProcessEnergy!$H$35:$H$54)/1000</f>
        <v>0</v>
      </c>
      <c r="AB159" s="791">
        <f ca="1">SUMPRODUCT(AB$131:AB$150,ProcessEnergy!$H$35:$H$54)/1000</f>
        <v>0</v>
      </c>
      <c r="AC159" s="791">
        <f ca="1">SUMPRODUCT(AC$131:AC$150,ProcessEnergy!$H$35:$H$54)/1000</f>
        <v>0</v>
      </c>
      <c r="AD159" s="791">
        <f ca="1">SUMPRODUCT(AD$131:AD$150,ProcessEnergy!$H$35:$H$54)/1000</f>
        <v>0</v>
      </c>
      <c r="AE159" s="791">
        <f ca="1">SUMPRODUCT(AE$131:AE$150,ProcessEnergy!$H$35:$H$54)/1000</f>
        <v>0</v>
      </c>
      <c r="AF159" s="791">
        <f ca="1">SUMPRODUCT(AF$131:AF$150,ProcessEnergy!$H$35:$H$54)/1000</f>
        <v>0</v>
      </c>
      <c r="AG159" s="791">
        <f ca="1">SUMPRODUCT(AG$131:AG$150,ProcessEnergy!$H$35:$H$54)/1000</f>
        <v>0</v>
      </c>
      <c r="AH159" s="791">
        <f ca="1">SUMPRODUCT(AH$131:AH$150,ProcessEnergy!$H$35:$H$54)/1000</f>
        <v>0</v>
      </c>
      <c r="AI159" s="791">
        <f ca="1">SUMPRODUCT(AI$131:AI$150,ProcessEnergy!$H$35:$H$54)/1000</f>
        <v>0</v>
      </c>
      <c r="AJ159" s="791">
        <f ca="1">SUMPRODUCT(AJ$131:AJ$150,ProcessEnergy!$H$35:$H$54)/1000</f>
        <v>0</v>
      </c>
      <c r="AK159" s="791">
        <f ca="1">SUMPRODUCT(AK$131:AK$150,ProcessEnergy!$H$35:$H$54)/1000</f>
        <v>0</v>
      </c>
      <c r="AL159" s="791">
        <f ca="1">SUMPRODUCT(AL$131:AL$150,ProcessEnergy!$H$35:$H$54)/1000</f>
        <v>0</v>
      </c>
    </row>
    <row r="160" spans="1:38" s="664" customFormat="1" ht="12.75" outlineLevel="2">
      <c r="A160" s="1125"/>
      <c r="B160" s="1125"/>
      <c r="D160" s="666"/>
      <c r="E160" s="667"/>
      <c r="F160" s="792"/>
      <c r="G160" s="792"/>
      <c r="H160" s="792"/>
      <c r="I160" s="792"/>
      <c r="J160" s="792"/>
      <c r="K160" s="792"/>
      <c r="L160" s="792"/>
      <c r="M160" s="792"/>
      <c r="N160" s="792"/>
      <c r="O160" s="792"/>
      <c r="P160" s="792"/>
      <c r="Q160" s="792"/>
      <c r="R160" s="792"/>
      <c r="S160" s="792"/>
      <c r="T160" s="792"/>
      <c r="U160" s="792"/>
      <c r="V160" s="792"/>
      <c r="W160" s="792"/>
      <c r="X160" s="792"/>
      <c r="Y160" s="792"/>
      <c r="Z160" s="792"/>
      <c r="AA160" s="792"/>
      <c r="AB160" s="792"/>
      <c r="AC160" s="792"/>
      <c r="AD160" s="792"/>
      <c r="AE160" s="792"/>
      <c r="AF160" s="792"/>
      <c r="AG160" s="792"/>
      <c r="AH160" s="792"/>
      <c r="AI160" s="792"/>
      <c r="AJ160" s="792"/>
      <c r="AK160" s="792"/>
      <c r="AL160" s="792"/>
    </row>
    <row r="161" spans="1:38" s="664" customFormat="1" ht="12.75" outlineLevel="2">
      <c r="A161" s="1125"/>
      <c r="B161" s="1125"/>
      <c r="D161" s="783" t="s">
        <v>893</v>
      </c>
      <c r="E161" s="793"/>
      <c r="F161" s="664" t="s">
        <v>894</v>
      </c>
    </row>
    <row r="162" spans="1:38" s="664" customFormat="1" ht="12.75" outlineLevel="2">
      <c r="A162" s="1132">
        <f>ROW(Diesel!$A114)</f>
        <v>114</v>
      </c>
      <c r="B162" s="1126">
        <f>COLUMN(Diesel!$D$1)+chosenYear-1</f>
        <v>4</v>
      </c>
      <c r="D162" s="794" t="s">
        <v>24</v>
      </c>
      <c r="E162" s="795" t="s">
        <v>347</v>
      </c>
      <c r="F162" s="862">
        <f t="shared" ref="F162:F167" ca="1" si="47">IF(F$11&lt;&gt;"",INDIRECT(ADDRESS($A162,$B162,,,F$11)),0)</f>
        <v>0</v>
      </c>
      <c r="G162" s="862">
        <f t="shared" ref="G162:AL167" ca="1" si="48">IF(G$11&lt;&gt;"",INDIRECT(ADDRESS($A162,$B162,,,G$11)),0)</f>
        <v>0</v>
      </c>
      <c r="H162" s="862">
        <f t="shared" ca="1" si="48"/>
        <v>0</v>
      </c>
      <c r="I162" s="862">
        <f t="shared" ca="1" si="48"/>
        <v>0</v>
      </c>
      <c r="J162" s="862">
        <f t="shared" ca="1" si="48"/>
        <v>0</v>
      </c>
      <c r="K162" s="862">
        <f t="shared" ca="1" si="48"/>
        <v>0</v>
      </c>
      <c r="L162" s="862">
        <f t="shared" ca="1" si="48"/>
        <v>0</v>
      </c>
      <c r="M162" s="862">
        <f t="shared" ca="1" si="48"/>
        <v>0</v>
      </c>
      <c r="N162" s="862">
        <f t="shared" ca="1" si="48"/>
        <v>0</v>
      </c>
      <c r="O162" s="862">
        <f t="shared" ca="1" si="48"/>
        <v>0</v>
      </c>
      <c r="P162" s="862">
        <f t="shared" ca="1" si="48"/>
        <v>0</v>
      </c>
      <c r="Q162" s="862">
        <f t="shared" ca="1" si="48"/>
        <v>0</v>
      </c>
      <c r="R162" s="862">
        <f t="shared" ca="1" si="48"/>
        <v>-66.204492727514221</v>
      </c>
      <c r="S162" s="862">
        <f t="shared" ca="1" si="48"/>
        <v>0</v>
      </c>
      <c r="T162" s="862">
        <f t="shared" ca="1" si="48"/>
        <v>0</v>
      </c>
      <c r="U162" s="862">
        <f t="shared" ca="1" si="48"/>
        <v>0</v>
      </c>
      <c r="V162" s="862">
        <f t="shared" ca="1" si="48"/>
        <v>0</v>
      </c>
      <c r="W162" s="862">
        <f t="shared" ca="1" si="48"/>
        <v>0</v>
      </c>
      <c r="X162" s="862">
        <f t="shared" ca="1" si="48"/>
        <v>1.9860375541646604</v>
      </c>
      <c r="Y162" s="862">
        <f t="shared" ca="1" si="48"/>
        <v>0</v>
      </c>
      <c r="Z162" s="862">
        <f t="shared" ca="1" si="48"/>
        <v>0</v>
      </c>
      <c r="AA162" s="862">
        <f t="shared" ca="1" si="48"/>
        <v>0</v>
      </c>
      <c r="AB162" s="862">
        <f t="shared" ca="1" si="48"/>
        <v>0</v>
      </c>
      <c r="AC162" s="862">
        <f t="shared" ca="1" si="48"/>
        <v>0</v>
      </c>
      <c r="AD162" s="862">
        <f t="shared" ca="1" si="48"/>
        <v>0</v>
      </c>
      <c r="AE162" s="862">
        <f t="shared" ca="1" si="48"/>
        <v>0</v>
      </c>
      <c r="AF162" s="862">
        <f t="shared" ca="1" si="48"/>
        <v>0</v>
      </c>
      <c r="AG162" s="862">
        <f t="shared" ca="1" si="48"/>
        <v>0</v>
      </c>
      <c r="AH162" s="862">
        <f t="shared" ca="1" si="48"/>
        <v>0</v>
      </c>
      <c r="AI162" s="862">
        <f t="shared" ca="1" si="48"/>
        <v>0</v>
      </c>
      <c r="AJ162" s="862">
        <f t="shared" ca="1" si="48"/>
        <v>0</v>
      </c>
      <c r="AK162" s="862">
        <f t="shared" ca="1" si="48"/>
        <v>0</v>
      </c>
      <c r="AL162" s="862">
        <f t="shared" ca="1" si="48"/>
        <v>0</v>
      </c>
    </row>
    <row r="163" spans="1:38" s="664" customFormat="1" ht="12.75" outlineLevel="2">
      <c r="A163" s="1132">
        <f>ROW(Diesel!$A115)</f>
        <v>115</v>
      </c>
      <c r="B163" s="1126">
        <f>COLUMN(Diesel!$D$1)+chosenYear-1</f>
        <v>4</v>
      </c>
      <c r="D163" s="796" t="s">
        <v>27</v>
      </c>
      <c r="E163" s="797" t="s">
        <v>347</v>
      </c>
      <c r="F163" s="863">
        <f t="shared" ca="1" si="47"/>
        <v>0</v>
      </c>
      <c r="G163" s="863">
        <f t="shared" ca="1" si="48"/>
        <v>0</v>
      </c>
      <c r="H163" s="863">
        <f t="shared" ca="1" si="48"/>
        <v>0</v>
      </c>
      <c r="I163" s="863">
        <f t="shared" ca="1" si="48"/>
        <v>0</v>
      </c>
      <c r="J163" s="863">
        <f t="shared" ca="1" si="48"/>
        <v>0</v>
      </c>
      <c r="K163" s="863">
        <f t="shared" ca="1" si="48"/>
        <v>0</v>
      </c>
      <c r="L163" s="863">
        <f t="shared" ca="1" si="48"/>
        <v>0</v>
      </c>
      <c r="M163" s="863">
        <f t="shared" ca="1" si="48"/>
        <v>0</v>
      </c>
      <c r="N163" s="863">
        <f t="shared" ca="1" si="48"/>
        <v>0</v>
      </c>
      <c r="O163" s="863">
        <f t="shared" ca="1" si="48"/>
        <v>0</v>
      </c>
      <c r="P163" s="863">
        <f t="shared" ca="1" si="48"/>
        <v>0</v>
      </c>
      <c r="Q163" s="863">
        <f t="shared" ca="1" si="48"/>
        <v>0</v>
      </c>
      <c r="R163" s="863">
        <f t="shared" ca="1" si="48"/>
        <v>0.11824564115560061</v>
      </c>
      <c r="S163" s="863">
        <f t="shared" ca="1" si="48"/>
        <v>0</v>
      </c>
      <c r="T163" s="863">
        <f t="shared" ca="1" si="48"/>
        <v>0</v>
      </c>
      <c r="U163" s="863">
        <f t="shared" ca="1" si="48"/>
        <v>0</v>
      </c>
      <c r="V163" s="863">
        <f t="shared" ca="1" si="48"/>
        <v>0</v>
      </c>
      <c r="W163" s="863">
        <f t="shared" ca="1" si="48"/>
        <v>0</v>
      </c>
      <c r="X163" s="863">
        <f t="shared" ca="1" si="48"/>
        <v>0</v>
      </c>
      <c r="Y163" s="863">
        <f t="shared" ca="1" si="48"/>
        <v>0</v>
      </c>
      <c r="Z163" s="863">
        <f t="shared" ca="1" si="48"/>
        <v>0</v>
      </c>
      <c r="AA163" s="863">
        <f t="shared" ca="1" si="48"/>
        <v>0</v>
      </c>
      <c r="AB163" s="863">
        <f t="shared" ca="1" si="48"/>
        <v>0</v>
      </c>
      <c r="AC163" s="863">
        <f t="shared" ca="1" si="48"/>
        <v>0</v>
      </c>
      <c r="AD163" s="863">
        <f t="shared" ca="1" si="48"/>
        <v>0</v>
      </c>
      <c r="AE163" s="863">
        <f t="shared" ca="1" si="48"/>
        <v>0</v>
      </c>
      <c r="AF163" s="863">
        <f t="shared" ca="1" si="48"/>
        <v>0</v>
      </c>
      <c r="AG163" s="863">
        <f t="shared" ca="1" si="48"/>
        <v>0</v>
      </c>
      <c r="AH163" s="863">
        <f t="shared" ca="1" si="48"/>
        <v>0</v>
      </c>
      <c r="AI163" s="863">
        <f t="shared" ca="1" si="48"/>
        <v>0</v>
      </c>
      <c r="AJ163" s="863">
        <f t="shared" ca="1" si="48"/>
        <v>0</v>
      </c>
      <c r="AK163" s="863">
        <f t="shared" ca="1" si="48"/>
        <v>0</v>
      </c>
      <c r="AL163" s="863">
        <f t="shared" ca="1" si="48"/>
        <v>0</v>
      </c>
    </row>
    <row r="164" spans="1:38" s="664" customFormat="1" ht="12.75" outlineLevel="2">
      <c r="A164" s="1132">
        <f>ROW(Diesel!$A116)</f>
        <v>116</v>
      </c>
      <c r="B164" s="1126">
        <f>COLUMN(Diesel!$D$1)+chosenYear-1</f>
        <v>4</v>
      </c>
      <c r="D164" s="796" t="s">
        <v>28</v>
      </c>
      <c r="E164" s="797" t="s">
        <v>347</v>
      </c>
      <c r="F164" s="863">
        <f t="shared" ca="1" si="47"/>
        <v>0</v>
      </c>
      <c r="G164" s="863">
        <f t="shared" ca="1" si="48"/>
        <v>0</v>
      </c>
      <c r="H164" s="863">
        <f t="shared" ca="1" si="48"/>
        <v>0</v>
      </c>
      <c r="I164" s="863">
        <f t="shared" ca="1" si="48"/>
        <v>0</v>
      </c>
      <c r="J164" s="863">
        <f t="shared" ca="1" si="48"/>
        <v>0</v>
      </c>
      <c r="K164" s="863">
        <f t="shared" ca="1" si="48"/>
        <v>0</v>
      </c>
      <c r="L164" s="863">
        <f t="shared" ca="1" si="48"/>
        <v>0</v>
      </c>
      <c r="M164" s="863">
        <f t="shared" ca="1" si="48"/>
        <v>0</v>
      </c>
      <c r="N164" s="863">
        <f t="shared" ca="1" si="48"/>
        <v>0</v>
      </c>
      <c r="O164" s="863">
        <f t="shared" ca="1" si="48"/>
        <v>0</v>
      </c>
      <c r="P164" s="863">
        <f t="shared" ca="1" si="48"/>
        <v>0</v>
      </c>
      <c r="Q164" s="863">
        <f t="shared" ca="1" si="48"/>
        <v>0</v>
      </c>
      <c r="R164" s="863">
        <f t="shared" ca="1" si="48"/>
        <v>0</v>
      </c>
      <c r="S164" s="863">
        <f t="shared" ca="1" si="48"/>
        <v>0</v>
      </c>
      <c r="T164" s="863">
        <f t="shared" ca="1" si="48"/>
        <v>0</v>
      </c>
      <c r="U164" s="863">
        <f t="shared" ca="1" si="48"/>
        <v>0</v>
      </c>
      <c r="V164" s="863">
        <f t="shared" ca="1" si="48"/>
        <v>0</v>
      </c>
      <c r="W164" s="863">
        <f t="shared" ca="1" si="48"/>
        <v>0</v>
      </c>
      <c r="X164" s="863">
        <f t="shared" ca="1" si="48"/>
        <v>0</v>
      </c>
      <c r="Y164" s="863">
        <f t="shared" ca="1" si="48"/>
        <v>0</v>
      </c>
      <c r="Z164" s="863">
        <f t="shared" ca="1" si="48"/>
        <v>0</v>
      </c>
      <c r="AA164" s="863">
        <f t="shared" ca="1" si="48"/>
        <v>0</v>
      </c>
      <c r="AB164" s="863">
        <f t="shared" ca="1" si="48"/>
        <v>0</v>
      </c>
      <c r="AC164" s="863">
        <f t="shared" ca="1" si="48"/>
        <v>0</v>
      </c>
      <c r="AD164" s="863">
        <f t="shared" ca="1" si="48"/>
        <v>0</v>
      </c>
      <c r="AE164" s="863">
        <f t="shared" ca="1" si="48"/>
        <v>0</v>
      </c>
      <c r="AF164" s="863">
        <f t="shared" ca="1" si="48"/>
        <v>0</v>
      </c>
      <c r="AG164" s="863">
        <f t="shared" ca="1" si="48"/>
        <v>0</v>
      </c>
      <c r="AH164" s="863">
        <f t="shared" ca="1" si="48"/>
        <v>0</v>
      </c>
      <c r="AI164" s="863">
        <f t="shared" ca="1" si="48"/>
        <v>0</v>
      </c>
      <c r="AJ164" s="863">
        <f t="shared" ca="1" si="48"/>
        <v>0</v>
      </c>
      <c r="AK164" s="863">
        <f t="shared" ca="1" si="48"/>
        <v>0</v>
      </c>
      <c r="AL164" s="863">
        <f t="shared" ca="1" si="48"/>
        <v>0</v>
      </c>
    </row>
    <row r="165" spans="1:38" s="664" customFormat="1" ht="12.75" outlineLevel="2">
      <c r="A165" s="1132">
        <f>ROW(Diesel!$A117)</f>
        <v>117</v>
      </c>
      <c r="B165" s="1126">
        <f>COLUMN(Diesel!$D$1)+chosenYear-1</f>
        <v>4</v>
      </c>
      <c r="D165" s="796" t="s">
        <v>26</v>
      </c>
      <c r="E165" s="797" t="s">
        <v>347</v>
      </c>
      <c r="F165" s="863">
        <f t="shared" ca="1" si="47"/>
        <v>0</v>
      </c>
      <c r="G165" s="863">
        <f t="shared" ca="1" si="48"/>
        <v>0</v>
      </c>
      <c r="H165" s="863">
        <f t="shared" ca="1" si="48"/>
        <v>0</v>
      </c>
      <c r="I165" s="863">
        <f t="shared" ca="1" si="48"/>
        <v>0</v>
      </c>
      <c r="J165" s="863">
        <f t="shared" ca="1" si="48"/>
        <v>0</v>
      </c>
      <c r="K165" s="863">
        <f t="shared" ca="1" si="48"/>
        <v>0</v>
      </c>
      <c r="L165" s="863">
        <f t="shared" ca="1" si="48"/>
        <v>0</v>
      </c>
      <c r="M165" s="863">
        <f t="shared" ca="1" si="48"/>
        <v>0</v>
      </c>
      <c r="N165" s="863">
        <f t="shared" ca="1" si="48"/>
        <v>0</v>
      </c>
      <c r="O165" s="863">
        <f t="shared" ca="1" si="48"/>
        <v>0</v>
      </c>
      <c r="P165" s="863">
        <f t="shared" ca="1" si="48"/>
        <v>0</v>
      </c>
      <c r="Q165" s="863">
        <f t="shared" ca="1" si="48"/>
        <v>0</v>
      </c>
      <c r="R165" s="863">
        <f t="shared" ca="1" si="48"/>
        <v>0</v>
      </c>
      <c r="S165" s="863">
        <f t="shared" ca="1" si="48"/>
        <v>0</v>
      </c>
      <c r="T165" s="863">
        <f t="shared" ca="1" si="48"/>
        <v>0</v>
      </c>
      <c r="U165" s="863">
        <f t="shared" ca="1" si="48"/>
        <v>0</v>
      </c>
      <c r="V165" s="863">
        <f t="shared" ca="1" si="48"/>
        <v>0</v>
      </c>
      <c r="W165" s="863">
        <f t="shared" ca="1" si="48"/>
        <v>0</v>
      </c>
      <c r="X165" s="863">
        <f t="shared" ca="1" si="48"/>
        <v>0</v>
      </c>
      <c r="Y165" s="863">
        <f t="shared" ca="1" si="48"/>
        <v>0</v>
      </c>
      <c r="Z165" s="863">
        <f t="shared" ca="1" si="48"/>
        <v>0</v>
      </c>
      <c r="AA165" s="863">
        <f t="shared" ca="1" si="48"/>
        <v>0</v>
      </c>
      <c r="AB165" s="863">
        <f t="shared" ca="1" si="48"/>
        <v>0</v>
      </c>
      <c r="AC165" s="863">
        <f t="shared" ca="1" si="48"/>
        <v>0</v>
      </c>
      <c r="AD165" s="863">
        <f t="shared" ca="1" si="48"/>
        <v>0</v>
      </c>
      <c r="AE165" s="863">
        <f t="shared" ca="1" si="48"/>
        <v>0</v>
      </c>
      <c r="AF165" s="863">
        <f t="shared" ca="1" si="48"/>
        <v>0</v>
      </c>
      <c r="AG165" s="863">
        <f t="shared" ca="1" si="48"/>
        <v>0</v>
      </c>
      <c r="AH165" s="863">
        <f t="shared" ca="1" si="48"/>
        <v>0</v>
      </c>
      <c r="AI165" s="863">
        <f t="shared" ca="1" si="48"/>
        <v>0</v>
      </c>
      <c r="AJ165" s="863">
        <f t="shared" ca="1" si="48"/>
        <v>0</v>
      </c>
      <c r="AK165" s="863">
        <f t="shared" ca="1" si="48"/>
        <v>0</v>
      </c>
      <c r="AL165" s="863">
        <f t="shared" ca="1" si="48"/>
        <v>0</v>
      </c>
    </row>
    <row r="166" spans="1:38" s="664" customFormat="1" ht="12.75" outlineLevel="2">
      <c r="A166" s="1132">
        <f>ROW(Diesel!$A118)</f>
        <v>118</v>
      </c>
      <c r="B166" s="1126">
        <f>COLUMN(Diesel!$D$1)+chosenYear-1</f>
        <v>4</v>
      </c>
      <c r="D166" s="796" t="s">
        <v>25</v>
      </c>
      <c r="E166" s="797" t="s">
        <v>347</v>
      </c>
      <c r="F166" s="863">
        <f t="shared" ca="1" si="47"/>
        <v>0</v>
      </c>
      <c r="G166" s="863">
        <f t="shared" ca="1" si="48"/>
        <v>0</v>
      </c>
      <c r="H166" s="863">
        <f t="shared" ca="1" si="48"/>
        <v>0</v>
      </c>
      <c r="I166" s="863">
        <f t="shared" ca="1" si="48"/>
        <v>0</v>
      </c>
      <c r="J166" s="863">
        <f t="shared" ca="1" si="48"/>
        <v>0</v>
      </c>
      <c r="K166" s="863">
        <f t="shared" ca="1" si="48"/>
        <v>0</v>
      </c>
      <c r="L166" s="863">
        <f t="shared" ca="1" si="48"/>
        <v>0</v>
      </c>
      <c r="M166" s="863">
        <f t="shared" ca="1" si="48"/>
        <v>0</v>
      </c>
      <c r="N166" s="863">
        <f t="shared" ca="1" si="48"/>
        <v>0</v>
      </c>
      <c r="O166" s="863">
        <f t="shared" ca="1" si="48"/>
        <v>0</v>
      </c>
      <c r="P166" s="863">
        <f t="shared" ca="1" si="48"/>
        <v>0</v>
      </c>
      <c r="Q166" s="863">
        <f t="shared" ca="1" si="48"/>
        <v>0</v>
      </c>
      <c r="R166" s="863">
        <f t="shared" ca="1" si="48"/>
        <v>0</v>
      </c>
      <c r="S166" s="863">
        <f t="shared" ca="1" si="48"/>
        <v>0</v>
      </c>
      <c r="T166" s="863">
        <f t="shared" ca="1" si="48"/>
        <v>0</v>
      </c>
      <c r="U166" s="863">
        <f t="shared" ca="1" si="48"/>
        <v>0</v>
      </c>
      <c r="V166" s="863">
        <f t="shared" ca="1" si="48"/>
        <v>0</v>
      </c>
      <c r="W166" s="863">
        <f t="shared" ca="1" si="48"/>
        <v>0</v>
      </c>
      <c r="X166" s="863">
        <f t="shared" ca="1" si="48"/>
        <v>0</v>
      </c>
      <c r="Y166" s="863">
        <f t="shared" ca="1" si="48"/>
        <v>0</v>
      </c>
      <c r="Z166" s="863">
        <f t="shared" ca="1" si="48"/>
        <v>0</v>
      </c>
      <c r="AA166" s="863">
        <f t="shared" ca="1" si="48"/>
        <v>0</v>
      </c>
      <c r="AB166" s="863">
        <f t="shared" ca="1" si="48"/>
        <v>0</v>
      </c>
      <c r="AC166" s="863">
        <f t="shared" ca="1" si="48"/>
        <v>0</v>
      </c>
      <c r="AD166" s="863">
        <f t="shared" ca="1" si="48"/>
        <v>0</v>
      </c>
      <c r="AE166" s="863">
        <f t="shared" ca="1" si="48"/>
        <v>0</v>
      </c>
      <c r="AF166" s="863">
        <f t="shared" ca="1" si="48"/>
        <v>0</v>
      </c>
      <c r="AG166" s="863">
        <f t="shared" ca="1" si="48"/>
        <v>0</v>
      </c>
      <c r="AH166" s="863">
        <f t="shared" ca="1" si="48"/>
        <v>0</v>
      </c>
      <c r="AI166" s="863">
        <f t="shared" ca="1" si="48"/>
        <v>0</v>
      </c>
      <c r="AJ166" s="863">
        <f t="shared" ca="1" si="48"/>
        <v>0</v>
      </c>
      <c r="AK166" s="863">
        <f t="shared" ca="1" si="48"/>
        <v>0</v>
      </c>
      <c r="AL166" s="863">
        <f t="shared" ca="1" si="48"/>
        <v>0</v>
      </c>
    </row>
    <row r="167" spans="1:38" s="664" customFormat="1" ht="12.75" outlineLevel="2">
      <c r="A167" s="1132">
        <f>ROW(Diesel!$A119)</f>
        <v>119</v>
      </c>
      <c r="B167" s="1126">
        <f>COLUMN(Diesel!$D$1)+chosenYear-1</f>
        <v>4</v>
      </c>
      <c r="D167" s="798" t="s">
        <v>45</v>
      </c>
      <c r="E167" s="799" t="s">
        <v>347</v>
      </c>
      <c r="F167" s="865">
        <f t="shared" ca="1" si="47"/>
        <v>0</v>
      </c>
      <c r="G167" s="865">
        <f t="shared" ca="1" si="48"/>
        <v>0</v>
      </c>
      <c r="H167" s="865">
        <f t="shared" ca="1" si="48"/>
        <v>0</v>
      </c>
      <c r="I167" s="865">
        <f t="shared" ca="1" si="48"/>
        <v>0</v>
      </c>
      <c r="J167" s="865">
        <f t="shared" ca="1" si="48"/>
        <v>0</v>
      </c>
      <c r="K167" s="865">
        <f t="shared" ca="1" si="48"/>
        <v>0</v>
      </c>
      <c r="L167" s="865">
        <f t="shared" ca="1" si="48"/>
        <v>0</v>
      </c>
      <c r="M167" s="865">
        <f t="shared" ca="1" si="48"/>
        <v>0</v>
      </c>
      <c r="N167" s="865">
        <f t="shared" ca="1" si="48"/>
        <v>0</v>
      </c>
      <c r="O167" s="865">
        <f t="shared" ca="1" si="48"/>
        <v>0</v>
      </c>
      <c r="P167" s="865">
        <f t="shared" ca="1" si="48"/>
        <v>0</v>
      </c>
      <c r="Q167" s="865">
        <f t="shared" ca="1" si="48"/>
        <v>0</v>
      </c>
      <c r="R167" s="865">
        <f t="shared" ca="1" si="48"/>
        <v>0</v>
      </c>
      <c r="S167" s="865">
        <f t="shared" ca="1" si="48"/>
        <v>0</v>
      </c>
      <c r="T167" s="865">
        <f t="shared" ca="1" si="48"/>
        <v>0</v>
      </c>
      <c r="U167" s="865">
        <f t="shared" ca="1" si="48"/>
        <v>0</v>
      </c>
      <c r="V167" s="865">
        <f t="shared" ca="1" si="48"/>
        <v>0</v>
      </c>
      <c r="W167" s="865">
        <f t="shared" ca="1" si="48"/>
        <v>0</v>
      </c>
      <c r="X167" s="865">
        <f t="shared" ca="1" si="48"/>
        <v>0</v>
      </c>
      <c r="Y167" s="865">
        <f t="shared" ca="1" si="48"/>
        <v>0</v>
      </c>
      <c r="Z167" s="865">
        <f t="shared" ca="1" si="48"/>
        <v>0</v>
      </c>
      <c r="AA167" s="865">
        <f t="shared" ca="1" si="48"/>
        <v>0</v>
      </c>
      <c r="AB167" s="865">
        <f t="shared" ca="1" si="48"/>
        <v>0</v>
      </c>
      <c r="AC167" s="865">
        <f t="shared" ca="1" si="48"/>
        <v>0</v>
      </c>
      <c r="AD167" s="865">
        <f t="shared" ca="1" si="48"/>
        <v>0</v>
      </c>
      <c r="AE167" s="865">
        <f t="shared" ca="1" si="48"/>
        <v>0</v>
      </c>
      <c r="AF167" s="865">
        <f t="shared" ca="1" si="48"/>
        <v>0</v>
      </c>
      <c r="AG167" s="865">
        <f t="shared" ca="1" si="48"/>
        <v>0</v>
      </c>
      <c r="AH167" s="865">
        <f t="shared" ca="1" si="48"/>
        <v>0</v>
      </c>
      <c r="AI167" s="865">
        <f t="shared" ca="1" si="48"/>
        <v>0</v>
      </c>
      <c r="AJ167" s="865">
        <f t="shared" ca="1" si="48"/>
        <v>0</v>
      </c>
      <c r="AK167" s="865">
        <f t="shared" ca="1" si="48"/>
        <v>0</v>
      </c>
      <c r="AL167" s="865">
        <f t="shared" ca="1" si="48"/>
        <v>0</v>
      </c>
    </row>
    <row r="168" spans="1:38" s="664" customFormat="1" ht="12.75" outlineLevel="2">
      <c r="A168" s="1125"/>
      <c r="B168" s="1125"/>
      <c r="D168" s="494" t="s">
        <v>895</v>
      </c>
      <c r="E168" s="667"/>
      <c r="F168" s="800"/>
      <c r="G168" s="800"/>
      <c r="H168" s="800"/>
      <c r="I168" s="800"/>
      <c r="J168" s="800"/>
      <c r="K168" s="800"/>
      <c r="L168" s="800"/>
      <c r="M168" s="800"/>
      <c r="N168" s="800"/>
      <c r="O168" s="800"/>
      <c r="P168" s="800"/>
      <c r="Q168" s="800"/>
      <c r="R168" s="800"/>
      <c r="S168" s="800"/>
      <c r="T168" s="800"/>
      <c r="U168" s="800"/>
      <c r="V168" s="800"/>
      <c r="W168" s="800"/>
      <c r="X168" s="800"/>
      <c r="Y168" s="800"/>
      <c r="Z168" s="800"/>
      <c r="AA168" s="800"/>
      <c r="AB168" s="800"/>
      <c r="AC168" s="800"/>
      <c r="AD168" s="800"/>
      <c r="AE168" s="800"/>
      <c r="AF168" s="800"/>
      <c r="AG168" s="800"/>
      <c r="AH168" s="800"/>
      <c r="AI168" s="800"/>
      <c r="AJ168" s="800"/>
      <c r="AK168" s="800"/>
      <c r="AL168" s="800"/>
    </row>
    <row r="169" spans="1:38" s="664" customFormat="1" outlineLevel="2">
      <c r="A169" s="1125"/>
      <c r="B169" s="1125"/>
      <c r="D169" s="667"/>
      <c r="E169" s="667"/>
      <c r="F169" s="800"/>
      <c r="G169" s="800"/>
      <c r="H169" s="800"/>
      <c r="I169" s="800"/>
      <c r="J169" s="800"/>
      <c r="K169" s="800"/>
      <c r="L169" s="800"/>
      <c r="M169" s="800"/>
      <c r="N169" s="800"/>
      <c r="O169" s="800"/>
      <c r="P169" s="800"/>
      <c r="Q169" s="800"/>
      <c r="R169" s="800"/>
      <c r="S169" s="800"/>
      <c r="T169" s="800"/>
      <c r="U169" s="800"/>
      <c r="V169" s="800"/>
      <c r="W169" s="800"/>
      <c r="X169" s="800"/>
      <c r="Y169" s="800"/>
      <c r="Z169" s="800"/>
      <c r="AA169" s="800"/>
      <c r="AB169" s="800"/>
      <c r="AC169" s="800"/>
      <c r="AD169" s="800"/>
      <c r="AE169" s="800"/>
      <c r="AF169" s="800"/>
      <c r="AG169" s="800"/>
      <c r="AH169" s="800"/>
      <c r="AI169" s="800"/>
      <c r="AJ169" s="800"/>
      <c r="AK169" s="800"/>
      <c r="AL169" s="800"/>
    </row>
    <row r="170" spans="1:38" s="664" customFormat="1" ht="12.75" outlineLevel="2">
      <c r="A170" s="1125"/>
      <c r="B170" s="1125"/>
      <c r="D170" s="783" t="s">
        <v>746</v>
      </c>
      <c r="E170" s="488"/>
      <c r="F170" s="784"/>
      <c r="G170" s="784"/>
      <c r="H170" s="784"/>
      <c r="I170" s="784"/>
      <c r="J170" s="784"/>
      <c r="K170" s="784"/>
      <c r="L170" s="784"/>
      <c r="M170" s="784"/>
      <c r="N170" s="784"/>
      <c r="O170" s="784"/>
      <c r="P170" s="784"/>
      <c r="Q170" s="784"/>
      <c r="R170" s="784"/>
      <c r="S170" s="784">
        <v>10.396734284077894</v>
      </c>
      <c r="T170" s="784">
        <v>10.396734284077894</v>
      </c>
      <c r="U170" s="784">
        <v>10.396734284077894</v>
      </c>
      <c r="V170" s="784">
        <v>10.396734284077894</v>
      </c>
      <c r="W170" s="784"/>
      <c r="X170" s="784"/>
      <c r="Y170" s="784"/>
      <c r="Z170" s="784"/>
      <c r="AA170" s="784"/>
      <c r="AB170" s="784"/>
      <c r="AC170" s="784"/>
      <c r="AD170" s="784"/>
      <c r="AE170" s="784"/>
      <c r="AF170" s="784"/>
      <c r="AG170" s="784"/>
      <c r="AH170" s="784"/>
      <c r="AI170" s="784"/>
      <c r="AJ170" s="784"/>
      <c r="AK170" s="784"/>
      <c r="AL170" s="784"/>
    </row>
    <row r="171" spans="1:38" s="664" customFormat="1" ht="12.75" outlineLevel="2">
      <c r="A171" s="1125"/>
      <c r="B171" s="1125"/>
      <c r="D171" s="495" t="s">
        <v>24</v>
      </c>
      <c r="E171" s="491" t="s">
        <v>347</v>
      </c>
      <c r="F171" s="786">
        <f t="shared" ref="F171:L171" ca="1" si="49">(F91+F123-F154+F162)*F$87</f>
        <v>4.0824302055264221</v>
      </c>
      <c r="G171" s="786">
        <f t="shared" ca="1" si="49"/>
        <v>3.0336751054752789</v>
      </c>
      <c r="H171" s="786">
        <f t="shared" ca="1" si="49"/>
        <v>8.7415714949118192E-2</v>
      </c>
      <c r="I171" s="786">
        <f t="shared" ca="1" si="49"/>
        <v>1.1061897671464669</v>
      </c>
      <c r="J171" s="786">
        <f t="shared" ca="1" si="49"/>
        <v>5.56</v>
      </c>
      <c r="K171" s="786">
        <f t="shared" ca="1" si="49"/>
        <v>5.56</v>
      </c>
      <c r="L171" s="786">
        <f t="shared" ca="1" si="49"/>
        <v>213.13468211457777</v>
      </c>
      <c r="M171" s="786">
        <f t="shared" ref="M171:V171" ca="1" si="50">(M91+M123-M154+M162)*M$87</f>
        <v>-1.5238462621419391</v>
      </c>
      <c r="N171" s="786">
        <f t="shared" ca="1" si="50"/>
        <v>-15.390063214572242</v>
      </c>
      <c r="O171" s="786">
        <f t="shared" ca="1" si="50"/>
        <v>0.26136510967038823</v>
      </c>
      <c r="P171" s="786">
        <f t="shared" ca="1" si="50"/>
        <v>-11.645353103202025</v>
      </c>
      <c r="Q171" s="786">
        <f t="shared" ca="1" si="50"/>
        <v>-15.36364226800023</v>
      </c>
      <c r="R171" s="786">
        <f t="shared" ca="1" si="50"/>
        <v>-61.436465743201012</v>
      </c>
      <c r="S171" s="786">
        <f ca="1">(S91+S123-S154+S162)*S$87</f>
        <v>0.26136510967038823</v>
      </c>
      <c r="T171" s="786">
        <f t="shared" ca="1" si="50"/>
        <v>0.26136510967038823</v>
      </c>
      <c r="U171" s="786">
        <f t="shared" ca="1" si="50"/>
        <v>0.26136510967038823</v>
      </c>
      <c r="V171" s="786">
        <f t="shared" ca="1" si="50"/>
        <v>0.26136510967038823</v>
      </c>
      <c r="W171" s="786">
        <f t="shared" ref="W171:AL171" ca="1" si="51">(W91+W123-W154+W162)*W$87</f>
        <v>-21.367914399152824</v>
      </c>
      <c r="X171" s="786">
        <f t="shared" ca="1" si="51"/>
        <v>225.14817161960897</v>
      </c>
      <c r="Y171" s="786">
        <f t="shared" ca="1" si="51"/>
        <v>261.2240093403658</v>
      </c>
      <c r="Z171" s="786" t="e">
        <f t="shared" ca="1" si="51"/>
        <v>#N/A</v>
      </c>
      <c r="AA171" s="786" t="e">
        <f t="shared" ca="1" si="51"/>
        <v>#N/A</v>
      </c>
      <c r="AB171" s="786" t="e">
        <f t="shared" ca="1" si="51"/>
        <v>#N/A</v>
      </c>
      <c r="AC171" s="786">
        <f t="shared" ca="1" si="51"/>
        <v>15.32</v>
      </c>
      <c r="AD171" s="786">
        <f t="shared" ca="1" si="51"/>
        <v>-11.241974602766481</v>
      </c>
      <c r="AE171" s="786">
        <f t="shared" ca="1" si="51"/>
        <v>1.6269396863923049</v>
      </c>
      <c r="AF171" s="786" t="e">
        <f t="shared" ca="1" si="51"/>
        <v>#N/A</v>
      </c>
      <c r="AG171" s="786" t="e">
        <f t="shared" ca="1" si="51"/>
        <v>#N/A</v>
      </c>
      <c r="AH171" s="786" t="e">
        <f t="shared" ca="1" si="51"/>
        <v>#N/A</v>
      </c>
      <c r="AI171" s="786" t="e">
        <f t="shared" ca="1" si="51"/>
        <v>#N/A</v>
      </c>
      <c r="AJ171" s="786" t="e">
        <f t="shared" ca="1" si="51"/>
        <v>#N/A</v>
      </c>
      <c r="AK171" s="786" t="e">
        <f t="shared" ca="1" si="51"/>
        <v>#N/A</v>
      </c>
      <c r="AL171" s="786">
        <f t="shared" ca="1" si="51"/>
        <v>-11.241974602766481</v>
      </c>
    </row>
    <row r="172" spans="1:38" s="664" customFormat="1" ht="12.75" outlineLevel="2">
      <c r="A172" s="1125"/>
      <c r="B172" s="1125"/>
      <c r="D172" s="714" t="s">
        <v>27</v>
      </c>
      <c r="E172" s="715" t="s">
        <v>347</v>
      </c>
      <c r="F172" s="788">
        <f t="shared" ref="F172:AL172" ca="1" si="52">(F92+F124-F155+F163)*F$87</f>
        <v>2.5327199627976972E-6</v>
      </c>
      <c r="G172" s="788">
        <f t="shared" ca="1" si="52"/>
        <v>1.8820773689844088E-6</v>
      </c>
      <c r="H172" s="788">
        <f t="shared" ca="1" si="52"/>
        <v>5.4232286938832218E-8</v>
      </c>
      <c r="I172" s="788">
        <f t="shared" ca="1" si="52"/>
        <v>6.8627478360848613E-7</v>
      </c>
      <c r="J172" s="788">
        <f t="shared" ca="1" si="52"/>
        <v>0</v>
      </c>
      <c r="K172" s="788">
        <f ca="1">(K92+K124-K155+K163)*K$87</f>
        <v>0</v>
      </c>
      <c r="L172" s="788">
        <f t="shared" ca="1" si="52"/>
        <v>1.5184518531318322E-3</v>
      </c>
      <c r="M172" s="788">
        <f t="shared" ca="1" si="52"/>
        <v>-2.1684019137605832E-3</v>
      </c>
      <c r="N172" s="788">
        <f t="shared" ca="1" si="52"/>
        <v>-2.8547554264904819E-3</v>
      </c>
      <c r="O172" s="788">
        <f t="shared" ca="1" si="52"/>
        <v>0</v>
      </c>
      <c r="P172" s="788">
        <f t="shared" ca="1" si="52"/>
        <v>-1.7223526797055788E-3</v>
      </c>
      <c r="Q172" s="788">
        <f t="shared" ca="1" si="52"/>
        <v>-2.8365722709077397E-3</v>
      </c>
      <c r="R172" s="788">
        <f t="shared" ca="1" si="52"/>
        <v>0.11906206140372248</v>
      </c>
      <c r="S172" s="788">
        <f t="shared" ca="1" si="52"/>
        <v>0</v>
      </c>
      <c r="T172" s="788">
        <f t="shared" ca="1" si="52"/>
        <v>0</v>
      </c>
      <c r="U172" s="788">
        <f t="shared" ca="1" si="52"/>
        <v>0</v>
      </c>
      <c r="V172" s="788">
        <f t="shared" ca="1" si="52"/>
        <v>0</v>
      </c>
      <c r="W172" s="788">
        <f t="shared" ca="1" si="52"/>
        <v>-1.7326814840706601E-3</v>
      </c>
      <c r="X172" s="788">
        <f t="shared" ca="1" si="52"/>
        <v>2.6191620907156876E-4</v>
      </c>
      <c r="Y172" s="788">
        <f t="shared" ca="1" si="52"/>
        <v>-3.6615326326491191E-4</v>
      </c>
      <c r="Z172" s="788">
        <f t="shared" ca="1" si="52"/>
        <v>0</v>
      </c>
      <c r="AA172" s="788">
        <f t="shared" ca="1" si="52"/>
        <v>0</v>
      </c>
      <c r="AB172" s="788">
        <f t="shared" ca="1" si="52"/>
        <v>0</v>
      </c>
      <c r="AC172" s="788">
        <f t="shared" ca="1" si="52"/>
        <v>0</v>
      </c>
      <c r="AD172" s="788">
        <f t="shared" ca="1" si="52"/>
        <v>0</v>
      </c>
      <c r="AE172" s="788">
        <f t="shared" ca="1" si="52"/>
        <v>0</v>
      </c>
      <c r="AF172" s="788">
        <f t="shared" ca="1" si="52"/>
        <v>0</v>
      </c>
      <c r="AG172" s="788">
        <f t="shared" ca="1" si="52"/>
        <v>0</v>
      </c>
      <c r="AH172" s="788">
        <f t="shared" ca="1" si="52"/>
        <v>0</v>
      </c>
      <c r="AI172" s="788">
        <f t="shared" ca="1" si="52"/>
        <v>0</v>
      </c>
      <c r="AJ172" s="788">
        <f t="shared" ca="1" si="52"/>
        <v>0</v>
      </c>
      <c r="AK172" s="788">
        <f t="shared" ca="1" si="52"/>
        <v>0</v>
      </c>
      <c r="AL172" s="788">
        <f t="shared" ca="1" si="52"/>
        <v>0</v>
      </c>
    </row>
    <row r="173" spans="1:38" s="664" customFormat="1" ht="12.75" outlineLevel="2">
      <c r="A173" s="1125"/>
      <c r="B173" s="1125"/>
      <c r="D173" s="714" t="s">
        <v>28</v>
      </c>
      <c r="E173" s="715" t="s">
        <v>347</v>
      </c>
      <c r="F173" s="788">
        <f t="shared" ref="F173:AL173" ca="1" si="53">(F93+F125-F156+F164)*F$87</f>
        <v>2.5327199627976972E-6</v>
      </c>
      <c r="G173" s="788">
        <f t="shared" ca="1" si="53"/>
        <v>1.8820773689844088E-6</v>
      </c>
      <c r="H173" s="788">
        <f t="shared" ca="1" si="53"/>
        <v>5.4232286938832218E-8</v>
      </c>
      <c r="I173" s="788">
        <f t="shared" ca="1" si="53"/>
        <v>6.8627478360848613E-7</v>
      </c>
      <c r="J173" s="788">
        <f t="shared" ca="1" si="53"/>
        <v>0</v>
      </c>
      <c r="K173" s="788">
        <f ca="1">(K93+K125-K156+K164)*K$87</f>
        <v>0</v>
      </c>
      <c r="L173" s="788">
        <f t="shared" ca="1" si="53"/>
        <v>7.9977471895420455E-5</v>
      </c>
      <c r="M173" s="788">
        <f t="shared" ca="1" si="53"/>
        <v>-1.1179757696491481E-4</v>
      </c>
      <c r="N173" s="788">
        <f t="shared" ca="1" si="53"/>
        <v>-1.4718431001362614E-4</v>
      </c>
      <c r="O173" s="788">
        <f t="shared" ca="1" si="53"/>
        <v>0</v>
      </c>
      <c r="P173" s="788">
        <f t="shared" ca="1" si="53"/>
        <v>-9.2214746082655368E-5</v>
      </c>
      <c r="Q173" s="788">
        <f t="shared" ca="1" si="53"/>
        <v>-1.4624683033201066E-4</v>
      </c>
      <c r="R173" s="788">
        <f t="shared" ca="1" si="53"/>
        <v>4.9945763627353473E-5</v>
      </c>
      <c r="S173" s="788">
        <f t="shared" ca="1" si="53"/>
        <v>0</v>
      </c>
      <c r="T173" s="788">
        <f t="shared" ca="1" si="53"/>
        <v>0</v>
      </c>
      <c r="U173" s="788">
        <f t="shared" ca="1" si="53"/>
        <v>0</v>
      </c>
      <c r="V173" s="788">
        <f t="shared" ca="1" si="53"/>
        <v>0</v>
      </c>
      <c r="W173" s="788">
        <f t="shared" ca="1" si="53"/>
        <v>-9.0236160153852712E-5</v>
      </c>
      <c r="X173" s="788">
        <f t="shared" ca="1" si="53"/>
        <v>1.4666375363662407E-5</v>
      </c>
      <c r="Y173" s="788">
        <f t="shared" ca="1" si="53"/>
        <v>-1.7982228683280871E-5</v>
      </c>
      <c r="Z173" s="788">
        <f t="shared" ca="1" si="53"/>
        <v>0</v>
      </c>
      <c r="AA173" s="788">
        <f t="shared" ca="1" si="53"/>
        <v>0</v>
      </c>
      <c r="AB173" s="788">
        <f t="shared" ca="1" si="53"/>
        <v>0</v>
      </c>
      <c r="AC173" s="788">
        <f t="shared" ca="1" si="53"/>
        <v>0</v>
      </c>
      <c r="AD173" s="788">
        <f t="shared" ca="1" si="53"/>
        <v>0</v>
      </c>
      <c r="AE173" s="788">
        <f t="shared" ca="1" si="53"/>
        <v>0</v>
      </c>
      <c r="AF173" s="788">
        <f t="shared" ca="1" si="53"/>
        <v>0</v>
      </c>
      <c r="AG173" s="788">
        <f t="shared" ca="1" si="53"/>
        <v>0</v>
      </c>
      <c r="AH173" s="788">
        <f t="shared" ca="1" si="53"/>
        <v>0</v>
      </c>
      <c r="AI173" s="788">
        <f t="shared" ca="1" si="53"/>
        <v>0</v>
      </c>
      <c r="AJ173" s="788">
        <f t="shared" ca="1" si="53"/>
        <v>0</v>
      </c>
      <c r="AK173" s="788">
        <f t="shared" ca="1" si="53"/>
        <v>0</v>
      </c>
      <c r="AL173" s="788">
        <f t="shared" ca="1" si="53"/>
        <v>0</v>
      </c>
    </row>
    <row r="174" spans="1:38" s="664" customFormat="1" ht="12.75" outlineLevel="2">
      <c r="A174" s="1125"/>
      <c r="B174" s="1125"/>
      <c r="D174" s="714" t="s">
        <v>26</v>
      </c>
      <c r="E174" s="715" t="s">
        <v>347</v>
      </c>
      <c r="F174" s="788">
        <f t="shared" ref="F174:AL174" ca="1" si="54">(F94+F126-F157+F165)*F$87</f>
        <v>2.4507104837930991E-5</v>
      </c>
      <c r="G174" s="788">
        <f t="shared" ca="1" si="54"/>
        <v>1.8211356988653562E-5</v>
      </c>
      <c r="H174" s="788">
        <f t="shared" ca="1" si="54"/>
        <v>5.2476245346232053E-7</v>
      </c>
      <c r="I174" s="788">
        <f t="shared" ca="1" si="54"/>
        <v>6.6405320432438867E-6</v>
      </c>
      <c r="J174" s="788">
        <f t="shared" ca="1" si="54"/>
        <v>1.3890015205271157E-5</v>
      </c>
      <c r="K174" s="788">
        <f ca="1">(K94+K126-K157+K165)*K$87</f>
        <v>1.3890015205271157E-5</v>
      </c>
      <c r="L174" s="788">
        <f t="shared" ca="1" si="54"/>
        <v>3.6486547534815309E-3</v>
      </c>
      <c r="M174" s="788">
        <f t="shared" ca="1" si="54"/>
        <v>-5.1133589290488441E-3</v>
      </c>
      <c r="N174" s="788">
        <f t="shared" ca="1" si="54"/>
        <v>-6.7389131981244943E-3</v>
      </c>
      <c r="O174" s="788">
        <f t="shared" ca="1" si="54"/>
        <v>2.6861111111111108E-5</v>
      </c>
      <c r="P174" s="788">
        <f t="shared" ca="1" si="54"/>
        <v>-4.059701012250486E-3</v>
      </c>
      <c r="Q174" s="788">
        <f t="shared" ca="1" si="54"/>
        <v>-6.6958680810720803E-3</v>
      </c>
      <c r="R174" s="788">
        <f t="shared" ca="1" si="54"/>
        <v>1.9595347263882076E-3</v>
      </c>
      <c r="S174" s="788">
        <f t="shared" ca="1" si="54"/>
        <v>2.6861111111111108E-5</v>
      </c>
      <c r="T174" s="788">
        <f t="shared" ca="1" si="54"/>
        <v>2.6861111111111108E-5</v>
      </c>
      <c r="U174" s="788">
        <f t="shared" ca="1" si="54"/>
        <v>2.6861111111111108E-5</v>
      </c>
      <c r="V174" s="788">
        <f t="shared" ca="1" si="54"/>
        <v>2.6861111111111108E-5</v>
      </c>
      <c r="W174" s="788">
        <f t="shared" ca="1" si="54"/>
        <v>-4.0824773370548772E-3</v>
      </c>
      <c r="X174" s="788">
        <f t="shared" ca="1" si="54"/>
        <v>6.9752652882791621E-4</v>
      </c>
      <c r="Y174" s="788">
        <f t="shared" ca="1" si="54"/>
        <v>-8.1888125681178791E-4</v>
      </c>
      <c r="Z174" s="788" t="e">
        <f t="shared" ca="1" si="54"/>
        <v>#N/A</v>
      </c>
      <c r="AA174" s="788" t="e">
        <f t="shared" ca="1" si="54"/>
        <v>#N/A</v>
      </c>
      <c r="AB174" s="788" t="e">
        <f t="shared" ca="1" si="54"/>
        <v>#N/A</v>
      </c>
      <c r="AC174" s="788">
        <f t="shared" ca="1" si="54"/>
        <v>4.4528301886792451E-5</v>
      </c>
      <c r="AD174" s="788">
        <f t="shared" ca="1" si="54"/>
        <v>1.9170179104477608E-5</v>
      </c>
      <c r="AE174" s="788">
        <f t="shared" ca="1" si="54"/>
        <v>1.9914763175013182E-5</v>
      </c>
      <c r="AF174" s="788" t="e">
        <f t="shared" ca="1" si="54"/>
        <v>#N/A</v>
      </c>
      <c r="AG174" s="788" t="e">
        <f t="shared" ca="1" si="54"/>
        <v>#N/A</v>
      </c>
      <c r="AH174" s="788" t="e">
        <f t="shared" ca="1" si="54"/>
        <v>#N/A</v>
      </c>
      <c r="AI174" s="788" t="e">
        <f t="shared" ca="1" si="54"/>
        <v>#N/A</v>
      </c>
      <c r="AJ174" s="788" t="e">
        <f t="shared" ca="1" si="54"/>
        <v>#N/A</v>
      </c>
      <c r="AK174" s="788" t="e">
        <f t="shared" ca="1" si="54"/>
        <v>#N/A</v>
      </c>
      <c r="AL174" s="788">
        <f t="shared" ca="1" si="54"/>
        <v>1.9170179104477608E-5</v>
      </c>
    </row>
    <row r="175" spans="1:38" s="664" customFormat="1" ht="12.75" outlineLevel="2">
      <c r="A175" s="1125"/>
      <c r="B175" s="1125"/>
      <c r="D175" s="714" t="s">
        <v>25</v>
      </c>
      <c r="E175" s="715" t="s">
        <v>347</v>
      </c>
      <c r="F175" s="788">
        <f t="shared" ref="F175:AL175" ca="1" si="55">(F95+F127-F158+F166)*F$87</f>
        <v>2.4698507163394248E-2</v>
      </c>
      <c r="G175" s="788">
        <f t="shared" ca="1" si="55"/>
        <v>1.835358905158067E-2</v>
      </c>
      <c r="H175" s="788">
        <f t="shared" ca="1" si="55"/>
        <v>5.2886088755205575E-4</v>
      </c>
      <c r="I175" s="788">
        <f t="shared" ca="1" si="55"/>
        <v>6.6923950961746814E-3</v>
      </c>
      <c r="J175" s="788">
        <f t="shared" ca="1" si="55"/>
        <v>2.5465027876330456E-3</v>
      </c>
      <c r="K175" s="788">
        <f ca="1">(K95+K127-K158+K166)*K$87</f>
        <v>2.5465027876330456E-3</v>
      </c>
      <c r="L175" s="788">
        <f t="shared" ca="1" si="55"/>
        <v>7.9610506901739694E-2</v>
      </c>
      <c r="M175" s="788">
        <f t="shared" ca="1" si="55"/>
        <v>2.0877307546275627E-2</v>
      </c>
      <c r="N175" s="788">
        <f t="shared" ca="1" si="55"/>
        <v>1.7650572010567588E-2</v>
      </c>
      <c r="O175" s="788">
        <f t="shared" ca="1" si="55"/>
        <v>3.7481994444444444E-2</v>
      </c>
      <c r="P175" s="788">
        <f t="shared" ca="1" si="55"/>
        <v>2.0330558650404972E-2</v>
      </c>
      <c r="Q175" s="788">
        <f t="shared" ca="1" si="55"/>
        <v>1.7708530583254344E-2</v>
      </c>
      <c r="R175" s="788">
        <f t="shared" ca="1" si="55"/>
        <v>3.7240453990926702E-2</v>
      </c>
      <c r="S175" s="788">
        <f t="shared" ca="1" si="55"/>
        <v>3.7481994444444444E-2</v>
      </c>
      <c r="T175" s="788">
        <f t="shared" ca="1" si="55"/>
        <v>3.7481994444444444E-2</v>
      </c>
      <c r="U175" s="788">
        <f t="shared" ca="1" si="55"/>
        <v>3.7481994444444444E-2</v>
      </c>
      <c r="V175" s="788">
        <f t="shared" ca="1" si="55"/>
        <v>3.7481994444444444E-2</v>
      </c>
      <c r="W175" s="788">
        <f t="shared" ca="1" si="55"/>
        <v>2.1745386945198675E-2</v>
      </c>
      <c r="X175" s="788">
        <f t="shared" ca="1" si="55"/>
        <v>0.10855299341964283</v>
      </c>
      <c r="Y175" s="788">
        <f t="shared" ca="1" si="55"/>
        <v>6.5377553511619863E-2</v>
      </c>
      <c r="Z175" s="788" t="e">
        <f t="shared" ca="1" si="55"/>
        <v>#N/A</v>
      </c>
      <c r="AA175" s="788" t="e">
        <f t="shared" ca="1" si="55"/>
        <v>#N/A</v>
      </c>
      <c r="AB175" s="788" t="e">
        <f t="shared" ca="1" si="55"/>
        <v>#N/A</v>
      </c>
      <c r="AC175" s="788">
        <f t="shared" ca="1" si="55"/>
        <v>6.2134792452830191E-2</v>
      </c>
      <c r="AD175" s="788">
        <f t="shared" ca="1" si="55"/>
        <v>2.6750067922388057E-2</v>
      </c>
      <c r="AE175" s="788">
        <f t="shared" ca="1" si="55"/>
        <v>2.77890605344134E-2</v>
      </c>
      <c r="AF175" s="788" t="e">
        <f t="shared" ca="1" si="55"/>
        <v>#N/A</v>
      </c>
      <c r="AG175" s="788" t="e">
        <f t="shared" ca="1" si="55"/>
        <v>#N/A</v>
      </c>
      <c r="AH175" s="788" t="e">
        <f t="shared" ca="1" si="55"/>
        <v>#N/A</v>
      </c>
      <c r="AI175" s="788" t="e">
        <f t="shared" ca="1" si="55"/>
        <v>#N/A</v>
      </c>
      <c r="AJ175" s="788" t="e">
        <f t="shared" ca="1" si="55"/>
        <v>#N/A</v>
      </c>
      <c r="AK175" s="788" t="e">
        <f t="shared" ca="1" si="55"/>
        <v>#N/A</v>
      </c>
      <c r="AL175" s="788">
        <f t="shared" ca="1" si="55"/>
        <v>2.6750067922388057E-2</v>
      </c>
    </row>
    <row r="176" spans="1:38" s="664" customFormat="1" ht="12.75" outlineLevel="2">
      <c r="A176" s="1125"/>
      <c r="B176" s="1125"/>
      <c r="D176" s="492" t="s">
        <v>45</v>
      </c>
      <c r="E176" s="493" t="s">
        <v>347</v>
      </c>
      <c r="F176" s="791">
        <f t="shared" ref="F176:AL176" ca="1" si="56">(F96+F128-F159+F167)*F$87</f>
        <v>2.5327199627976972E-6</v>
      </c>
      <c r="G176" s="791">
        <f t="shared" ca="1" si="56"/>
        <v>1.8820773689844088E-6</v>
      </c>
      <c r="H176" s="791">
        <f t="shared" ca="1" si="56"/>
        <v>5.4232286938832218E-8</v>
      </c>
      <c r="I176" s="791">
        <f t="shared" ca="1" si="56"/>
        <v>6.8627478360848613E-7</v>
      </c>
      <c r="J176" s="791">
        <f t="shared" ca="1" si="56"/>
        <v>0</v>
      </c>
      <c r="K176" s="791">
        <f ca="1">(K96+K128-K159+K167)*K$87</f>
        <v>0</v>
      </c>
      <c r="L176" s="791">
        <f t="shared" ca="1" si="56"/>
        <v>3.7712988505747135E-4</v>
      </c>
      <c r="M176" s="791">
        <f t="shared" ca="1" si="56"/>
        <v>-5.366399999999999E-4</v>
      </c>
      <c r="N176" s="791">
        <f t="shared" ca="1" si="56"/>
        <v>-7.0649999999999999E-4</v>
      </c>
      <c r="O176" s="791">
        <f t="shared" ca="1" si="56"/>
        <v>0</v>
      </c>
      <c r="P176" s="791">
        <f t="shared" ca="1" si="56"/>
        <v>-4.2895999999999999E-4</v>
      </c>
      <c r="Q176" s="791">
        <f t="shared" ca="1" si="56"/>
        <v>-7.0199999999999993E-4</v>
      </c>
      <c r="R176" s="791">
        <f t="shared" ca="1" si="56"/>
        <v>2.0828000000000003E-4</v>
      </c>
      <c r="S176" s="791">
        <f t="shared" ca="1" si="56"/>
        <v>0</v>
      </c>
      <c r="T176" s="791">
        <f t="shared" ca="1" si="56"/>
        <v>0</v>
      </c>
      <c r="U176" s="791">
        <f t="shared" ca="1" si="56"/>
        <v>0</v>
      </c>
      <c r="V176" s="791">
        <f t="shared" ca="1" si="56"/>
        <v>0</v>
      </c>
      <c r="W176" s="791">
        <f t="shared" ca="1" si="56"/>
        <v>-4.2952380952380971E-4</v>
      </c>
      <c r="X176" s="791">
        <f t="shared" ca="1" si="56"/>
        <v>6.574193548387097E-5</v>
      </c>
      <c r="Y176" s="791">
        <f t="shared" ca="1" si="56"/>
        <v>-8.9905555555555553E-5</v>
      </c>
      <c r="Z176" s="791">
        <f t="shared" ca="1" si="56"/>
        <v>0</v>
      </c>
      <c r="AA176" s="791">
        <f t="shared" ca="1" si="56"/>
        <v>0</v>
      </c>
      <c r="AB176" s="791">
        <f t="shared" ca="1" si="56"/>
        <v>0</v>
      </c>
      <c r="AC176" s="791">
        <f t="shared" ca="1" si="56"/>
        <v>0</v>
      </c>
      <c r="AD176" s="791">
        <f t="shared" ca="1" si="56"/>
        <v>0</v>
      </c>
      <c r="AE176" s="791">
        <f t="shared" ca="1" si="56"/>
        <v>0</v>
      </c>
      <c r="AF176" s="791">
        <f t="shared" ca="1" si="56"/>
        <v>0</v>
      </c>
      <c r="AG176" s="791">
        <f t="shared" ca="1" si="56"/>
        <v>0</v>
      </c>
      <c r="AH176" s="791">
        <f t="shared" ca="1" si="56"/>
        <v>0</v>
      </c>
      <c r="AI176" s="791">
        <f t="shared" ca="1" si="56"/>
        <v>0</v>
      </c>
      <c r="AJ176" s="791">
        <f t="shared" ca="1" si="56"/>
        <v>0</v>
      </c>
      <c r="AK176" s="791">
        <f t="shared" ca="1" si="56"/>
        <v>0</v>
      </c>
      <c r="AL176" s="791">
        <f t="shared" ca="1" si="56"/>
        <v>0</v>
      </c>
    </row>
    <row r="177" spans="1:38" s="664" customFormat="1" outlineLevel="2">
      <c r="A177" s="1125"/>
      <c r="B177" s="1125"/>
      <c r="E177" s="667"/>
      <c r="F177" s="801"/>
      <c r="G177" s="801"/>
      <c r="H177" s="801"/>
      <c r="I177" s="801"/>
      <c r="J177" s="801"/>
      <c r="K177" s="801"/>
      <c r="L177" s="801"/>
      <c r="M177" s="801"/>
      <c r="N177" s="801"/>
      <c r="O177" s="801"/>
      <c r="P177" s="801"/>
      <c r="Q177" s="801"/>
      <c r="R177" s="801"/>
      <c r="S177" s="801"/>
      <c r="T177" s="801"/>
      <c r="U177" s="801"/>
      <c r="V177" s="801"/>
      <c r="W177" s="801"/>
      <c r="X177" s="801"/>
      <c r="Y177" s="801"/>
      <c r="Z177" s="801"/>
      <c r="AA177" s="801"/>
      <c r="AB177" s="801"/>
      <c r="AC177" s="801"/>
      <c r="AD177" s="801"/>
      <c r="AE177" s="801"/>
      <c r="AF177" s="801"/>
      <c r="AG177" s="801"/>
      <c r="AH177" s="801"/>
      <c r="AI177" s="801"/>
      <c r="AJ177" s="801"/>
      <c r="AK177" s="801"/>
      <c r="AL177" s="801"/>
    </row>
    <row r="178" spans="1:38" s="664" customFormat="1" ht="12.75" outlineLevel="2">
      <c r="A178" s="1125"/>
      <c r="B178" s="1125"/>
      <c r="D178" s="783" t="s">
        <v>746</v>
      </c>
      <c r="E178" s="488"/>
      <c r="F178" s="489"/>
      <c r="G178" s="489"/>
      <c r="H178" s="489"/>
      <c r="I178" s="489"/>
      <c r="J178" s="489"/>
      <c r="K178" s="489"/>
      <c r="L178" s="489"/>
      <c r="M178" s="489"/>
      <c r="N178" s="489"/>
      <c r="O178" s="489"/>
      <c r="P178" s="489"/>
      <c r="Q178" s="489"/>
      <c r="R178" s="489"/>
      <c r="S178" s="489">
        <v>21.148533132820134</v>
      </c>
      <c r="T178" s="489">
        <v>21.148533132820134</v>
      </c>
      <c r="U178" s="489">
        <v>21.148533132820134</v>
      </c>
      <c r="V178" s="489">
        <v>21.148533132820134</v>
      </c>
      <c r="W178" s="489"/>
      <c r="X178" s="489"/>
      <c r="Y178" s="489"/>
      <c r="Z178" s="489"/>
      <c r="AA178" s="489"/>
      <c r="AB178" s="489"/>
      <c r="AC178" s="489"/>
      <c r="AD178" s="489"/>
      <c r="AE178" s="489"/>
      <c r="AF178" s="489"/>
      <c r="AG178" s="489"/>
      <c r="AH178" s="489"/>
      <c r="AI178" s="489"/>
      <c r="AJ178" s="489"/>
      <c r="AK178" s="489"/>
      <c r="AL178" s="489"/>
    </row>
    <row r="179" spans="1:38" s="664" customFormat="1" ht="12.75" outlineLevel="2">
      <c r="A179" s="1125"/>
      <c r="B179" s="1125"/>
      <c r="D179" s="495" t="s">
        <v>24</v>
      </c>
      <c r="E179" s="491" t="s">
        <v>750</v>
      </c>
      <c r="F179" s="786">
        <f ca="1">F171/F$79</f>
        <v>8.6850931039405381</v>
      </c>
      <c r="G179" s="786">
        <f t="shared" ref="G179:W179" ca="1" si="57">G171/G$79</f>
        <v>8.7753604881425851</v>
      </c>
      <c r="H179" s="786">
        <f t="shared" ca="1" si="57"/>
        <v>9.2958537421089602</v>
      </c>
      <c r="I179" s="786">
        <f t="shared" ca="1" si="57"/>
        <v>6.8710309682302153</v>
      </c>
      <c r="J179" s="786">
        <f t="shared" ca="1" si="57"/>
        <v>5.56</v>
      </c>
      <c r="K179" s="786">
        <f t="shared" ref="K179:K184" ca="1" si="58">K171/K$79</f>
        <v>5.56</v>
      </c>
      <c r="L179" s="786">
        <f t="shared" ca="1" si="57"/>
        <v>370.85434687936532</v>
      </c>
      <c r="M179" s="786">
        <f t="shared" ca="1" si="57"/>
        <v>-3.6572310291406538</v>
      </c>
      <c r="N179" s="786">
        <f t="shared" ca="1" si="57"/>
        <v>-29.241120107687262</v>
      </c>
      <c r="O179" s="786">
        <f t="shared" ca="1" si="57"/>
        <v>0.2766505611914099</v>
      </c>
      <c r="P179" s="786">
        <f t="shared" ca="1" si="57"/>
        <v>-29.113382758005059</v>
      </c>
      <c r="Q179" s="786">
        <f t="shared" ca="1" si="57"/>
        <v>-29.19092030920044</v>
      </c>
      <c r="R179" s="786">
        <f t="shared" ca="1" si="57"/>
        <v>-55.429772410951408</v>
      </c>
      <c r="S179" s="786">
        <f ca="1">S171/S$79</f>
        <v>0.2766505611914099</v>
      </c>
      <c r="T179" s="786">
        <f t="shared" ca="1" si="57"/>
        <v>0.2766505611914099</v>
      </c>
      <c r="U179" s="786">
        <f t="shared" ca="1" si="57"/>
        <v>0.2766505611914099</v>
      </c>
      <c r="V179" s="786">
        <f t="shared" ref="V179:V184" ca="1" si="59">V171/V$79</f>
        <v>0.2766505611914099</v>
      </c>
      <c r="W179" s="786">
        <f t="shared" ca="1" si="57"/>
        <v>-89.745240476441879</v>
      </c>
      <c r="X179" s="786">
        <f t="shared" ref="X179:AA184" ca="1" si="60">X171/X$79</f>
        <v>348.97966601039394</v>
      </c>
      <c r="Y179" s="786">
        <f t="shared" ca="1" si="60"/>
        <v>470.20321681265841</v>
      </c>
      <c r="Z179" s="786" t="e">
        <f t="shared" ca="1" si="60"/>
        <v>#N/A</v>
      </c>
      <c r="AA179" s="786" t="e">
        <f t="shared" ca="1" si="60"/>
        <v>#N/A</v>
      </c>
      <c r="AB179" s="786" t="e">
        <f t="shared" ref="AB179:AD184" ca="1" si="61">AB171/AB$79</f>
        <v>#N/A</v>
      </c>
      <c r="AC179" s="786">
        <f t="shared" ca="1" si="61"/>
        <v>15.32</v>
      </c>
      <c r="AD179" s="786">
        <f t="shared" ca="1" si="61"/>
        <v>-11.241974602766481</v>
      </c>
      <c r="AE179" s="786">
        <f t="shared" ref="AE179:AL184" ca="1" si="62">AE171/AE$79</f>
        <v>1.6269396863923049</v>
      </c>
      <c r="AF179" s="786" t="e">
        <f t="shared" ca="1" si="62"/>
        <v>#N/A</v>
      </c>
      <c r="AG179" s="786" t="e">
        <f t="shared" ca="1" si="62"/>
        <v>#N/A</v>
      </c>
      <c r="AH179" s="786" t="e">
        <f t="shared" ca="1" si="62"/>
        <v>#N/A</v>
      </c>
      <c r="AI179" s="786" t="e">
        <f t="shared" ca="1" si="62"/>
        <v>#N/A</v>
      </c>
      <c r="AJ179" s="786" t="e">
        <f t="shared" ca="1" si="62"/>
        <v>#N/A</v>
      </c>
      <c r="AK179" s="786" t="e">
        <f t="shared" ca="1" si="62"/>
        <v>#N/A</v>
      </c>
      <c r="AL179" s="786">
        <f t="shared" ca="1" si="62"/>
        <v>-11.241974602766481</v>
      </c>
    </row>
    <row r="180" spans="1:38" s="664" customFormat="1" ht="12.75" outlineLevel="2">
      <c r="A180" s="1125"/>
      <c r="B180" s="1125"/>
      <c r="D180" s="714" t="s">
        <v>27</v>
      </c>
      <c r="E180" s="715" t="s">
        <v>750</v>
      </c>
      <c r="F180" s="788">
        <f t="shared" ref="F180:W180" ca="1" si="63">F172/F$79</f>
        <v>5.3881897731722166E-6</v>
      </c>
      <c r="G180" s="788">
        <f t="shared" ca="1" si="63"/>
        <v>5.4441912219290288E-6</v>
      </c>
      <c r="H180" s="788">
        <f t="shared" ca="1" si="63"/>
        <v>5.7671027203393696E-6</v>
      </c>
      <c r="I180" s="788">
        <f t="shared" ca="1" si="63"/>
        <v>4.262754394350717E-6</v>
      </c>
      <c r="J180" s="788">
        <f t="shared" ca="1" si="63"/>
        <v>0</v>
      </c>
      <c r="K180" s="788">
        <f t="shared" ca="1" si="58"/>
        <v>0</v>
      </c>
      <c r="L180" s="788">
        <f t="shared" ca="1" si="63"/>
        <v>2.6421062244493883E-3</v>
      </c>
      <c r="M180" s="788">
        <f t="shared" ca="1" si="63"/>
        <v>-5.2041645930253995E-3</v>
      </c>
      <c r="N180" s="788">
        <f t="shared" ca="1" si="63"/>
        <v>-5.4240353103319162E-3</v>
      </c>
      <c r="O180" s="788">
        <f t="shared" ca="1" si="63"/>
        <v>0</v>
      </c>
      <c r="P180" s="788">
        <f t="shared" ca="1" si="63"/>
        <v>-4.3058816992639472E-3</v>
      </c>
      <c r="Q180" s="788">
        <f t="shared" ca="1" si="63"/>
        <v>-5.3894873147247056E-3</v>
      </c>
      <c r="R180" s="788">
        <f t="shared" ca="1" si="63"/>
        <v>0.10742126661342681</v>
      </c>
      <c r="S180" s="788">
        <f t="shared" ca="1" si="63"/>
        <v>0</v>
      </c>
      <c r="T180" s="788">
        <f t="shared" ca="1" si="63"/>
        <v>0</v>
      </c>
      <c r="U180" s="788">
        <f t="shared" ca="1" si="63"/>
        <v>0</v>
      </c>
      <c r="V180" s="788">
        <f t="shared" ca="1" si="59"/>
        <v>0</v>
      </c>
      <c r="W180" s="788">
        <f t="shared" ca="1" si="63"/>
        <v>-7.2772622330967733E-3</v>
      </c>
      <c r="X180" s="788">
        <f t="shared" ca="1" si="60"/>
        <v>4.0597012406093158E-4</v>
      </c>
      <c r="Y180" s="788">
        <f t="shared" ca="1" si="60"/>
        <v>-6.590758738768414E-4</v>
      </c>
      <c r="Z180" s="788">
        <f t="shared" ca="1" si="60"/>
        <v>0</v>
      </c>
      <c r="AA180" s="788">
        <f t="shared" ca="1" si="60"/>
        <v>0</v>
      </c>
      <c r="AB180" s="788">
        <f t="shared" ca="1" si="61"/>
        <v>0</v>
      </c>
      <c r="AC180" s="788">
        <f t="shared" ca="1" si="61"/>
        <v>0</v>
      </c>
      <c r="AD180" s="788">
        <f t="shared" ca="1" si="61"/>
        <v>0</v>
      </c>
      <c r="AE180" s="788">
        <f t="shared" ca="1" si="62"/>
        <v>0</v>
      </c>
      <c r="AF180" s="788">
        <f t="shared" ca="1" si="62"/>
        <v>0</v>
      </c>
      <c r="AG180" s="788">
        <f t="shared" ca="1" si="62"/>
        <v>0</v>
      </c>
      <c r="AH180" s="788">
        <f t="shared" ca="1" si="62"/>
        <v>0</v>
      </c>
      <c r="AI180" s="788">
        <f t="shared" ca="1" si="62"/>
        <v>0</v>
      </c>
      <c r="AJ180" s="788">
        <f t="shared" ca="1" si="62"/>
        <v>0</v>
      </c>
      <c r="AK180" s="788">
        <f t="shared" ca="1" si="62"/>
        <v>0</v>
      </c>
      <c r="AL180" s="788">
        <f t="shared" ca="1" si="62"/>
        <v>0</v>
      </c>
    </row>
    <row r="181" spans="1:38" s="664" customFormat="1" ht="12.75" outlineLevel="2">
      <c r="A181" s="1125"/>
      <c r="B181" s="1125"/>
      <c r="D181" s="714" t="s">
        <v>28</v>
      </c>
      <c r="E181" s="715" t="s">
        <v>750</v>
      </c>
      <c r="F181" s="788">
        <f t="shared" ref="F181:W181" ca="1" si="64">F173/F$79</f>
        <v>5.3881897731722166E-6</v>
      </c>
      <c r="G181" s="788">
        <f t="shared" ca="1" si="64"/>
        <v>5.4441912219290288E-6</v>
      </c>
      <c r="H181" s="788">
        <f t="shared" ca="1" si="64"/>
        <v>5.7671027203393696E-6</v>
      </c>
      <c r="I181" s="788">
        <f t="shared" ca="1" si="64"/>
        <v>4.262754394350717E-6</v>
      </c>
      <c r="J181" s="788">
        <f t="shared" ca="1" si="64"/>
        <v>0</v>
      </c>
      <c r="K181" s="788">
        <f t="shared" ca="1" si="58"/>
        <v>0</v>
      </c>
      <c r="L181" s="788">
        <f t="shared" ca="1" si="64"/>
        <v>1.391608010980316E-4</v>
      </c>
      <c r="M181" s="788">
        <f t="shared" ca="1" si="64"/>
        <v>-2.6831418471579552E-4</v>
      </c>
      <c r="N181" s="788">
        <f t="shared" ca="1" si="64"/>
        <v>-2.7965018902588972E-4</v>
      </c>
      <c r="O181" s="788">
        <f t="shared" ca="1" si="64"/>
        <v>0</v>
      </c>
      <c r="P181" s="788">
        <f t="shared" ca="1" si="64"/>
        <v>-2.3053686520663842E-4</v>
      </c>
      <c r="Q181" s="788">
        <f t="shared" ca="1" si="64"/>
        <v>-2.7786897763082028E-4</v>
      </c>
      <c r="R181" s="788">
        <f t="shared" ca="1" si="64"/>
        <v>4.5062525606980536E-5</v>
      </c>
      <c r="S181" s="788">
        <f t="shared" ca="1" si="64"/>
        <v>0</v>
      </c>
      <c r="T181" s="788">
        <f t="shared" ca="1" si="64"/>
        <v>0</v>
      </c>
      <c r="U181" s="788">
        <f t="shared" ca="1" si="64"/>
        <v>0</v>
      </c>
      <c r="V181" s="788">
        <f t="shared" ca="1" si="59"/>
        <v>0</v>
      </c>
      <c r="W181" s="788">
        <f t="shared" ca="1" si="64"/>
        <v>-3.7899187264618146E-4</v>
      </c>
      <c r="X181" s="788">
        <f t="shared" ca="1" si="60"/>
        <v>2.2732881813676731E-5</v>
      </c>
      <c r="Y181" s="788">
        <f t="shared" ca="1" si="60"/>
        <v>-3.2368011629905568E-5</v>
      </c>
      <c r="Z181" s="788">
        <f t="shared" ca="1" si="60"/>
        <v>0</v>
      </c>
      <c r="AA181" s="788">
        <f t="shared" ca="1" si="60"/>
        <v>0</v>
      </c>
      <c r="AB181" s="788">
        <f t="shared" ca="1" si="61"/>
        <v>0</v>
      </c>
      <c r="AC181" s="788">
        <f t="shared" ca="1" si="61"/>
        <v>0</v>
      </c>
      <c r="AD181" s="788">
        <f t="shared" ca="1" si="61"/>
        <v>0</v>
      </c>
      <c r="AE181" s="788">
        <f t="shared" ca="1" si="62"/>
        <v>0</v>
      </c>
      <c r="AF181" s="788">
        <f t="shared" ca="1" si="62"/>
        <v>0</v>
      </c>
      <c r="AG181" s="788">
        <f t="shared" ca="1" si="62"/>
        <v>0</v>
      </c>
      <c r="AH181" s="788">
        <f t="shared" ca="1" si="62"/>
        <v>0</v>
      </c>
      <c r="AI181" s="788">
        <f t="shared" ca="1" si="62"/>
        <v>0</v>
      </c>
      <c r="AJ181" s="788">
        <f t="shared" ca="1" si="62"/>
        <v>0</v>
      </c>
      <c r="AK181" s="788">
        <f t="shared" ca="1" si="62"/>
        <v>0</v>
      </c>
      <c r="AL181" s="788">
        <f t="shared" ca="1" si="62"/>
        <v>0</v>
      </c>
    </row>
    <row r="182" spans="1:38" s="664" customFormat="1" ht="12.75" outlineLevel="2">
      <c r="A182" s="1125"/>
      <c r="B182" s="1125"/>
      <c r="D182" s="714" t="s">
        <v>26</v>
      </c>
      <c r="E182" s="715" t="s">
        <v>750</v>
      </c>
      <c r="F182" s="788">
        <f t="shared" ref="F182:W182" ca="1" si="65">F174/F$79</f>
        <v>5.2137201742562576E-5</v>
      </c>
      <c r="G182" s="788">
        <f t="shared" ca="1" si="65"/>
        <v>5.2679082959561863E-5</v>
      </c>
      <c r="H182" s="788">
        <f t="shared" ca="1" si="65"/>
        <v>5.5803639192053535E-5</v>
      </c>
      <c r="I182" s="788">
        <f t="shared" ca="1" si="65"/>
        <v>4.1247263959378552E-5</v>
      </c>
      <c r="J182" s="788">
        <f t="shared" ca="1" si="65"/>
        <v>1.3890015205271157E-5</v>
      </c>
      <c r="K182" s="788">
        <f t="shared" ca="1" si="58"/>
        <v>1.3890015205271157E-5</v>
      </c>
      <c r="L182" s="788">
        <f t="shared" ca="1" si="65"/>
        <v>6.3486592710578641E-3</v>
      </c>
      <c r="M182" s="788">
        <f t="shared" ca="1" si="65"/>
        <v>-1.2272061429717224E-2</v>
      </c>
      <c r="N182" s="788">
        <f t="shared" ca="1" si="65"/>
        <v>-1.280393507643654E-2</v>
      </c>
      <c r="O182" s="788">
        <f t="shared" ca="1" si="65"/>
        <v>2.8432033152723549E-5</v>
      </c>
      <c r="P182" s="788">
        <f t="shared" ca="1" si="65"/>
        <v>-1.0149252530626214E-2</v>
      </c>
      <c r="Q182" s="788">
        <f t="shared" ca="1" si="65"/>
        <v>-1.2722149354036953E-2</v>
      </c>
      <c r="R182" s="788">
        <f t="shared" ca="1" si="65"/>
        <v>1.7679494189828872E-3</v>
      </c>
      <c r="S182" s="788">
        <f t="shared" ca="1" si="65"/>
        <v>2.8432033152723549E-5</v>
      </c>
      <c r="T182" s="788">
        <f t="shared" ca="1" si="65"/>
        <v>2.8432033152723549E-5</v>
      </c>
      <c r="U182" s="788">
        <f t="shared" ca="1" si="65"/>
        <v>2.8432033152723549E-5</v>
      </c>
      <c r="V182" s="788">
        <f t="shared" ca="1" si="59"/>
        <v>2.8432033152723549E-5</v>
      </c>
      <c r="W182" s="788">
        <f t="shared" ca="1" si="65"/>
        <v>-1.7146404815630487E-2</v>
      </c>
      <c r="X182" s="788">
        <f t="shared" ca="1" si="60"/>
        <v>1.0811661196832702E-3</v>
      </c>
      <c r="Y182" s="788">
        <f t="shared" ca="1" si="60"/>
        <v>-1.4739862622612182E-3</v>
      </c>
      <c r="Z182" s="788" t="e">
        <f t="shared" ca="1" si="60"/>
        <v>#N/A</v>
      </c>
      <c r="AA182" s="788" t="e">
        <f t="shared" ca="1" si="60"/>
        <v>#N/A</v>
      </c>
      <c r="AB182" s="788" t="e">
        <f t="shared" ca="1" si="61"/>
        <v>#N/A</v>
      </c>
      <c r="AC182" s="788">
        <f t="shared" ca="1" si="61"/>
        <v>4.4528301886792451E-5</v>
      </c>
      <c r="AD182" s="788">
        <f t="shared" ca="1" si="61"/>
        <v>1.9170179104477608E-5</v>
      </c>
      <c r="AE182" s="788">
        <f t="shared" ca="1" si="62"/>
        <v>1.9914763175013182E-5</v>
      </c>
      <c r="AF182" s="788" t="e">
        <f t="shared" ca="1" si="62"/>
        <v>#N/A</v>
      </c>
      <c r="AG182" s="788" t="e">
        <f t="shared" ca="1" si="62"/>
        <v>#N/A</v>
      </c>
      <c r="AH182" s="788" t="e">
        <f t="shared" ca="1" si="62"/>
        <v>#N/A</v>
      </c>
      <c r="AI182" s="788" t="e">
        <f t="shared" ca="1" si="62"/>
        <v>#N/A</v>
      </c>
      <c r="AJ182" s="788" t="e">
        <f t="shared" ca="1" si="62"/>
        <v>#N/A</v>
      </c>
      <c r="AK182" s="788" t="e">
        <f t="shared" ca="1" si="62"/>
        <v>#N/A</v>
      </c>
      <c r="AL182" s="788">
        <f t="shared" ca="1" si="62"/>
        <v>1.9170179104477608E-5</v>
      </c>
    </row>
    <row r="183" spans="1:38" s="664" customFormat="1" ht="12.75" outlineLevel="2">
      <c r="A183" s="1125"/>
      <c r="B183" s="1125"/>
      <c r="D183" s="714" t="s">
        <v>25</v>
      </c>
      <c r="E183" s="715" t="s">
        <v>750</v>
      </c>
      <c r="F183" s="788">
        <f t="shared" ref="F183:W183" ca="1" si="66">F175/F$79</f>
        <v>5.2544397195581898E-2</v>
      </c>
      <c r="G183" s="788">
        <f t="shared" ca="1" si="66"/>
        <v>5.3090510545497106E-2</v>
      </c>
      <c r="H183" s="788">
        <f t="shared" ca="1" si="66"/>
        <v>5.6239469796333645E-2</v>
      </c>
      <c r="I183" s="788">
        <f t="shared" ca="1" si="66"/>
        <v>4.1569408182167464E-2</v>
      </c>
      <c r="J183" s="788">
        <f t="shared" ca="1" si="66"/>
        <v>2.5465027876330456E-3</v>
      </c>
      <c r="K183" s="788">
        <f t="shared" ca="1" si="58"/>
        <v>2.5465027876330456E-3</v>
      </c>
      <c r="L183" s="788">
        <f t="shared" ca="1" si="66"/>
        <v>0.13852228200902708</v>
      </c>
      <c r="M183" s="788">
        <f t="shared" ca="1" si="66"/>
        <v>5.0105538111061498E-2</v>
      </c>
      <c r="N183" s="788">
        <f t="shared" ca="1" si="66"/>
        <v>3.3536086820078422E-2</v>
      </c>
      <c r="O183" s="788">
        <f t="shared" ca="1" si="66"/>
        <v>3.967405906131044E-2</v>
      </c>
      <c r="P183" s="788">
        <f t="shared" ca="1" si="66"/>
        <v>5.0826396626012425E-2</v>
      </c>
      <c r="Q183" s="788">
        <f t="shared" ca="1" si="66"/>
        <v>3.3646208108183258E-2</v>
      </c>
      <c r="R183" s="788">
        <f t="shared" ca="1" si="66"/>
        <v>3.3599424449737597E-2</v>
      </c>
      <c r="S183" s="788">
        <f t="shared" ca="1" si="66"/>
        <v>3.967405906131044E-2</v>
      </c>
      <c r="T183" s="788">
        <f t="shared" ca="1" si="66"/>
        <v>3.967405906131044E-2</v>
      </c>
      <c r="U183" s="788">
        <f t="shared" ca="1" si="66"/>
        <v>3.967405906131044E-2</v>
      </c>
      <c r="V183" s="788">
        <f t="shared" ca="1" si="59"/>
        <v>3.967405906131044E-2</v>
      </c>
      <c r="W183" s="788">
        <f t="shared" ca="1" si="66"/>
        <v>9.1330625169834451E-2</v>
      </c>
      <c r="X183" s="788">
        <f t="shared" ca="1" si="60"/>
        <v>0.1682571398004464</v>
      </c>
      <c r="Y183" s="788">
        <f t="shared" ca="1" si="60"/>
        <v>0.11767959632091575</v>
      </c>
      <c r="Z183" s="788" t="e">
        <f t="shared" ca="1" si="60"/>
        <v>#N/A</v>
      </c>
      <c r="AA183" s="788" t="e">
        <f t="shared" ca="1" si="60"/>
        <v>#N/A</v>
      </c>
      <c r="AB183" s="788" t="e">
        <f t="shared" ca="1" si="61"/>
        <v>#N/A</v>
      </c>
      <c r="AC183" s="788">
        <f t="shared" ca="1" si="61"/>
        <v>6.2134792452830191E-2</v>
      </c>
      <c r="AD183" s="788">
        <f t="shared" ca="1" si="61"/>
        <v>2.6750067922388057E-2</v>
      </c>
      <c r="AE183" s="788">
        <f t="shared" ca="1" si="62"/>
        <v>2.77890605344134E-2</v>
      </c>
      <c r="AF183" s="788" t="e">
        <f t="shared" ca="1" si="62"/>
        <v>#N/A</v>
      </c>
      <c r="AG183" s="788" t="e">
        <f t="shared" ca="1" si="62"/>
        <v>#N/A</v>
      </c>
      <c r="AH183" s="788" t="e">
        <f t="shared" ca="1" si="62"/>
        <v>#N/A</v>
      </c>
      <c r="AI183" s="788" t="e">
        <f t="shared" ca="1" si="62"/>
        <v>#N/A</v>
      </c>
      <c r="AJ183" s="788" t="e">
        <f t="shared" ca="1" si="62"/>
        <v>#N/A</v>
      </c>
      <c r="AK183" s="788" t="e">
        <f t="shared" ca="1" si="62"/>
        <v>#N/A</v>
      </c>
      <c r="AL183" s="788">
        <f t="shared" ca="1" si="62"/>
        <v>2.6750067922388057E-2</v>
      </c>
    </row>
    <row r="184" spans="1:38" s="664" customFormat="1" ht="12.75" outlineLevel="2">
      <c r="A184" s="1125"/>
      <c r="B184" s="1125"/>
      <c r="D184" s="492" t="s">
        <v>45</v>
      </c>
      <c r="E184" s="493" t="s">
        <v>750</v>
      </c>
      <c r="F184" s="791">
        <f t="shared" ref="F184:W184" ca="1" si="67">F176/F$79</f>
        <v>5.3881897731722166E-6</v>
      </c>
      <c r="G184" s="791">
        <f t="shared" ca="1" si="67"/>
        <v>5.4441912219290288E-6</v>
      </c>
      <c r="H184" s="791">
        <f t="shared" ca="1" si="67"/>
        <v>5.7671027203393696E-6</v>
      </c>
      <c r="I184" s="791">
        <f t="shared" ca="1" si="67"/>
        <v>4.262754394350717E-6</v>
      </c>
      <c r="J184" s="791">
        <f t="shared" ca="1" si="67"/>
        <v>0</v>
      </c>
      <c r="K184" s="791">
        <f t="shared" ca="1" si="58"/>
        <v>0</v>
      </c>
      <c r="L184" s="791">
        <f t="shared" ca="1" si="67"/>
        <v>6.5620600000000022E-4</v>
      </c>
      <c r="M184" s="791">
        <f t="shared" ca="1" si="67"/>
        <v>-1.2879359999999997E-3</v>
      </c>
      <c r="N184" s="791">
        <f t="shared" ca="1" si="67"/>
        <v>-1.34235E-3</v>
      </c>
      <c r="O184" s="791">
        <f t="shared" ca="1" si="67"/>
        <v>0</v>
      </c>
      <c r="P184" s="791">
        <f t="shared" ca="1" si="67"/>
        <v>-1.0723999999999998E-3</v>
      </c>
      <c r="Q184" s="791">
        <f t="shared" ca="1" si="67"/>
        <v>-1.3338E-3</v>
      </c>
      <c r="R184" s="791">
        <f t="shared" ca="1" si="67"/>
        <v>1.8791629463207855E-4</v>
      </c>
      <c r="S184" s="791">
        <f t="shared" ca="1" si="67"/>
        <v>0</v>
      </c>
      <c r="T184" s="791">
        <f t="shared" ca="1" si="67"/>
        <v>0</v>
      </c>
      <c r="U184" s="791">
        <f t="shared" ca="1" si="67"/>
        <v>0</v>
      </c>
      <c r="V184" s="791">
        <f t="shared" ca="1" si="59"/>
        <v>0</v>
      </c>
      <c r="W184" s="791">
        <f t="shared" ca="1" si="67"/>
        <v>-1.8040000000000011E-3</v>
      </c>
      <c r="X184" s="791">
        <f t="shared" ca="1" si="60"/>
        <v>1.0190000000000001E-4</v>
      </c>
      <c r="Y184" s="791">
        <f t="shared" ca="1" si="60"/>
        <v>-1.6182999999999999E-4</v>
      </c>
      <c r="Z184" s="791">
        <f t="shared" ca="1" si="60"/>
        <v>0</v>
      </c>
      <c r="AA184" s="791">
        <f t="shared" ca="1" si="60"/>
        <v>0</v>
      </c>
      <c r="AB184" s="791">
        <f t="shared" ca="1" si="61"/>
        <v>0</v>
      </c>
      <c r="AC184" s="791">
        <f t="shared" ca="1" si="61"/>
        <v>0</v>
      </c>
      <c r="AD184" s="791">
        <f t="shared" ca="1" si="61"/>
        <v>0</v>
      </c>
      <c r="AE184" s="791">
        <f t="shared" ca="1" si="62"/>
        <v>0</v>
      </c>
      <c r="AF184" s="791">
        <f t="shared" ca="1" si="62"/>
        <v>0</v>
      </c>
      <c r="AG184" s="791">
        <f t="shared" ca="1" si="62"/>
        <v>0</v>
      </c>
      <c r="AH184" s="791">
        <f t="shared" ca="1" si="62"/>
        <v>0</v>
      </c>
      <c r="AI184" s="791">
        <f t="shared" ca="1" si="62"/>
        <v>0</v>
      </c>
      <c r="AJ184" s="791">
        <f t="shared" ca="1" si="62"/>
        <v>0</v>
      </c>
      <c r="AK184" s="791">
        <f t="shared" ca="1" si="62"/>
        <v>0</v>
      </c>
      <c r="AL184" s="791">
        <f t="shared" ca="1" si="62"/>
        <v>0</v>
      </c>
    </row>
    <row r="185" spans="1:38" s="664" customFormat="1" outlineLevel="2">
      <c r="A185" s="1125"/>
      <c r="B185" s="1125"/>
      <c r="D185" s="667"/>
      <c r="E185" s="667"/>
    </row>
    <row r="186" spans="1:38" s="664" customFormat="1" outlineLevel="1">
      <c r="A186" s="1125"/>
      <c r="B186" s="1125"/>
      <c r="D186" s="667"/>
      <c r="E186" s="667"/>
    </row>
    <row r="187" spans="1:38" s="765" customFormat="1" ht="17.25" outlineLevel="1">
      <c r="A187" s="765" t="s">
        <v>772</v>
      </c>
      <c r="D187" s="766"/>
      <c r="E187" s="766"/>
    </row>
    <row r="188" spans="1:38" s="489" customFormat="1" ht="12.75" outlineLevel="2">
      <c r="A188" s="1126"/>
      <c r="B188" s="1126"/>
      <c r="D188" s="488"/>
      <c r="E188" s="488"/>
    </row>
    <row r="189" spans="1:38" s="489" customFormat="1" ht="12.75" outlineLevel="2">
      <c r="A189" s="1126"/>
      <c r="B189" s="1126"/>
      <c r="D189" s="488"/>
      <c r="E189" s="488"/>
    </row>
    <row r="190" spans="1:38" s="489" customFormat="1" ht="12.75" outlineLevel="2">
      <c r="A190" s="1126"/>
      <c r="B190" s="1126"/>
      <c r="D190" s="783" t="s">
        <v>773</v>
      </c>
      <c r="E190" s="488"/>
    </row>
    <row r="191" spans="1:38" s="489" customFormat="1" ht="12.75" outlineLevel="2">
      <c r="A191" s="1126"/>
      <c r="B191" s="1126"/>
      <c r="D191" s="710" t="s">
        <v>760</v>
      </c>
      <c r="E191" s="490" t="s">
        <v>761</v>
      </c>
      <c r="F191" s="1618">
        <f>IF(F$9&lt;&gt;"",VLOOKUP(F9,Distribution!$B$8:$E$27,3,0),0)</f>
        <v>0</v>
      </c>
      <c r="G191" s="1618">
        <f>IF(G$9&lt;&gt;"",VLOOKUP(G9,Distribution!$B$8:$E$27,3,0),0)</f>
        <v>0</v>
      </c>
      <c r="H191" s="1618">
        <f>IF(H$9&lt;&gt;"",VLOOKUP(H9,Distribution!$B$8:$E$27,3,0),0)</f>
        <v>0</v>
      </c>
      <c r="I191" s="1618">
        <f>IF(I$9&lt;&gt;"",VLOOKUP(I9,Distribution!$B$8:$E$27,3,0),0)</f>
        <v>0</v>
      </c>
      <c r="J191" s="1618">
        <f>IF(J$9&lt;&gt;"",VLOOKUP(J9,Distribution!$B$8:$E$27,3,0),0)</f>
        <v>0</v>
      </c>
      <c r="K191" s="1618">
        <f>IF(K$9&lt;&gt;"",VLOOKUP(K9,Distribution!$B$8:$E$27,3,0),0)</f>
        <v>0</v>
      </c>
      <c r="L191" s="1618">
        <f>IF(L$9&lt;&gt;"",VLOOKUP(L9,Distribution!$B$8:$E$27,3,0),0)</f>
        <v>0</v>
      </c>
      <c r="M191" s="1618">
        <f>IF(M$9&lt;&gt;"",VLOOKUP(M9,Distribution!$B$8:$E$27,3,0),0)</f>
        <v>0</v>
      </c>
      <c r="N191" s="1618">
        <f>IF(N$9&lt;&gt;"",VLOOKUP(N9,Distribution!$B$8:$E$27,3,0),0)</f>
        <v>0</v>
      </c>
      <c r="O191" s="1618">
        <f>IF(O$9&lt;&gt;"",VLOOKUP(O9,Distribution!$B$8:$E$27,3,0),0)</f>
        <v>7.0000000000000007E-2</v>
      </c>
      <c r="P191" s="1618">
        <f>IF(P$9&lt;&gt;"",VLOOKUP(P9,Distribution!$B$8:$E$27,3,0),0)</f>
        <v>0</v>
      </c>
      <c r="Q191" s="1618">
        <f>IF(Q$9&lt;&gt;"",VLOOKUP(Q9,Distribution!$B$8:$E$27,3,0),0)</f>
        <v>0</v>
      </c>
      <c r="R191" s="1618">
        <f>IF(R$9&lt;&gt;"",VLOOKUP(R9,Distribution!$B$8:$E$27,3,0),0)</f>
        <v>0</v>
      </c>
      <c r="S191" s="1618">
        <f>IF(S$9&lt;&gt;"",VLOOKUP(S9,Distribution!$B$8:$E$27,3,0),0)</f>
        <v>7.0000000000000007E-2</v>
      </c>
      <c r="T191" s="1618">
        <f>IF(T$9&lt;&gt;"",VLOOKUP(T9,Distribution!$B$8:$E$27,3,0),0)</f>
        <v>7.0000000000000007E-2</v>
      </c>
      <c r="U191" s="1618">
        <f>IF(U$9&lt;&gt;"",VLOOKUP(U9,Distribution!$B$8:$E$27,3,0),0)</f>
        <v>7.0000000000000007E-2</v>
      </c>
      <c r="V191" s="1618">
        <f>IF(V$9&lt;&gt;"",VLOOKUP(V9,Distribution!$B$8:$E$27,3,0),0)</f>
        <v>7.0000000000000007E-2</v>
      </c>
      <c r="W191" s="1618">
        <f>IF(W$9&lt;&gt;"",VLOOKUP(W9,Distribution!$B$8:$E$27,3,0),0)</f>
        <v>0</v>
      </c>
      <c r="X191" s="1618">
        <f>IF(X$9&lt;&gt;"",VLOOKUP(X9,Distribution!$B$8:$E$27,3,0),0)</f>
        <v>0</v>
      </c>
      <c r="Y191" s="1618">
        <f>IF(Y$9&lt;&gt;"",VLOOKUP(Y9,Distribution!$B$8:$E$27,3,0),0)</f>
        <v>0</v>
      </c>
      <c r="Z191" s="1618">
        <f>IF(Z$9&lt;&gt;"",VLOOKUP(Z9,Distribution!$B$8:$E$27,3,0),0)</f>
        <v>0</v>
      </c>
      <c r="AA191" s="1618">
        <f>IF(AA$9&lt;&gt;"",VLOOKUP(AA9,Distribution!$B$8:$E$27,3,0),0)</f>
        <v>0</v>
      </c>
      <c r="AB191" s="1618">
        <f>IF(AB$9&lt;&gt;"",VLOOKUP(AB9,Distribution!$B$8:$E$27,3,0),0)</f>
        <v>0</v>
      </c>
      <c r="AC191" s="1618">
        <f>IF(AC$9&lt;&gt;"",VLOOKUP(AC9,Distribution!$B$8:$E$27,3,0),0)</f>
        <v>0</v>
      </c>
      <c r="AD191" s="1618">
        <f>IF(AD$9&lt;&gt;"",VLOOKUP(AD9,Distribution!$B$8:$E$27,3,0),0)</f>
        <v>0</v>
      </c>
      <c r="AE191" s="1618">
        <f>IF(AE$9&lt;&gt;"",VLOOKUP(AE9,Distribution!$B$8:$E$27,3,0),0)</f>
        <v>0</v>
      </c>
      <c r="AF191" s="1618">
        <f>IF(AF$9&lt;&gt;"",VLOOKUP(AF9,Distribution!$B$8:$E$27,3,0),0)</f>
        <v>0</v>
      </c>
      <c r="AG191" s="1618">
        <f>IF(AG$9&lt;&gt;"",VLOOKUP(AG9,Distribution!$B$8:$E$27,3,0),0)</f>
        <v>0</v>
      </c>
      <c r="AH191" s="1618">
        <f>IF(AH$9&lt;&gt;"",VLOOKUP(AH9,Distribution!$B$8:$E$27,3,0),0)</f>
        <v>0</v>
      </c>
      <c r="AI191" s="1618">
        <f>IF(AI$9&lt;&gt;"",VLOOKUP(AI9,Distribution!$B$8:$E$27,3,0),0)</f>
        <v>0</v>
      </c>
      <c r="AJ191" s="1618">
        <f>IF(AJ$9&lt;&gt;"",VLOOKUP(AJ9,Distribution!$B$8:$E$27,3,0),0)</f>
        <v>0</v>
      </c>
      <c r="AK191" s="1618">
        <f>IF(AK$9&lt;&gt;"",VLOOKUP(AK9,Distribution!$B$8:$E$27,3,0),0)</f>
        <v>0</v>
      </c>
      <c r="AL191" s="1618">
        <f>IF(AL$9&lt;&gt;"",VLOOKUP(AL9,Distribution!$B$8:$E$27,3,0),0)</f>
        <v>0</v>
      </c>
    </row>
    <row r="192" spans="1:38" s="489" customFormat="1" ht="12.75" outlineLevel="2">
      <c r="A192" s="1126"/>
      <c r="B192" s="1126"/>
      <c r="D192" s="773" t="s">
        <v>774</v>
      </c>
      <c r="E192" s="715"/>
      <c r="F192" s="773"/>
      <c r="G192" s="773"/>
      <c r="H192" s="773"/>
      <c r="I192" s="773"/>
      <c r="J192" s="773"/>
      <c r="K192" s="773"/>
      <c r="L192" s="773"/>
      <c r="M192" s="773"/>
      <c r="N192" s="773"/>
      <c r="O192" s="773"/>
      <c r="P192" s="773"/>
      <c r="Q192" s="773"/>
      <c r="R192" s="773"/>
      <c r="S192" s="773"/>
      <c r="T192" s="773"/>
      <c r="U192" s="773"/>
      <c r="V192" s="773"/>
      <c r="W192" s="773"/>
      <c r="X192" s="773"/>
      <c r="Y192" s="773"/>
      <c r="Z192" s="773"/>
      <c r="AA192" s="773"/>
      <c r="AB192" s="773"/>
      <c r="AC192" s="773"/>
      <c r="AD192" s="773"/>
      <c r="AE192" s="773"/>
      <c r="AF192" s="773"/>
      <c r="AG192" s="773"/>
      <c r="AH192" s="773"/>
      <c r="AI192" s="773"/>
      <c r="AJ192" s="773"/>
      <c r="AK192" s="773"/>
      <c r="AL192" s="773"/>
    </row>
    <row r="193" spans="1:38" s="489" customFormat="1" ht="12.75" outlineLevel="2">
      <c r="A193" s="1126"/>
      <c r="B193" s="1126"/>
      <c r="D193" s="773"/>
      <c r="E193" s="715"/>
      <c r="F193" s="773"/>
      <c r="G193" s="773"/>
      <c r="H193" s="773"/>
      <c r="I193" s="773"/>
      <c r="J193" s="773"/>
      <c r="K193" s="773"/>
      <c r="L193" s="773"/>
      <c r="M193" s="773"/>
      <c r="N193" s="773"/>
      <c r="O193" s="773"/>
      <c r="P193" s="773"/>
      <c r="Q193" s="773"/>
      <c r="R193" s="773"/>
      <c r="S193" s="773"/>
      <c r="T193" s="773"/>
      <c r="U193" s="773"/>
      <c r="V193" s="773"/>
      <c r="W193" s="773"/>
      <c r="X193" s="773"/>
      <c r="Y193" s="773"/>
      <c r="Z193" s="773"/>
      <c r="AA193" s="773"/>
      <c r="AB193" s="773"/>
      <c r="AC193" s="773"/>
      <c r="AD193" s="773"/>
      <c r="AE193" s="773"/>
      <c r="AF193" s="773"/>
      <c r="AG193" s="773"/>
      <c r="AH193" s="773"/>
      <c r="AI193" s="773"/>
      <c r="AJ193" s="773"/>
      <c r="AK193" s="773"/>
      <c r="AL193" s="773"/>
    </row>
    <row r="194" spans="1:38" s="489" customFormat="1" ht="12.75" outlineLevel="2">
      <c r="A194" s="1126"/>
      <c r="B194" s="1126"/>
      <c r="D194" s="752" t="s">
        <v>777</v>
      </c>
      <c r="E194" s="488"/>
      <c r="F194" s="777"/>
      <c r="G194" s="777"/>
      <c r="H194" s="777"/>
      <c r="I194" s="777"/>
      <c r="J194" s="777"/>
      <c r="K194" s="777"/>
      <c r="L194" s="777"/>
      <c r="M194" s="777"/>
      <c r="N194" s="777"/>
      <c r="O194" s="777"/>
      <c r="P194" s="777"/>
      <c r="Q194" s="777"/>
      <c r="R194" s="777"/>
      <c r="S194" s="777">
        <v>1.5918250745133438</v>
      </c>
      <c r="T194" s="777">
        <v>1.5918250745133438</v>
      </c>
      <c r="U194" s="777">
        <v>1.5918250745133438</v>
      </c>
      <c r="V194" s="777">
        <v>1.5918250745133438</v>
      </c>
      <c r="W194" s="777"/>
      <c r="X194" s="777"/>
      <c r="Y194" s="777"/>
      <c r="Z194" s="777"/>
      <c r="AA194" s="777"/>
      <c r="AB194" s="777"/>
      <c r="AC194" s="777"/>
      <c r="AD194" s="777"/>
      <c r="AE194" s="777"/>
      <c r="AF194" s="777"/>
      <c r="AG194" s="777"/>
      <c r="AH194" s="777"/>
      <c r="AI194" s="777"/>
      <c r="AJ194" s="777"/>
      <c r="AK194" s="777"/>
      <c r="AL194" s="777"/>
    </row>
    <row r="195" spans="1:38" s="489" customFormat="1" ht="12.75" outlineLevel="2">
      <c r="A195" s="1126"/>
      <c r="B195" s="1126"/>
      <c r="D195" s="495" t="s">
        <v>24</v>
      </c>
      <c r="E195" s="491" t="s">
        <v>750</v>
      </c>
      <c r="F195" s="786">
        <f ca="1">F179*F$191/(1-F$191)</f>
        <v>0</v>
      </c>
      <c r="G195" s="786">
        <f ca="1">G179*G$191/(1-G$191)</f>
        <v>0</v>
      </c>
      <c r="H195" s="786">
        <f ca="1">H179*H$191/(1-H$191)</f>
        <v>0</v>
      </c>
      <c r="I195" s="786">
        <f t="shared" ref="I195:W195" ca="1" si="68">I179*I$191/(1-I$191)</f>
        <v>0</v>
      </c>
      <c r="J195" s="786">
        <f t="shared" ca="1" si="68"/>
        <v>0</v>
      </c>
      <c r="K195" s="786">
        <f t="shared" ref="K195:K200" ca="1" si="69">K179*K$191/(1-K$191)</f>
        <v>0</v>
      </c>
      <c r="L195" s="786">
        <f t="shared" ca="1" si="68"/>
        <v>0</v>
      </c>
      <c r="M195" s="786">
        <f t="shared" ca="1" si="68"/>
        <v>0</v>
      </c>
      <c r="N195" s="786">
        <f t="shared" ca="1" si="68"/>
        <v>0</v>
      </c>
      <c r="O195" s="786">
        <f t="shared" ca="1" si="68"/>
        <v>2.0823160519783543E-2</v>
      </c>
      <c r="P195" s="786">
        <f t="shared" ca="1" si="68"/>
        <v>0</v>
      </c>
      <c r="Q195" s="786">
        <f t="shared" ca="1" si="68"/>
        <v>0</v>
      </c>
      <c r="R195" s="786">
        <f ca="1">R179*R$191/(1-R$191)</f>
        <v>0</v>
      </c>
      <c r="S195" s="786">
        <f t="shared" ca="1" si="68"/>
        <v>2.0823160519783543E-2</v>
      </c>
      <c r="T195" s="786">
        <f t="shared" ca="1" si="68"/>
        <v>2.0823160519783543E-2</v>
      </c>
      <c r="U195" s="786">
        <f t="shared" ca="1" si="68"/>
        <v>2.0823160519783543E-2</v>
      </c>
      <c r="V195" s="786">
        <f t="shared" ref="V195:V200" ca="1" si="70">V179*V$191/(1-V$191)</f>
        <v>2.0823160519783543E-2</v>
      </c>
      <c r="W195" s="786">
        <f t="shared" ca="1" si="68"/>
        <v>0</v>
      </c>
      <c r="X195" s="786">
        <f t="shared" ref="X195:AA200" ca="1" si="71">X179*X$191/(1-X$191)</f>
        <v>0</v>
      </c>
      <c r="Y195" s="786">
        <f t="shared" ca="1" si="71"/>
        <v>0</v>
      </c>
      <c r="Z195" s="786" t="e">
        <f t="shared" ca="1" si="71"/>
        <v>#N/A</v>
      </c>
      <c r="AA195" s="786" t="e">
        <f t="shared" ca="1" si="71"/>
        <v>#N/A</v>
      </c>
      <c r="AB195" s="786" t="e">
        <f t="shared" ref="AB195:AD200" ca="1" si="72">AB179*AB$191/(1-AB$191)</f>
        <v>#N/A</v>
      </c>
      <c r="AC195" s="786">
        <f t="shared" ca="1" si="72"/>
        <v>0</v>
      </c>
      <c r="AD195" s="786">
        <f t="shared" ca="1" si="72"/>
        <v>0</v>
      </c>
      <c r="AE195" s="786">
        <f t="shared" ref="AE195:AL200" ca="1" si="73">AE179*AE$191/(1-AE$191)</f>
        <v>0</v>
      </c>
      <c r="AF195" s="786" t="e">
        <f t="shared" ca="1" si="73"/>
        <v>#N/A</v>
      </c>
      <c r="AG195" s="786" t="e">
        <f t="shared" ca="1" si="73"/>
        <v>#N/A</v>
      </c>
      <c r="AH195" s="786" t="e">
        <f t="shared" ca="1" si="73"/>
        <v>#N/A</v>
      </c>
      <c r="AI195" s="786" t="e">
        <f t="shared" ca="1" si="73"/>
        <v>#N/A</v>
      </c>
      <c r="AJ195" s="786" t="e">
        <f t="shared" ca="1" si="73"/>
        <v>#N/A</v>
      </c>
      <c r="AK195" s="786" t="e">
        <f t="shared" ca="1" si="73"/>
        <v>#N/A</v>
      </c>
      <c r="AL195" s="786">
        <f t="shared" ca="1" si="73"/>
        <v>0</v>
      </c>
    </row>
    <row r="196" spans="1:38" s="489" customFormat="1" ht="12.75" outlineLevel="2">
      <c r="A196" s="1126"/>
      <c r="B196" s="1126"/>
      <c r="D196" s="714" t="s">
        <v>27</v>
      </c>
      <c r="E196" s="715" t="s">
        <v>750</v>
      </c>
      <c r="F196" s="788">
        <f t="shared" ref="F196:H200" ca="1" si="74">F180*F$191/(1-F$191)</f>
        <v>0</v>
      </c>
      <c r="G196" s="788">
        <f t="shared" ca="1" si="74"/>
        <v>0</v>
      </c>
      <c r="H196" s="788">
        <f t="shared" ca="1" si="74"/>
        <v>0</v>
      </c>
      <c r="I196" s="788">
        <f t="shared" ref="I196:W196" ca="1" si="75">I180*I$191/(1-I$191)</f>
        <v>0</v>
      </c>
      <c r="J196" s="788">
        <f t="shared" ca="1" si="75"/>
        <v>0</v>
      </c>
      <c r="K196" s="788">
        <f t="shared" ca="1" si="69"/>
        <v>0</v>
      </c>
      <c r="L196" s="788">
        <f t="shared" ca="1" si="75"/>
        <v>0</v>
      </c>
      <c r="M196" s="788">
        <f t="shared" ca="1" si="75"/>
        <v>0</v>
      </c>
      <c r="N196" s="788">
        <f t="shared" ca="1" si="75"/>
        <v>0</v>
      </c>
      <c r="O196" s="788">
        <f t="shared" ca="1" si="75"/>
        <v>0</v>
      </c>
      <c r="P196" s="788">
        <f t="shared" ca="1" si="75"/>
        <v>0</v>
      </c>
      <c r="Q196" s="788">
        <f t="shared" ca="1" si="75"/>
        <v>0</v>
      </c>
      <c r="R196" s="788">
        <f t="shared" ca="1" si="75"/>
        <v>0</v>
      </c>
      <c r="S196" s="788">
        <f t="shared" ca="1" si="75"/>
        <v>0</v>
      </c>
      <c r="T196" s="788">
        <f t="shared" ca="1" si="75"/>
        <v>0</v>
      </c>
      <c r="U196" s="788">
        <f t="shared" ca="1" si="75"/>
        <v>0</v>
      </c>
      <c r="V196" s="788">
        <f t="shared" ca="1" si="70"/>
        <v>0</v>
      </c>
      <c r="W196" s="788">
        <f t="shared" ca="1" si="75"/>
        <v>0</v>
      </c>
      <c r="X196" s="788">
        <f t="shared" ca="1" si="71"/>
        <v>0</v>
      </c>
      <c r="Y196" s="788">
        <f t="shared" ca="1" si="71"/>
        <v>0</v>
      </c>
      <c r="Z196" s="788">
        <f t="shared" ca="1" si="71"/>
        <v>0</v>
      </c>
      <c r="AA196" s="788">
        <f t="shared" ca="1" si="71"/>
        <v>0</v>
      </c>
      <c r="AB196" s="788">
        <f t="shared" ca="1" si="72"/>
        <v>0</v>
      </c>
      <c r="AC196" s="788">
        <f t="shared" ca="1" si="72"/>
        <v>0</v>
      </c>
      <c r="AD196" s="788">
        <f t="shared" ca="1" si="72"/>
        <v>0</v>
      </c>
      <c r="AE196" s="788">
        <f t="shared" ca="1" si="73"/>
        <v>0</v>
      </c>
      <c r="AF196" s="788">
        <f t="shared" ca="1" si="73"/>
        <v>0</v>
      </c>
      <c r="AG196" s="788">
        <f t="shared" ca="1" si="73"/>
        <v>0</v>
      </c>
      <c r="AH196" s="788">
        <f t="shared" ca="1" si="73"/>
        <v>0</v>
      </c>
      <c r="AI196" s="788">
        <f t="shared" ca="1" si="73"/>
        <v>0</v>
      </c>
      <c r="AJ196" s="788">
        <f t="shared" ca="1" si="73"/>
        <v>0</v>
      </c>
      <c r="AK196" s="788">
        <f t="shared" ca="1" si="73"/>
        <v>0</v>
      </c>
      <c r="AL196" s="788">
        <f t="shared" ca="1" si="73"/>
        <v>0</v>
      </c>
    </row>
    <row r="197" spans="1:38" s="489" customFormat="1" ht="12.75" outlineLevel="2">
      <c r="A197" s="1126"/>
      <c r="B197" s="1126"/>
      <c r="D197" s="714" t="s">
        <v>28</v>
      </c>
      <c r="E197" s="715" t="s">
        <v>750</v>
      </c>
      <c r="F197" s="788">
        <f t="shared" ca="1" si="74"/>
        <v>0</v>
      </c>
      <c r="G197" s="788">
        <f t="shared" ca="1" si="74"/>
        <v>0</v>
      </c>
      <c r="H197" s="788">
        <f t="shared" ca="1" si="74"/>
        <v>0</v>
      </c>
      <c r="I197" s="788">
        <f t="shared" ref="I197:W197" ca="1" si="76">I181*I$191/(1-I$191)</f>
        <v>0</v>
      </c>
      <c r="J197" s="788">
        <f t="shared" ca="1" si="76"/>
        <v>0</v>
      </c>
      <c r="K197" s="788">
        <f t="shared" ca="1" si="69"/>
        <v>0</v>
      </c>
      <c r="L197" s="788">
        <f t="shared" ca="1" si="76"/>
        <v>0</v>
      </c>
      <c r="M197" s="788">
        <f t="shared" ca="1" si="76"/>
        <v>0</v>
      </c>
      <c r="N197" s="788">
        <f t="shared" ca="1" si="76"/>
        <v>0</v>
      </c>
      <c r="O197" s="788">
        <f t="shared" ca="1" si="76"/>
        <v>0</v>
      </c>
      <c r="P197" s="788">
        <f t="shared" ca="1" si="76"/>
        <v>0</v>
      </c>
      <c r="Q197" s="788">
        <f t="shared" ca="1" si="76"/>
        <v>0</v>
      </c>
      <c r="R197" s="788">
        <f t="shared" ca="1" si="76"/>
        <v>0</v>
      </c>
      <c r="S197" s="788">
        <f t="shared" ca="1" si="76"/>
        <v>0</v>
      </c>
      <c r="T197" s="788">
        <f t="shared" ca="1" si="76"/>
        <v>0</v>
      </c>
      <c r="U197" s="788">
        <f t="shared" ca="1" si="76"/>
        <v>0</v>
      </c>
      <c r="V197" s="788">
        <f t="shared" ca="1" si="70"/>
        <v>0</v>
      </c>
      <c r="W197" s="788">
        <f t="shared" ca="1" si="76"/>
        <v>0</v>
      </c>
      <c r="X197" s="788">
        <f t="shared" ca="1" si="71"/>
        <v>0</v>
      </c>
      <c r="Y197" s="788">
        <f t="shared" ca="1" si="71"/>
        <v>0</v>
      </c>
      <c r="Z197" s="788">
        <f t="shared" ca="1" si="71"/>
        <v>0</v>
      </c>
      <c r="AA197" s="788">
        <f t="shared" ca="1" si="71"/>
        <v>0</v>
      </c>
      <c r="AB197" s="788">
        <f t="shared" ca="1" si="72"/>
        <v>0</v>
      </c>
      <c r="AC197" s="788">
        <f t="shared" ca="1" si="72"/>
        <v>0</v>
      </c>
      <c r="AD197" s="788">
        <f t="shared" ca="1" si="72"/>
        <v>0</v>
      </c>
      <c r="AE197" s="788">
        <f t="shared" ca="1" si="73"/>
        <v>0</v>
      </c>
      <c r="AF197" s="788">
        <f t="shared" ca="1" si="73"/>
        <v>0</v>
      </c>
      <c r="AG197" s="788">
        <f t="shared" ca="1" si="73"/>
        <v>0</v>
      </c>
      <c r="AH197" s="788">
        <f t="shared" ca="1" si="73"/>
        <v>0</v>
      </c>
      <c r="AI197" s="788">
        <f t="shared" ca="1" si="73"/>
        <v>0</v>
      </c>
      <c r="AJ197" s="788">
        <f t="shared" ca="1" si="73"/>
        <v>0</v>
      </c>
      <c r="AK197" s="788">
        <f t="shared" ca="1" si="73"/>
        <v>0</v>
      </c>
      <c r="AL197" s="788">
        <f t="shared" ca="1" si="73"/>
        <v>0</v>
      </c>
    </row>
    <row r="198" spans="1:38" s="489" customFormat="1" ht="12.75" outlineLevel="2">
      <c r="A198" s="1126"/>
      <c r="B198" s="1126"/>
      <c r="D198" s="714" t="s">
        <v>26</v>
      </c>
      <c r="E198" s="715" t="s">
        <v>750</v>
      </c>
      <c r="F198" s="788">
        <f t="shared" ca="1" si="74"/>
        <v>0</v>
      </c>
      <c r="G198" s="788">
        <f t="shared" ca="1" si="74"/>
        <v>0</v>
      </c>
      <c r="H198" s="788">
        <f t="shared" ca="1" si="74"/>
        <v>0</v>
      </c>
      <c r="I198" s="788">
        <f t="shared" ref="I198:W198" ca="1" si="77">I182*I$191/(1-I$191)</f>
        <v>0</v>
      </c>
      <c r="J198" s="788">
        <f t="shared" ca="1" si="77"/>
        <v>0</v>
      </c>
      <c r="K198" s="788">
        <f t="shared" ca="1" si="69"/>
        <v>0</v>
      </c>
      <c r="L198" s="788">
        <f t="shared" ca="1" si="77"/>
        <v>0</v>
      </c>
      <c r="M198" s="788">
        <f t="shared" ca="1" si="77"/>
        <v>0</v>
      </c>
      <c r="N198" s="788">
        <f t="shared" ca="1" si="77"/>
        <v>0</v>
      </c>
      <c r="O198" s="788">
        <f t="shared" ca="1" si="77"/>
        <v>2.1400455061189772E-6</v>
      </c>
      <c r="P198" s="788">
        <f t="shared" ca="1" si="77"/>
        <v>0</v>
      </c>
      <c r="Q198" s="788">
        <f t="shared" ca="1" si="77"/>
        <v>0</v>
      </c>
      <c r="R198" s="788">
        <f t="shared" ca="1" si="77"/>
        <v>0</v>
      </c>
      <c r="S198" s="788">
        <f t="shared" ca="1" si="77"/>
        <v>2.1400455061189772E-6</v>
      </c>
      <c r="T198" s="788">
        <f t="shared" ca="1" si="77"/>
        <v>2.1400455061189772E-6</v>
      </c>
      <c r="U198" s="788">
        <f t="shared" ca="1" si="77"/>
        <v>2.1400455061189772E-6</v>
      </c>
      <c r="V198" s="788">
        <f t="shared" ca="1" si="70"/>
        <v>2.1400455061189772E-6</v>
      </c>
      <c r="W198" s="788">
        <f t="shared" ca="1" si="77"/>
        <v>0</v>
      </c>
      <c r="X198" s="788">
        <f t="shared" ca="1" si="71"/>
        <v>0</v>
      </c>
      <c r="Y198" s="788">
        <f t="shared" ca="1" si="71"/>
        <v>0</v>
      </c>
      <c r="Z198" s="788" t="e">
        <f t="shared" ca="1" si="71"/>
        <v>#N/A</v>
      </c>
      <c r="AA198" s="788" t="e">
        <f t="shared" ca="1" si="71"/>
        <v>#N/A</v>
      </c>
      <c r="AB198" s="788" t="e">
        <f t="shared" ca="1" si="72"/>
        <v>#N/A</v>
      </c>
      <c r="AC198" s="788">
        <f t="shared" ca="1" si="72"/>
        <v>0</v>
      </c>
      <c r="AD198" s="788">
        <f t="shared" ca="1" si="72"/>
        <v>0</v>
      </c>
      <c r="AE198" s="788">
        <f t="shared" ca="1" si="73"/>
        <v>0</v>
      </c>
      <c r="AF198" s="788" t="e">
        <f t="shared" ca="1" si="73"/>
        <v>#N/A</v>
      </c>
      <c r="AG198" s="788" t="e">
        <f t="shared" ca="1" si="73"/>
        <v>#N/A</v>
      </c>
      <c r="AH198" s="788" t="e">
        <f t="shared" ca="1" si="73"/>
        <v>#N/A</v>
      </c>
      <c r="AI198" s="788" t="e">
        <f t="shared" ca="1" si="73"/>
        <v>#N/A</v>
      </c>
      <c r="AJ198" s="788" t="e">
        <f t="shared" ca="1" si="73"/>
        <v>#N/A</v>
      </c>
      <c r="AK198" s="788" t="e">
        <f t="shared" ca="1" si="73"/>
        <v>#N/A</v>
      </c>
      <c r="AL198" s="788">
        <f t="shared" ca="1" si="73"/>
        <v>0</v>
      </c>
    </row>
    <row r="199" spans="1:38" s="489" customFormat="1" ht="12.75" outlineLevel="2">
      <c r="A199" s="1126"/>
      <c r="B199" s="1126"/>
      <c r="D199" s="714" t="s">
        <v>25</v>
      </c>
      <c r="E199" s="715" t="s">
        <v>750</v>
      </c>
      <c r="F199" s="788">
        <f t="shared" ca="1" si="74"/>
        <v>0</v>
      </c>
      <c r="G199" s="788">
        <f t="shared" ca="1" si="74"/>
        <v>0</v>
      </c>
      <c r="H199" s="788">
        <f t="shared" ca="1" si="74"/>
        <v>0</v>
      </c>
      <c r="I199" s="788">
        <f t="shared" ref="I199:W199" ca="1" si="78">I183*I$191/(1-I$191)</f>
        <v>0</v>
      </c>
      <c r="J199" s="788">
        <f t="shared" ca="1" si="78"/>
        <v>0</v>
      </c>
      <c r="K199" s="788">
        <f t="shared" ca="1" si="69"/>
        <v>0</v>
      </c>
      <c r="L199" s="788">
        <f t="shared" ca="1" si="78"/>
        <v>0</v>
      </c>
      <c r="M199" s="788">
        <f t="shared" ca="1" si="78"/>
        <v>0</v>
      </c>
      <c r="N199" s="788">
        <f t="shared" ca="1" si="78"/>
        <v>0</v>
      </c>
      <c r="O199" s="788">
        <f t="shared" ca="1" si="78"/>
        <v>2.986219499238421E-3</v>
      </c>
      <c r="P199" s="788">
        <f t="shared" ca="1" si="78"/>
        <v>0</v>
      </c>
      <c r="Q199" s="788">
        <f t="shared" ca="1" si="78"/>
        <v>0</v>
      </c>
      <c r="R199" s="788">
        <f t="shared" ca="1" si="78"/>
        <v>0</v>
      </c>
      <c r="S199" s="788">
        <f t="shared" ca="1" si="78"/>
        <v>2.986219499238421E-3</v>
      </c>
      <c r="T199" s="788">
        <f t="shared" ca="1" si="78"/>
        <v>2.986219499238421E-3</v>
      </c>
      <c r="U199" s="788">
        <f t="shared" ca="1" si="78"/>
        <v>2.986219499238421E-3</v>
      </c>
      <c r="V199" s="788">
        <f t="shared" ca="1" si="70"/>
        <v>2.986219499238421E-3</v>
      </c>
      <c r="W199" s="788">
        <f t="shared" ca="1" si="78"/>
        <v>0</v>
      </c>
      <c r="X199" s="788">
        <f t="shared" ca="1" si="71"/>
        <v>0</v>
      </c>
      <c r="Y199" s="788">
        <f t="shared" ca="1" si="71"/>
        <v>0</v>
      </c>
      <c r="Z199" s="788" t="e">
        <f t="shared" ca="1" si="71"/>
        <v>#N/A</v>
      </c>
      <c r="AA199" s="788" t="e">
        <f t="shared" ca="1" si="71"/>
        <v>#N/A</v>
      </c>
      <c r="AB199" s="788" t="e">
        <f t="shared" ca="1" si="72"/>
        <v>#N/A</v>
      </c>
      <c r="AC199" s="788">
        <f t="shared" ca="1" si="72"/>
        <v>0</v>
      </c>
      <c r="AD199" s="788">
        <f t="shared" ca="1" si="72"/>
        <v>0</v>
      </c>
      <c r="AE199" s="788">
        <f t="shared" ca="1" si="73"/>
        <v>0</v>
      </c>
      <c r="AF199" s="788" t="e">
        <f t="shared" ca="1" si="73"/>
        <v>#N/A</v>
      </c>
      <c r="AG199" s="788" t="e">
        <f t="shared" ca="1" si="73"/>
        <v>#N/A</v>
      </c>
      <c r="AH199" s="788" t="e">
        <f t="shared" ca="1" si="73"/>
        <v>#N/A</v>
      </c>
      <c r="AI199" s="788" t="e">
        <f t="shared" ca="1" si="73"/>
        <v>#N/A</v>
      </c>
      <c r="AJ199" s="788" t="e">
        <f t="shared" ca="1" si="73"/>
        <v>#N/A</v>
      </c>
      <c r="AK199" s="788" t="e">
        <f t="shared" ca="1" si="73"/>
        <v>#N/A</v>
      </c>
      <c r="AL199" s="788">
        <f t="shared" ca="1" si="73"/>
        <v>0</v>
      </c>
    </row>
    <row r="200" spans="1:38" s="489" customFormat="1" ht="12.75" outlineLevel="2">
      <c r="A200" s="1126"/>
      <c r="B200" s="1126"/>
      <c r="D200" s="492" t="s">
        <v>45</v>
      </c>
      <c r="E200" s="493" t="s">
        <v>750</v>
      </c>
      <c r="F200" s="791">
        <f t="shared" ca="1" si="74"/>
        <v>0</v>
      </c>
      <c r="G200" s="791">
        <f t="shared" ca="1" si="74"/>
        <v>0</v>
      </c>
      <c r="H200" s="791">
        <f t="shared" ca="1" si="74"/>
        <v>0</v>
      </c>
      <c r="I200" s="791">
        <f t="shared" ref="I200:W200" ca="1" si="79">I184*I$191/(1-I$191)</f>
        <v>0</v>
      </c>
      <c r="J200" s="791">
        <f t="shared" ca="1" si="79"/>
        <v>0</v>
      </c>
      <c r="K200" s="791">
        <f t="shared" ca="1" si="69"/>
        <v>0</v>
      </c>
      <c r="L200" s="791">
        <f t="shared" ca="1" si="79"/>
        <v>0</v>
      </c>
      <c r="M200" s="791">
        <f t="shared" ca="1" si="79"/>
        <v>0</v>
      </c>
      <c r="N200" s="791">
        <f t="shared" ca="1" si="79"/>
        <v>0</v>
      </c>
      <c r="O200" s="791">
        <f t="shared" ca="1" si="79"/>
        <v>0</v>
      </c>
      <c r="P200" s="791">
        <f t="shared" ca="1" si="79"/>
        <v>0</v>
      </c>
      <c r="Q200" s="791">
        <f t="shared" ca="1" si="79"/>
        <v>0</v>
      </c>
      <c r="R200" s="791">
        <f t="shared" ca="1" si="79"/>
        <v>0</v>
      </c>
      <c r="S200" s="791">
        <f t="shared" ca="1" si="79"/>
        <v>0</v>
      </c>
      <c r="T200" s="791">
        <f t="shared" ca="1" si="79"/>
        <v>0</v>
      </c>
      <c r="U200" s="791">
        <f t="shared" ca="1" si="79"/>
        <v>0</v>
      </c>
      <c r="V200" s="791">
        <f t="shared" ca="1" si="70"/>
        <v>0</v>
      </c>
      <c r="W200" s="791">
        <f t="shared" ca="1" si="79"/>
        <v>0</v>
      </c>
      <c r="X200" s="791">
        <f t="shared" ca="1" si="71"/>
        <v>0</v>
      </c>
      <c r="Y200" s="791">
        <f t="shared" ca="1" si="71"/>
        <v>0</v>
      </c>
      <c r="Z200" s="791">
        <f t="shared" ca="1" si="71"/>
        <v>0</v>
      </c>
      <c r="AA200" s="791">
        <f t="shared" ca="1" si="71"/>
        <v>0</v>
      </c>
      <c r="AB200" s="791">
        <f t="shared" ca="1" si="72"/>
        <v>0</v>
      </c>
      <c r="AC200" s="791">
        <f t="shared" ca="1" si="72"/>
        <v>0</v>
      </c>
      <c r="AD200" s="791">
        <f t="shared" ca="1" si="72"/>
        <v>0</v>
      </c>
      <c r="AE200" s="791">
        <f t="shared" ca="1" si="73"/>
        <v>0</v>
      </c>
      <c r="AF200" s="791">
        <f t="shared" ca="1" si="73"/>
        <v>0</v>
      </c>
      <c r="AG200" s="791">
        <f t="shared" ca="1" si="73"/>
        <v>0</v>
      </c>
      <c r="AH200" s="791">
        <f t="shared" ca="1" si="73"/>
        <v>0</v>
      </c>
      <c r="AI200" s="791">
        <f t="shared" ca="1" si="73"/>
        <v>0</v>
      </c>
      <c r="AJ200" s="791">
        <f t="shared" ca="1" si="73"/>
        <v>0</v>
      </c>
      <c r="AK200" s="791">
        <f t="shared" ca="1" si="73"/>
        <v>0</v>
      </c>
      <c r="AL200" s="791">
        <f t="shared" ca="1" si="73"/>
        <v>0</v>
      </c>
    </row>
    <row r="201" spans="1:38" s="489" customFormat="1" ht="12.75" outlineLevel="2">
      <c r="A201" s="1126"/>
      <c r="B201" s="1126"/>
      <c r="D201" s="773"/>
      <c r="E201" s="488"/>
    </row>
    <row r="202" spans="1:38" s="489" customFormat="1" ht="12.75" outlineLevel="2">
      <c r="A202" s="1126"/>
      <c r="B202" s="1126"/>
      <c r="D202" s="773"/>
      <c r="E202" s="488"/>
    </row>
    <row r="203" spans="1:38" s="489" customFormat="1" ht="12.75" outlineLevel="2">
      <c r="A203" s="1126"/>
      <c r="B203" s="1126"/>
      <c r="D203" s="752" t="s">
        <v>768</v>
      </c>
      <c r="E203" s="488"/>
    </row>
    <row r="204" spans="1:38" s="489" customFormat="1" ht="12.75" outlineLevel="2">
      <c r="A204" s="1126"/>
      <c r="B204" s="1126">
        <v>5</v>
      </c>
      <c r="D204" s="495" t="s">
        <v>24</v>
      </c>
      <c r="E204" s="491" t="s">
        <v>750</v>
      </c>
      <c r="F204" s="862">
        <f>VLOOKUP(F$9,Distribution!$B$8:$K$27,$B204,0)</f>
        <v>0</v>
      </c>
      <c r="G204" s="862">
        <f>VLOOKUP(G$9,Distribution!$B$8:$K$27,$B204,0)</f>
        <v>0</v>
      </c>
      <c r="H204" s="862">
        <f>VLOOKUP(H$9,Distribution!$B$8:$K$27,$B204,0)</f>
        <v>0</v>
      </c>
      <c r="I204" s="862">
        <f>VLOOKUP(I$9,Distribution!$B$8:$K$27,$B204,0)</f>
        <v>0</v>
      </c>
      <c r="J204" s="862">
        <f>VLOOKUP(J$9,Distribution!$B$8:$K$27,$B204,0)</f>
        <v>0.56740000000000002</v>
      </c>
      <c r="K204" s="862">
        <f>VLOOKUP(K$9,Distribution!$B$8:$K$27,$B204,0)</f>
        <v>0.56740000000000002</v>
      </c>
      <c r="L204" s="862">
        <f>VLOOKUP(L$9,Distribution!$B$8:$K$27,$B204,0)</f>
        <v>0</v>
      </c>
      <c r="M204" s="862">
        <f>VLOOKUP(M$9,Distribution!$B$8:$K$27,$B204,0)</f>
        <v>0</v>
      </c>
      <c r="N204" s="862">
        <f>VLOOKUP(N$9,Distribution!$B$8:$K$27,$B204,0)</f>
        <v>0</v>
      </c>
      <c r="O204" s="862">
        <f>VLOOKUP(O$9,Distribution!$B$8:$K$27,$B204,0)</f>
        <v>0</v>
      </c>
      <c r="P204" s="862">
        <f>VLOOKUP(P$9,Distribution!$B$8:$K$27,$B204,0)</f>
        <v>0</v>
      </c>
      <c r="Q204" s="862">
        <f>VLOOKUP(Q$9,Distribution!$B$8:$K$27,$B204,0)</f>
        <v>0</v>
      </c>
      <c r="R204" s="862">
        <f>VLOOKUP(R$9,Distribution!$B$8:$K$27,$B204,0)</f>
        <v>0.56740000000000002</v>
      </c>
      <c r="S204" s="862">
        <f>VLOOKUP(S$9,Distribution!$B$8:$K$27,$B204,0)</f>
        <v>0</v>
      </c>
      <c r="T204" s="862">
        <f>VLOOKUP(T$9,Distribution!$B$8:$K$27,$B204,0)</f>
        <v>0</v>
      </c>
      <c r="U204" s="862">
        <f>VLOOKUP(U$9,Distribution!$B$8:$K$27,$B204,0)</f>
        <v>0</v>
      </c>
      <c r="V204" s="862">
        <f>VLOOKUP(V$9,Distribution!$B$8:$K$27,$B204,0)</f>
        <v>0</v>
      </c>
      <c r="W204" s="862">
        <f>VLOOKUP(W$9,Distribution!$B$8:$K$27,$B204,0)</f>
        <v>0</v>
      </c>
      <c r="X204" s="862">
        <f>VLOOKUP(X$9,Distribution!$B$8:$K$27,$B204,0)</f>
        <v>0</v>
      </c>
      <c r="Y204" s="862">
        <f>VLOOKUP(Y$9,Distribution!$B$8:$K$27,$B204,0)</f>
        <v>0</v>
      </c>
      <c r="Z204" s="862" t="e">
        <f>VLOOKUP(Z$9,Distribution!$B$8:$K$27,$B204,0)</f>
        <v>#N/A</v>
      </c>
      <c r="AA204" s="862" t="e">
        <f>VLOOKUP(AA$9,Distribution!$B$8:$K$27,$B204,0)</f>
        <v>#N/A</v>
      </c>
      <c r="AB204" s="862" t="e">
        <f>VLOOKUP(AB$9,Distribution!$B$8:$K$27,$B204,0)</f>
        <v>#N/A</v>
      </c>
      <c r="AC204" s="862">
        <f>VLOOKUP(AC$9,Distribution!$B$8:$K$27,$B204,0)</f>
        <v>0</v>
      </c>
      <c r="AD204" s="862">
        <f>VLOOKUP(AD$9,Distribution!$B$8:$K$27,$B204,0)</f>
        <v>0</v>
      </c>
      <c r="AE204" s="862">
        <f>VLOOKUP(AE$9,Distribution!$B$8:$K$27,$B204,0)</f>
        <v>0</v>
      </c>
      <c r="AF204" s="862" t="e">
        <f>VLOOKUP(AF$9,Distribution!$B$8:$K$27,$B204,0)</f>
        <v>#N/A</v>
      </c>
      <c r="AG204" s="862" t="e">
        <f>VLOOKUP(AG$9,Distribution!$B$8:$K$27,$B204,0)</f>
        <v>#N/A</v>
      </c>
      <c r="AH204" s="862" t="e">
        <f>VLOOKUP(AH$9,Distribution!$B$8:$K$27,$B204,0)</f>
        <v>#N/A</v>
      </c>
      <c r="AI204" s="862" t="e">
        <f>VLOOKUP(AI$9,Distribution!$B$8:$K$27,$B204,0)</f>
        <v>#N/A</v>
      </c>
      <c r="AJ204" s="862" t="e">
        <f>VLOOKUP(AJ$9,Distribution!$B$8:$K$27,$B204,0)</f>
        <v>#N/A</v>
      </c>
      <c r="AK204" s="862" t="e">
        <f>VLOOKUP(AK$9,Distribution!$B$8:$K$27,$B204,0)</f>
        <v>#N/A</v>
      </c>
      <c r="AL204" s="862">
        <f>VLOOKUP(AL$9,Distribution!$B$8:$K$27,$B204,0)</f>
        <v>0</v>
      </c>
    </row>
    <row r="205" spans="1:38" s="489" customFormat="1" ht="12.75" outlineLevel="2">
      <c r="A205" s="1126"/>
      <c r="B205" s="1126">
        <v>6</v>
      </c>
      <c r="D205" s="714" t="s">
        <v>27</v>
      </c>
      <c r="E205" s="715" t="s">
        <v>750</v>
      </c>
      <c r="F205" s="863">
        <f>VLOOKUP(F$9,Distribution!$B$8:$K$27,$B205,0)</f>
        <v>0</v>
      </c>
      <c r="G205" s="863">
        <f>VLOOKUP(G$9,Distribution!$B$8:$K$27,$B205,0)</f>
        <v>0</v>
      </c>
      <c r="H205" s="863">
        <f>VLOOKUP(H$9,Distribution!$B$8:$K$27,$B205,0)</f>
        <v>0</v>
      </c>
      <c r="I205" s="863">
        <f>VLOOKUP(I$9,Distribution!$B$8:$K$27,$B205,0)</f>
        <v>0</v>
      </c>
      <c r="J205" s="863">
        <f>VLOOKUP(J$9,Distribution!$B$8:$K$27,$B205,0)</f>
        <v>9.9999999999999995E-7</v>
      </c>
      <c r="K205" s="863">
        <f>VLOOKUP(K$9,Distribution!$B$8:$K$27,$B205,0)</f>
        <v>9.9999999999999995E-7</v>
      </c>
      <c r="L205" s="863">
        <f>VLOOKUP(L$9,Distribution!$B$8:$K$27,$B205,0)</f>
        <v>0</v>
      </c>
      <c r="M205" s="863">
        <f>VLOOKUP(M$9,Distribution!$B$8:$K$27,$B205,0)</f>
        <v>0</v>
      </c>
      <c r="N205" s="863">
        <f>VLOOKUP(N$9,Distribution!$B$8:$K$27,$B205,0)</f>
        <v>0</v>
      </c>
      <c r="O205" s="863">
        <f>VLOOKUP(O$9,Distribution!$B$8:$K$27,$B205,0)</f>
        <v>0</v>
      </c>
      <c r="P205" s="863">
        <f>VLOOKUP(P$9,Distribution!$B$8:$K$27,$B205,0)</f>
        <v>0</v>
      </c>
      <c r="Q205" s="863">
        <f>VLOOKUP(Q$9,Distribution!$B$8:$K$27,$B205,0)</f>
        <v>0</v>
      </c>
      <c r="R205" s="863">
        <f>VLOOKUP(R$9,Distribution!$B$8:$K$27,$B205,0)</f>
        <v>9.9999999999999995E-7</v>
      </c>
      <c r="S205" s="863">
        <f>VLOOKUP(S$9,Distribution!$B$8:$K$27,$B205,0)</f>
        <v>0</v>
      </c>
      <c r="T205" s="863">
        <f>VLOOKUP(T$9,Distribution!$B$8:$K$27,$B205,0)</f>
        <v>0</v>
      </c>
      <c r="U205" s="863">
        <f>VLOOKUP(U$9,Distribution!$B$8:$K$27,$B205,0)</f>
        <v>0</v>
      </c>
      <c r="V205" s="863">
        <f>VLOOKUP(V$9,Distribution!$B$8:$K$27,$B205,0)</f>
        <v>0</v>
      </c>
      <c r="W205" s="863">
        <f>VLOOKUP(W$9,Distribution!$B$8:$K$27,$B205,0)</f>
        <v>0</v>
      </c>
      <c r="X205" s="863">
        <f>VLOOKUP(X$9,Distribution!$B$8:$K$27,$B205,0)</f>
        <v>0</v>
      </c>
      <c r="Y205" s="863">
        <f>VLOOKUP(Y$9,Distribution!$B$8:$K$27,$B205,0)</f>
        <v>0</v>
      </c>
      <c r="Z205" s="863" t="e">
        <f>VLOOKUP(Z$9,Distribution!$B$8:$K$27,$B205,0)</f>
        <v>#N/A</v>
      </c>
      <c r="AA205" s="863" t="e">
        <f>VLOOKUP(AA$9,Distribution!$B$8:$K$27,$B205,0)</f>
        <v>#N/A</v>
      </c>
      <c r="AB205" s="863" t="e">
        <f>VLOOKUP(AB$9,Distribution!$B$8:$K$27,$B205,0)</f>
        <v>#N/A</v>
      </c>
      <c r="AC205" s="863">
        <f>VLOOKUP(AC$9,Distribution!$B$8:$K$27,$B205,0)</f>
        <v>0</v>
      </c>
      <c r="AD205" s="863">
        <f>VLOOKUP(AD$9,Distribution!$B$8:$K$27,$B205,0)</f>
        <v>0</v>
      </c>
      <c r="AE205" s="863">
        <f>VLOOKUP(AE$9,Distribution!$B$8:$K$27,$B205,0)</f>
        <v>0</v>
      </c>
      <c r="AF205" s="863" t="e">
        <f>VLOOKUP(AF$9,Distribution!$B$8:$K$27,$B205,0)</f>
        <v>#N/A</v>
      </c>
      <c r="AG205" s="863" t="e">
        <f>VLOOKUP(AG$9,Distribution!$B$8:$K$27,$B205,0)</f>
        <v>#N/A</v>
      </c>
      <c r="AH205" s="863" t="e">
        <f>VLOOKUP(AH$9,Distribution!$B$8:$K$27,$B205,0)</f>
        <v>#N/A</v>
      </c>
      <c r="AI205" s="863" t="e">
        <f>VLOOKUP(AI$9,Distribution!$B$8:$K$27,$B205,0)</f>
        <v>#N/A</v>
      </c>
      <c r="AJ205" s="863" t="e">
        <f>VLOOKUP(AJ$9,Distribution!$B$8:$K$27,$B205,0)</f>
        <v>#N/A</v>
      </c>
      <c r="AK205" s="863" t="e">
        <f>VLOOKUP(AK$9,Distribution!$B$8:$K$27,$B205,0)</f>
        <v>#N/A</v>
      </c>
      <c r="AL205" s="863">
        <f>VLOOKUP(AL$9,Distribution!$B$8:$K$27,$B205,0)</f>
        <v>0</v>
      </c>
    </row>
    <row r="206" spans="1:38" s="489" customFormat="1" ht="12.75" outlineLevel="2">
      <c r="A206" s="1126"/>
      <c r="B206" s="1126">
        <v>7</v>
      </c>
      <c r="D206" s="714" t="s">
        <v>28</v>
      </c>
      <c r="E206" s="715" t="s">
        <v>750</v>
      </c>
      <c r="F206" s="863">
        <f>VLOOKUP(F$9,Distribution!$B$8:$K$27,$B206,0)</f>
        <v>0</v>
      </c>
      <c r="G206" s="863">
        <f>VLOOKUP(G$9,Distribution!$B$8:$K$27,$B206,0)</f>
        <v>0</v>
      </c>
      <c r="H206" s="863">
        <f>VLOOKUP(H$9,Distribution!$B$8:$K$27,$B206,0)</f>
        <v>0</v>
      </c>
      <c r="I206" s="863">
        <f>VLOOKUP(I$9,Distribution!$B$8:$K$27,$B206,0)</f>
        <v>0</v>
      </c>
      <c r="J206" s="863">
        <f>VLOOKUP(J$9,Distribution!$B$8:$K$27,$B206,0)</f>
        <v>9.9999999999999995E-7</v>
      </c>
      <c r="K206" s="863">
        <f>VLOOKUP(K$9,Distribution!$B$8:$K$27,$B206,0)</f>
        <v>9.9999999999999995E-7</v>
      </c>
      <c r="L206" s="863">
        <f>VLOOKUP(L$9,Distribution!$B$8:$K$27,$B206,0)</f>
        <v>0</v>
      </c>
      <c r="M206" s="863">
        <f>VLOOKUP(M$9,Distribution!$B$8:$K$27,$B206,0)</f>
        <v>0</v>
      </c>
      <c r="N206" s="863">
        <f>VLOOKUP(N$9,Distribution!$B$8:$K$27,$B206,0)</f>
        <v>0</v>
      </c>
      <c r="O206" s="863">
        <f>VLOOKUP(O$9,Distribution!$B$8:$K$27,$B206,0)</f>
        <v>0</v>
      </c>
      <c r="P206" s="863">
        <f>VLOOKUP(P$9,Distribution!$B$8:$K$27,$B206,0)</f>
        <v>0</v>
      </c>
      <c r="Q206" s="863">
        <f>VLOOKUP(Q$9,Distribution!$B$8:$K$27,$B206,0)</f>
        <v>0</v>
      </c>
      <c r="R206" s="863">
        <f>VLOOKUP(R$9,Distribution!$B$8:$K$27,$B206,0)</f>
        <v>9.9999999999999995E-7</v>
      </c>
      <c r="S206" s="863">
        <f>VLOOKUP(S$9,Distribution!$B$8:$K$27,$B206,0)</f>
        <v>0</v>
      </c>
      <c r="T206" s="863">
        <f>VLOOKUP(T$9,Distribution!$B$8:$K$27,$B206,0)</f>
        <v>0</v>
      </c>
      <c r="U206" s="863">
        <f>VLOOKUP(U$9,Distribution!$B$8:$K$27,$B206,0)</f>
        <v>0</v>
      </c>
      <c r="V206" s="863">
        <f>VLOOKUP(V$9,Distribution!$B$8:$K$27,$B206,0)</f>
        <v>0</v>
      </c>
      <c r="W206" s="863">
        <f>VLOOKUP(W$9,Distribution!$B$8:$K$27,$B206,0)</f>
        <v>0</v>
      </c>
      <c r="X206" s="863">
        <f>VLOOKUP(X$9,Distribution!$B$8:$K$27,$B206,0)</f>
        <v>0</v>
      </c>
      <c r="Y206" s="863">
        <f>VLOOKUP(Y$9,Distribution!$B$8:$K$27,$B206,0)</f>
        <v>0</v>
      </c>
      <c r="Z206" s="863" t="e">
        <f>VLOOKUP(Z$9,Distribution!$B$8:$K$27,$B206,0)</f>
        <v>#N/A</v>
      </c>
      <c r="AA206" s="863" t="e">
        <f>VLOOKUP(AA$9,Distribution!$B$8:$K$27,$B206,0)</f>
        <v>#N/A</v>
      </c>
      <c r="AB206" s="863" t="e">
        <f>VLOOKUP(AB$9,Distribution!$B$8:$K$27,$B206,0)</f>
        <v>#N/A</v>
      </c>
      <c r="AC206" s="863">
        <f>VLOOKUP(AC$9,Distribution!$B$8:$K$27,$B206,0)</f>
        <v>0</v>
      </c>
      <c r="AD206" s="863">
        <f>VLOOKUP(AD$9,Distribution!$B$8:$K$27,$B206,0)</f>
        <v>0</v>
      </c>
      <c r="AE206" s="863">
        <f>VLOOKUP(AE$9,Distribution!$B$8:$K$27,$B206,0)</f>
        <v>0</v>
      </c>
      <c r="AF206" s="863" t="e">
        <f>VLOOKUP(AF$9,Distribution!$B$8:$K$27,$B206,0)</f>
        <v>#N/A</v>
      </c>
      <c r="AG206" s="863" t="e">
        <f>VLOOKUP(AG$9,Distribution!$B$8:$K$27,$B206,0)</f>
        <v>#N/A</v>
      </c>
      <c r="AH206" s="863" t="e">
        <f>VLOOKUP(AH$9,Distribution!$B$8:$K$27,$B206,0)</f>
        <v>#N/A</v>
      </c>
      <c r="AI206" s="863" t="e">
        <f>VLOOKUP(AI$9,Distribution!$B$8:$K$27,$B206,0)</f>
        <v>#N/A</v>
      </c>
      <c r="AJ206" s="863" t="e">
        <f>VLOOKUP(AJ$9,Distribution!$B$8:$K$27,$B206,0)</f>
        <v>#N/A</v>
      </c>
      <c r="AK206" s="863" t="e">
        <f>VLOOKUP(AK$9,Distribution!$B$8:$K$27,$B206,0)</f>
        <v>#N/A</v>
      </c>
      <c r="AL206" s="863">
        <f>VLOOKUP(AL$9,Distribution!$B$8:$K$27,$B206,0)</f>
        <v>0</v>
      </c>
    </row>
    <row r="207" spans="1:38" s="489" customFormat="1" ht="12.75" outlineLevel="2">
      <c r="A207" s="1126"/>
      <c r="B207" s="1126">
        <v>8</v>
      </c>
      <c r="D207" s="714" t="s">
        <v>26</v>
      </c>
      <c r="E207" s="715" t="s">
        <v>750</v>
      </c>
      <c r="F207" s="863">
        <f>VLOOKUP(F$9,Distribution!$B$8:$K$27,$B207,0)</f>
        <v>0</v>
      </c>
      <c r="G207" s="863">
        <f>VLOOKUP(G$9,Distribution!$B$8:$K$27,$B207,0)</f>
        <v>0</v>
      </c>
      <c r="H207" s="863">
        <f>VLOOKUP(H$9,Distribution!$B$8:$K$27,$B207,0)</f>
        <v>0</v>
      </c>
      <c r="I207" s="863">
        <f>VLOOKUP(I$9,Distribution!$B$8:$K$27,$B207,0)</f>
        <v>0</v>
      </c>
      <c r="J207" s="863">
        <f>VLOOKUP(J$9,Distribution!$B$8:$K$27,$B207,0)</f>
        <v>3.0000000000000001E-6</v>
      </c>
      <c r="K207" s="863">
        <f>VLOOKUP(K$9,Distribution!$B$8:$K$27,$B207,0)</f>
        <v>3.0000000000000001E-6</v>
      </c>
      <c r="L207" s="863">
        <f>VLOOKUP(L$9,Distribution!$B$8:$K$27,$B207,0)</f>
        <v>0</v>
      </c>
      <c r="M207" s="863">
        <f>VLOOKUP(M$9,Distribution!$B$8:$K$27,$B207,0)</f>
        <v>0</v>
      </c>
      <c r="N207" s="863">
        <f>VLOOKUP(N$9,Distribution!$B$8:$K$27,$B207,0)</f>
        <v>0</v>
      </c>
      <c r="O207" s="863">
        <f>VLOOKUP(O$9,Distribution!$B$8:$K$27,$B207,0)</f>
        <v>0</v>
      </c>
      <c r="P207" s="863">
        <f>VLOOKUP(P$9,Distribution!$B$8:$K$27,$B207,0)</f>
        <v>0</v>
      </c>
      <c r="Q207" s="863">
        <f>VLOOKUP(Q$9,Distribution!$B$8:$K$27,$B207,0)</f>
        <v>0</v>
      </c>
      <c r="R207" s="863">
        <f>VLOOKUP(R$9,Distribution!$B$8:$K$27,$B207,0)</f>
        <v>3.0000000000000001E-6</v>
      </c>
      <c r="S207" s="863">
        <f>VLOOKUP(S$9,Distribution!$B$8:$K$27,$B207,0)</f>
        <v>0</v>
      </c>
      <c r="T207" s="863">
        <f>VLOOKUP(T$9,Distribution!$B$8:$K$27,$B207,0)</f>
        <v>0</v>
      </c>
      <c r="U207" s="863">
        <f>VLOOKUP(U$9,Distribution!$B$8:$K$27,$B207,0)</f>
        <v>0</v>
      </c>
      <c r="V207" s="863">
        <f>VLOOKUP(V$9,Distribution!$B$8:$K$27,$B207,0)</f>
        <v>0</v>
      </c>
      <c r="W207" s="863">
        <f>VLOOKUP(W$9,Distribution!$B$8:$K$27,$B207,0)</f>
        <v>0</v>
      </c>
      <c r="X207" s="863">
        <f>VLOOKUP(X$9,Distribution!$B$8:$K$27,$B207,0)</f>
        <v>0</v>
      </c>
      <c r="Y207" s="863">
        <f>VLOOKUP(Y$9,Distribution!$B$8:$K$27,$B207,0)</f>
        <v>0</v>
      </c>
      <c r="Z207" s="863" t="e">
        <f>VLOOKUP(Z$9,Distribution!$B$8:$K$27,$B207,0)</f>
        <v>#N/A</v>
      </c>
      <c r="AA207" s="863" t="e">
        <f>VLOOKUP(AA$9,Distribution!$B$8:$K$27,$B207,0)</f>
        <v>#N/A</v>
      </c>
      <c r="AB207" s="863" t="e">
        <f>VLOOKUP(AB$9,Distribution!$B$8:$K$27,$B207,0)</f>
        <v>#N/A</v>
      </c>
      <c r="AC207" s="863">
        <f>VLOOKUP(AC$9,Distribution!$B$8:$K$27,$B207,0)</f>
        <v>0</v>
      </c>
      <c r="AD207" s="863">
        <f>VLOOKUP(AD$9,Distribution!$B$8:$K$27,$B207,0)</f>
        <v>0</v>
      </c>
      <c r="AE207" s="863">
        <f>VLOOKUP(AE$9,Distribution!$B$8:$K$27,$B207,0)</f>
        <v>0</v>
      </c>
      <c r="AF207" s="863" t="e">
        <f>VLOOKUP(AF$9,Distribution!$B$8:$K$27,$B207,0)</f>
        <v>#N/A</v>
      </c>
      <c r="AG207" s="863" t="e">
        <f>VLOOKUP(AG$9,Distribution!$B$8:$K$27,$B207,0)</f>
        <v>#N/A</v>
      </c>
      <c r="AH207" s="863" t="e">
        <f>VLOOKUP(AH$9,Distribution!$B$8:$K$27,$B207,0)</f>
        <v>#N/A</v>
      </c>
      <c r="AI207" s="863" t="e">
        <f>VLOOKUP(AI$9,Distribution!$B$8:$K$27,$B207,0)</f>
        <v>#N/A</v>
      </c>
      <c r="AJ207" s="863" t="e">
        <f>VLOOKUP(AJ$9,Distribution!$B$8:$K$27,$B207,0)</f>
        <v>#N/A</v>
      </c>
      <c r="AK207" s="863" t="e">
        <f>VLOOKUP(AK$9,Distribution!$B$8:$K$27,$B207,0)</f>
        <v>#N/A</v>
      </c>
      <c r="AL207" s="863">
        <f>VLOOKUP(AL$9,Distribution!$B$8:$K$27,$B207,0)</f>
        <v>0</v>
      </c>
    </row>
    <row r="208" spans="1:38" s="489" customFormat="1" ht="12.75" outlineLevel="2">
      <c r="A208" s="1126"/>
      <c r="B208" s="1126">
        <v>9</v>
      </c>
      <c r="D208" s="714" t="s">
        <v>25</v>
      </c>
      <c r="E208" s="715" t="s">
        <v>750</v>
      </c>
      <c r="F208" s="863">
        <f>VLOOKUP(F$9,Distribution!$B$8:$K$27,$B208,0)</f>
        <v>0</v>
      </c>
      <c r="G208" s="863">
        <f>VLOOKUP(G$9,Distribution!$B$8:$K$27,$B208,0)</f>
        <v>0</v>
      </c>
      <c r="H208" s="863">
        <f>VLOOKUP(H$9,Distribution!$B$8:$K$27,$B208,0)</f>
        <v>0</v>
      </c>
      <c r="I208" s="863">
        <f>VLOOKUP(I$9,Distribution!$B$8:$K$27,$B208,0)</f>
        <v>0</v>
      </c>
      <c r="J208" s="863">
        <f>VLOOKUP(J$9,Distribution!$B$8:$K$27,$B208,0)</f>
        <v>5.5000000000000003E-4</v>
      </c>
      <c r="K208" s="863">
        <f>VLOOKUP(K$9,Distribution!$B$8:$K$27,$B208,0)</f>
        <v>5.5000000000000003E-4</v>
      </c>
      <c r="L208" s="863">
        <f>VLOOKUP(L$9,Distribution!$B$8:$K$27,$B208,0)</f>
        <v>0</v>
      </c>
      <c r="M208" s="863">
        <f>VLOOKUP(M$9,Distribution!$B$8:$K$27,$B208,0)</f>
        <v>0</v>
      </c>
      <c r="N208" s="863">
        <f>VLOOKUP(N$9,Distribution!$B$8:$K$27,$B208,0)</f>
        <v>0</v>
      </c>
      <c r="O208" s="863">
        <f>VLOOKUP(O$9,Distribution!$B$8:$K$27,$B208,0)</f>
        <v>0</v>
      </c>
      <c r="P208" s="863">
        <f>VLOOKUP(P$9,Distribution!$B$8:$K$27,$B208,0)</f>
        <v>0</v>
      </c>
      <c r="Q208" s="863">
        <f>VLOOKUP(Q$9,Distribution!$B$8:$K$27,$B208,0)</f>
        <v>0</v>
      </c>
      <c r="R208" s="863">
        <f>VLOOKUP(R$9,Distribution!$B$8:$K$27,$B208,0)</f>
        <v>5.5000000000000003E-4</v>
      </c>
      <c r="S208" s="863">
        <f>VLOOKUP(S$9,Distribution!$B$8:$K$27,$B208,0)</f>
        <v>0</v>
      </c>
      <c r="T208" s="863">
        <f>VLOOKUP(T$9,Distribution!$B$8:$K$27,$B208,0)</f>
        <v>0</v>
      </c>
      <c r="U208" s="863">
        <f>VLOOKUP(U$9,Distribution!$B$8:$K$27,$B208,0)</f>
        <v>0</v>
      </c>
      <c r="V208" s="863">
        <f>VLOOKUP(V$9,Distribution!$B$8:$K$27,$B208,0)</f>
        <v>0</v>
      </c>
      <c r="W208" s="863">
        <f>VLOOKUP(W$9,Distribution!$B$8:$K$27,$B208,0)</f>
        <v>0</v>
      </c>
      <c r="X208" s="863">
        <f>VLOOKUP(X$9,Distribution!$B$8:$K$27,$B208,0)</f>
        <v>0</v>
      </c>
      <c r="Y208" s="863">
        <f>VLOOKUP(Y$9,Distribution!$B$8:$K$27,$B208,0)</f>
        <v>0</v>
      </c>
      <c r="Z208" s="863" t="e">
        <f>VLOOKUP(Z$9,Distribution!$B$8:$K$27,$B208,0)</f>
        <v>#N/A</v>
      </c>
      <c r="AA208" s="863" t="e">
        <f>VLOOKUP(AA$9,Distribution!$B$8:$K$27,$B208,0)</f>
        <v>#N/A</v>
      </c>
      <c r="AB208" s="863" t="e">
        <f>VLOOKUP(AB$9,Distribution!$B$8:$K$27,$B208,0)</f>
        <v>#N/A</v>
      </c>
      <c r="AC208" s="863">
        <f>VLOOKUP(AC$9,Distribution!$B$8:$K$27,$B208,0)</f>
        <v>0</v>
      </c>
      <c r="AD208" s="863">
        <f>VLOOKUP(AD$9,Distribution!$B$8:$K$27,$B208,0)</f>
        <v>0</v>
      </c>
      <c r="AE208" s="863">
        <f>VLOOKUP(AE$9,Distribution!$B$8:$K$27,$B208,0)</f>
        <v>0</v>
      </c>
      <c r="AF208" s="863" t="e">
        <f>VLOOKUP(AF$9,Distribution!$B$8:$K$27,$B208,0)</f>
        <v>#N/A</v>
      </c>
      <c r="AG208" s="863" t="e">
        <f>VLOOKUP(AG$9,Distribution!$B$8:$K$27,$B208,0)</f>
        <v>#N/A</v>
      </c>
      <c r="AH208" s="863" t="e">
        <f>VLOOKUP(AH$9,Distribution!$B$8:$K$27,$B208,0)</f>
        <v>#N/A</v>
      </c>
      <c r="AI208" s="863" t="e">
        <f>VLOOKUP(AI$9,Distribution!$B$8:$K$27,$B208,0)</f>
        <v>#N/A</v>
      </c>
      <c r="AJ208" s="863" t="e">
        <f>VLOOKUP(AJ$9,Distribution!$B$8:$K$27,$B208,0)</f>
        <v>#N/A</v>
      </c>
      <c r="AK208" s="863" t="e">
        <f>VLOOKUP(AK$9,Distribution!$B$8:$K$27,$B208,0)</f>
        <v>#N/A</v>
      </c>
      <c r="AL208" s="863">
        <f>VLOOKUP(AL$9,Distribution!$B$8:$K$27,$B208,0)</f>
        <v>0</v>
      </c>
    </row>
    <row r="209" spans="1:38" s="489" customFormat="1" ht="12.75" outlineLevel="2">
      <c r="A209" s="1126"/>
      <c r="B209" s="1126">
        <v>10</v>
      </c>
      <c r="D209" s="492" t="s">
        <v>45</v>
      </c>
      <c r="E209" s="493" t="s">
        <v>750</v>
      </c>
      <c r="F209" s="865">
        <f>VLOOKUP(F$9,Distribution!$B$8:$K$27,$B209,0)</f>
        <v>0</v>
      </c>
      <c r="G209" s="865">
        <f>VLOOKUP(G$9,Distribution!$B$8:$K$27,$B209,0)</f>
        <v>0</v>
      </c>
      <c r="H209" s="865">
        <f>VLOOKUP(H$9,Distribution!$B$8:$K$27,$B209,0)</f>
        <v>0</v>
      </c>
      <c r="I209" s="865">
        <f>VLOOKUP(I$9,Distribution!$B$8:$K$27,$B209,0)</f>
        <v>0</v>
      </c>
      <c r="J209" s="865">
        <f>VLOOKUP(J$9,Distribution!$B$8:$K$27,$B209,0)</f>
        <v>9.9999999999999995E-7</v>
      </c>
      <c r="K209" s="865">
        <f>VLOOKUP(K$9,Distribution!$B$8:$K$27,$B209,0)</f>
        <v>9.9999999999999995E-7</v>
      </c>
      <c r="L209" s="865">
        <f>VLOOKUP(L$9,Distribution!$B$8:$K$27,$B209,0)</f>
        <v>0</v>
      </c>
      <c r="M209" s="865">
        <f>VLOOKUP(M$9,Distribution!$B$8:$K$27,$B209,0)</f>
        <v>0</v>
      </c>
      <c r="N209" s="865">
        <f>VLOOKUP(N$9,Distribution!$B$8:$K$27,$B209,0)</f>
        <v>0</v>
      </c>
      <c r="O209" s="865">
        <f>VLOOKUP(O$9,Distribution!$B$8:$K$27,$B209,0)</f>
        <v>0</v>
      </c>
      <c r="P209" s="865">
        <f>VLOOKUP(P$9,Distribution!$B$8:$K$27,$B209,0)</f>
        <v>0</v>
      </c>
      <c r="Q209" s="865">
        <f>VLOOKUP(Q$9,Distribution!$B$8:$K$27,$B209,0)</f>
        <v>0</v>
      </c>
      <c r="R209" s="865">
        <f>VLOOKUP(R$9,Distribution!$B$8:$K$27,$B209,0)</f>
        <v>9.9999999999999995E-7</v>
      </c>
      <c r="S209" s="865">
        <f>VLOOKUP(S$9,Distribution!$B$8:$K$27,$B209,0)</f>
        <v>0</v>
      </c>
      <c r="T209" s="865">
        <f>VLOOKUP(T$9,Distribution!$B$8:$K$27,$B209,0)</f>
        <v>0</v>
      </c>
      <c r="U209" s="865">
        <f>VLOOKUP(U$9,Distribution!$B$8:$K$27,$B209,0)</f>
        <v>0</v>
      </c>
      <c r="V209" s="865">
        <f>VLOOKUP(V$9,Distribution!$B$8:$K$27,$B209,0)</f>
        <v>0</v>
      </c>
      <c r="W209" s="865">
        <f>VLOOKUP(W$9,Distribution!$B$8:$K$27,$B209,0)</f>
        <v>0</v>
      </c>
      <c r="X209" s="865">
        <f>VLOOKUP(X$9,Distribution!$B$8:$K$27,$B209,0)</f>
        <v>0</v>
      </c>
      <c r="Y209" s="865">
        <f>VLOOKUP(Y$9,Distribution!$B$8:$K$27,$B209,0)</f>
        <v>0</v>
      </c>
      <c r="Z209" s="865" t="e">
        <f>VLOOKUP(Z$9,Distribution!$B$8:$K$27,$B209,0)</f>
        <v>#N/A</v>
      </c>
      <c r="AA209" s="865" t="e">
        <f>VLOOKUP(AA$9,Distribution!$B$8:$K$27,$B209,0)</f>
        <v>#N/A</v>
      </c>
      <c r="AB209" s="865" t="e">
        <f>VLOOKUP(AB$9,Distribution!$B$8:$K$27,$B209,0)</f>
        <v>#N/A</v>
      </c>
      <c r="AC209" s="865">
        <f>VLOOKUP(AC$9,Distribution!$B$8:$K$27,$B209,0)</f>
        <v>0</v>
      </c>
      <c r="AD209" s="865">
        <f>VLOOKUP(AD$9,Distribution!$B$8:$K$27,$B209,0)</f>
        <v>0</v>
      </c>
      <c r="AE209" s="865">
        <f>VLOOKUP(AE$9,Distribution!$B$8:$K$27,$B209,0)</f>
        <v>0</v>
      </c>
      <c r="AF209" s="865" t="e">
        <f>VLOOKUP(AF$9,Distribution!$B$8:$K$27,$B209,0)</f>
        <v>#N/A</v>
      </c>
      <c r="AG209" s="865" t="e">
        <f>VLOOKUP(AG$9,Distribution!$B$8:$K$27,$B209,0)</f>
        <v>#N/A</v>
      </c>
      <c r="AH209" s="865" t="e">
        <f>VLOOKUP(AH$9,Distribution!$B$8:$K$27,$B209,0)</f>
        <v>#N/A</v>
      </c>
      <c r="AI209" s="865" t="e">
        <f>VLOOKUP(AI$9,Distribution!$B$8:$K$27,$B209,0)</f>
        <v>#N/A</v>
      </c>
      <c r="AJ209" s="865" t="e">
        <f>VLOOKUP(AJ$9,Distribution!$B$8:$K$27,$B209,0)</f>
        <v>#N/A</v>
      </c>
      <c r="AK209" s="865" t="e">
        <f>VLOOKUP(AK$9,Distribution!$B$8:$K$27,$B209,0)</f>
        <v>#N/A</v>
      </c>
      <c r="AL209" s="865">
        <f>VLOOKUP(AL$9,Distribution!$B$8:$K$27,$B209,0)</f>
        <v>0</v>
      </c>
    </row>
    <row r="210" spans="1:38" s="489" customFormat="1" ht="12.75" outlineLevel="2">
      <c r="A210" s="1126"/>
      <c r="B210" s="1126"/>
      <c r="D210" s="773" t="s">
        <v>774</v>
      </c>
      <c r="E210" s="488"/>
    </row>
    <row r="211" spans="1:38" s="489" customFormat="1" ht="12.75" outlineLevel="2">
      <c r="A211" s="1126"/>
      <c r="B211" s="1126"/>
      <c r="D211" s="488"/>
      <c r="E211" s="488"/>
      <c r="S211" s="777">
        <v>215.730048928983</v>
      </c>
      <c r="T211" s="777">
        <v>215.730048928983</v>
      </c>
      <c r="U211" s="777">
        <v>215.730048928983</v>
      </c>
      <c r="V211" s="777">
        <v>215.730048928983</v>
      </c>
    </row>
    <row r="212" spans="1:38" s="489" customFormat="1" ht="12.75" outlineLevel="2">
      <c r="A212" s="1126"/>
      <c r="B212" s="1126"/>
      <c r="D212" s="783" t="s">
        <v>766</v>
      </c>
      <c r="E212" s="488"/>
      <c r="Q212" s="777"/>
      <c r="S212" s="777">
        <v>22.740358207333479</v>
      </c>
      <c r="T212" s="777">
        <v>22.740358207333479</v>
      </c>
      <c r="U212" s="777">
        <v>22.740358207333479</v>
      </c>
      <c r="V212" s="777">
        <v>22.740358207333479</v>
      </c>
    </row>
    <row r="213" spans="1:38" s="489" customFormat="1" ht="12.75" outlineLevel="2">
      <c r="A213" s="1126"/>
      <c r="B213" s="1126"/>
      <c r="D213" s="495" t="s">
        <v>24</v>
      </c>
      <c r="E213" s="491" t="s">
        <v>750</v>
      </c>
      <c r="F213" s="786">
        <f t="shared" ref="F213:W213" ca="1" si="80">F179+F204+F195</f>
        <v>8.6850931039405381</v>
      </c>
      <c r="G213" s="786">
        <f ca="1">G179+G204+G195</f>
        <v>8.7753604881425851</v>
      </c>
      <c r="H213" s="786">
        <f t="shared" ca="1" si="80"/>
        <v>9.2958537421089602</v>
      </c>
      <c r="I213" s="786">
        <f t="shared" ca="1" si="80"/>
        <v>6.8710309682302153</v>
      </c>
      <c r="J213" s="786">
        <f t="shared" ca="1" si="80"/>
        <v>6.1273999999999997</v>
      </c>
      <c r="K213" s="786">
        <f t="shared" ref="K213:K218" ca="1" si="81">K179+K204+K195</f>
        <v>6.1273999999999997</v>
      </c>
      <c r="L213" s="786">
        <f t="shared" ca="1" si="80"/>
        <v>370.85434687936532</v>
      </c>
      <c r="M213" s="786">
        <f t="shared" ca="1" si="80"/>
        <v>-3.6572310291406538</v>
      </c>
      <c r="N213" s="786">
        <f t="shared" ca="1" si="80"/>
        <v>-29.241120107687262</v>
      </c>
      <c r="O213" s="786">
        <f t="shared" ca="1" si="80"/>
        <v>0.29747372171119346</v>
      </c>
      <c r="P213" s="786">
        <f t="shared" ca="1" si="80"/>
        <v>-29.113382758005059</v>
      </c>
      <c r="Q213" s="786">
        <f t="shared" ca="1" si="80"/>
        <v>-29.19092030920044</v>
      </c>
      <c r="R213" s="786">
        <f t="shared" ca="1" si="80"/>
        <v>-54.862372410951409</v>
      </c>
      <c r="S213" s="786">
        <f t="shared" ca="1" si="80"/>
        <v>0.29747372171119346</v>
      </c>
      <c r="T213" s="786">
        <f t="shared" ca="1" si="80"/>
        <v>0.29747372171119346</v>
      </c>
      <c r="U213" s="786">
        <f t="shared" ca="1" si="80"/>
        <v>0.29747372171119346</v>
      </c>
      <c r="V213" s="786">
        <f t="shared" ref="V213:V218" ca="1" si="82">V179+V204+V195</f>
        <v>0.29747372171119346</v>
      </c>
      <c r="W213" s="786">
        <f t="shared" ca="1" si="80"/>
        <v>-89.745240476441879</v>
      </c>
      <c r="X213" s="786">
        <f t="shared" ref="X213:AA218" ca="1" si="83">X179+X204+X195</f>
        <v>348.97966601039394</v>
      </c>
      <c r="Y213" s="786">
        <f ca="1">Y179+Y204+Y195</f>
        <v>470.20321681265841</v>
      </c>
      <c r="Z213" s="786" t="e">
        <f t="shared" ca="1" si="83"/>
        <v>#N/A</v>
      </c>
      <c r="AA213" s="786" t="e">
        <f t="shared" ca="1" si="83"/>
        <v>#N/A</v>
      </c>
      <c r="AB213" s="786" t="e">
        <f t="shared" ref="AB213:AD218" ca="1" si="84">AB179+AB204+AB195</f>
        <v>#N/A</v>
      </c>
      <c r="AC213" s="786">
        <f t="shared" ca="1" si="84"/>
        <v>15.32</v>
      </c>
      <c r="AD213" s="786">
        <f t="shared" ca="1" si="84"/>
        <v>-11.241974602766481</v>
      </c>
      <c r="AE213" s="786">
        <f t="shared" ref="AE213:AL218" ca="1" si="85">AE179+AE204+AE195</f>
        <v>1.6269396863923049</v>
      </c>
      <c r="AF213" s="786" t="e">
        <f t="shared" ca="1" si="85"/>
        <v>#N/A</v>
      </c>
      <c r="AG213" s="786" t="e">
        <f t="shared" ca="1" si="85"/>
        <v>#N/A</v>
      </c>
      <c r="AH213" s="786" t="e">
        <f t="shared" ca="1" si="85"/>
        <v>#N/A</v>
      </c>
      <c r="AI213" s="786" t="e">
        <f t="shared" ca="1" si="85"/>
        <v>#N/A</v>
      </c>
      <c r="AJ213" s="786" t="e">
        <f t="shared" ca="1" si="85"/>
        <v>#N/A</v>
      </c>
      <c r="AK213" s="786" t="e">
        <f t="shared" ca="1" si="85"/>
        <v>#N/A</v>
      </c>
      <c r="AL213" s="786">
        <f t="shared" ca="1" si="85"/>
        <v>-11.241974602766481</v>
      </c>
    </row>
    <row r="214" spans="1:38" s="489" customFormat="1" ht="12.75" outlineLevel="2">
      <c r="A214" s="1126"/>
      <c r="B214" s="1126"/>
      <c r="D214" s="714" t="s">
        <v>27</v>
      </c>
      <c r="E214" s="715" t="s">
        <v>750</v>
      </c>
      <c r="F214" s="788">
        <f t="shared" ref="F214:W214" ca="1" si="86">F180+F205+F196</f>
        <v>5.3881897731722166E-6</v>
      </c>
      <c r="G214" s="788">
        <f t="shared" ca="1" si="86"/>
        <v>5.4441912219290288E-6</v>
      </c>
      <c r="H214" s="788">
        <f t="shared" ca="1" si="86"/>
        <v>5.7671027203393696E-6</v>
      </c>
      <c r="I214" s="788">
        <f t="shared" ca="1" si="86"/>
        <v>4.262754394350717E-6</v>
      </c>
      <c r="J214" s="788">
        <f t="shared" ca="1" si="86"/>
        <v>9.9999999999999995E-7</v>
      </c>
      <c r="K214" s="788">
        <f t="shared" ca="1" si="81"/>
        <v>9.9999999999999995E-7</v>
      </c>
      <c r="L214" s="788">
        <f t="shared" ca="1" si="86"/>
        <v>2.6421062244493883E-3</v>
      </c>
      <c r="M214" s="788">
        <f t="shared" ca="1" si="86"/>
        <v>-5.2041645930253995E-3</v>
      </c>
      <c r="N214" s="788">
        <f t="shared" ca="1" si="86"/>
        <v>-5.4240353103319162E-3</v>
      </c>
      <c r="O214" s="788">
        <f t="shared" ca="1" si="86"/>
        <v>0</v>
      </c>
      <c r="P214" s="788">
        <f t="shared" ca="1" si="86"/>
        <v>-4.3058816992639472E-3</v>
      </c>
      <c r="Q214" s="788">
        <f t="shared" ca="1" si="86"/>
        <v>-5.3894873147247056E-3</v>
      </c>
      <c r="R214" s="788">
        <f t="shared" ca="1" si="86"/>
        <v>0.10742226661342681</v>
      </c>
      <c r="S214" s="788">
        <f t="shared" ca="1" si="86"/>
        <v>0</v>
      </c>
      <c r="T214" s="788">
        <f t="shared" ca="1" si="86"/>
        <v>0</v>
      </c>
      <c r="U214" s="788">
        <f t="shared" ca="1" si="86"/>
        <v>0</v>
      </c>
      <c r="V214" s="788">
        <f t="shared" ca="1" si="82"/>
        <v>0</v>
      </c>
      <c r="W214" s="788">
        <f t="shared" ca="1" si="86"/>
        <v>-7.2772622330967733E-3</v>
      </c>
      <c r="X214" s="788">
        <f t="shared" ca="1" si="83"/>
        <v>4.0597012406093158E-4</v>
      </c>
      <c r="Y214" s="788">
        <f t="shared" ca="1" si="83"/>
        <v>-6.590758738768414E-4</v>
      </c>
      <c r="Z214" s="788" t="e">
        <f t="shared" ca="1" si="83"/>
        <v>#N/A</v>
      </c>
      <c r="AA214" s="788" t="e">
        <f t="shared" ca="1" si="83"/>
        <v>#N/A</v>
      </c>
      <c r="AB214" s="788" t="e">
        <f t="shared" ca="1" si="84"/>
        <v>#N/A</v>
      </c>
      <c r="AC214" s="788">
        <f t="shared" ca="1" si="84"/>
        <v>0</v>
      </c>
      <c r="AD214" s="788">
        <f t="shared" ca="1" si="84"/>
        <v>0</v>
      </c>
      <c r="AE214" s="788">
        <f t="shared" ca="1" si="85"/>
        <v>0</v>
      </c>
      <c r="AF214" s="788" t="e">
        <f t="shared" ca="1" si="85"/>
        <v>#N/A</v>
      </c>
      <c r="AG214" s="788" t="e">
        <f t="shared" ca="1" si="85"/>
        <v>#N/A</v>
      </c>
      <c r="AH214" s="788" t="e">
        <f t="shared" ca="1" si="85"/>
        <v>#N/A</v>
      </c>
      <c r="AI214" s="788" t="e">
        <f t="shared" ca="1" si="85"/>
        <v>#N/A</v>
      </c>
      <c r="AJ214" s="788" t="e">
        <f t="shared" ca="1" si="85"/>
        <v>#N/A</v>
      </c>
      <c r="AK214" s="788" t="e">
        <f t="shared" ca="1" si="85"/>
        <v>#N/A</v>
      </c>
      <c r="AL214" s="788">
        <f t="shared" ca="1" si="85"/>
        <v>0</v>
      </c>
    </row>
    <row r="215" spans="1:38" s="489" customFormat="1" ht="12.75" outlineLevel="2">
      <c r="A215" s="1126"/>
      <c r="B215" s="1126"/>
      <c r="D215" s="714" t="s">
        <v>28</v>
      </c>
      <c r="E215" s="715" t="s">
        <v>750</v>
      </c>
      <c r="F215" s="788">
        <f t="shared" ref="F215:W215" ca="1" si="87">F181+F206+F197</f>
        <v>5.3881897731722166E-6</v>
      </c>
      <c r="G215" s="788">
        <f t="shared" ca="1" si="87"/>
        <v>5.4441912219290288E-6</v>
      </c>
      <c r="H215" s="788">
        <f t="shared" ca="1" si="87"/>
        <v>5.7671027203393696E-6</v>
      </c>
      <c r="I215" s="788">
        <f t="shared" ca="1" si="87"/>
        <v>4.262754394350717E-6</v>
      </c>
      <c r="J215" s="788">
        <f t="shared" ca="1" si="87"/>
        <v>9.9999999999999995E-7</v>
      </c>
      <c r="K215" s="788">
        <f t="shared" ca="1" si="81"/>
        <v>9.9999999999999995E-7</v>
      </c>
      <c r="L215" s="788">
        <f t="shared" ca="1" si="87"/>
        <v>1.391608010980316E-4</v>
      </c>
      <c r="M215" s="788">
        <f t="shared" ca="1" si="87"/>
        <v>-2.6831418471579552E-4</v>
      </c>
      <c r="N215" s="788">
        <f t="shared" ca="1" si="87"/>
        <v>-2.7965018902588972E-4</v>
      </c>
      <c r="O215" s="788">
        <f t="shared" ca="1" si="87"/>
        <v>0</v>
      </c>
      <c r="P215" s="788">
        <f t="shared" ca="1" si="87"/>
        <v>-2.3053686520663842E-4</v>
      </c>
      <c r="Q215" s="788">
        <f t="shared" ca="1" si="87"/>
        <v>-2.7786897763082028E-4</v>
      </c>
      <c r="R215" s="788">
        <f t="shared" ca="1" si="87"/>
        <v>4.6062525606980534E-5</v>
      </c>
      <c r="S215" s="788">
        <f t="shared" ca="1" si="87"/>
        <v>0</v>
      </c>
      <c r="T215" s="788">
        <f t="shared" ca="1" si="87"/>
        <v>0</v>
      </c>
      <c r="U215" s="788">
        <f t="shared" ca="1" si="87"/>
        <v>0</v>
      </c>
      <c r="V215" s="788">
        <f t="shared" ca="1" si="82"/>
        <v>0</v>
      </c>
      <c r="W215" s="788">
        <f t="shared" ca="1" si="87"/>
        <v>-3.7899187264618146E-4</v>
      </c>
      <c r="X215" s="788">
        <f t="shared" ca="1" si="83"/>
        <v>2.2732881813676731E-5</v>
      </c>
      <c r="Y215" s="788">
        <f t="shared" ca="1" si="83"/>
        <v>-3.2368011629905568E-5</v>
      </c>
      <c r="Z215" s="788" t="e">
        <f t="shared" ca="1" si="83"/>
        <v>#N/A</v>
      </c>
      <c r="AA215" s="788" t="e">
        <f t="shared" ca="1" si="83"/>
        <v>#N/A</v>
      </c>
      <c r="AB215" s="788" t="e">
        <f t="shared" ca="1" si="84"/>
        <v>#N/A</v>
      </c>
      <c r="AC215" s="788">
        <f t="shared" ca="1" si="84"/>
        <v>0</v>
      </c>
      <c r="AD215" s="788">
        <f t="shared" ca="1" si="84"/>
        <v>0</v>
      </c>
      <c r="AE215" s="788">
        <f t="shared" ca="1" si="85"/>
        <v>0</v>
      </c>
      <c r="AF215" s="788" t="e">
        <f t="shared" ca="1" si="85"/>
        <v>#N/A</v>
      </c>
      <c r="AG215" s="788" t="e">
        <f t="shared" ca="1" si="85"/>
        <v>#N/A</v>
      </c>
      <c r="AH215" s="788" t="e">
        <f t="shared" ca="1" si="85"/>
        <v>#N/A</v>
      </c>
      <c r="AI215" s="788" t="e">
        <f t="shared" ca="1" si="85"/>
        <v>#N/A</v>
      </c>
      <c r="AJ215" s="788" t="e">
        <f t="shared" ca="1" si="85"/>
        <v>#N/A</v>
      </c>
      <c r="AK215" s="788" t="e">
        <f t="shared" ca="1" si="85"/>
        <v>#N/A</v>
      </c>
      <c r="AL215" s="788">
        <f t="shared" ca="1" si="85"/>
        <v>0</v>
      </c>
    </row>
    <row r="216" spans="1:38" s="489" customFormat="1" ht="12.75" outlineLevel="2">
      <c r="A216" s="1126"/>
      <c r="B216" s="1126"/>
      <c r="D216" s="714" t="s">
        <v>26</v>
      </c>
      <c r="E216" s="715" t="s">
        <v>750</v>
      </c>
      <c r="F216" s="788">
        <f t="shared" ref="F216:W216" ca="1" si="88">F182+F207+F198</f>
        <v>5.2137201742562576E-5</v>
      </c>
      <c r="G216" s="788">
        <f t="shared" ca="1" si="88"/>
        <v>5.2679082959561863E-5</v>
      </c>
      <c r="H216" s="788">
        <f t="shared" ca="1" si="88"/>
        <v>5.5803639192053535E-5</v>
      </c>
      <c r="I216" s="788">
        <f t="shared" ca="1" si="88"/>
        <v>4.1247263959378552E-5</v>
      </c>
      <c r="J216" s="788">
        <f t="shared" ca="1" si="88"/>
        <v>1.6890015205271157E-5</v>
      </c>
      <c r="K216" s="788">
        <f t="shared" ca="1" si="81"/>
        <v>1.6890015205271157E-5</v>
      </c>
      <c r="L216" s="788">
        <f t="shared" ca="1" si="88"/>
        <v>6.3486592710578641E-3</v>
      </c>
      <c r="M216" s="788">
        <f t="shared" ca="1" si="88"/>
        <v>-1.2272061429717224E-2</v>
      </c>
      <c r="N216" s="788">
        <f t="shared" ca="1" si="88"/>
        <v>-1.280393507643654E-2</v>
      </c>
      <c r="O216" s="788">
        <f t="shared" ca="1" si="88"/>
        <v>3.0572078658842526E-5</v>
      </c>
      <c r="P216" s="788">
        <f t="shared" ca="1" si="88"/>
        <v>-1.0149252530626214E-2</v>
      </c>
      <c r="Q216" s="788">
        <f t="shared" ca="1" si="88"/>
        <v>-1.2722149354036953E-2</v>
      </c>
      <c r="R216" s="788">
        <f t="shared" ca="1" si="88"/>
        <v>1.7709494189828872E-3</v>
      </c>
      <c r="S216" s="788">
        <f t="shared" ca="1" si="88"/>
        <v>3.0572078658842526E-5</v>
      </c>
      <c r="T216" s="788">
        <f t="shared" ca="1" si="88"/>
        <v>3.0572078658842526E-5</v>
      </c>
      <c r="U216" s="788">
        <f t="shared" ca="1" si="88"/>
        <v>3.0572078658842526E-5</v>
      </c>
      <c r="V216" s="788">
        <f t="shared" ca="1" si="82"/>
        <v>3.0572078658842526E-5</v>
      </c>
      <c r="W216" s="788">
        <f t="shared" ca="1" si="88"/>
        <v>-1.7146404815630487E-2</v>
      </c>
      <c r="X216" s="788">
        <f t="shared" ca="1" si="83"/>
        <v>1.0811661196832702E-3</v>
      </c>
      <c r="Y216" s="788">
        <f t="shared" ca="1" si="83"/>
        <v>-1.4739862622612182E-3</v>
      </c>
      <c r="Z216" s="788" t="e">
        <f t="shared" ca="1" si="83"/>
        <v>#N/A</v>
      </c>
      <c r="AA216" s="788" t="e">
        <f t="shared" ca="1" si="83"/>
        <v>#N/A</v>
      </c>
      <c r="AB216" s="788" t="e">
        <f t="shared" ca="1" si="84"/>
        <v>#N/A</v>
      </c>
      <c r="AC216" s="788">
        <f t="shared" ca="1" si="84"/>
        <v>4.4528301886792451E-5</v>
      </c>
      <c r="AD216" s="788">
        <f t="shared" ca="1" si="84"/>
        <v>1.9170179104477608E-5</v>
      </c>
      <c r="AE216" s="788">
        <f t="shared" ca="1" si="85"/>
        <v>1.9914763175013182E-5</v>
      </c>
      <c r="AF216" s="788" t="e">
        <f t="shared" ca="1" si="85"/>
        <v>#N/A</v>
      </c>
      <c r="AG216" s="788" t="e">
        <f t="shared" ca="1" si="85"/>
        <v>#N/A</v>
      </c>
      <c r="AH216" s="788" t="e">
        <f t="shared" ca="1" si="85"/>
        <v>#N/A</v>
      </c>
      <c r="AI216" s="788" t="e">
        <f t="shared" ca="1" si="85"/>
        <v>#N/A</v>
      </c>
      <c r="AJ216" s="788" t="e">
        <f t="shared" ca="1" si="85"/>
        <v>#N/A</v>
      </c>
      <c r="AK216" s="788" t="e">
        <f t="shared" ca="1" si="85"/>
        <v>#N/A</v>
      </c>
      <c r="AL216" s="788">
        <f t="shared" ca="1" si="85"/>
        <v>1.9170179104477608E-5</v>
      </c>
    </row>
    <row r="217" spans="1:38" s="489" customFormat="1" ht="12.75" outlineLevel="2">
      <c r="A217" s="1126"/>
      <c r="B217" s="1126"/>
      <c r="D217" s="714" t="s">
        <v>25</v>
      </c>
      <c r="E217" s="715" t="s">
        <v>750</v>
      </c>
      <c r="F217" s="788">
        <f t="shared" ref="F217:W217" ca="1" si="89">F183+F208+F199</f>
        <v>5.2544397195581898E-2</v>
      </c>
      <c r="G217" s="788">
        <f t="shared" ca="1" si="89"/>
        <v>5.3090510545497106E-2</v>
      </c>
      <c r="H217" s="788">
        <f t="shared" ca="1" si="89"/>
        <v>5.6239469796333645E-2</v>
      </c>
      <c r="I217" s="788">
        <f t="shared" ca="1" si="89"/>
        <v>4.1569408182167464E-2</v>
      </c>
      <c r="J217" s="788">
        <f t="shared" ca="1" si="89"/>
        <v>3.0965027876330457E-3</v>
      </c>
      <c r="K217" s="788">
        <f t="shared" ca="1" si="81"/>
        <v>3.0965027876330457E-3</v>
      </c>
      <c r="L217" s="788">
        <f t="shared" ca="1" si="89"/>
        <v>0.13852228200902708</v>
      </c>
      <c r="M217" s="788">
        <f t="shared" ca="1" si="89"/>
        <v>5.0105538111061498E-2</v>
      </c>
      <c r="N217" s="788">
        <f t="shared" ca="1" si="89"/>
        <v>3.3536086820078422E-2</v>
      </c>
      <c r="O217" s="788">
        <f t="shared" ca="1" si="89"/>
        <v>4.266027856054886E-2</v>
      </c>
      <c r="P217" s="788">
        <f t="shared" ca="1" si="89"/>
        <v>5.0826396626012425E-2</v>
      </c>
      <c r="Q217" s="788">
        <f t="shared" ca="1" si="89"/>
        <v>3.3646208108183258E-2</v>
      </c>
      <c r="R217" s="788">
        <f t="shared" ca="1" si="89"/>
        <v>3.4149424449737599E-2</v>
      </c>
      <c r="S217" s="788">
        <f t="shared" ca="1" si="89"/>
        <v>4.266027856054886E-2</v>
      </c>
      <c r="T217" s="788">
        <f t="shared" ca="1" si="89"/>
        <v>4.266027856054886E-2</v>
      </c>
      <c r="U217" s="788">
        <f t="shared" ca="1" si="89"/>
        <v>4.266027856054886E-2</v>
      </c>
      <c r="V217" s="788">
        <f t="shared" ca="1" si="82"/>
        <v>4.266027856054886E-2</v>
      </c>
      <c r="W217" s="788">
        <f t="shared" ca="1" si="89"/>
        <v>9.1330625169834451E-2</v>
      </c>
      <c r="X217" s="788">
        <f t="shared" ca="1" si="83"/>
        <v>0.1682571398004464</v>
      </c>
      <c r="Y217" s="788">
        <f t="shared" ca="1" si="83"/>
        <v>0.11767959632091575</v>
      </c>
      <c r="Z217" s="788" t="e">
        <f t="shared" ca="1" si="83"/>
        <v>#N/A</v>
      </c>
      <c r="AA217" s="788" t="e">
        <f t="shared" ca="1" si="83"/>
        <v>#N/A</v>
      </c>
      <c r="AB217" s="788" t="e">
        <f t="shared" ca="1" si="84"/>
        <v>#N/A</v>
      </c>
      <c r="AC217" s="788">
        <f t="shared" ca="1" si="84"/>
        <v>6.2134792452830191E-2</v>
      </c>
      <c r="AD217" s="788">
        <f t="shared" ca="1" si="84"/>
        <v>2.6750067922388057E-2</v>
      </c>
      <c r="AE217" s="788">
        <f t="shared" ca="1" si="85"/>
        <v>2.77890605344134E-2</v>
      </c>
      <c r="AF217" s="788" t="e">
        <f t="shared" ca="1" si="85"/>
        <v>#N/A</v>
      </c>
      <c r="AG217" s="788" t="e">
        <f t="shared" ca="1" si="85"/>
        <v>#N/A</v>
      </c>
      <c r="AH217" s="788" t="e">
        <f t="shared" ca="1" si="85"/>
        <v>#N/A</v>
      </c>
      <c r="AI217" s="788" t="e">
        <f t="shared" ca="1" si="85"/>
        <v>#N/A</v>
      </c>
      <c r="AJ217" s="788" t="e">
        <f t="shared" ca="1" si="85"/>
        <v>#N/A</v>
      </c>
      <c r="AK217" s="788" t="e">
        <f t="shared" ca="1" si="85"/>
        <v>#N/A</v>
      </c>
      <c r="AL217" s="788">
        <f t="shared" ca="1" si="85"/>
        <v>2.6750067922388057E-2</v>
      </c>
    </row>
    <row r="218" spans="1:38" s="489" customFormat="1" ht="12.75" outlineLevel="2">
      <c r="A218" s="1126"/>
      <c r="B218" s="1126"/>
      <c r="D218" s="492" t="s">
        <v>45</v>
      </c>
      <c r="E218" s="493" t="s">
        <v>750</v>
      </c>
      <c r="F218" s="791">
        <f t="shared" ref="F218:W218" ca="1" si="90">F184+F209+F200</f>
        <v>5.3881897731722166E-6</v>
      </c>
      <c r="G218" s="791">
        <f t="shared" ca="1" si="90"/>
        <v>5.4441912219290288E-6</v>
      </c>
      <c r="H218" s="791">
        <f t="shared" ca="1" si="90"/>
        <v>5.7671027203393696E-6</v>
      </c>
      <c r="I218" s="791">
        <f t="shared" ca="1" si="90"/>
        <v>4.262754394350717E-6</v>
      </c>
      <c r="J218" s="791">
        <f t="shared" ca="1" si="90"/>
        <v>9.9999999999999995E-7</v>
      </c>
      <c r="K218" s="791">
        <f t="shared" ca="1" si="81"/>
        <v>9.9999999999999995E-7</v>
      </c>
      <c r="L218" s="791">
        <f t="shared" ca="1" si="90"/>
        <v>6.5620600000000022E-4</v>
      </c>
      <c r="M218" s="791">
        <f t="shared" ca="1" si="90"/>
        <v>-1.2879359999999997E-3</v>
      </c>
      <c r="N218" s="791">
        <f t="shared" ca="1" si="90"/>
        <v>-1.34235E-3</v>
      </c>
      <c r="O218" s="791">
        <f t="shared" ca="1" si="90"/>
        <v>0</v>
      </c>
      <c r="P218" s="791">
        <f t="shared" ca="1" si="90"/>
        <v>-1.0723999999999998E-3</v>
      </c>
      <c r="Q218" s="791">
        <f t="shared" ca="1" si="90"/>
        <v>-1.3338E-3</v>
      </c>
      <c r="R218" s="791">
        <f t="shared" ca="1" si="90"/>
        <v>1.8891629463207855E-4</v>
      </c>
      <c r="S218" s="791">
        <f t="shared" ca="1" si="90"/>
        <v>0</v>
      </c>
      <c r="T218" s="791">
        <f t="shared" ca="1" si="90"/>
        <v>0</v>
      </c>
      <c r="U218" s="791">
        <f t="shared" ca="1" si="90"/>
        <v>0</v>
      </c>
      <c r="V218" s="791">
        <f t="shared" ca="1" si="82"/>
        <v>0</v>
      </c>
      <c r="W218" s="791">
        <f t="shared" ca="1" si="90"/>
        <v>-1.8040000000000011E-3</v>
      </c>
      <c r="X218" s="791">
        <f t="shared" ca="1" si="83"/>
        <v>1.0190000000000001E-4</v>
      </c>
      <c r="Y218" s="791">
        <f t="shared" ca="1" si="83"/>
        <v>-1.6182999999999999E-4</v>
      </c>
      <c r="Z218" s="791" t="e">
        <f t="shared" ca="1" si="83"/>
        <v>#N/A</v>
      </c>
      <c r="AA218" s="791" t="e">
        <f t="shared" ca="1" si="83"/>
        <v>#N/A</v>
      </c>
      <c r="AB218" s="791" t="e">
        <f t="shared" ca="1" si="84"/>
        <v>#N/A</v>
      </c>
      <c r="AC218" s="791">
        <f t="shared" ca="1" si="84"/>
        <v>0</v>
      </c>
      <c r="AD218" s="791">
        <f t="shared" ca="1" si="84"/>
        <v>0</v>
      </c>
      <c r="AE218" s="791">
        <f t="shared" ca="1" si="85"/>
        <v>0</v>
      </c>
      <c r="AF218" s="791" t="e">
        <f t="shared" ca="1" si="85"/>
        <v>#N/A</v>
      </c>
      <c r="AG218" s="791" t="e">
        <f t="shared" ca="1" si="85"/>
        <v>#N/A</v>
      </c>
      <c r="AH218" s="791" t="e">
        <f t="shared" ca="1" si="85"/>
        <v>#N/A</v>
      </c>
      <c r="AI218" s="791" t="e">
        <f t="shared" ca="1" si="85"/>
        <v>#N/A</v>
      </c>
      <c r="AJ218" s="791" t="e">
        <f t="shared" ca="1" si="85"/>
        <v>#N/A</v>
      </c>
      <c r="AK218" s="791" t="e">
        <f t="shared" ca="1" si="85"/>
        <v>#N/A</v>
      </c>
      <c r="AL218" s="791">
        <f t="shared" ca="1" si="85"/>
        <v>0</v>
      </c>
    </row>
    <row r="219" spans="1:38" s="489" customFormat="1" ht="12.75" outlineLevel="2">
      <c r="A219" s="1126"/>
      <c r="B219" s="1126"/>
      <c r="D219" s="488"/>
      <c r="E219" s="488"/>
    </row>
    <row r="220" spans="1:38" s="489" customFormat="1" ht="12.75" outlineLevel="1">
      <c r="A220" s="1126"/>
      <c r="B220" s="1126"/>
      <c r="D220" s="488"/>
      <c r="E220" s="488"/>
    </row>
    <row r="221" spans="1:38" s="765" customFormat="1" ht="17.25" outlineLevel="1">
      <c r="A221" s="765" t="s">
        <v>771</v>
      </c>
      <c r="D221" s="766"/>
      <c r="E221" s="766"/>
    </row>
    <row r="222" spans="1:38" s="489" customFormat="1" ht="12.75" outlineLevel="2">
      <c r="A222" s="1126"/>
      <c r="B222" s="1126"/>
      <c r="D222" s="488"/>
      <c r="E222" s="488"/>
      <c r="Q222" s="784"/>
    </row>
    <row r="223" spans="1:38" s="489" customFormat="1" ht="12.75" outlineLevel="2">
      <c r="A223" s="1126"/>
      <c r="B223" s="1126"/>
      <c r="D223" s="783" t="s">
        <v>755</v>
      </c>
      <c r="E223" s="488"/>
      <c r="S223" s="784"/>
    </row>
    <row r="224" spans="1:38" s="489" customFormat="1" ht="12.75" outlineLevel="2">
      <c r="A224" s="1132">
        <f>ROW(Diesel!$A$10)</f>
        <v>10</v>
      </c>
      <c r="B224" s="1126">
        <f>COLUMN(Diesel!$C$10)</f>
        <v>3</v>
      </c>
      <c r="D224" s="495" t="s">
        <v>2386</v>
      </c>
      <c r="E224" s="491"/>
      <c r="F224" s="2305">
        <f ca="1">IF(F$12&lt;&gt;"",INDIRECT(ADDRESS($A224,$B224,,,F$12)),0)</f>
        <v>0</v>
      </c>
      <c r="G224" s="2305">
        <f t="shared" ref="G224:AL224" ca="1" si="91">IF(G$12&lt;&gt;"",INDIRECT(ADDRESS($A224,$B224,,,G$12)),0)</f>
        <v>0</v>
      </c>
      <c r="H224" s="2305">
        <f t="shared" ca="1" si="91"/>
        <v>0</v>
      </c>
      <c r="I224" s="2305">
        <f t="shared" ca="1" si="91"/>
        <v>0</v>
      </c>
      <c r="J224" s="2305">
        <f t="shared" ca="1" si="91"/>
        <v>0</v>
      </c>
      <c r="K224" s="2305">
        <f t="shared" ca="1" si="91"/>
        <v>0</v>
      </c>
      <c r="L224" s="2305">
        <f t="shared" ca="1" si="91"/>
        <v>0</v>
      </c>
      <c r="M224" s="2305">
        <f t="shared" ca="1" si="91"/>
        <v>0</v>
      </c>
      <c r="N224" s="2306">
        <f t="shared" ca="1" si="91"/>
        <v>0</v>
      </c>
      <c r="O224" s="2306">
        <f t="shared" ca="1" si="91"/>
        <v>0</v>
      </c>
      <c r="P224" s="2306">
        <f t="shared" ca="1" si="91"/>
        <v>0</v>
      </c>
      <c r="Q224" s="2306">
        <f t="shared" ca="1" si="91"/>
        <v>0</v>
      </c>
      <c r="R224" s="2306">
        <f t="shared" ca="1" si="91"/>
        <v>0</v>
      </c>
      <c r="S224" s="2306">
        <f t="shared" ca="1" si="91"/>
        <v>0</v>
      </c>
      <c r="T224" s="2306">
        <f t="shared" ca="1" si="91"/>
        <v>0</v>
      </c>
      <c r="U224" s="2306">
        <f t="shared" ca="1" si="91"/>
        <v>0</v>
      </c>
      <c r="V224" s="2306">
        <f t="shared" ca="1" si="91"/>
        <v>0</v>
      </c>
      <c r="W224" s="2306">
        <f t="shared" ca="1" si="91"/>
        <v>0</v>
      </c>
      <c r="X224" s="2306">
        <f t="shared" ca="1" si="91"/>
        <v>0</v>
      </c>
      <c r="Y224" s="2306">
        <f t="shared" ca="1" si="91"/>
        <v>0</v>
      </c>
      <c r="Z224" s="2306">
        <f t="shared" ca="1" si="91"/>
        <v>0</v>
      </c>
      <c r="AA224" s="2306">
        <f t="shared" ca="1" si="91"/>
        <v>0</v>
      </c>
      <c r="AB224" s="2306">
        <f t="shared" ca="1" si="91"/>
        <v>0</v>
      </c>
      <c r="AC224" s="2306">
        <f t="shared" ca="1" si="91"/>
        <v>0</v>
      </c>
      <c r="AD224" s="2306">
        <f t="shared" ca="1" si="91"/>
        <v>0</v>
      </c>
      <c r="AE224" s="2306">
        <f t="shared" ca="1" si="91"/>
        <v>0</v>
      </c>
      <c r="AF224" s="2306">
        <f t="shared" ca="1" si="91"/>
        <v>0</v>
      </c>
      <c r="AG224" s="2306">
        <f t="shared" ca="1" si="91"/>
        <v>0</v>
      </c>
      <c r="AH224" s="2306">
        <f t="shared" ca="1" si="91"/>
        <v>0</v>
      </c>
      <c r="AI224" s="2306">
        <f t="shared" ca="1" si="91"/>
        <v>0</v>
      </c>
      <c r="AJ224" s="2306">
        <f t="shared" ca="1" si="91"/>
        <v>0</v>
      </c>
      <c r="AK224" s="2306">
        <f t="shared" ca="1" si="91"/>
        <v>0</v>
      </c>
      <c r="AL224" s="2306">
        <f t="shared" ca="1" si="91"/>
        <v>0</v>
      </c>
    </row>
    <row r="225" spans="1:38" s="489" customFormat="1" ht="12.75" outlineLevel="2">
      <c r="A225" s="1126">
        <f>ROW('Naturgas komprimering'!$A$92)</f>
        <v>92</v>
      </c>
      <c r="B225" s="1126">
        <f>COLUMN('Naturgas komprimering'!$D$1)+chosenYear-1</f>
        <v>4</v>
      </c>
      <c r="D225" s="714" t="s">
        <v>753</v>
      </c>
      <c r="E225" s="715" t="s">
        <v>754</v>
      </c>
      <c r="F225" s="1508">
        <f t="shared" ref="F225:AL225" ca="1" si="92">SUM(F20:F26)</f>
        <v>122.83706250981901</v>
      </c>
      <c r="G225" s="1508">
        <f t="shared" ca="1" si="92"/>
        <v>124.11375352315923</v>
      </c>
      <c r="H225" s="1508">
        <f t="shared" ca="1" si="92"/>
        <v>131.47531679119129</v>
      </c>
      <c r="I225" s="1508">
        <f t="shared" ca="1" si="92"/>
        <v>97.179989949498122</v>
      </c>
      <c r="J225" s="1508">
        <f t="shared" ca="1" si="92"/>
        <v>69.899223753187385</v>
      </c>
      <c r="K225" s="1508">
        <f ca="1">SUM(K20:K26)</f>
        <v>71.804079542410605</v>
      </c>
      <c r="L225" s="1508">
        <f t="shared" ca="1" si="92"/>
        <v>150.20277810288218</v>
      </c>
      <c r="M225" s="1508">
        <f t="shared" ca="1" si="92"/>
        <v>153.58130164075624</v>
      </c>
      <c r="N225" s="1508">
        <f t="shared" ca="1" si="92"/>
        <v>109.78764062882706</v>
      </c>
      <c r="O225" s="1508">
        <f t="shared" ca="1" si="92"/>
        <v>237.5441917282908</v>
      </c>
      <c r="P225" s="1508">
        <f t="shared" ca="1" si="92"/>
        <v>174.18965884443546</v>
      </c>
      <c r="Q225" s="1508">
        <f t="shared" ca="1" si="92"/>
        <v>122.28282810171446</v>
      </c>
      <c r="R225" s="1508">
        <f t="shared" ca="1" si="92"/>
        <v>178.33797051875808</v>
      </c>
      <c r="S225" s="1508">
        <f t="shared" ca="1" si="92"/>
        <v>456.50674206554686</v>
      </c>
      <c r="T225" s="1508">
        <f t="shared" ca="1" si="92"/>
        <v>210.06924731306117</v>
      </c>
      <c r="U225" s="1508">
        <f t="shared" ca="1" si="92"/>
        <v>163.11879813839994</v>
      </c>
      <c r="V225" s="1508">
        <f t="shared" ca="1" si="92"/>
        <v>518.39108283878568</v>
      </c>
      <c r="W225" s="1508">
        <f t="shared" ca="1" si="92"/>
        <v>198.27601049636851</v>
      </c>
      <c r="X225" s="1508">
        <f t="shared" ca="1" si="92"/>
        <v>95.838009925783822</v>
      </c>
      <c r="Y225" s="1508">
        <f t="shared" ca="1" si="92"/>
        <v>71.415988943548911</v>
      </c>
      <c r="Z225" s="1508">
        <f t="shared" ca="1" si="92"/>
        <v>0</v>
      </c>
      <c r="AA225" s="1508">
        <f t="shared" ca="1" si="92"/>
        <v>0</v>
      </c>
      <c r="AB225" s="1508">
        <f t="shared" ca="1" si="92"/>
        <v>0</v>
      </c>
      <c r="AC225" s="1508">
        <f t="shared" ca="1" si="92"/>
        <v>28.441450277315031</v>
      </c>
      <c r="AD225" s="1508">
        <f t="shared" ca="1" si="92"/>
        <v>65.475944111002164</v>
      </c>
      <c r="AE225" s="1508">
        <f t="shared" ca="1" si="92"/>
        <v>40.902743399463397</v>
      </c>
      <c r="AF225" s="1508">
        <f t="shared" ca="1" si="92"/>
        <v>0</v>
      </c>
      <c r="AG225" s="1508">
        <f t="shared" ca="1" si="92"/>
        <v>0</v>
      </c>
      <c r="AH225" s="1508">
        <f t="shared" ca="1" si="92"/>
        <v>0</v>
      </c>
      <c r="AI225" s="1508">
        <f t="shared" ca="1" si="92"/>
        <v>0</v>
      </c>
      <c r="AJ225" s="1508">
        <f t="shared" ca="1" si="92"/>
        <v>0</v>
      </c>
      <c r="AK225" s="1508">
        <f t="shared" ca="1" si="92"/>
        <v>0</v>
      </c>
      <c r="AL225" s="1508">
        <f t="shared" ca="1" si="92"/>
        <v>48.120874587603993</v>
      </c>
    </row>
    <row r="226" spans="1:38" s="489" customFormat="1" ht="12.75" outlineLevel="2">
      <c r="A226" s="1126">
        <f>ROW('Naturgas komprimering'!$A$97)</f>
        <v>97</v>
      </c>
      <c r="B226" s="1126">
        <f>COLUMN('Naturgas komprimering'!$D$1)+chosenYear-1</f>
        <v>4</v>
      </c>
      <c r="D226" s="714" t="s">
        <v>752</v>
      </c>
      <c r="E226" s="715" t="s">
        <v>754</v>
      </c>
      <c r="F226" s="1592">
        <f t="shared" ref="F226:AL226" ca="1" si="93">F24</f>
        <v>0</v>
      </c>
      <c r="G226" s="1592">
        <f t="shared" ca="1" si="93"/>
        <v>0</v>
      </c>
      <c r="H226" s="1592">
        <f t="shared" ca="1" si="93"/>
        <v>0</v>
      </c>
      <c r="I226" s="1592">
        <f t="shared" ca="1" si="93"/>
        <v>0</v>
      </c>
      <c r="J226" s="1592">
        <f t="shared" ca="1" si="93"/>
        <v>0</v>
      </c>
      <c r="K226" s="1592">
        <f ca="1">K24</f>
        <v>0</v>
      </c>
      <c r="L226" s="1592">
        <f t="shared" ca="1" si="93"/>
        <v>0</v>
      </c>
      <c r="M226" s="1592">
        <f t="shared" ca="1" si="93"/>
        <v>0</v>
      </c>
      <c r="N226" s="1592">
        <f t="shared" ca="1" si="93"/>
        <v>0</v>
      </c>
      <c r="O226" s="1592">
        <f t="shared" ca="1" si="93"/>
        <v>-25.234110462990856</v>
      </c>
      <c r="P226" s="1592">
        <f t="shared" ca="1" si="93"/>
        <v>0</v>
      </c>
      <c r="Q226" s="1592">
        <f t="shared" ca="1" si="93"/>
        <v>0</v>
      </c>
      <c r="R226" s="1592">
        <f t="shared" ca="1" si="93"/>
        <v>0</v>
      </c>
      <c r="S226" s="1592">
        <f t="shared" ca="1" si="93"/>
        <v>-77.212721512328756</v>
      </c>
      <c r="T226" s="1592">
        <f t="shared" ca="1" si="93"/>
        <v>0</v>
      </c>
      <c r="U226" s="1592">
        <f t="shared" ca="1" si="93"/>
        <v>0</v>
      </c>
      <c r="V226" s="1592">
        <f t="shared" ca="1" si="93"/>
        <v>0</v>
      </c>
      <c r="W226" s="1592">
        <f t="shared" ca="1" si="93"/>
        <v>0</v>
      </c>
      <c r="X226" s="1592">
        <f t="shared" ca="1" si="93"/>
        <v>0</v>
      </c>
      <c r="Y226" s="1592">
        <f t="shared" ca="1" si="93"/>
        <v>0</v>
      </c>
      <c r="Z226" s="1592">
        <f t="shared" ca="1" si="93"/>
        <v>0</v>
      </c>
      <c r="AA226" s="1592">
        <f t="shared" ca="1" si="93"/>
        <v>0</v>
      </c>
      <c r="AB226" s="1592">
        <f t="shared" ca="1" si="93"/>
        <v>0</v>
      </c>
      <c r="AC226" s="1592">
        <f t="shared" ca="1" si="93"/>
        <v>0</v>
      </c>
      <c r="AD226" s="1592">
        <f t="shared" ca="1" si="93"/>
        <v>0</v>
      </c>
      <c r="AE226" s="1592">
        <f t="shared" ca="1" si="93"/>
        <v>0</v>
      </c>
      <c r="AF226" s="1592">
        <f t="shared" ca="1" si="93"/>
        <v>0</v>
      </c>
      <c r="AG226" s="1592">
        <f t="shared" ca="1" si="93"/>
        <v>0</v>
      </c>
      <c r="AH226" s="1592">
        <f t="shared" ca="1" si="93"/>
        <v>0</v>
      </c>
      <c r="AI226" s="1592">
        <f t="shared" ca="1" si="93"/>
        <v>0</v>
      </c>
      <c r="AJ226" s="1592">
        <f t="shared" ca="1" si="93"/>
        <v>0</v>
      </c>
      <c r="AK226" s="1592">
        <f t="shared" ca="1" si="93"/>
        <v>0</v>
      </c>
      <c r="AL226" s="1592">
        <f t="shared" ca="1" si="93"/>
        <v>0</v>
      </c>
    </row>
    <row r="227" spans="1:38" s="489" customFormat="1" ht="12.75" outlineLevel="2">
      <c r="A227" s="1126"/>
      <c r="B227" s="1126"/>
      <c r="D227" s="802" t="s">
        <v>346</v>
      </c>
      <c r="E227" s="803" t="s">
        <v>29</v>
      </c>
      <c r="F227" s="804">
        <f t="shared" ref="F227:M227" si="94">IF(F$12&lt;&gt;"",F225/(F225-F226),1)</f>
        <v>1</v>
      </c>
      <c r="G227" s="804">
        <f t="shared" si="94"/>
        <v>1</v>
      </c>
      <c r="H227" s="804">
        <f t="shared" si="94"/>
        <v>1</v>
      </c>
      <c r="I227" s="804">
        <f t="shared" si="94"/>
        <v>1</v>
      </c>
      <c r="J227" s="804">
        <f t="shared" ca="1" si="94"/>
        <v>1</v>
      </c>
      <c r="K227" s="804">
        <f t="shared" ca="1" si="94"/>
        <v>1</v>
      </c>
      <c r="L227" s="804">
        <f t="shared" si="94"/>
        <v>1</v>
      </c>
      <c r="M227" s="804">
        <f t="shared" si="94"/>
        <v>1</v>
      </c>
      <c r="N227" s="804">
        <f ca="1">IF(N224="Economic",IF(N$12&lt;&gt;"",N225/(N225-N226),1),1)</f>
        <v>1</v>
      </c>
      <c r="O227" s="804">
        <f t="shared" ref="O227:AL227" ca="1" si="95">IF(O224="Economic",IF(O$12&lt;&gt;"",O225/(O225-O226),1),1)</f>
        <v>1</v>
      </c>
      <c r="P227" s="804">
        <f t="shared" ca="1" si="95"/>
        <v>1</v>
      </c>
      <c r="Q227" s="804">
        <f t="shared" ca="1" si="95"/>
        <v>1</v>
      </c>
      <c r="R227" s="804">
        <f t="shared" ca="1" si="95"/>
        <v>1</v>
      </c>
      <c r="S227" s="804">
        <f t="shared" ca="1" si="95"/>
        <v>1</v>
      </c>
      <c r="T227" s="804">
        <f t="shared" ca="1" si="95"/>
        <v>1</v>
      </c>
      <c r="U227" s="804">
        <f t="shared" ca="1" si="95"/>
        <v>1</v>
      </c>
      <c r="V227" s="804">
        <f t="shared" ca="1" si="95"/>
        <v>1</v>
      </c>
      <c r="W227" s="804">
        <f t="shared" ca="1" si="95"/>
        <v>1</v>
      </c>
      <c r="X227" s="804">
        <f t="shared" ca="1" si="95"/>
        <v>1</v>
      </c>
      <c r="Y227" s="804">
        <f t="shared" ca="1" si="95"/>
        <v>1</v>
      </c>
      <c r="Z227" s="804">
        <f t="shared" ca="1" si="95"/>
        <v>1</v>
      </c>
      <c r="AA227" s="804">
        <f t="shared" ca="1" si="95"/>
        <v>1</v>
      </c>
      <c r="AB227" s="804">
        <f t="shared" ca="1" si="95"/>
        <v>1</v>
      </c>
      <c r="AC227" s="804">
        <f t="shared" ca="1" si="95"/>
        <v>1</v>
      </c>
      <c r="AD227" s="804">
        <f t="shared" ca="1" si="95"/>
        <v>1</v>
      </c>
      <c r="AE227" s="804">
        <f t="shared" ca="1" si="95"/>
        <v>1</v>
      </c>
      <c r="AF227" s="804">
        <f t="shared" ca="1" si="95"/>
        <v>1</v>
      </c>
      <c r="AG227" s="804">
        <f t="shared" ca="1" si="95"/>
        <v>1</v>
      </c>
      <c r="AH227" s="804">
        <f t="shared" ca="1" si="95"/>
        <v>1</v>
      </c>
      <c r="AI227" s="804">
        <f t="shared" ca="1" si="95"/>
        <v>1</v>
      </c>
      <c r="AJ227" s="804">
        <f t="shared" ca="1" si="95"/>
        <v>1</v>
      </c>
      <c r="AK227" s="804">
        <f t="shared" ca="1" si="95"/>
        <v>1</v>
      </c>
      <c r="AL227" s="804">
        <f t="shared" ca="1" si="95"/>
        <v>1</v>
      </c>
    </row>
    <row r="228" spans="1:38" s="489" customFormat="1" ht="12.75" outlineLevel="2">
      <c r="A228" s="1126"/>
      <c r="B228" s="1126"/>
      <c r="D228" s="714"/>
      <c r="E228" s="715"/>
      <c r="F228" s="805"/>
      <c r="G228" s="805"/>
      <c r="H228" s="805"/>
      <c r="I228" s="805"/>
      <c r="J228" s="805"/>
      <c r="K228" s="805"/>
      <c r="L228" s="805"/>
      <c r="M228" s="805"/>
      <c r="N228" s="805"/>
      <c r="O228" s="805"/>
      <c r="P228" s="805"/>
      <c r="Q228" s="784"/>
      <c r="R228" s="805"/>
      <c r="S228" s="805"/>
      <c r="T228" s="805"/>
      <c r="U228" s="805"/>
      <c r="V228" s="805"/>
      <c r="W228" s="805"/>
      <c r="X228" s="805"/>
      <c r="Y228" s="805"/>
      <c r="Z228" s="805"/>
      <c r="AA228" s="805"/>
      <c r="AB228" s="805"/>
      <c r="AC228" s="805"/>
      <c r="AD228" s="805"/>
      <c r="AE228" s="805"/>
      <c r="AF228" s="805"/>
      <c r="AG228" s="805"/>
      <c r="AH228" s="805"/>
      <c r="AI228" s="805"/>
      <c r="AJ228" s="805"/>
      <c r="AK228" s="805"/>
      <c r="AL228" s="805"/>
    </row>
    <row r="229" spans="1:38" s="489" customFormat="1" ht="12.75" outlineLevel="2">
      <c r="A229" s="1126"/>
      <c r="B229" s="1126"/>
      <c r="D229" s="806" t="s">
        <v>757</v>
      </c>
      <c r="E229" s="715"/>
      <c r="F229" s="805"/>
      <c r="G229" s="805"/>
      <c r="H229" s="805"/>
      <c r="I229" s="805"/>
      <c r="J229" s="805"/>
      <c r="K229" s="805"/>
      <c r="L229" s="805"/>
      <c r="M229" s="805"/>
      <c r="N229" s="805"/>
      <c r="O229" s="805"/>
      <c r="P229" s="805"/>
      <c r="Q229" s="805"/>
      <c r="R229" s="805"/>
      <c r="S229" s="805"/>
      <c r="T229" s="805"/>
      <c r="U229" s="805"/>
      <c r="V229" s="805"/>
      <c r="W229" s="805"/>
      <c r="X229" s="805"/>
      <c r="Y229" s="805"/>
      <c r="Z229" s="805"/>
      <c r="AA229" s="805"/>
      <c r="AB229" s="805"/>
      <c r="AC229" s="805"/>
      <c r="AD229" s="805"/>
      <c r="AE229" s="805"/>
      <c r="AF229" s="805"/>
      <c r="AG229" s="805"/>
      <c r="AH229" s="805"/>
      <c r="AI229" s="805"/>
      <c r="AJ229" s="805"/>
      <c r="AK229" s="805"/>
      <c r="AL229" s="805"/>
    </row>
    <row r="230" spans="1:38" s="489" customFormat="1" ht="12.75" outlineLevel="2">
      <c r="A230" s="1126">
        <f>ROW('Naturgas komprimering'!$A$86)</f>
        <v>86</v>
      </c>
      <c r="B230" s="1126">
        <f>COLUMN('Naturgas komprimering'!$D$1)+chosenYear-1</f>
        <v>4</v>
      </c>
      <c r="D230" s="710" t="s">
        <v>758</v>
      </c>
      <c r="E230" s="1626" t="s">
        <v>736</v>
      </c>
      <c r="F230" s="1627">
        <f ca="1">IF(F$12&lt;&gt;"",INDIRECT(ADDRESS(+$A230,$B230,,,F$12)),1)</f>
        <v>1</v>
      </c>
      <c r="G230" s="1627">
        <f t="shared" ref="G230:AL230" ca="1" si="96">IF(G$12&lt;&gt;"",INDIRECT(ADDRESS(+$A230,$B230,,,G$12)),1)</f>
        <v>1</v>
      </c>
      <c r="H230" s="1627">
        <f t="shared" ca="1" si="96"/>
        <v>1</v>
      </c>
      <c r="I230" s="1627">
        <f t="shared" ca="1" si="96"/>
        <v>1</v>
      </c>
      <c r="J230" s="1627">
        <f t="shared" ca="1" si="96"/>
        <v>1</v>
      </c>
      <c r="K230" s="1627">
        <f t="shared" ca="1" si="96"/>
        <v>0.93500000000000005</v>
      </c>
      <c r="L230" s="1627">
        <f t="shared" ca="1" si="96"/>
        <v>1</v>
      </c>
      <c r="M230" s="1627">
        <f t="shared" ca="1" si="96"/>
        <v>1</v>
      </c>
      <c r="N230" s="1627">
        <f t="shared" ca="1" si="96"/>
        <v>1</v>
      </c>
      <c r="O230" s="1627">
        <f t="shared" ca="1" si="96"/>
        <v>0.52631578947368418</v>
      </c>
      <c r="P230" s="1627">
        <f t="shared" ca="1" si="96"/>
        <v>1</v>
      </c>
      <c r="Q230" s="1627">
        <f t="shared" ca="1" si="96"/>
        <v>1</v>
      </c>
      <c r="R230" s="1627">
        <f t="shared" ca="1" si="96"/>
        <v>1</v>
      </c>
      <c r="S230" s="1627">
        <f t="shared" ca="1" si="96"/>
        <v>0.51709722222222221</v>
      </c>
      <c r="T230" s="1627">
        <f t="shared" ca="1" si="96"/>
        <v>0.9</v>
      </c>
      <c r="U230" s="1627">
        <f t="shared" ca="1" si="96"/>
        <v>0.9</v>
      </c>
      <c r="V230" s="1627">
        <f t="shared" ca="1" si="96"/>
        <v>0.95</v>
      </c>
      <c r="W230" s="1627">
        <f t="shared" ca="1" si="96"/>
        <v>1</v>
      </c>
      <c r="X230" s="1627">
        <f t="shared" ca="1" si="96"/>
        <v>1</v>
      </c>
      <c r="Y230" s="1627">
        <f t="shared" ca="1" si="96"/>
        <v>1</v>
      </c>
      <c r="Z230" s="1627">
        <f t="shared" ca="1" si="96"/>
        <v>1</v>
      </c>
      <c r="AA230" s="1627">
        <f t="shared" ca="1" si="96"/>
        <v>1</v>
      </c>
      <c r="AB230" s="1627">
        <f t="shared" ca="1" si="96"/>
        <v>1</v>
      </c>
      <c r="AC230" s="1627">
        <f t="shared" ca="1" si="96"/>
        <v>1</v>
      </c>
      <c r="AD230" s="1627">
        <f t="shared" ca="1" si="96"/>
        <v>1</v>
      </c>
      <c r="AE230" s="1627">
        <f t="shared" ca="1" si="96"/>
        <v>1</v>
      </c>
      <c r="AF230" s="1627">
        <f t="shared" ca="1" si="96"/>
        <v>1</v>
      </c>
      <c r="AG230" s="1627">
        <f t="shared" ca="1" si="96"/>
        <v>1</v>
      </c>
      <c r="AH230" s="1627">
        <f t="shared" ca="1" si="96"/>
        <v>1</v>
      </c>
      <c r="AI230" s="1627">
        <f t="shared" ca="1" si="96"/>
        <v>1</v>
      </c>
      <c r="AJ230" s="1627">
        <f t="shared" ca="1" si="96"/>
        <v>1</v>
      </c>
      <c r="AK230" s="1627">
        <f t="shared" ca="1" si="96"/>
        <v>1</v>
      </c>
      <c r="AL230" s="1627">
        <f t="shared" ca="1" si="96"/>
        <v>1</v>
      </c>
    </row>
    <row r="231" spans="1:38" s="489" customFormat="1" ht="12.75" outlineLevel="2">
      <c r="A231" s="1126"/>
      <c r="B231" s="1126"/>
      <c r="D231" s="494" t="s">
        <v>896</v>
      </c>
      <c r="E231" s="807"/>
      <c r="F231" s="808"/>
      <c r="G231" s="808"/>
      <c r="H231" s="808"/>
      <c r="I231" s="808"/>
      <c r="J231" s="808"/>
      <c r="K231" s="808"/>
      <c r="L231" s="808"/>
      <c r="M231" s="808"/>
      <c r="N231" s="808"/>
      <c r="O231" s="808"/>
      <c r="P231" s="808"/>
      <c r="Q231" s="808"/>
      <c r="R231" s="808"/>
      <c r="S231" s="808"/>
      <c r="T231" s="808"/>
      <c r="U231" s="808"/>
      <c r="V231" s="808"/>
      <c r="W231" s="808"/>
      <c r="X231" s="808"/>
      <c r="Y231" s="808"/>
      <c r="Z231" s="808"/>
      <c r="AA231" s="808"/>
      <c r="AB231" s="808"/>
      <c r="AC231" s="808"/>
      <c r="AD231" s="808"/>
      <c r="AE231" s="808"/>
      <c r="AF231" s="808"/>
      <c r="AG231" s="808"/>
      <c r="AH231" s="808"/>
      <c r="AI231" s="808"/>
      <c r="AJ231" s="808"/>
      <c r="AK231" s="808"/>
      <c r="AL231" s="808"/>
    </row>
    <row r="232" spans="1:38" s="489" customFormat="1" ht="12.75" outlineLevel="2">
      <c r="A232" s="1126"/>
      <c r="B232" s="1126"/>
      <c r="D232" s="773"/>
      <c r="E232" s="715"/>
      <c r="F232" s="773"/>
      <c r="G232" s="773"/>
      <c r="H232" s="773"/>
      <c r="I232" s="773"/>
      <c r="J232" s="773"/>
      <c r="K232" s="773"/>
      <c r="L232" s="773"/>
      <c r="M232" s="773"/>
      <c r="N232" s="773"/>
      <c r="O232" s="773"/>
      <c r="P232" s="773"/>
      <c r="Q232" s="773"/>
      <c r="R232" s="773"/>
      <c r="S232" s="773"/>
      <c r="T232" s="773"/>
      <c r="U232" s="773"/>
      <c r="V232" s="773"/>
      <c r="W232" s="773"/>
      <c r="X232" s="773"/>
      <c r="Y232" s="773"/>
      <c r="Z232" s="773"/>
      <c r="AA232" s="773"/>
      <c r="AB232" s="773"/>
      <c r="AC232" s="773"/>
      <c r="AD232" s="773"/>
      <c r="AE232" s="773"/>
      <c r="AF232" s="773"/>
      <c r="AG232" s="773"/>
      <c r="AH232" s="773"/>
      <c r="AI232" s="773"/>
      <c r="AJ232" s="773"/>
      <c r="AK232" s="773"/>
      <c r="AL232" s="773"/>
    </row>
    <row r="233" spans="1:38" s="489" customFormat="1" ht="12.75" outlineLevel="2">
      <c r="A233" s="1126"/>
      <c r="B233" s="1126"/>
      <c r="D233" s="773"/>
      <c r="E233" s="715"/>
      <c r="F233" s="773"/>
      <c r="G233" s="773"/>
      <c r="H233" s="773"/>
      <c r="I233" s="773"/>
      <c r="J233" s="773"/>
      <c r="K233" s="773"/>
      <c r="L233" s="773"/>
      <c r="M233" s="773"/>
      <c r="N233" s="773"/>
      <c r="O233" s="773"/>
      <c r="P233" s="773"/>
      <c r="Q233" s="773"/>
      <c r="R233" s="773"/>
      <c r="S233" s="773"/>
      <c r="T233" s="773"/>
      <c r="U233" s="773"/>
      <c r="V233" s="773"/>
      <c r="W233" s="773"/>
      <c r="X233" s="773"/>
      <c r="Y233" s="773"/>
      <c r="Z233" s="773"/>
      <c r="AA233" s="773"/>
      <c r="AB233" s="773"/>
      <c r="AC233" s="773"/>
      <c r="AD233" s="773"/>
      <c r="AE233" s="773"/>
      <c r="AF233" s="773"/>
      <c r="AG233" s="773"/>
      <c r="AH233" s="773"/>
      <c r="AI233" s="773"/>
      <c r="AJ233" s="773"/>
      <c r="AK233" s="773"/>
      <c r="AL233" s="773"/>
    </row>
    <row r="234" spans="1:38" s="489" customFormat="1" ht="12.75" outlineLevel="2">
      <c r="A234" s="1126"/>
      <c r="B234" s="1126"/>
      <c r="D234" s="773"/>
      <c r="E234" s="715"/>
      <c r="F234" s="773"/>
      <c r="G234" s="773"/>
      <c r="H234" s="773"/>
      <c r="I234" s="773"/>
      <c r="J234" s="773"/>
      <c r="K234" s="773"/>
      <c r="L234" s="773"/>
      <c r="M234" s="773"/>
      <c r="N234" s="773"/>
      <c r="O234" s="773"/>
      <c r="P234" s="773"/>
      <c r="Q234" s="773"/>
      <c r="R234" s="773"/>
      <c r="S234" s="773"/>
      <c r="T234" s="773"/>
      <c r="U234" s="773"/>
      <c r="V234" s="773"/>
      <c r="W234" s="773"/>
      <c r="X234" s="773"/>
      <c r="Y234" s="773"/>
      <c r="Z234" s="773"/>
      <c r="AA234" s="773"/>
      <c r="AB234" s="773"/>
      <c r="AC234" s="773"/>
      <c r="AD234" s="773"/>
      <c r="AE234" s="773"/>
      <c r="AF234" s="773"/>
      <c r="AG234" s="773"/>
      <c r="AH234" s="773"/>
      <c r="AI234" s="773"/>
      <c r="AJ234" s="773"/>
      <c r="AK234" s="773"/>
      <c r="AL234" s="773"/>
    </row>
    <row r="235" spans="1:38" s="489" customFormat="1" ht="12.75" outlineLevel="2">
      <c r="A235" s="1126"/>
      <c r="B235" s="1126"/>
      <c r="D235" s="773"/>
      <c r="E235" s="715"/>
      <c r="F235" s="773"/>
      <c r="G235" s="773"/>
      <c r="H235" s="773"/>
      <c r="I235" s="773"/>
      <c r="J235" s="773"/>
      <c r="K235" s="773"/>
      <c r="L235" s="773"/>
      <c r="M235" s="773"/>
      <c r="N235" s="773"/>
      <c r="O235" s="773"/>
      <c r="P235" s="773"/>
      <c r="Q235" s="773"/>
      <c r="R235" s="773"/>
      <c r="S235" s="773"/>
      <c r="T235" s="773"/>
      <c r="U235" s="773"/>
      <c r="V235" s="773"/>
      <c r="W235" s="773"/>
      <c r="X235" s="773"/>
      <c r="Y235" s="773"/>
      <c r="Z235" s="773"/>
      <c r="AA235" s="773"/>
      <c r="AB235" s="773"/>
      <c r="AC235" s="773"/>
      <c r="AD235" s="773"/>
      <c r="AE235" s="773"/>
      <c r="AF235" s="773"/>
      <c r="AG235" s="773"/>
      <c r="AH235" s="773"/>
      <c r="AI235" s="773"/>
      <c r="AJ235" s="773"/>
      <c r="AK235" s="773"/>
      <c r="AL235" s="773"/>
    </row>
    <row r="236" spans="1:38" s="489" customFormat="1" ht="12.75" outlineLevel="2">
      <c r="A236" s="1132"/>
      <c r="B236" s="1132"/>
      <c r="D236" s="790" t="s">
        <v>873</v>
      </c>
      <c r="E236" s="492"/>
      <c r="F236" s="774"/>
      <c r="G236" s="774"/>
      <c r="H236" s="774"/>
      <c r="I236" s="774"/>
      <c r="J236" s="774"/>
      <c r="K236" s="774"/>
      <c r="L236" s="774"/>
      <c r="M236" s="774"/>
      <c r="N236" s="774"/>
      <c r="O236" s="774"/>
      <c r="P236" s="774"/>
      <c r="Q236" s="774"/>
      <c r="R236" s="774"/>
      <c r="S236" s="774"/>
      <c r="T236" s="774"/>
      <c r="U236" s="774"/>
      <c r="V236" s="774"/>
      <c r="W236" s="774"/>
      <c r="X236" s="774"/>
      <c r="Y236" s="774"/>
      <c r="Z236" s="774"/>
      <c r="AA236" s="774"/>
      <c r="AB236" s="774"/>
      <c r="AC236" s="774"/>
      <c r="AD236" s="774"/>
      <c r="AE236" s="774"/>
      <c r="AF236" s="774"/>
      <c r="AG236" s="774"/>
      <c r="AH236" s="774"/>
      <c r="AI236" s="774"/>
      <c r="AJ236" s="774"/>
      <c r="AK236" s="774"/>
      <c r="AL236" s="774"/>
    </row>
    <row r="237" spans="1:38" s="489" customFormat="1" ht="12.75" outlineLevel="2">
      <c r="A237" s="1132">
        <f>ROW('Naturgas komprimering'!A59)</f>
        <v>59</v>
      </c>
      <c r="B237" s="1126">
        <f>COLUMN(Diesel!$D$1)+chosenYear-1</f>
        <v>4</v>
      </c>
      <c r="D237" s="714" t="str">
        <f>ProcessEnergy!B5</f>
        <v>EL - peakload</v>
      </c>
      <c r="E237" s="715" t="s">
        <v>345</v>
      </c>
      <c r="F237" s="809">
        <f ca="1">IF(F$12&lt;&gt;"",INDIRECT(ADDRESS($A237,$B237,,,F$12)),0)</f>
        <v>0</v>
      </c>
      <c r="G237" s="809">
        <f t="shared" ref="G237:AI248" ca="1" si="97">IF(G$12&lt;&gt;"",INDIRECT(ADDRESS($A237,$B237,,,G$12)),0)</f>
        <v>0</v>
      </c>
      <c r="H237" s="809">
        <f t="shared" ca="1" si="97"/>
        <v>0</v>
      </c>
      <c r="I237" s="809">
        <f t="shared" ca="1" si="97"/>
        <v>0</v>
      </c>
      <c r="J237" s="809">
        <f t="shared" ca="1" si="97"/>
        <v>0</v>
      </c>
      <c r="K237" s="809">
        <f t="shared" ref="K237:K256" ca="1" si="98">IF(K$12&lt;&gt;"",INDIRECT(ADDRESS($A237,$B237,,,K$12)),0)</f>
        <v>0</v>
      </c>
      <c r="L237" s="809">
        <f t="shared" ca="1" si="97"/>
        <v>0</v>
      </c>
      <c r="M237" s="809">
        <f t="shared" ca="1" si="97"/>
        <v>0</v>
      </c>
      <c r="N237" s="809">
        <f t="shared" ca="1" si="97"/>
        <v>0</v>
      </c>
      <c r="O237" s="809">
        <f t="shared" ca="1" si="97"/>
        <v>0</v>
      </c>
      <c r="P237" s="809">
        <f t="shared" ca="1" si="97"/>
        <v>0</v>
      </c>
      <c r="Q237" s="809">
        <f t="shared" ca="1" si="97"/>
        <v>0</v>
      </c>
      <c r="R237" s="809">
        <f t="shared" ca="1" si="97"/>
        <v>0</v>
      </c>
      <c r="S237" s="809">
        <f t="shared" ca="1" si="97"/>
        <v>0</v>
      </c>
      <c r="T237" s="809">
        <f t="shared" ca="1" si="97"/>
        <v>0</v>
      </c>
      <c r="U237" s="809">
        <f t="shared" ca="1" si="97"/>
        <v>0</v>
      </c>
      <c r="V237" s="809">
        <f t="shared" ref="V237:AH256" ca="1" si="99">IF(V$12&lt;&gt;"",INDIRECT(ADDRESS($A237,$B237,,,V$12)),0)</f>
        <v>0</v>
      </c>
      <c r="W237" s="809">
        <f t="shared" ca="1" si="99"/>
        <v>0</v>
      </c>
      <c r="X237" s="809">
        <f t="shared" ca="1" si="99"/>
        <v>0</v>
      </c>
      <c r="Y237" s="809">
        <f t="shared" ca="1" si="99"/>
        <v>0</v>
      </c>
      <c r="Z237" s="809">
        <f t="shared" ca="1" si="99"/>
        <v>0</v>
      </c>
      <c r="AA237" s="809">
        <f t="shared" ca="1" si="99"/>
        <v>0</v>
      </c>
      <c r="AB237" s="809">
        <f t="shared" ca="1" si="97"/>
        <v>0</v>
      </c>
      <c r="AC237" s="809">
        <f t="shared" ca="1" si="97"/>
        <v>0</v>
      </c>
      <c r="AD237" s="809">
        <f t="shared" ca="1" si="97"/>
        <v>0</v>
      </c>
      <c r="AE237" s="809">
        <f t="shared" ca="1" si="97"/>
        <v>0</v>
      </c>
      <c r="AF237" s="809">
        <f t="shared" ca="1" si="97"/>
        <v>0</v>
      </c>
      <c r="AG237" s="809">
        <f t="shared" ca="1" si="97"/>
        <v>0</v>
      </c>
      <c r="AH237" s="809">
        <f t="shared" ca="1" si="97"/>
        <v>0</v>
      </c>
      <c r="AI237" s="809">
        <f t="shared" ca="1" si="97"/>
        <v>0</v>
      </c>
      <c r="AJ237" s="809">
        <f t="shared" ref="AJ237:AL256" ca="1" si="100">IF(AJ$12&lt;&gt;"",INDIRECT(ADDRESS($A237,$B237,,,AJ$12)),0)</f>
        <v>0</v>
      </c>
      <c r="AK237" s="809">
        <f t="shared" ca="1" si="100"/>
        <v>0</v>
      </c>
      <c r="AL237" s="809">
        <f t="shared" ca="1" si="100"/>
        <v>0</v>
      </c>
    </row>
    <row r="238" spans="1:38" s="489" customFormat="1" ht="12.75" outlineLevel="2">
      <c r="A238" s="1132">
        <f>ROW('Naturgas komprimering'!A60)</f>
        <v>60</v>
      </c>
      <c r="B238" s="1126">
        <f>COLUMN(Diesel!$D$1)+chosenYear-1</f>
        <v>4</v>
      </c>
      <c r="D238" s="714" t="str">
        <f>ProcessEnergy!B6</f>
        <v>El - baseload</v>
      </c>
      <c r="E238" s="715" t="s">
        <v>345</v>
      </c>
      <c r="F238" s="809">
        <f t="shared" ref="F238:U256" ca="1" si="101">IF(F$12&lt;&gt;"",INDIRECT(ADDRESS($A238,$B238,,,F$12)),0)</f>
        <v>0</v>
      </c>
      <c r="G238" s="809">
        <f t="shared" ca="1" si="97"/>
        <v>0</v>
      </c>
      <c r="H238" s="809">
        <f t="shared" ca="1" si="97"/>
        <v>0</v>
      </c>
      <c r="I238" s="809">
        <f t="shared" ca="1" si="97"/>
        <v>0</v>
      </c>
      <c r="J238" s="809">
        <f t="shared" ca="1" si="97"/>
        <v>2.5000000000000001E-2</v>
      </c>
      <c r="K238" s="809">
        <f t="shared" ca="1" si="98"/>
        <v>0</v>
      </c>
      <c r="L238" s="809">
        <f t="shared" ca="1" si="97"/>
        <v>0</v>
      </c>
      <c r="M238" s="809">
        <f t="shared" ca="1" si="97"/>
        <v>0</v>
      </c>
      <c r="N238" s="809">
        <f t="shared" ca="1" si="97"/>
        <v>0</v>
      </c>
      <c r="O238" s="809">
        <f t="shared" ca="1" si="97"/>
        <v>0</v>
      </c>
      <c r="P238" s="809">
        <f t="shared" ca="1" si="97"/>
        <v>0</v>
      </c>
      <c r="Q238" s="809">
        <f t="shared" ca="1" si="97"/>
        <v>0</v>
      </c>
      <c r="R238" s="809">
        <f t="shared" ca="1" si="97"/>
        <v>2.5000000000000001E-2</v>
      </c>
      <c r="S238" s="809">
        <f ca="1">IF(S$12&lt;&gt;"",INDIRECT(ADDRESS($A238,$B238,,,S$12)),0)</f>
        <v>1</v>
      </c>
      <c r="T238" s="809">
        <f t="shared" ca="1" si="97"/>
        <v>1</v>
      </c>
      <c r="U238" s="809">
        <f t="shared" ca="1" si="97"/>
        <v>1</v>
      </c>
      <c r="V238" s="809">
        <f t="shared" ca="1" si="99"/>
        <v>1</v>
      </c>
      <c r="W238" s="809">
        <f t="shared" ca="1" si="99"/>
        <v>0</v>
      </c>
      <c r="X238" s="809">
        <f t="shared" ca="1" si="99"/>
        <v>0</v>
      </c>
      <c r="Y238" s="809">
        <f t="shared" ca="1" si="99"/>
        <v>0</v>
      </c>
      <c r="Z238" s="809">
        <f t="shared" ca="1" si="99"/>
        <v>0</v>
      </c>
      <c r="AA238" s="809">
        <f t="shared" ca="1" si="99"/>
        <v>0</v>
      </c>
      <c r="AB238" s="809">
        <f t="shared" ca="1" si="97"/>
        <v>0</v>
      </c>
      <c r="AC238" s="809">
        <f t="shared" ca="1" si="97"/>
        <v>0</v>
      </c>
      <c r="AD238" s="809">
        <f t="shared" ca="1" si="97"/>
        <v>0</v>
      </c>
      <c r="AE238" s="809">
        <f t="shared" ca="1" si="97"/>
        <v>0</v>
      </c>
      <c r="AF238" s="809">
        <f t="shared" ca="1" si="97"/>
        <v>0</v>
      </c>
      <c r="AG238" s="809">
        <f t="shared" ca="1" si="97"/>
        <v>0</v>
      </c>
      <c r="AH238" s="809">
        <f t="shared" ca="1" si="97"/>
        <v>0</v>
      </c>
      <c r="AI238" s="809">
        <f t="shared" ca="1" si="97"/>
        <v>0</v>
      </c>
      <c r="AJ238" s="809">
        <f t="shared" ca="1" si="100"/>
        <v>0</v>
      </c>
      <c r="AK238" s="809">
        <f t="shared" ca="1" si="100"/>
        <v>0</v>
      </c>
      <c r="AL238" s="809">
        <f t="shared" ca="1" si="100"/>
        <v>0</v>
      </c>
    </row>
    <row r="239" spans="1:38" s="489" customFormat="1" ht="12.75" outlineLevel="2">
      <c r="A239" s="1132">
        <f>ROW('Naturgas komprimering'!A61)</f>
        <v>61</v>
      </c>
      <c r="B239" s="1126">
        <f>COLUMN(Diesel!$D$1)+chosenYear-1</f>
        <v>4</v>
      </c>
      <c r="D239" s="714" t="str">
        <f>ProcessEnergy!B7</f>
        <v xml:space="preserve">Varme </v>
      </c>
      <c r="E239" s="715" t="s">
        <v>345</v>
      </c>
      <c r="F239" s="809">
        <f t="shared" ca="1" si="101"/>
        <v>0</v>
      </c>
      <c r="G239" s="809">
        <f t="shared" ca="1" si="97"/>
        <v>0</v>
      </c>
      <c r="H239" s="809">
        <f t="shared" ca="1" si="97"/>
        <v>0</v>
      </c>
      <c r="I239" s="809">
        <f t="shared" ca="1" si="97"/>
        <v>0</v>
      </c>
      <c r="J239" s="809">
        <f t="shared" ca="1" si="97"/>
        <v>0</v>
      </c>
      <c r="K239" s="809">
        <f t="shared" ca="1" si="98"/>
        <v>0</v>
      </c>
      <c r="L239" s="809">
        <f t="shared" ca="1" si="97"/>
        <v>0</v>
      </c>
      <c r="M239" s="809">
        <f t="shared" ca="1" si="97"/>
        <v>0</v>
      </c>
      <c r="N239" s="809">
        <f t="shared" ca="1" si="97"/>
        <v>0</v>
      </c>
      <c r="O239" s="809">
        <f t="shared" ca="1" si="97"/>
        <v>0</v>
      </c>
      <c r="P239" s="809">
        <f t="shared" ca="1" si="97"/>
        <v>0</v>
      </c>
      <c r="Q239" s="809">
        <f t="shared" ca="1" si="97"/>
        <v>0</v>
      </c>
      <c r="R239" s="809">
        <f t="shared" ca="1" si="97"/>
        <v>0</v>
      </c>
      <c r="S239" s="809">
        <f t="shared" ca="1" si="97"/>
        <v>0</v>
      </c>
      <c r="T239" s="809">
        <f t="shared" ca="1" si="97"/>
        <v>0</v>
      </c>
      <c r="U239" s="809">
        <f t="shared" ca="1" si="97"/>
        <v>0</v>
      </c>
      <c r="V239" s="809">
        <f t="shared" ca="1" si="99"/>
        <v>0</v>
      </c>
      <c r="W239" s="809">
        <f t="shared" ca="1" si="99"/>
        <v>0</v>
      </c>
      <c r="X239" s="809">
        <f t="shared" ca="1" si="99"/>
        <v>0</v>
      </c>
      <c r="Y239" s="809">
        <f t="shared" ca="1" si="99"/>
        <v>0</v>
      </c>
      <c r="Z239" s="809">
        <f t="shared" ca="1" si="99"/>
        <v>0</v>
      </c>
      <c r="AA239" s="809">
        <f t="shared" ca="1" si="99"/>
        <v>0</v>
      </c>
      <c r="AB239" s="809">
        <f t="shared" ca="1" si="97"/>
        <v>0</v>
      </c>
      <c r="AC239" s="809">
        <f t="shared" ca="1" si="97"/>
        <v>0</v>
      </c>
      <c r="AD239" s="809">
        <f t="shared" ca="1" si="97"/>
        <v>0</v>
      </c>
      <c r="AE239" s="809">
        <f t="shared" ca="1" si="97"/>
        <v>0</v>
      </c>
      <c r="AF239" s="809">
        <f t="shared" ca="1" si="97"/>
        <v>0</v>
      </c>
      <c r="AG239" s="809">
        <f t="shared" ca="1" si="97"/>
        <v>0</v>
      </c>
      <c r="AH239" s="809">
        <f t="shared" ca="1" si="97"/>
        <v>0</v>
      </c>
      <c r="AI239" s="809">
        <f t="shared" ca="1" si="97"/>
        <v>0</v>
      </c>
      <c r="AJ239" s="809">
        <f t="shared" ca="1" si="100"/>
        <v>0</v>
      </c>
      <c r="AK239" s="809">
        <f t="shared" ca="1" si="100"/>
        <v>0</v>
      </c>
      <c r="AL239" s="809">
        <f t="shared" ca="1" si="100"/>
        <v>0</v>
      </c>
    </row>
    <row r="240" spans="1:38" s="489" customFormat="1" ht="12.75" outlineLevel="2">
      <c r="A240" s="1132">
        <f>ROW('Naturgas komprimering'!A62)</f>
        <v>62</v>
      </c>
      <c r="B240" s="1126">
        <f>COLUMN(Diesel!$D$1)+chosenYear-1</f>
        <v>4</v>
      </c>
      <c r="D240" s="714" t="str">
        <f>ProcessEnergy!B8</f>
        <v>Damp</v>
      </c>
      <c r="E240" s="715" t="s">
        <v>345</v>
      </c>
      <c r="F240" s="809">
        <f t="shared" ca="1" si="101"/>
        <v>0</v>
      </c>
      <c r="G240" s="809">
        <f t="shared" ca="1" si="97"/>
        <v>0</v>
      </c>
      <c r="H240" s="809">
        <f t="shared" ca="1" si="97"/>
        <v>0</v>
      </c>
      <c r="I240" s="809">
        <f t="shared" ca="1" si="97"/>
        <v>0</v>
      </c>
      <c r="J240" s="809">
        <f t="shared" ca="1" si="97"/>
        <v>0</v>
      </c>
      <c r="K240" s="809">
        <f t="shared" ca="1" si="98"/>
        <v>0</v>
      </c>
      <c r="L240" s="809">
        <f t="shared" ca="1" si="97"/>
        <v>0</v>
      </c>
      <c r="M240" s="809">
        <f t="shared" ca="1" si="97"/>
        <v>0</v>
      </c>
      <c r="N240" s="809">
        <f t="shared" ca="1" si="97"/>
        <v>0</v>
      </c>
      <c r="O240" s="809">
        <f t="shared" ca="1" si="97"/>
        <v>0</v>
      </c>
      <c r="P240" s="809">
        <f t="shared" ca="1" si="97"/>
        <v>0</v>
      </c>
      <c r="Q240" s="809">
        <f t="shared" ca="1" si="97"/>
        <v>0</v>
      </c>
      <c r="R240" s="809">
        <f t="shared" ca="1" si="97"/>
        <v>0</v>
      </c>
      <c r="S240" s="809">
        <f t="shared" ca="1" si="97"/>
        <v>0</v>
      </c>
      <c r="T240" s="809">
        <f t="shared" ca="1" si="97"/>
        <v>0</v>
      </c>
      <c r="U240" s="809">
        <f t="shared" ca="1" si="97"/>
        <v>0</v>
      </c>
      <c r="V240" s="809">
        <f t="shared" ca="1" si="99"/>
        <v>0</v>
      </c>
      <c r="W240" s="809">
        <f t="shared" ca="1" si="99"/>
        <v>0</v>
      </c>
      <c r="X240" s="809">
        <f t="shared" ca="1" si="99"/>
        <v>0</v>
      </c>
      <c r="Y240" s="809">
        <f t="shared" ca="1" si="99"/>
        <v>0</v>
      </c>
      <c r="Z240" s="809">
        <f t="shared" ca="1" si="99"/>
        <v>0</v>
      </c>
      <c r="AA240" s="809">
        <f t="shared" ca="1" si="99"/>
        <v>0</v>
      </c>
      <c r="AB240" s="809">
        <f t="shared" ca="1" si="97"/>
        <v>0</v>
      </c>
      <c r="AC240" s="809">
        <f t="shared" ca="1" si="97"/>
        <v>0</v>
      </c>
      <c r="AD240" s="809">
        <f t="shared" ca="1" si="97"/>
        <v>0</v>
      </c>
      <c r="AE240" s="809">
        <f t="shared" ca="1" si="97"/>
        <v>0</v>
      </c>
      <c r="AF240" s="809">
        <f t="shared" ca="1" si="97"/>
        <v>0</v>
      </c>
      <c r="AG240" s="809">
        <f t="shared" ca="1" si="97"/>
        <v>0</v>
      </c>
      <c r="AH240" s="809">
        <f t="shared" ca="1" si="97"/>
        <v>0</v>
      </c>
      <c r="AI240" s="809">
        <f t="shared" ref="AI240:AI256" ca="1" si="102">IF(AI$12&lt;&gt;"",INDIRECT(ADDRESS($A240,$B240,,,AI$12)),0)</f>
        <v>0</v>
      </c>
      <c r="AJ240" s="809">
        <f t="shared" ca="1" si="100"/>
        <v>0</v>
      </c>
      <c r="AK240" s="809">
        <f t="shared" ca="1" si="100"/>
        <v>0</v>
      </c>
      <c r="AL240" s="809">
        <f t="shared" ca="1" si="100"/>
        <v>0</v>
      </c>
    </row>
    <row r="241" spans="1:38" s="489" customFormat="1" ht="12.75" outlineLevel="2">
      <c r="A241" s="1132">
        <f>ROW('Naturgas komprimering'!A63)</f>
        <v>63</v>
      </c>
      <c r="B241" s="1126">
        <f>COLUMN(Diesel!$D$1)+chosenYear-1</f>
        <v>4</v>
      </c>
      <c r="D241" s="714" t="str">
        <f>ProcessEnergy!B9</f>
        <v xml:space="preserve">Olie </v>
      </c>
      <c r="E241" s="715" t="s">
        <v>345</v>
      </c>
      <c r="F241" s="809">
        <f t="shared" ca="1" si="101"/>
        <v>0</v>
      </c>
      <c r="G241" s="809">
        <f t="shared" ca="1" si="97"/>
        <v>0</v>
      </c>
      <c r="H241" s="809">
        <f t="shared" ca="1" si="97"/>
        <v>0</v>
      </c>
      <c r="I241" s="809">
        <f t="shared" ca="1" si="97"/>
        <v>0</v>
      </c>
      <c r="J241" s="809">
        <f t="shared" ca="1" si="97"/>
        <v>0</v>
      </c>
      <c r="K241" s="809">
        <f t="shared" ca="1" si="98"/>
        <v>0</v>
      </c>
      <c r="L241" s="809">
        <f t="shared" ca="1" si="97"/>
        <v>0</v>
      </c>
      <c r="M241" s="809">
        <f t="shared" ca="1" si="97"/>
        <v>0</v>
      </c>
      <c r="N241" s="809">
        <f t="shared" ca="1" si="97"/>
        <v>0</v>
      </c>
      <c r="O241" s="809">
        <f t="shared" ca="1" si="97"/>
        <v>0</v>
      </c>
      <c r="P241" s="809">
        <f t="shared" ca="1" si="97"/>
        <v>0</v>
      </c>
      <c r="Q241" s="809">
        <f t="shared" ca="1" si="97"/>
        <v>0</v>
      </c>
      <c r="R241" s="809">
        <f t="shared" ca="1" si="97"/>
        <v>0</v>
      </c>
      <c r="S241" s="809">
        <f t="shared" ca="1" si="97"/>
        <v>0</v>
      </c>
      <c r="T241" s="809">
        <f t="shared" ca="1" si="97"/>
        <v>0</v>
      </c>
      <c r="U241" s="809">
        <f t="shared" ca="1" si="97"/>
        <v>0</v>
      </c>
      <c r="V241" s="809">
        <f t="shared" ca="1" si="99"/>
        <v>0</v>
      </c>
      <c r="W241" s="809">
        <f t="shared" ca="1" si="99"/>
        <v>0</v>
      </c>
      <c r="X241" s="809">
        <f t="shared" ca="1" si="99"/>
        <v>0</v>
      </c>
      <c r="Y241" s="809">
        <f t="shared" ca="1" si="99"/>
        <v>0</v>
      </c>
      <c r="Z241" s="809">
        <f t="shared" ca="1" si="99"/>
        <v>0</v>
      </c>
      <c r="AA241" s="809">
        <f t="shared" ca="1" si="99"/>
        <v>0</v>
      </c>
      <c r="AB241" s="809">
        <f t="shared" ca="1" si="97"/>
        <v>0</v>
      </c>
      <c r="AC241" s="809">
        <f t="shared" ca="1" si="97"/>
        <v>0</v>
      </c>
      <c r="AD241" s="809">
        <f t="shared" ca="1" si="97"/>
        <v>0</v>
      </c>
      <c r="AE241" s="809">
        <f t="shared" ca="1" si="97"/>
        <v>0</v>
      </c>
      <c r="AF241" s="809">
        <f t="shared" ca="1" si="97"/>
        <v>0</v>
      </c>
      <c r="AG241" s="809">
        <f t="shared" ca="1" si="97"/>
        <v>0</v>
      </c>
      <c r="AH241" s="809">
        <f t="shared" ca="1" si="97"/>
        <v>0</v>
      </c>
      <c r="AI241" s="809">
        <f t="shared" ca="1" si="102"/>
        <v>0</v>
      </c>
      <c r="AJ241" s="809">
        <f t="shared" ca="1" si="100"/>
        <v>0</v>
      </c>
      <c r="AK241" s="809">
        <f t="shared" ca="1" si="100"/>
        <v>0</v>
      </c>
      <c r="AL241" s="809">
        <f t="shared" ca="1" si="100"/>
        <v>0</v>
      </c>
    </row>
    <row r="242" spans="1:38" s="489" customFormat="1" ht="12.75" outlineLevel="2">
      <c r="A242" s="1132">
        <f>ROW('Naturgas komprimering'!A64)</f>
        <v>64</v>
      </c>
      <c r="B242" s="1126">
        <f>COLUMN(Diesel!$D$1)+chosenYear-1</f>
        <v>4</v>
      </c>
      <c r="D242" s="714" t="str">
        <f>ProcessEnergy!B10</f>
        <v>Kul</v>
      </c>
      <c r="E242" s="715" t="s">
        <v>345</v>
      </c>
      <c r="F242" s="809">
        <f t="shared" ca="1" si="101"/>
        <v>0</v>
      </c>
      <c r="G242" s="809">
        <f t="shared" ca="1" si="97"/>
        <v>0</v>
      </c>
      <c r="H242" s="809">
        <f t="shared" ca="1" si="97"/>
        <v>0</v>
      </c>
      <c r="I242" s="809">
        <f t="shared" ca="1" si="97"/>
        <v>0</v>
      </c>
      <c r="J242" s="809">
        <f t="shared" ca="1" si="97"/>
        <v>0</v>
      </c>
      <c r="K242" s="809">
        <f t="shared" ca="1" si="98"/>
        <v>0</v>
      </c>
      <c r="L242" s="809">
        <f t="shared" ca="1" si="97"/>
        <v>0</v>
      </c>
      <c r="M242" s="809">
        <f t="shared" ca="1" si="97"/>
        <v>0</v>
      </c>
      <c r="N242" s="809">
        <f t="shared" ca="1" si="97"/>
        <v>0</v>
      </c>
      <c r="O242" s="809">
        <f t="shared" ca="1" si="97"/>
        <v>0</v>
      </c>
      <c r="P242" s="809">
        <f t="shared" ca="1" si="97"/>
        <v>0</v>
      </c>
      <c r="Q242" s="809">
        <f t="shared" ca="1" si="97"/>
        <v>0</v>
      </c>
      <c r="R242" s="809">
        <f t="shared" ca="1" si="97"/>
        <v>0</v>
      </c>
      <c r="S242" s="809">
        <f t="shared" ca="1" si="97"/>
        <v>0</v>
      </c>
      <c r="T242" s="809">
        <f t="shared" ca="1" si="97"/>
        <v>0</v>
      </c>
      <c r="U242" s="809">
        <f t="shared" ca="1" si="97"/>
        <v>0</v>
      </c>
      <c r="V242" s="809">
        <f t="shared" ca="1" si="99"/>
        <v>0</v>
      </c>
      <c r="W242" s="809">
        <f t="shared" ca="1" si="99"/>
        <v>0</v>
      </c>
      <c r="X242" s="809">
        <f t="shared" ca="1" si="99"/>
        <v>0</v>
      </c>
      <c r="Y242" s="809">
        <f t="shared" ca="1" si="99"/>
        <v>0</v>
      </c>
      <c r="Z242" s="809">
        <f t="shared" ca="1" si="99"/>
        <v>0</v>
      </c>
      <c r="AA242" s="809">
        <f t="shared" ca="1" si="99"/>
        <v>0</v>
      </c>
      <c r="AB242" s="809">
        <f t="shared" ca="1" si="97"/>
        <v>0</v>
      </c>
      <c r="AC242" s="809">
        <f t="shared" ca="1" si="97"/>
        <v>0</v>
      </c>
      <c r="AD242" s="809">
        <f t="shared" ca="1" si="97"/>
        <v>0</v>
      </c>
      <c r="AE242" s="809">
        <f t="shared" ca="1" si="97"/>
        <v>0</v>
      </c>
      <c r="AF242" s="809">
        <f t="shared" ca="1" si="97"/>
        <v>0</v>
      </c>
      <c r="AG242" s="809">
        <f t="shared" ca="1" si="97"/>
        <v>0</v>
      </c>
      <c r="AH242" s="809">
        <f t="shared" ca="1" si="97"/>
        <v>0</v>
      </c>
      <c r="AI242" s="809">
        <f t="shared" ca="1" si="102"/>
        <v>0</v>
      </c>
      <c r="AJ242" s="809">
        <f t="shared" ca="1" si="100"/>
        <v>0</v>
      </c>
      <c r="AK242" s="809">
        <f t="shared" ca="1" si="100"/>
        <v>0</v>
      </c>
      <c r="AL242" s="809">
        <f t="shared" ca="1" si="100"/>
        <v>0</v>
      </c>
    </row>
    <row r="243" spans="1:38" s="489" customFormat="1" ht="12.75" outlineLevel="2">
      <c r="A243" s="1132">
        <f>ROW('Naturgas komprimering'!A65)</f>
        <v>65</v>
      </c>
      <c r="B243" s="1126">
        <f>COLUMN(Diesel!$D$1)+chosenYear-1</f>
        <v>4</v>
      </c>
      <c r="D243" s="714" t="str">
        <f>ProcessEnergy!B11</f>
        <v>Naturgas kedel</v>
      </c>
      <c r="E243" s="715" t="s">
        <v>345</v>
      </c>
      <c r="F243" s="809">
        <f t="shared" ca="1" si="101"/>
        <v>0</v>
      </c>
      <c r="G243" s="809">
        <f t="shared" ca="1" si="97"/>
        <v>0</v>
      </c>
      <c r="H243" s="809">
        <f t="shared" ca="1" si="97"/>
        <v>0</v>
      </c>
      <c r="I243" s="809">
        <f t="shared" ca="1" si="97"/>
        <v>0</v>
      </c>
      <c r="J243" s="809">
        <f t="shared" ca="1" si="97"/>
        <v>0</v>
      </c>
      <c r="K243" s="809">
        <f t="shared" ca="1" si="98"/>
        <v>6.5000000000000002E-2</v>
      </c>
      <c r="L243" s="809">
        <f t="shared" ca="1" si="97"/>
        <v>0</v>
      </c>
      <c r="M243" s="809">
        <f t="shared" ca="1" si="97"/>
        <v>0</v>
      </c>
      <c r="N243" s="809">
        <f t="shared" ca="1" si="97"/>
        <v>0</v>
      </c>
      <c r="O243" s="809">
        <f t="shared" ca="1" si="97"/>
        <v>0</v>
      </c>
      <c r="P243" s="809">
        <f t="shared" ca="1" si="97"/>
        <v>0</v>
      </c>
      <c r="Q243" s="809">
        <f t="shared" ca="1" si="97"/>
        <v>0</v>
      </c>
      <c r="R243" s="809">
        <f t="shared" ca="1" si="97"/>
        <v>0</v>
      </c>
      <c r="S243" s="809">
        <f t="shared" ca="1" si="97"/>
        <v>0</v>
      </c>
      <c r="T243" s="809">
        <f t="shared" ca="1" si="97"/>
        <v>0</v>
      </c>
      <c r="U243" s="809">
        <f t="shared" ca="1" si="97"/>
        <v>0</v>
      </c>
      <c r="V243" s="809">
        <f t="shared" ca="1" si="99"/>
        <v>0</v>
      </c>
      <c r="W243" s="809">
        <f t="shared" ca="1" si="99"/>
        <v>0</v>
      </c>
      <c r="X243" s="809">
        <f t="shared" ca="1" si="99"/>
        <v>0</v>
      </c>
      <c r="Y243" s="809">
        <f t="shared" ca="1" si="99"/>
        <v>0</v>
      </c>
      <c r="Z243" s="809">
        <f t="shared" ca="1" si="99"/>
        <v>0</v>
      </c>
      <c r="AA243" s="809">
        <f t="shared" ca="1" si="99"/>
        <v>0</v>
      </c>
      <c r="AB243" s="809">
        <f t="shared" ca="1" si="97"/>
        <v>0</v>
      </c>
      <c r="AC243" s="809">
        <f t="shared" ca="1" si="97"/>
        <v>0</v>
      </c>
      <c r="AD243" s="809">
        <f t="shared" ca="1" si="97"/>
        <v>0</v>
      </c>
      <c r="AE243" s="809">
        <f t="shared" ca="1" si="97"/>
        <v>0</v>
      </c>
      <c r="AF243" s="809">
        <f t="shared" ca="1" si="97"/>
        <v>0</v>
      </c>
      <c r="AG243" s="809">
        <f t="shared" ca="1" si="97"/>
        <v>0</v>
      </c>
      <c r="AH243" s="809">
        <f t="shared" ca="1" si="97"/>
        <v>0</v>
      </c>
      <c r="AI243" s="809">
        <f t="shared" ca="1" si="102"/>
        <v>0</v>
      </c>
      <c r="AJ243" s="809">
        <f t="shared" ca="1" si="100"/>
        <v>0</v>
      </c>
      <c r="AK243" s="809">
        <f t="shared" ca="1" si="100"/>
        <v>0</v>
      </c>
      <c r="AL243" s="809">
        <f t="shared" ca="1" si="100"/>
        <v>0</v>
      </c>
    </row>
    <row r="244" spans="1:38" s="773" customFormat="1" ht="12.75" outlineLevel="2">
      <c r="A244" s="1132">
        <f>ROW('Naturgas komprimering'!A66)</f>
        <v>66</v>
      </c>
      <c r="B244" s="1126">
        <f>COLUMN(Diesel!$D$1)+chosenYear-1</f>
        <v>4</v>
      </c>
      <c r="D244" s="714" t="str">
        <f>ProcessEnergy!B12</f>
        <v>Gylle</v>
      </c>
      <c r="E244" s="715" t="s">
        <v>345</v>
      </c>
      <c r="F244" s="809">
        <f t="shared" ca="1" si="101"/>
        <v>0</v>
      </c>
      <c r="G244" s="809">
        <f t="shared" ca="1" si="97"/>
        <v>0</v>
      </c>
      <c r="H244" s="809">
        <f t="shared" ca="1" si="97"/>
        <v>0</v>
      </c>
      <c r="I244" s="809">
        <f t="shared" ca="1" si="97"/>
        <v>0</v>
      </c>
      <c r="J244" s="809">
        <f t="shared" ca="1" si="97"/>
        <v>0</v>
      </c>
      <c r="K244" s="809">
        <f t="shared" ca="1" si="98"/>
        <v>0</v>
      </c>
      <c r="L244" s="809">
        <f t="shared" ca="1" si="97"/>
        <v>0</v>
      </c>
      <c r="M244" s="809">
        <f t="shared" ca="1" si="97"/>
        <v>0</v>
      </c>
      <c r="N244" s="809">
        <f t="shared" ca="1" si="97"/>
        <v>0</v>
      </c>
      <c r="O244" s="809">
        <f t="shared" ca="1" si="97"/>
        <v>0</v>
      </c>
      <c r="P244" s="809">
        <f t="shared" ca="1" si="97"/>
        <v>0</v>
      </c>
      <c r="Q244" s="809">
        <f t="shared" ca="1" si="97"/>
        <v>0</v>
      </c>
      <c r="R244" s="809">
        <f t="shared" ca="1" si="97"/>
        <v>0</v>
      </c>
      <c r="S244" s="809">
        <f t="shared" ca="1" si="97"/>
        <v>0</v>
      </c>
      <c r="T244" s="809">
        <f t="shared" ca="1" si="97"/>
        <v>0</v>
      </c>
      <c r="U244" s="809">
        <f t="shared" ca="1" si="97"/>
        <v>0</v>
      </c>
      <c r="V244" s="809">
        <f t="shared" ca="1" si="99"/>
        <v>0</v>
      </c>
      <c r="W244" s="809">
        <f t="shared" ca="1" si="99"/>
        <v>0</v>
      </c>
      <c r="X244" s="809">
        <f t="shared" ca="1" si="99"/>
        <v>0</v>
      </c>
      <c r="Y244" s="809">
        <f t="shared" ca="1" si="99"/>
        <v>0</v>
      </c>
      <c r="Z244" s="809">
        <f t="shared" ca="1" si="99"/>
        <v>0</v>
      </c>
      <c r="AA244" s="809">
        <f t="shared" ca="1" si="99"/>
        <v>0</v>
      </c>
      <c r="AB244" s="809">
        <f t="shared" ca="1" si="97"/>
        <v>0</v>
      </c>
      <c r="AC244" s="809">
        <f t="shared" ca="1" si="97"/>
        <v>0</v>
      </c>
      <c r="AD244" s="809">
        <f t="shared" ca="1" si="97"/>
        <v>0</v>
      </c>
      <c r="AE244" s="809">
        <f t="shared" ca="1" si="97"/>
        <v>0</v>
      </c>
      <c r="AF244" s="809">
        <f t="shared" ca="1" si="97"/>
        <v>0</v>
      </c>
      <c r="AG244" s="809">
        <f t="shared" ca="1" si="97"/>
        <v>0</v>
      </c>
      <c r="AH244" s="809">
        <f t="shared" ca="1" si="97"/>
        <v>0</v>
      </c>
      <c r="AI244" s="809">
        <f t="shared" ca="1" si="102"/>
        <v>0</v>
      </c>
      <c r="AJ244" s="809">
        <f t="shared" ca="1" si="100"/>
        <v>0</v>
      </c>
      <c r="AK244" s="809">
        <f t="shared" ca="1" si="100"/>
        <v>0</v>
      </c>
      <c r="AL244" s="809">
        <f t="shared" ca="1" si="100"/>
        <v>0</v>
      </c>
    </row>
    <row r="245" spans="1:38" s="489" customFormat="1" ht="12.75" outlineLevel="2">
      <c r="A245" s="1132">
        <f>ROW('Naturgas komprimering'!A67)</f>
        <v>67</v>
      </c>
      <c r="B245" s="1126">
        <f>COLUMN(Diesel!$D$1)+chosenYear-1</f>
        <v>4</v>
      </c>
      <c r="D245" s="714" t="str">
        <f>ProcessEnergy!B13</f>
        <v>Affald</v>
      </c>
      <c r="E245" s="715" t="s">
        <v>345</v>
      </c>
      <c r="F245" s="809">
        <f t="shared" ca="1" si="101"/>
        <v>0</v>
      </c>
      <c r="G245" s="809">
        <f t="shared" ca="1" si="97"/>
        <v>0</v>
      </c>
      <c r="H245" s="809">
        <f t="shared" ca="1" si="97"/>
        <v>0</v>
      </c>
      <c r="I245" s="809">
        <f t="shared" ca="1" si="97"/>
        <v>0</v>
      </c>
      <c r="J245" s="809">
        <f t="shared" ca="1" si="97"/>
        <v>0</v>
      </c>
      <c r="K245" s="809">
        <f t="shared" ca="1" si="98"/>
        <v>0</v>
      </c>
      <c r="L245" s="809">
        <f t="shared" ca="1" si="97"/>
        <v>0</v>
      </c>
      <c r="M245" s="809">
        <f t="shared" ca="1" si="97"/>
        <v>0</v>
      </c>
      <c r="N245" s="809">
        <f t="shared" ca="1" si="97"/>
        <v>0</v>
      </c>
      <c r="O245" s="809">
        <f t="shared" ca="1" si="97"/>
        <v>0</v>
      </c>
      <c r="P245" s="809">
        <f t="shared" ca="1" si="97"/>
        <v>0</v>
      </c>
      <c r="Q245" s="809">
        <f t="shared" ca="1" si="97"/>
        <v>0</v>
      </c>
      <c r="R245" s="809">
        <f t="shared" ca="1" si="97"/>
        <v>0</v>
      </c>
      <c r="S245" s="809">
        <f t="shared" ca="1" si="97"/>
        <v>0</v>
      </c>
      <c r="T245" s="809">
        <f t="shared" ca="1" si="97"/>
        <v>0</v>
      </c>
      <c r="U245" s="809">
        <f t="shared" ca="1" si="97"/>
        <v>0</v>
      </c>
      <c r="V245" s="809">
        <f t="shared" ca="1" si="99"/>
        <v>0</v>
      </c>
      <c r="W245" s="809">
        <f t="shared" ca="1" si="99"/>
        <v>0</v>
      </c>
      <c r="X245" s="809">
        <f t="shared" ca="1" si="99"/>
        <v>0</v>
      </c>
      <c r="Y245" s="809">
        <f t="shared" ca="1" si="99"/>
        <v>0</v>
      </c>
      <c r="Z245" s="809">
        <f t="shared" ca="1" si="99"/>
        <v>0</v>
      </c>
      <c r="AA245" s="809">
        <f t="shared" ca="1" si="99"/>
        <v>0</v>
      </c>
      <c r="AB245" s="809">
        <f t="shared" ca="1" si="97"/>
        <v>0</v>
      </c>
      <c r="AC245" s="809">
        <f t="shared" ca="1" si="97"/>
        <v>0</v>
      </c>
      <c r="AD245" s="809">
        <f t="shared" ca="1" si="97"/>
        <v>0</v>
      </c>
      <c r="AE245" s="809">
        <f t="shared" ca="1" si="97"/>
        <v>0</v>
      </c>
      <c r="AF245" s="809">
        <f t="shared" ca="1" si="97"/>
        <v>0</v>
      </c>
      <c r="AG245" s="809">
        <f t="shared" ca="1" si="97"/>
        <v>0</v>
      </c>
      <c r="AH245" s="809">
        <f t="shared" ca="1" si="97"/>
        <v>0</v>
      </c>
      <c r="AI245" s="809">
        <f t="shared" ca="1" si="102"/>
        <v>0</v>
      </c>
      <c r="AJ245" s="809">
        <f t="shared" ca="1" si="100"/>
        <v>0</v>
      </c>
      <c r="AK245" s="809">
        <f t="shared" ca="1" si="100"/>
        <v>0</v>
      </c>
      <c r="AL245" s="809">
        <f t="shared" ca="1" si="100"/>
        <v>0</v>
      </c>
    </row>
    <row r="246" spans="1:38" s="489" customFormat="1" ht="12.75" outlineLevel="2">
      <c r="A246" s="1132">
        <f>ROW('Naturgas komprimering'!A68)</f>
        <v>68</v>
      </c>
      <c r="B246" s="1126">
        <f>COLUMN(Diesel!$D$1)+chosenYear-1</f>
        <v>4</v>
      </c>
      <c r="D246" s="714" t="str">
        <f>ProcessEnergy!B14</f>
        <v>Hydrogen</v>
      </c>
      <c r="E246" s="715" t="s">
        <v>345</v>
      </c>
      <c r="F246" s="809">
        <f t="shared" ca="1" si="101"/>
        <v>0</v>
      </c>
      <c r="G246" s="809">
        <f t="shared" ca="1" si="97"/>
        <v>0</v>
      </c>
      <c r="H246" s="809">
        <f t="shared" ca="1" si="97"/>
        <v>0</v>
      </c>
      <c r="I246" s="809">
        <f t="shared" ca="1" si="97"/>
        <v>0</v>
      </c>
      <c r="J246" s="809">
        <f t="shared" ca="1" si="97"/>
        <v>0</v>
      </c>
      <c r="K246" s="809">
        <f t="shared" ca="1" si="98"/>
        <v>0</v>
      </c>
      <c r="L246" s="809">
        <f t="shared" ca="1" si="97"/>
        <v>0</v>
      </c>
      <c r="M246" s="809">
        <f t="shared" ca="1" si="97"/>
        <v>0</v>
      </c>
      <c r="N246" s="809">
        <f t="shared" ca="1" si="97"/>
        <v>0</v>
      </c>
      <c r="O246" s="809">
        <f t="shared" ca="1" si="97"/>
        <v>0</v>
      </c>
      <c r="P246" s="809">
        <f t="shared" ca="1" si="97"/>
        <v>0</v>
      </c>
      <c r="Q246" s="809">
        <f t="shared" ca="1" si="97"/>
        <v>0</v>
      </c>
      <c r="R246" s="809">
        <f t="shared" ca="1" si="97"/>
        <v>0</v>
      </c>
      <c r="S246" s="809">
        <f t="shared" ca="1" si="97"/>
        <v>0</v>
      </c>
      <c r="T246" s="809">
        <f t="shared" ca="1" si="97"/>
        <v>0</v>
      </c>
      <c r="U246" s="809">
        <f t="shared" ca="1" si="97"/>
        <v>0</v>
      </c>
      <c r="V246" s="809">
        <f t="shared" ca="1" si="99"/>
        <v>0</v>
      </c>
      <c r="W246" s="809">
        <f t="shared" ca="1" si="99"/>
        <v>0</v>
      </c>
      <c r="X246" s="809">
        <f t="shared" ca="1" si="99"/>
        <v>0</v>
      </c>
      <c r="Y246" s="809">
        <f t="shared" ca="1" si="99"/>
        <v>0</v>
      </c>
      <c r="Z246" s="809">
        <f t="shared" ca="1" si="99"/>
        <v>0</v>
      </c>
      <c r="AA246" s="809">
        <f t="shared" ca="1" si="99"/>
        <v>0</v>
      </c>
      <c r="AB246" s="809">
        <f t="shared" ca="1" si="97"/>
        <v>0</v>
      </c>
      <c r="AC246" s="809">
        <f t="shared" ca="1" si="97"/>
        <v>0</v>
      </c>
      <c r="AD246" s="809">
        <f t="shared" ca="1" si="97"/>
        <v>0</v>
      </c>
      <c r="AE246" s="809">
        <f t="shared" ca="1" si="97"/>
        <v>0</v>
      </c>
      <c r="AF246" s="809">
        <f t="shared" ca="1" si="97"/>
        <v>0</v>
      </c>
      <c r="AG246" s="809">
        <f t="shared" ca="1" si="97"/>
        <v>0</v>
      </c>
      <c r="AH246" s="809">
        <f t="shared" ca="1" si="97"/>
        <v>0</v>
      </c>
      <c r="AI246" s="809">
        <f t="shared" ca="1" si="102"/>
        <v>0</v>
      </c>
      <c r="AJ246" s="809">
        <f t="shared" ca="1" si="100"/>
        <v>0</v>
      </c>
      <c r="AK246" s="809">
        <f t="shared" ca="1" si="100"/>
        <v>0</v>
      </c>
      <c r="AL246" s="809">
        <f t="shared" ca="1" si="100"/>
        <v>0</v>
      </c>
    </row>
    <row r="247" spans="1:38" s="489" customFormat="1" ht="12.75" outlineLevel="2">
      <c r="A247" s="1132">
        <f>ROW('Naturgas komprimering'!A69)</f>
        <v>69</v>
      </c>
      <c r="B247" s="1126">
        <f>COLUMN(Diesel!$D$1)+chosenYear-1</f>
        <v>4</v>
      </c>
      <c r="D247" s="714" t="str">
        <f>ProcessEnergy!B15</f>
        <v>Biomasse</v>
      </c>
      <c r="E247" s="715" t="s">
        <v>345</v>
      </c>
      <c r="F247" s="809">
        <f t="shared" ca="1" si="101"/>
        <v>0</v>
      </c>
      <c r="G247" s="809">
        <f t="shared" ca="1" si="97"/>
        <v>0</v>
      </c>
      <c r="H247" s="809">
        <f t="shared" ca="1" si="97"/>
        <v>0</v>
      </c>
      <c r="I247" s="809">
        <f t="shared" ca="1" si="97"/>
        <v>0</v>
      </c>
      <c r="J247" s="809">
        <f t="shared" ca="1" si="97"/>
        <v>0</v>
      </c>
      <c r="K247" s="809">
        <f t="shared" ca="1" si="98"/>
        <v>0</v>
      </c>
      <c r="L247" s="809">
        <f t="shared" ca="1" si="97"/>
        <v>0</v>
      </c>
      <c r="M247" s="809">
        <f t="shared" ca="1" si="97"/>
        <v>0</v>
      </c>
      <c r="N247" s="809">
        <f t="shared" ca="1" si="97"/>
        <v>0</v>
      </c>
      <c r="O247" s="809">
        <f t="shared" ca="1" si="97"/>
        <v>0</v>
      </c>
      <c r="P247" s="809">
        <f t="shared" ca="1" si="97"/>
        <v>0</v>
      </c>
      <c r="Q247" s="809">
        <f t="shared" ca="1" si="97"/>
        <v>0</v>
      </c>
      <c r="R247" s="809">
        <f t="shared" ca="1" si="97"/>
        <v>0</v>
      </c>
      <c r="S247" s="809">
        <f t="shared" ca="1" si="97"/>
        <v>0</v>
      </c>
      <c r="T247" s="809">
        <f t="shared" ca="1" si="97"/>
        <v>0</v>
      </c>
      <c r="U247" s="809">
        <f t="shared" ca="1" si="97"/>
        <v>0</v>
      </c>
      <c r="V247" s="809">
        <f t="shared" ca="1" si="99"/>
        <v>0</v>
      </c>
      <c r="W247" s="809">
        <f t="shared" ca="1" si="99"/>
        <v>0</v>
      </c>
      <c r="X247" s="809">
        <f t="shared" ca="1" si="99"/>
        <v>0</v>
      </c>
      <c r="Y247" s="809">
        <f t="shared" ca="1" si="99"/>
        <v>0</v>
      </c>
      <c r="Z247" s="809">
        <f t="shared" ca="1" si="99"/>
        <v>0</v>
      </c>
      <c r="AA247" s="809">
        <f t="shared" ca="1" si="99"/>
        <v>0</v>
      </c>
      <c r="AB247" s="809">
        <f t="shared" ca="1" si="97"/>
        <v>0</v>
      </c>
      <c r="AC247" s="809">
        <f t="shared" ca="1" si="97"/>
        <v>0</v>
      </c>
      <c r="AD247" s="809">
        <f t="shared" ca="1" si="97"/>
        <v>0</v>
      </c>
      <c r="AE247" s="809">
        <f t="shared" ca="1" si="97"/>
        <v>0</v>
      </c>
      <c r="AF247" s="809">
        <f t="shared" ca="1" si="97"/>
        <v>0</v>
      </c>
      <c r="AG247" s="809">
        <f t="shared" ca="1" si="97"/>
        <v>0</v>
      </c>
      <c r="AH247" s="809">
        <f t="shared" ca="1" si="97"/>
        <v>0</v>
      </c>
      <c r="AI247" s="809">
        <f t="shared" ca="1" si="102"/>
        <v>0</v>
      </c>
      <c r="AJ247" s="809">
        <f t="shared" ca="1" si="100"/>
        <v>0</v>
      </c>
      <c r="AK247" s="809">
        <f t="shared" ca="1" si="100"/>
        <v>0</v>
      </c>
      <c r="AL247" s="809">
        <f t="shared" ca="1" si="100"/>
        <v>0</v>
      </c>
    </row>
    <row r="248" spans="1:38" s="489" customFormat="1" ht="12.75" outlineLevel="2">
      <c r="A248" s="1132">
        <f>ROW('Naturgas komprimering'!A70)</f>
        <v>70</v>
      </c>
      <c r="B248" s="1126">
        <f>COLUMN(Diesel!$D$1)+chosenYear-1</f>
        <v>4</v>
      </c>
      <c r="D248" s="714" t="str">
        <f>ProcessEnergy!B16</f>
        <v>Methanol</v>
      </c>
      <c r="E248" s="715" t="s">
        <v>345</v>
      </c>
      <c r="F248" s="809">
        <f t="shared" ca="1" si="101"/>
        <v>0</v>
      </c>
      <c r="G248" s="809">
        <f t="shared" ca="1" si="97"/>
        <v>0</v>
      </c>
      <c r="H248" s="809">
        <f t="shared" ref="H248:U248" ca="1" si="103">IF(H$12&lt;&gt;"",INDIRECT(ADDRESS($A248,$B248,,,H$12)),0)</f>
        <v>0</v>
      </c>
      <c r="I248" s="809">
        <f t="shared" ca="1" si="103"/>
        <v>0</v>
      </c>
      <c r="J248" s="809">
        <f t="shared" ca="1" si="103"/>
        <v>0</v>
      </c>
      <c r="K248" s="809">
        <f t="shared" ca="1" si="98"/>
        <v>0</v>
      </c>
      <c r="L248" s="809">
        <f t="shared" ca="1" si="103"/>
        <v>0</v>
      </c>
      <c r="M248" s="809">
        <f t="shared" ca="1" si="103"/>
        <v>0</v>
      </c>
      <c r="N248" s="809">
        <f t="shared" ca="1" si="103"/>
        <v>0</v>
      </c>
      <c r="O248" s="809">
        <f t="shared" ca="1" si="103"/>
        <v>0</v>
      </c>
      <c r="P248" s="809">
        <f t="shared" ca="1" si="103"/>
        <v>0</v>
      </c>
      <c r="Q248" s="809">
        <f t="shared" ca="1" si="103"/>
        <v>0</v>
      </c>
      <c r="R248" s="809">
        <f t="shared" ca="1" si="103"/>
        <v>0</v>
      </c>
      <c r="S248" s="809">
        <f t="shared" ca="1" si="103"/>
        <v>0</v>
      </c>
      <c r="T248" s="809">
        <f t="shared" ca="1" si="103"/>
        <v>0</v>
      </c>
      <c r="U248" s="809">
        <f t="shared" ca="1" si="103"/>
        <v>0</v>
      </c>
      <c r="V248" s="809">
        <f t="shared" ca="1" si="99"/>
        <v>0</v>
      </c>
      <c r="W248" s="809">
        <f t="shared" ca="1" si="99"/>
        <v>0</v>
      </c>
      <c r="X248" s="809">
        <f t="shared" ca="1" si="99"/>
        <v>0</v>
      </c>
      <c r="Y248" s="809">
        <f t="shared" ca="1" si="99"/>
        <v>0</v>
      </c>
      <c r="Z248" s="809">
        <f t="shared" ca="1" si="99"/>
        <v>0</v>
      </c>
      <c r="AA248" s="809">
        <f t="shared" ca="1" si="99"/>
        <v>0</v>
      </c>
      <c r="AB248" s="809">
        <f t="shared" ca="1" si="99"/>
        <v>0</v>
      </c>
      <c r="AC248" s="809">
        <f t="shared" ca="1" si="99"/>
        <v>0</v>
      </c>
      <c r="AD248" s="809">
        <f t="shared" ca="1" si="99"/>
        <v>0</v>
      </c>
      <c r="AE248" s="809">
        <f t="shared" ca="1" si="99"/>
        <v>0</v>
      </c>
      <c r="AF248" s="809">
        <f t="shared" ca="1" si="99"/>
        <v>0</v>
      </c>
      <c r="AG248" s="809">
        <f t="shared" ca="1" si="99"/>
        <v>0</v>
      </c>
      <c r="AH248" s="809">
        <f t="shared" ca="1" si="99"/>
        <v>0</v>
      </c>
      <c r="AI248" s="809">
        <f t="shared" ca="1" si="102"/>
        <v>0</v>
      </c>
      <c r="AJ248" s="809">
        <f t="shared" ca="1" si="100"/>
        <v>0</v>
      </c>
      <c r="AK248" s="809">
        <f t="shared" ca="1" si="100"/>
        <v>0</v>
      </c>
      <c r="AL248" s="809">
        <f t="shared" ca="1" si="100"/>
        <v>0</v>
      </c>
    </row>
    <row r="249" spans="1:38" s="489" customFormat="1" ht="12.75" outlineLevel="2">
      <c r="A249" s="1132">
        <f>ROW('Naturgas komprimering'!A71)</f>
        <v>71</v>
      </c>
      <c r="B249" s="1126">
        <f>COLUMN(Diesel!$D$1)+chosenYear-1</f>
        <v>4</v>
      </c>
      <c r="D249" s="714" t="str">
        <f>ProcessEnergy!B17</f>
        <v>&lt;empty&gt;</v>
      </c>
      <c r="E249" s="715" t="s">
        <v>345</v>
      </c>
      <c r="F249" s="809">
        <f t="shared" ca="1" si="101"/>
        <v>0</v>
      </c>
      <c r="G249" s="809">
        <f t="shared" ca="1" si="101"/>
        <v>0</v>
      </c>
      <c r="H249" s="809">
        <f t="shared" ca="1" si="101"/>
        <v>0</v>
      </c>
      <c r="I249" s="809">
        <f t="shared" ca="1" si="101"/>
        <v>0</v>
      </c>
      <c r="J249" s="809">
        <f t="shared" ca="1" si="101"/>
        <v>0</v>
      </c>
      <c r="K249" s="809">
        <f t="shared" ca="1" si="98"/>
        <v>0</v>
      </c>
      <c r="L249" s="809">
        <f t="shared" ca="1" si="101"/>
        <v>0</v>
      </c>
      <c r="M249" s="809">
        <f t="shared" ca="1" si="101"/>
        <v>0</v>
      </c>
      <c r="N249" s="809">
        <f t="shared" ca="1" si="101"/>
        <v>0</v>
      </c>
      <c r="O249" s="809">
        <f t="shared" ca="1" si="101"/>
        <v>0</v>
      </c>
      <c r="P249" s="809">
        <f t="shared" ca="1" si="101"/>
        <v>0</v>
      </c>
      <c r="Q249" s="809">
        <f t="shared" ca="1" si="101"/>
        <v>0</v>
      </c>
      <c r="R249" s="809">
        <f t="shared" ca="1" si="101"/>
        <v>0</v>
      </c>
      <c r="S249" s="809">
        <f t="shared" ca="1" si="101"/>
        <v>0</v>
      </c>
      <c r="T249" s="809">
        <f t="shared" ca="1" si="101"/>
        <v>0</v>
      </c>
      <c r="U249" s="809">
        <f t="shared" ca="1" si="101"/>
        <v>0</v>
      </c>
      <c r="V249" s="809">
        <f t="shared" ca="1" si="99"/>
        <v>0</v>
      </c>
      <c r="W249" s="809">
        <f t="shared" ca="1" si="99"/>
        <v>0</v>
      </c>
      <c r="X249" s="809">
        <f t="shared" ca="1" si="99"/>
        <v>0</v>
      </c>
      <c r="Y249" s="809">
        <f t="shared" ca="1" si="99"/>
        <v>0</v>
      </c>
      <c r="Z249" s="809">
        <f t="shared" ca="1" si="99"/>
        <v>0</v>
      </c>
      <c r="AA249" s="809">
        <f t="shared" ca="1" si="99"/>
        <v>0</v>
      </c>
      <c r="AB249" s="809">
        <f t="shared" ca="1" si="99"/>
        <v>0</v>
      </c>
      <c r="AC249" s="809">
        <f t="shared" ca="1" si="99"/>
        <v>0</v>
      </c>
      <c r="AD249" s="809">
        <f t="shared" ca="1" si="99"/>
        <v>0</v>
      </c>
      <c r="AE249" s="809">
        <f t="shared" ca="1" si="99"/>
        <v>0</v>
      </c>
      <c r="AF249" s="809">
        <f t="shared" ca="1" si="99"/>
        <v>0</v>
      </c>
      <c r="AG249" s="809">
        <f t="shared" ca="1" si="99"/>
        <v>0</v>
      </c>
      <c r="AH249" s="809">
        <f t="shared" ca="1" si="99"/>
        <v>0</v>
      </c>
      <c r="AI249" s="809">
        <f t="shared" ca="1" si="102"/>
        <v>0</v>
      </c>
      <c r="AJ249" s="809">
        <f t="shared" ca="1" si="100"/>
        <v>0</v>
      </c>
      <c r="AK249" s="809">
        <f t="shared" ca="1" si="100"/>
        <v>0</v>
      </c>
      <c r="AL249" s="809">
        <f t="shared" ca="1" si="100"/>
        <v>0</v>
      </c>
    </row>
    <row r="250" spans="1:38" s="489" customFormat="1" ht="12.75" outlineLevel="2">
      <c r="A250" s="1132">
        <f>ROW('Naturgas komprimering'!A72)</f>
        <v>72</v>
      </c>
      <c r="B250" s="1126">
        <f>COLUMN(Diesel!$D$1)+chosenYear-1</f>
        <v>4</v>
      </c>
      <c r="D250" s="714" t="str">
        <f>ProcessEnergy!B18</f>
        <v>&lt;empty&gt;</v>
      </c>
      <c r="E250" s="715" t="s">
        <v>345</v>
      </c>
      <c r="F250" s="809">
        <f t="shared" ca="1" si="101"/>
        <v>0</v>
      </c>
      <c r="G250" s="809">
        <f t="shared" ca="1" si="101"/>
        <v>0</v>
      </c>
      <c r="H250" s="809">
        <f t="shared" ca="1" si="101"/>
        <v>0</v>
      </c>
      <c r="I250" s="809">
        <f t="shared" ca="1" si="101"/>
        <v>0</v>
      </c>
      <c r="J250" s="809">
        <f t="shared" ca="1" si="101"/>
        <v>0</v>
      </c>
      <c r="K250" s="809">
        <f t="shared" ca="1" si="98"/>
        <v>0</v>
      </c>
      <c r="L250" s="809">
        <f t="shared" ca="1" si="101"/>
        <v>0</v>
      </c>
      <c r="M250" s="809">
        <f t="shared" ca="1" si="101"/>
        <v>0</v>
      </c>
      <c r="N250" s="809">
        <f t="shared" ca="1" si="101"/>
        <v>0</v>
      </c>
      <c r="O250" s="809">
        <f t="shared" ca="1" si="101"/>
        <v>0</v>
      </c>
      <c r="P250" s="809">
        <f t="shared" ca="1" si="101"/>
        <v>0</v>
      </c>
      <c r="Q250" s="809">
        <f t="shared" ca="1" si="101"/>
        <v>0</v>
      </c>
      <c r="R250" s="809">
        <f t="shared" ca="1" si="101"/>
        <v>0</v>
      </c>
      <c r="S250" s="809">
        <f t="shared" ca="1" si="101"/>
        <v>0</v>
      </c>
      <c r="T250" s="809">
        <f t="shared" ca="1" si="101"/>
        <v>0</v>
      </c>
      <c r="U250" s="809">
        <f t="shared" ca="1" si="101"/>
        <v>0</v>
      </c>
      <c r="V250" s="809">
        <f t="shared" ca="1" si="99"/>
        <v>0</v>
      </c>
      <c r="W250" s="809">
        <f t="shared" ca="1" si="99"/>
        <v>0</v>
      </c>
      <c r="X250" s="809">
        <f t="shared" ca="1" si="99"/>
        <v>0</v>
      </c>
      <c r="Y250" s="809">
        <f t="shared" ca="1" si="99"/>
        <v>0</v>
      </c>
      <c r="Z250" s="809">
        <f t="shared" ca="1" si="99"/>
        <v>0</v>
      </c>
      <c r="AA250" s="809">
        <f t="shared" ca="1" si="99"/>
        <v>0</v>
      </c>
      <c r="AB250" s="809">
        <f t="shared" ca="1" si="99"/>
        <v>0</v>
      </c>
      <c r="AC250" s="809">
        <f t="shared" ca="1" si="99"/>
        <v>0</v>
      </c>
      <c r="AD250" s="809">
        <f t="shared" ca="1" si="99"/>
        <v>0</v>
      </c>
      <c r="AE250" s="809">
        <f t="shared" ca="1" si="99"/>
        <v>0</v>
      </c>
      <c r="AF250" s="809">
        <f t="shared" ca="1" si="99"/>
        <v>0</v>
      </c>
      <c r="AG250" s="809">
        <f t="shared" ca="1" si="99"/>
        <v>0</v>
      </c>
      <c r="AH250" s="809">
        <f t="shared" ca="1" si="99"/>
        <v>0</v>
      </c>
      <c r="AI250" s="809">
        <f t="shared" ca="1" si="102"/>
        <v>0</v>
      </c>
      <c r="AJ250" s="809">
        <f t="shared" ca="1" si="100"/>
        <v>0</v>
      </c>
      <c r="AK250" s="809">
        <f t="shared" ca="1" si="100"/>
        <v>0</v>
      </c>
      <c r="AL250" s="809">
        <f t="shared" ca="1" si="100"/>
        <v>0</v>
      </c>
    </row>
    <row r="251" spans="1:38" s="489" customFormat="1" ht="12.75" outlineLevel="2">
      <c r="A251" s="1132">
        <f>ROW('Naturgas komprimering'!A73)</f>
        <v>73</v>
      </c>
      <c r="B251" s="1126">
        <f>COLUMN(Diesel!$D$1)+chosenYear-1</f>
        <v>4</v>
      </c>
      <c r="D251" s="714" t="str">
        <f>ProcessEnergy!B19</f>
        <v>&lt;empty&gt;</v>
      </c>
      <c r="E251" s="715" t="s">
        <v>345</v>
      </c>
      <c r="F251" s="809">
        <f t="shared" ca="1" si="101"/>
        <v>0</v>
      </c>
      <c r="G251" s="809">
        <f t="shared" ca="1" si="101"/>
        <v>0</v>
      </c>
      <c r="H251" s="809">
        <f t="shared" ca="1" si="101"/>
        <v>0</v>
      </c>
      <c r="I251" s="809">
        <f t="shared" ca="1" si="101"/>
        <v>0</v>
      </c>
      <c r="J251" s="809">
        <f t="shared" ca="1" si="101"/>
        <v>0</v>
      </c>
      <c r="K251" s="809">
        <f t="shared" ca="1" si="98"/>
        <v>0</v>
      </c>
      <c r="L251" s="809">
        <f t="shared" ca="1" si="101"/>
        <v>0</v>
      </c>
      <c r="M251" s="809">
        <f t="shared" ca="1" si="101"/>
        <v>0</v>
      </c>
      <c r="N251" s="809">
        <f t="shared" ca="1" si="101"/>
        <v>0</v>
      </c>
      <c r="O251" s="809">
        <f t="shared" ca="1" si="101"/>
        <v>0</v>
      </c>
      <c r="P251" s="809">
        <f t="shared" ca="1" si="101"/>
        <v>0</v>
      </c>
      <c r="Q251" s="809">
        <f t="shared" ca="1" si="101"/>
        <v>0</v>
      </c>
      <c r="R251" s="809">
        <f t="shared" ca="1" si="101"/>
        <v>0</v>
      </c>
      <c r="S251" s="809">
        <f t="shared" ca="1" si="101"/>
        <v>0</v>
      </c>
      <c r="T251" s="809">
        <f t="shared" ca="1" si="101"/>
        <v>0</v>
      </c>
      <c r="U251" s="809">
        <f t="shared" ca="1" si="101"/>
        <v>0</v>
      </c>
      <c r="V251" s="809">
        <f t="shared" ca="1" si="99"/>
        <v>0</v>
      </c>
      <c r="W251" s="809">
        <f t="shared" ca="1" si="99"/>
        <v>0</v>
      </c>
      <c r="X251" s="809">
        <f t="shared" ca="1" si="99"/>
        <v>0</v>
      </c>
      <c r="Y251" s="809">
        <f t="shared" ca="1" si="99"/>
        <v>0</v>
      </c>
      <c r="Z251" s="809">
        <f t="shared" ca="1" si="99"/>
        <v>0</v>
      </c>
      <c r="AA251" s="809">
        <f t="shared" ca="1" si="99"/>
        <v>0</v>
      </c>
      <c r="AB251" s="809">
        <f t="shared" ca="1" si="99"/>
        <v>0</v>
      </c>
      <c r="AC251" s="809">
        <f t="shared" ca="1" si="99"/>
        <v>0</v>
      </c>
      <c r="AD251" s="809">
        <f t="shared" ca="1" si="99"/>
        <v>0</v>
      </c>
      <c r="AE251" s="809">
        <f t="shared" ca="1" si="99"/>
        <v>0</v>
      </c>
      <c r="AF251" s="809">
        <f t="shared" ca="1" si="99"/>
        <v>0</v>
      </c>
      <c r="AG251" s="809">
        <f t="shared" ca="1" si="99"/>
        <v>0</v>
      </c>
      <c r="AH251" s="809">
        <f t="shared" ca="1" si="99"/>
        <v>0</v>
      </c>
      <c r="AI251" s="809">
        <f t="shared" ca="1" si="102"/>
        <v>0</v>
      </c>
      <c r="AJ251" s="809">
        <f t="shared" ca="1" si="100"/>
        <v>0</v>
      </c>
      <c r="AK251" s="809">
        <f t="shared" ca="1" si="100"/>
        <v>0</v>
      </c>
      <c r="AL251" s="809">
        <f t="shared" ca="1" si="100"/>
        <v>0</v>
      </c>
    </row>
    <row r="252" spans="1:38" s="489" customFormat="1" ht="12.75" outlineLevel="2">
      <c r="A252" s="1132">
        <f>ROW('Naturgas komprimering'!A74)</f>
        <v>74</v>
      </c>
      <c r="B252" s="1126">
        <f>COLUMN(Diesel!$D$1)+chosenYear-1</f>
        <v>4</v>
      </c>
      <c r="D252" s="714" t="str">
        <f>ProcessEnergy!B20</f>
        <v>&lt;empty&gt;</v>
      </c>
      <c r="E252" s="715" t="s">
        <v>345</v>
      </c>
      <c r="F252" s="809">
        <f t="shared" ca="1" si="101"/>
        <v>0</v>
      </c>
      <c r="G252" s="809">
        <f t="shared" ca="1" si="101"/>
        <v>0</v>
      </c>
      <c r="H252" s="809">
        <f t="shared" ca="1" si="101"/>
        <v>0</v>
      </c>
      <c r="I252" s="809">
        <f t="shared" ca="1" si="101"/>
        <v>0</v>
      </c>
      <c r="J252" s="809">
        <f t="shared" ca="1" si="101"/>
        <v>0</v>
      </c>
      <c r="K252" s="809">
        <f t="shared" ca="1" si="98"/>
        <v>0</v>
      </c>
      <c r="L252" s="809">
        <f t="shared" ca="1" si="101"/>
        <v>0</v>
      </c>
      <c r="M252" s="809">
        <f t="shared" ca="1" si="101"/>
        <v>0</v>
      </c>
      <c r="N252" s="809">
        <f t="shared" ca="1" si="101"/>
        <v>0</v>
      </c>
      <c r="O252" s="809">
        <f t="shared" ca="1" si="101"/>
        <v>0</v>
      </c>
      <c r="P252" s="809">
        <f t="shared" ca="1" si="101"/>
        <v>0</v>
      </c>
      <c r="Q252" s="809">
        <f t="shared" ca="1" si="101"/>
        <v>0</v>
      </c>
      <c r="R252" s="809">
        <f t="shared" ca="1" si="101"/>
        <v>0</v>
      </c>
      <c r="S252" s="809">
        <f t="shared" ca="1" si="101"/>
        <v>0</v>
      </c>
      <c r="T252" s="809">
        <f t="shared" ca="1" si="101"/>
        <v>0</v>
      </c>
      <c r="U252" s="809">
        <f t="shared" ca="1" si="101"/>
        <v>0</v>
      </c>
      <c r="V252" s="809">
        <f t="shared" ca="1" si="99"/>
        <v>0</v>
      </c>
      <c r="W252" s="809">
        <f t="shared" ca="1" si="99"/>
        <v>0</v>
      </c>
      <c r="X252" s="809">
        <f t="shared" ca="1" si="99"/>
        <v>0</v>
      </c>
      <c r="Y252" s="809">
        <f t="shared" ca="1" si="99"/>
        <v>0</v>
      </c>
      <c r="Z252" s="809">
        <f t="shared" ca="1" si="99"/>
        <v>0</v>
      </c>
      <c r="AA252" s="809">
        <f t="shared" ca="1" si="99"/>
        <v>0</v>
      </c>
      <c r="AB252" s="809">
        <f t="shared" ca="1" si="99"/>
        <v>0</v>
      </c>
      <c r="AC252" s="809">
        <f t="shared" ca="1" si="99"/>
        <v>0</v>
      </c>
      <c r="AD252" s="809">
        <f t="shared" ca="1" si="99"/>
        <v>0</v>
      </c>
      <c r="AE252" s="809">
        <f t="shared" ca="1" si="99"/>
        <v>0</v>
      </c>
      <c r="AF252" s="809">
        <f t="shared" ca="1" si="99"/>
        <v>0</v>
      </c>
      <c r="AG252" s="809">
        <f t="shared" ca="1" si="99"/>
        <v>0</v>
      </c>
      <c r="AH252" s="809">
        <f t="shared" ca="1" si="99"/>
        <v>0</v>
      </c>
      <c r="AI252" s="809">
        <f t="shared" ca="1" si="102"/>
        <v>0</v>
      </c>
      <c r="AJ252" s="809">
        <f t="shared" ca="1" si="100"/>
        <v>0</v>
      </c>
      <c r="AK252" s="809">
        <f t="shared" ca="1" si="100"/>
        <v>0</v>
      </c>
      <c r="AL252" s="809">
        <f t="shared" ca="1" si="100"/>
        <v>0</v>
      </c>
    </row>
    <row r="253" spans="1:38" s="489" customFormat="1" ht="12.75" outlineLevel="2">
      <c r="A253" s="1132">
        <f>ROW('Naturgas komprimering'!A75)</f>
        <v>75</v>
      </c>
      <c r="B253" s="1126">
        <f>COLUMN(Diesel!$D$1)+chosenYear-1</f>
        <v>4</v>
      </c>
      <c r="D253" s="714" t="str">
        <f>ProcessEnergy!B21</f>
        <v>&lt;empty&gt;</v>
      </c>
      <c r="E253" s="715" t="s">
        <v>345</v>
      </c>
      <c r="F253" s="809">
        <f t="shared" ca="1" si="101"/>
        <v>0</v>
      </c>
      <c r="G253" s="809">
        <f t="shared" ca="1" si="101"/>
        <v>0</v>
      </c>
      <c r="H253" s="809">
        <f t="shared" ca="1" si="101"/>
        <v>0</v>
      </c>
      <c r="I253" s="809">
        <f t="shared" ca="1" si="101"/>
        <v>0</v>
      </c>
      <c r="J253" s="809">
        <f t="shared" ca="1" si="101"/>
        <v>0</v>
      </c>
      <c r="K253" s="809">
        <f t="shared" ca="1" si="98"/>
        <v>0</v>
      </c>
      <c r="L253" s="809">
        <f t="shared" ca="1" si="101"/>
        <v>0</v>
      </c>
      <c r="M253" s="809">
        <f t="shared" ca="1" si="101"/>
        <v>0</v>
      </c>
      <c r="N253" s="809">
        <f t="shared" ca="1" si="101"/>
        <v>0</v>
      </c>
      <c r="O253" s="809">
        <f t="shared" ca="1" si="101"/>
        <v>0</v>
      </c>
      <c r="P253" s="809">
        <f t="shared" ca="1" si="101"/>
        <v>0</v>
      </c>
      <c r="Q253" s="809">
        <f t="shared" ca="1" si="101"/>
        <v>0</v>
      </c>
      <c r="R253" s="809">
        <f t="shared" ca="1" si="101"/>
        <v>0</v>
      </c>
      <c r="S253" s="809">
        <f t="shared" ca="1" si="101"/>
        <v>0</v>
      </c>
      <c r="T253" s="809">
        <f t="shared" ca="1" si="101"/>
        <v>0</v>
      </c>
      <c r="U253" s="809">
        <f t="shared" ca="1" si="101"/>
        <v>0</v>
      </c>
      <c r="V253" s="809">
        <f t="shared" ca="1" si="99"/>
        <v>0</v>
      </c>
      <c r="W253" s="809">
        <f t="shared" ca="1" si="99"/>
        <v>0</v>
      </c>
      <c r="X253" s="809">
        <f t="shared" ca="1" si="99"/>
        <v>0</v>
      </c>
      <c r="Y253" s="809">
        <f t="shared" ca="1" si="99"/>
        <v>0</v>
      </c>
      <c r="Z253" s="809">
        <f t="shared" ca="1" si="99"/>
        <v>0</v>
      </c>
      <c r="AA253" s="809">
        <f t="shared" ca="1" si="99"/>
        <v>0</v>
      </c>
      <c r="AB253" s="809">
        <f t="shared" ca="1" si="99"/>
        <v>0</v>
      </c>
      <c r="AC253" s="809">
        <f t="shared" ca="1" si="99"/>
        <v>0</v>
      </c>
      <c r="AD253" s="809">
        <f t="shared" ca="1" si="99"/>
        <v>0</v>
      </c>
      <c r="AE253" s="809">
        <f t="shared" ca="1" si="99"/>
        <v>0</v>
      </c>
      <c r="AF253" s="809">
        <f t="shared" ca="1" si="99"/>
        <v>0</v>
      </c>
      <c r="AG253" s="809">
        <f t="shared" ca="1" si="99"/>
        <v>0</v>
      </c>
      <c r="AH253" s="809">
        <f t="shared" ca="1" si="99"/>
        <v>0</v>
      </c>
      <c r="AI253" s="809">
        <f t="shared" ca="1" si="102"/>
        <v>0</v>
      </c>
      <c r="AJ253" s="809">
        <f t="shared" ca="1" si="100"/>
        <v>0</v>
      </c>
      <c r="AK253" s="809">
        <f t="shared" ca="1" si="100"/>
        <v>0</v>
      </c>
      <c r="AL253" s="809">
        <f t="shared" ca="1" si="100"/>
        <v>0</v>
      </c>
    </row>
    <row r="254" spans="1:38" s="489" customFormat="1" ht="12.75" outlineLevel="2">
      <c r="A254" s="1132">
        <f>ROW('Naturgas komprimering'!A76)</f>
        <v>76</v>
      </c>
      <c r="B254" s="1126">
        <f>COLUMN(Diesel!$D$1)+chosenYear-1</f>
        <v>4</v>
      </c>
      <c r="D254" s="714" t="str">
        <f>ProcessEnergy!B22</f>
        <v>&lt;empty&gt;</v>
      </c>
      <c r="E254" s="715" t="s">
        <v>345</v>
      </c>
      <c r="F254" s="809">
        <f t="shared" ca="1" si="101"/>
        <v>0</v>
      </c>
      <c r="G254" s="809">
        <f t="shared" ca="1" si="101"/>
        <v>0</v>
      </c>
      <c r="H254" s="809">
        <f t="shared" ca="1" si="101"/>
        <v>0</v>
      </c>
      <c r="I254" s="809">
        <f t="shared" ca="1" si="101"/>
        <v>0</v>
      </c>
      <c r="J254" s="809">
        <f t="shared" ca="1" si="101"/>
        <v>0</v>
      </c>
      <c r="K254" s="809">
        <f t="shared" ca="1" si="98"/>
        <v>0</v>
      </c>
      <c r="L254" s="809">
        <f t="shared" ca="1" si="101"/>
        <v>0</v>
      </c>
      <c r="M254" s="809">
        <f t="shared" ca="1" si="101"/>
        <v>0</v>
      </c>
      <c r="N254" s="809">
        <f t="shared" ca="1" si="101"/>
        <v>0</v>
      </c>
      <c r="O254" s="809">
        <f t="shared" ca="1" si="101"/>
        <v>0</v>
      </c>
      <c r="P254" s="809">
        <f t="shared" ca="1" si="101"/>
        <v>0</v>
      </c>
      <c r="Q254" s="809">
        <f t="shared" ca="1" si="101"/>
        <v>0</v>
      </c>
      <c r="R254" s="809">
        <f t="shared" ca="1" si="101"/>
        <v>0</v>
      </c>
      <c r="S254" s="809">
        <f t="shared" ca="1" si="101"/>
        <v>0</v>
      </c>
      <c r="T254" s="809">
        <f t="shared" ca="1" si="101"/>
        <v>0</v>
      </c>
      <c r="U254" s="809">
        <f t="shared" ca="1" si="101"/>
        <v>0</v>
      </c>
      <c r="V254" s="809">
        <f t="shared" ca="1" si="99"/>
        <v>0</v>
      </c>
      <c r="W254" s="809">
        <f t="shared" ca="1" si="99"/>
        <v>0</v>
      </c>
      <c r="X254" s="809">
        <f t="shared" ca="1" si="99"/>
        <v>0</v>
      </c>
      <c r="Y254" s="809">
        <f t="shared" ca="1" si="99"/>
        <v>0</v>
      </c>
      <c r="Z254" s="809">
        <f t="shared" ca="1" si="99"/>
        <v>0</v>
      </c>
      <c r="AA254" s="809">
        <f t="shared" ca="1" si="99"/>
        <v>0</v>
      </c>
      <c r="AB254" s="809">
        <f t="shared" ca="1" si="99"/>
        <v>0</v>
      </c>
      <c r="AC254" s="809">
        <f t="shared" ca="1" si="99"/>
        <v>0</v>
      </c>
      <c r="AD254" s="809">
        <f t="shared" ca="1" si="99"/>
        <v>0</v>
      </c>
      <c r="AE254" s="809">
        <f t="shared" ca="1" si="99"/>
        <v>0</v>
      </c>
      <c r="AF254" s="809">
        <f t="shared" ca="1" si="99"/>
        <v>0</v>
      </c>
      <c r="AG254" s="809">
        <f t="shared" ca="1" si="99"/>
        <v>0</v>
      </c>
      <c r="AH254" s="809">
        <f t="shared" ca="1" si="99"/>
        <v>0</v>
      </c>
      <c r="AI254" s="809">
        <f t="shared" ca="1" si="102"/>
        <v>0</v>
      </c>
      <c r="AJ254" s="809">
        <f t="shared" ca="1" si="100"/>
        <v>0</v>
      </c>
      <c r="AK254" s="809">
        <f t="shared" ca="1" si="100"/>
        <v>0</v>
      </c>
      <c r="AL254" s="809">
        <f t="shared" ca="1" si="100"/>
        <v>0</v>
      </c>
    </row>
    <row r="255" spans="1:38" s="489" customFormat="1" ht="12.75" outlineLevel="2">
      <c r="A255" s="1132">
        <f>ROW('Naturgas komprimering'!A77)</f>
        <v>77</v>
      </c>
      <c r="B255" s="1126">
        <f>COLUMN(Diesel!$D$1)+chosenYear-1</f>
        <v>4</v>
      </c>
      <c r="D255" s="714" t="str">
        <f>ProcessEnergy!B23</f>
        <v>&lt;empty&gt;</v>
      </c>
      <c r="E255" s="715" t="s">
        <v>345</v>
      </c>
      <c r="F255" s="809">
        <f t="shared" ca="1" si="101"/>
        <v>0</v>
      </c>
      <c r="G255" s="809">
        <f t="shared" ca="1" si="101"/>
        <v>0</v>
      </c>
      <c r="H255" s="809">
        <f t="shared" ca="1" si="101"/>
        <v>0</v>
      </c>
      <c r="I255" s="809">
        <f t="shared" ca="1" si="101"/>
        <v>0</v>
      </c>
      <c r="J255" s="809">
        <f t="shared" ca="1" si="101"/>
        <v>0</v>
      </c>
      <c r="K255" s="809">
        <f t="shared" ca="1" si="98"/>
        <v>0</v>
      </c>
      <c r="L255" s="809">
        <f t="shared" ca="1" si="101"/>
        <v>0</v>
      </c>
      <c r="M255" s="809">
        <f t="shared" ca="1" si="101"/>
        <v>0</v>
      </c>
      <c r="N255" s="809">
        <f t="shared" ca="1" si="101"/>
        <v>0</v>
      </c>
      <c r="O255" s="809">
        <f t="shared" ca="1" si="101"/>
        <v>0</v>
      </c>
      <c r="P255" s="809">
        <f t="shared" ca="1" si="101"/>
        <v>0</v>
      </c>
      <c r="Q255" s="809">
        <f t="shared" ca="1" si="101"/>
        <v>0</v>
      </c>
      <c r="R255" s="809">
        <f t="shared" ca="1" si="101"/>
        <v>0</v>
      </c>
      <c r="S255" s="809">
        <f t="shared" ca="1" si="101"/>
        <v>0</v>
      </c>
      <c r="T255" s="809">
        <f t="shared" ca="1" si="101"/>
        <v>0</v>
      </c>
      <c r="U255" s="809">
        <f t="shared" ca="1" si="101"/>
        <v>0</v>
      </c>
      <c r="V255" s="809">
        <f t="shared" ca="1" si="99"/>
        <v>0</v>
      </c>
      <c r="W255" s="809">
        <f t="shared" ca="1" si="99"/>
        <v>0</v>
      </c>
      <c r="X255" s="809">
        <f t="shared" ca="1" si="99"/>
        <v>0</v>
      </c>
      <c r="Y255" s="809">
        <f t="shared" ca="1" si="99"/>
        <v>0</v>
      </c>
      <c r="Z255" s="809">
        <f t="shared" ca="1" si="99"/>
        <v>0</v>
      </c>
      <c r="AA255" s="809">
        <f t="shared" ca="1" si="99"/>
        <v>0</v>
      </c>
      <c r="AB255" s="809">
        <f t="shared" ca="1" si="99"/>
        <v>0</v>
      </c>
      <c r="AC255" s="809">
        <f t="shared" ca="1" si="99"/>
        <v>0</v>
      </c>
      <c r="AD255" s="809">
        <f t="shared" ca="1" si="99"/>
        <v>0</v>
      </c>
      <c r="AE255" s="809">
        <f t="shared" ca="1" si="99"/>
        <v>0</v>
      </c>
      <c r="AF255" s="809">
        <f t="shared" ca="1" si="99"/>
        <v>0</v>
      </c>
      <c r="AG255" s="809">
        <f t="shared" ca="1" si="99"/>
        <v>0</v>
      </c>
      <c r="AH255" s="809">
        <f t="shared" ca="1" si="99"/>
        <v>0</v>
      </c>
      <c r="AI255" s="809">
        <f t="shared" ca="1" si="102"/>
        <v>0</v>
      </c>
      <c r="AJ255" s="809">
        <f t="shared" ca="1" si="100"/>
        <v>0</v>
      </c>
      <c r="AK255" s="809">
        <f t="shared" ca="1" si="100"/>
        <v>0</v>
      </c>
      <c r="AL255" s="809">
        <f t="shared" ca="1" si="100"/>
        <v>0</v>
      </c>
    </row>
    <row r="256" spans="1:38" s="489" customFormat="1" ht="12.75" outlineLevel="2">
      <c r="A256" s="1132">
        <f>ROW('Naturgas komprimering'!A78)</f>
        <v>78</v>
      </c>
      <c r="B256" s="1126">
        <f>COLUMN(Diesel!$D$1)+chosenYear-1</f>
        <v>4</v>
      </c>
      <c r="D256" s="492" t="str">
        <f>ProcessEnergy!B24</f>
        <v>&lt;empty&gt;</v>
      </c>
      <c r="E256" s="493" t="s">
        <v>345</v>
      </c>
      <c r="F256" s="810">
        <f t="shared" ca="1" si="101"/>
        <v>0</v>
      </c>
      <c r="G256" s="810">
        <f t="shared" ca="1" si="101"/>
        <v>0</v>
      </c>
      <c r="H256" s="810">
        <f t="shared" ca="1" si="101"/>
        <v>0</v>
      </c>
      <c r="I256" s="810">
        <f t="shared" ca="1" si="101"/>
        <v>0</v>
      </c>
      <c r="J256" s="810">
        <f t="shared" ca="1" si="101"/>
        <v>0</v>
      </c>
      <c r="K256" s="810">
        <f t="shared" ca="1" si="98"/>
        <v>0</v>
      </c>
      <c r="L256" s="810">
        <f t="shared" ca="1" si="101"/>
        <v>0</v>
      </c>
      <c r="M256" s="810">
        <f t="shared" ca="1" si="101"/>
        <v>0</v>
      </c>
      <c r="N256" s="810">
        <f t="shared" ca="1" si="101"/>
        <v>0</v>
      </c>
      <c r="O256" s="810">
        <f t="shared" ca="1" si="101"/>
        <v>3.6842105263157898E-2</v>
      </c>
      <c r="P256" s="810">
        <f t="shared" ca="1" si="101"/>
        <v>0</v>
      </c>
      <c r="Q256" s="810">
        <f t="shared" ca="1" si="101"/>
        <v>0</v>
      </c>
      <c r="R256" s="810">
        <f t="shared" ca="1" si="101"/>
        <v>0</v>
      </c>
      <c r="S256" s="810">
        <f t="shared" ca="1" si="101"/>
        <v>0</v>
      </c>
      <c r="T256" s="810">
        <f t="shared" ca="1" si="101"/>
        <v>0</v>
      </c>
      <c r="U256" s="810">
        <f t="shared" ca="1" si="101"/>
        <v>0</v>
      </c>
      <c r="V256" s="810">
        <f t="shared" ca="1" si="99"/>
        <v>0</v>
      </c>
      <c r="W256" s="810">
        <f t="shared" ca="1" si="99"/>
        <v>0</v>
      </c>
      <c r="X256" s="810">
        <f t="shared" ca="1" si="99"/>
        <v>0</v>
      </c>
      <c r="Y256" s="810">
        <f t="shared" ca="1" si="99"/>
        <v>0</v>
      </c>
      <c r="Z256" s="810">
        <f t="shared" ca="1" si="99"/>
        <v>0</v>
      </c>
      <c r="AA256" s="810">
        <f t="shared" ca="1" si="99"/>
        <v>0</v>
      </c>
      <c r="AB256" s="810">
        <f t="shared" ca="1" si="99"/>
        <v>0</v>
      </c>
      <c r="AC256" s="810">
        <f t="shared" ca="1" si="99"/>
        <v>0</v>
      </c>
      <c r="AD256" s="810">
        <f t="shared" ca="1" si="99"/>
        <v>0</v>
      </c>
      <c r="AE256" s="810">
        <f t="shared" ca="1" si="99"/>
        <v>0</v>
      </c>
      <c r="AF256" s="810">
        <f t="shared" ca="1" si="99"/>
        <v>0</v>
      </c>
      <c r="AG256" s="810">
        <f t="shared" ca="1" si="99"/>
        <v>0</v>
      </c>
      <c r="AH256" s="810">
        <f t="shared" ca="1" si="99"/>
        <v>0</v>
      </c>
      <c r="AI256" s="810">
        <f t="shared" ca="1" si="102"/>
        <v>0</v>
      </c>
      <c r="AJ256" s="810">
        <f t="shared" ca="1" si="100"/>
        <v>0</v>
      </c>
      <c r="AK256" s="810">
        <f t="shared" ca="1" si="100"/>
        <v>0</v>
      </c>
      <c r="AL256" s="810">
        <f t="shared" ca="1" si="100"/>
        <v>0</v>
      </c>
    </row>
    <row r="257" spans="1:38" s="489" customFormat="1" ht="12.75" outlineLevel="2">
      <c r="A257" s="1132"/>
      <c r="B257" s="1126"/>
      <c r="D257" s="494" t="s">
        <v>896</v>
      </c>
      <c r="E257" s="715"/>
      <c r="G257" s="773"/>
      <c r="H257" s="773"/>
      <c r="I257" s="773"/>
      <c r="J257" s="773"/>
      <c r="K257" s="773"/>
      <c r="L257" s="773"/>
      <c r="M257" s="773"/>
      <c r="N257" s="773"/>
      <c r="O257" s="773"/>
      <c r="P257" s="773"/>
      <c r="Q257" s="773"/>
      <c r="R257" s="773"/>
      <c r="S257" s="773"/>
      <c r="T257" s="773"/>
      <c r="U257" s="773"/>
      <c r="V257" s="773"/>
      <c r="W257" s="773"/>
      <c r="X257" s="773"/>
      <c r="Y257" s="773"/>
      <c r="Z257" s="773"/>
      <c r="AA257" s="773"/>
      <c r="AB257" s="773"/>
      <c r="AC257" s="773"/>
      <c r="AD257" s="773"/>
      <c r="AE257" s="773"/>
      <c r="AF257" s="773"/>
      <c r="AG257" s="773"/>
      <c r="AH257" s="773"/>
      <c r="AI257" s="773"/>
      <c r="AJ257" s="773"/>
      <c r="AK257" s="773"/>
      <c r="AL257" s="773"/>
    </row>
    <row r="258" spans="1:38" s="489" customFormat="1" ht="12.75" outlineLevel="2">
      <c r="A258" s="1132"/>
      <c r="B258" s="1126"/>
      <c r="D258" s="714"/>
      <c r="E258" s="715"/>
      <c r="F258" s="784"/>
      <c r="G258" s="805"/>
      <c r="H258" s="805"/>
      <c r="I258" s="805"/>
      <c r="J258" s="805"/>
      <c r="K258" s="805"/>
      <c r="L258" s="805"/>
      <c r="M258" s="805"/>
      <c r="N258" s="805"/>
      <c r="O258" s="805"/>
      <c r="P258" s="805"/>
      <c r="Q258" s="805"/>
      <c r="R258" s="805"/>
      <c r="S258" s="805"/>
      <c r="T258" s="805"/>
      <c r="U258" s="805"/>
      <c r="V258" s="805"/>
      <c r="W258" s="805"/>
      <c r="X258" s="805"/>
      <c r="Y258" s="805"/>
      <c r="Z258" s="805"/>
      <c r="AA258" s="805"/>
      <c r="AB258" s="805"/>
      <c r="AC258" s="805"/>
      <c r="AD258" s="805"/>
      <c r="AE258" s="805"/>
      <c r="AF258" s="805"/>
      <c r="AG258" s="805"/>
      <c r="AH258" s="805"/>
      <c r="AI258" s="805"/>
      <c r="AJ258" s="805"/>
      <c r="AK258" s="805"/>
      <c r="AL258" s="805"/>
    </row>
    <row r="259" spans="1:38" s="489" customFormat="1" ht="12.75" outlineLevel="2">
      <c r="A259" s="1132"/>
      <c r="B259" s="1132"/>
      <c r="D259" s="783" t="s">
        <v>940</v>
      </c>
      <c r="E259" s="715"/>
      <c r="F259" s="664"/>
      <c r="G259" s="773"/>
      <c r="H259" s="773"/>
      <c r="I259" s="773"/>
      <c r="J259" s="773"/>
      <c r="K259" s="773"/>
      <c r="L259" s="773"/>
      <c r="M259" s="773"/>
      <c r="N259" s="773"/>
      <c r="O259" s="773"/>
      <c r="P259" s="773"/>
      <c r="Q259" s="773"/>
      <c r="R259" s="773"/>
      <c r="S259" s="788">
        <v>192.98969072164951</v>
      </c>
      <c r="T259" s="788">
        <v>192.98969072164951</v>
      </c>
      <c r="U259" s="788">
        <v>192.98969072164951</v>
      </c>
      <c r="V259" s="788">
        <v>192.98969072164951</v>
      </c>
      <c r="W259" s="773"/>
      <c r="X259" s="773"/>
      <c r="Y259" s="773"/>
      <c r="Z259" s="773"/>
      <c r="AA259" s="773"/>
      <c r="AB259" s="773"/>
      <c r="AC259" s="773"/>
      <c r="AD259" s="773"/>
      <c r="AE259" s="773"/>
      <c r="AF259" s="773"/>
      <c r="AG259" s="773"/>
      <c r="AH259" s="773"/>
      <c r="AI259" s="773"/>
      <c r="AJ259" s="773"/>
      <c r="AK259" s="773"/>
      <c r="AL259" s="773"/>
    </row>
    <row r="260" spans="1:38" s="489" customFormat="1" ht="12.75" outlineLevel="2">
      <c r="A260" s="1132"/>
      <c r="B260" s="1132"/>
      <c r="D260" s="495" t="s">
        <v>24</v>
      </c>
      <c r="E260" s="491" t="s">
        <v>347</v>
      </c>
      <c r="F260" s="786">
        <f ca="1">SUMPRODUCT(F$237:F$256,ProcessEnergy!$C$5:$C$24)/1000</f>
        <v>0</v>
      </c>
      <c r="G260" s="786">
        <f ca="1">SUMPRODUCT(G$237:G$256,ProcessEnergy!$C$5:$C$24)/1000</f>
        <v>0</v>
      </c>
      <c r="H260" s="786">
        <f ca="1">SUMPRODUCT(H$237:H$256,ProcessEnergy!$C$5:$C$24)/1000</f>
        <v>0</v>
      </c>
      <c r="I260" s="786">
        <f ca="1">SUMPRODUCT(I$237:I$256,ProcessEnergy!$C$5:$C$24)/1000</f>
        <v>0</v>
      </c>
      <c r="J260" s="786">
        <f ca="1">SUMPRODUCT(J$237:J$256,ProcessEnergy!$C$5:$C$24)/1000</f>
        <v>0.12082052414857779</v>
      </c>
      <c r="K260" s="786">
        <f ca="1">SUMPRODUCT(K$237:K$256,ProcessEnergy!$C$5:$C$24)/1000</f>
        <v>3.6880999999999999</v>
      </c>
      <c r="L260" s="786">
        <f ca="1">SUMPRODUCT(L$237:L$256,ProcessEnergy!$C$5:$C$24)/1000</f>
        <v>0</v>
      </c>
      <c r="M260" s="786">
        <f ca="1">SUMPRODUCT(M$237:M$256,ProcessEnergy!$C$5:$C$24)/1000</f>
        <v>0</v>
      </c>
      <c r="N260" s="786">
        <f ca="1">SUMPRODUCT(N$237:N$256,ProcessEnergy!$C$5:$C$24)/1000</f>
        <v>0</v>
      </c>
      <c r="O260" s="786">
        <f ca="1">SUMPRODUCT(O$237:O$256,ProcessEnergy!$C$5:$C$24)/1000</f>
        <v>0</v>
      </c>
      <c r="P260" s="786">
        <f ca="1">SUMPRODUCT(P$237:P$256,ProcessEnergy!$C$5:$C$24)/1000</f>
        <v>0</v>
      </c>
      <c r="Q260" s="786">
        <f ca="1">SUMPRODUCT(Q$237:Q$256,ProcessEnergy!$C$5:$C$24)/1000</f>
        <v>0</v>
      </c>
      <c r="R260" s="786">
        <f ca="1">SUMPRODUCT(R$237:R$256,ProcessEnergy!$C$5:$C$24)/1000</f>
        <v>0.12082052414857779</v>
      </c>
      <c r="S260" s="786">
        <f ca="1">SUMPRODUCT(S$237:S$256,ProcessEnergy!$C$5:$C$24)/1000</f>
        <v>4.8328209659431112</v>
      </c>
      <c r="T260" s="786">
        <f ca="1">SUMPRODUCT(T$237:T$256,ProcessEnergy!$C$5:$C$24)/1000</f>
        <v>4.8328209659431112</v>
      </c>
      <c r="U260" s="786">
        <f ca="1">SUMPRODUCT(U$237:U$256,ProcessEnergy!$C$5:$C$24)/1000</f>
        <v>4.8328209659431112</v>
      </c>
      <c r="V260" s="786">
        <f ca="1">SUMPRODUCT(V$237:V$256,ProcessEnergy!$C$5:$C$24)/1000</f>
        <v>4.8328209659431112</v>
      </c>
      <c r="W260" s="786">
        <f ca="1">SUMPRODUCT(W$237:W$256,ProcessEnergy!$C$5:$C$24)/1000</f>
        <v>0</v>
      </c>
      <c r="X260" s="786">
        <f ca="1">SUMPRODUCT(X$237:X$256,ProcessEnergy!$C$5:$C$24)/1000</f>
        <v>0</v>
      </c>
      <c r="Y260" s="786">
        <f ca="1">SUMPRODUCT(Y$237:Y$256,ProcessEnergy!$C$5:$C$24)/1000</f>
        <v>0</v>
      </c>
      <c r="Z260" s="786">
        <f ca="1">SUMPRODUCT(Z$237:Z$256,ProcessEnergy!$C$5:$C$24)/1000</f>
        <v>0</v>
      </c>
      <c r="AA260" s="786">
        <f ca="1">SUMPRODUCT(AA$237:AA$256,ProcessEnergy!$C$5:$C$24)/1000</f>
        <v>0</v>
      </c>
      <c r="AB260" s="786">
        <f ca="1">SUMPRODUCT(AB$237:AB$256,ProcessEnergy!$C$5:$C$24)/1000</f>
        <v>0</v>
      </c>
      <c r="AC260" s="786">
        <f ca="1">SUMPRODUCT(AC$237:AC$256,ProcessEnergy!$C$5:$C$24)/1000</f>
        <v>0</v>
      </c>
      <c r="AD260" s="786">
        <f ca="1">SUMPRODUCT(AD$237:AD$256,ProcessEnergy!$C$5:$C$24)/1000</f>
        <v>0</v>
      </c>
      <c r="AE260" s="786">
        <f ca="1">SUMPRODUCT(AE$237:AE$256,ProcessEnergy!$C$5:$C$24)/1000</f>
        <v>0</v>
      </c>
      <c r="AF260" s="786">
        <f ca="1">SUMPRODUCT(AF$237:AF$256,ProcessEnergy!$C$5:$C$24)/1000</f>
        <v>0</v>
      </c>
      <c r="AG260" s="786">
        <f ca="1">SUMPRODUCT(AG$237:AG$256,ProcessEnergy!$C$5:$C$24)/1000</f>
        <v>0</v>
      </c>
      <c r="AH260" s="786">
        <f ca="1">SUMPRODUCT(AH$237:AH$256,ProcessEnergy!$C$5:$C$24)/1000</f>
        <v>0</v>
      </c>
      <c r="AI260" s="786">
        <f ca="1">SUMPRODUCT(AI$237:AI$256,ProcessEnergy!$C$5:$C$24)/1000</f>
        <v>0</v>
      </c>
      <c r="AJ260" s="786">
        <f ca="1">SUMPRODUCT(AJ$237:AJ$256,ProcessEnergy!$C$5:$C$24)/1000</f>
        <v>0</v>
      </c>
      <c r="AK260" s="786">
        <f ca="1">SUMPRODUCT(AK$237:AK$256,ProcessEnergy!$C$5:$C$24)/1000</f>
        <v>0</v>
      </c>
      <c r="AL260" s="786">
        <f ca="1">SUMPRODUCT(AL$237:AL$256,ProcessEnergy!$C$5:$C$24)/1000</f>
        <v>0</v>
      </c>
    </row>
    <row r="261" spans="1:38" s="489" customFormat="1" ht="12.75" outlineLevel="2">
      <c r="A261" s="1132"/>
      <c r="B261" s="1132"/>
      <c r="D261" s="714" t="s">
        <v>27</v>
      </c>
      <c r="E261" s="715" t="s">
        <v>347</v>
      </c>
      <c r="F261" s="788">
        <f ca="1">SUMPRODUCT(F$237:F$256,ProcessEnergy!$D$5:$D$24)/1000</f>
        <v>0</v>
      </c>
      <c r="G261" s="788">
        <f ca="1">SUMPRODUCT(G$237:G$256,ProcessEnergy!$D$5:$D$24)/1000</f>
        <v>0</v>
      </c>
      <c r="H261" s="788">
        <f ca="1">SUMPRODUCT(H$237:H$256,ProcessEnergy!$D$5:$D$24)/1000</f>
        <v>0</v>
      </c>
      <c r="I261" s="788">
        <f ca="1">SUMPRODUCT(I$237:I$256,ProcessEnergy!$D$5:$D$24)/1000</f>
        <v>0</v>
      </c>
      <c r="J261" s="788">
        <f ca="1">SUMPRODUCT(J$237:J$256,ProcessEnergy!$D$5:$D$24)/1000</f>
        <v>2.5000000000000006E-6</v>
      </c>
      <c r="K261" s="788">
        <f ca="1">SUMPRODUCT(K$237:K$256,ProcessEnergy!$D$5:$D$24)/1000</f>
        <v>6.5000000000000004E-6</v>
      </c>
      <c r="L261" s="788">
        <f ca="1">SUMPRODUCT(L$237:L$256,ProcessEnergy!$D$5:$D$24)/1000</f>
        <v>0</v>
      </c>
      <c r="M261" s="788">
        <f ca="1">SUMPRODUCT(M$237:M$256,ProcessEnergy!$D$5:$D$24)/1000</f>
        <v>0</v>
      </c>
      <c r="N261" s="788">
        <f ca="1">SUMPRODUCT(N$237:N$256,ProcessEnergy!$D$5:$D$24)/1000</f>
        <v>0</v>
      </c>
      <c r="O261" s="788">
        <f ca="1">SUMPRODUCT(O$237:O$256,ProcessEnergy!$D$5:$D$24)/1000</f>
        <v>0</v>
      </c>
      <c r="P261" s="788">
        <f ca="1">SUMPRODUCT(P$237:P$256,ProcessEnergy!$D$5:$D$24)/1000</f>
        <v>0</v>
      </c>
      <c r="Q261" s="788">
        <f ca="1">SUMPRODUCT(Q$237:Q$256,ProcessEnergy!$D$5:$D$24)/1000</f>
        <v>0</v>
      </c>
      <c r="R261" s="788">
        <f ca="1">SUMPRODUCT(R$237:R$256,ProcessEnergy!$D$5:$D$24)/1000</f>
        <v>2.5000000000000006E-6</v>
      </c>
      <c r="S261" s="788">
        <f ca="1">SUMPRODUCT(S$237:S$256,ProcessEnergy!$D$5:$D$24)/1000</f>
        <v>1E-4</v>
      </c>
      <c r="T261" s="788">
        <f ca="1">SUMPRODUCT(T$237:T$256,ProcessEnergy!$D$5:$D$24)/1000</f>
        <v>1E-4</v>
      </c>
      <c r="U261" s="788">
        <f ca="1">SUMPRODUCT(U$237:U$256,ProcessEnergy!$D$5:$D$24)/1000</f>
        <v>1E-4</v>
      </c>
      <c r="V261" s="788">
        <f ca="1">SUMPRODUCT(V$237:V$256,ProcessEnergy!$D$5:$D$24)/1000</f>
        <v>1E-4</v>
      </c>
      <c r="W261" s="788">
        <f ca="1">SUMPRODUCT(W$237:W$256,ProcessEnergy!$D$5:$D$24)/1000</f>
        <v>0</v>
      </c>
      <c r="X261" s="788">
        <f ca="1">SUMPRODUCT(X$237:X$256,ProcessEnergy!$D$5:$D$24)/1000</f>
        <v>0</v>
      </c>
      <c r="Y261" s="788">
        <f ca="1">SUMPRODUCT(Y$237:Y$256,ProcessEnergy!$D$5:$D$24)/1000</f>
        <v>0</v>
      </c>
      <c r="Z261" s="788">
        <f ca="1">SUMPRODUCT(Z$237:Z$256,ProcessEnergy!$D$5:$D$24)/1000</f>
        <v>0</v>
      </c>
      <c r="AA261" s="788">
        <f ca="1">SUMPRODUCT(AA$237:AA$256,ProcessEnergy!$D$5:$D$24)/1000</f>
        <v>0</v>
      </c>
      <c r="AB261" s="788">
        <f ca="1">SUMPRODUCT(AB$237:AB$256,ProcessEnergy!$D$5:$D$24)/1000</f>
        <v>0</v>
      </c>
      <c r="AC261" s="788">
        <f ca="1">SUMPRODUCT(AC$237:AC$256,ProcessEnergy!$D$5:$D$24)/1000</f>
        <v>0</v>
      </c>
      <c r="AD261" s="788">
        <f ca="1">SUMPRODUCT(AD$237:AD$256,ProcessEnergy!$D$5:$D$24)/1000</f>
        <v>0</v>
      </c>
      <c r="AE261" s="788">
        <f ca="1">SUMPRODUCT(AE$237:AE$256,ProcessEnergy!$D$5:$D$24)/1000</f>
        <v>0</v>
      </c>
      <c r="AF261" s="788">
        <f ca="1">SUMPRODUCT(AF$237:AF$256,ProcessEnergy!$D$5:$D$24)/1000</f>
        <v>0</v>
      </c>
      <c r="AG261" s="788">
        <f ca="1">SUMPRODUCT(AG$237:AG$256,ProcessEnergy!$D$5:$D$24)/1000</f>
        <v>0</v>
      </c>
      <c r="AH261" s="788">
        <f ca="1">SUMPRODUCT(AH$237:AH$256,ProcessEnergy!$D$5:$D$24)/1000</f>
        <v>0</v>
      </c>
      <c r="AI261" s="788">
        <f ca="1">SUMPRODUCT(AI$237:AI$256,ProcessEnergy!$D$5:$D$24)/1000</f>
        <v>0</v>
      </c>
      <c r="AJ261" s="788">
        <f ca="1">SUMPRODUCT(AJ$237:AJ$256,ProcessEnergy!$D$5:$D$24)/1000</f>
        <v>0</v>
      </c>
      <c r="AK261" s="788">
        <f ca="1">SUMPRODUCT(AK$237:AK$256,ProcessEnergy!$D$5:$D$24)/1000</f>
        <v>0</v>
      </c>
      <c r="AL261" s="788">
        <f ca="1">SUMPRODUCT(AL$237:AL$256,ProcessEnergy!$D$5:$D$24)/1000</f>
        <v>0</v>
      </c>
    </row>
    <row r="262" spans="1:38" s="489" customFormat="1" ht="12.75" outlineLevel="2">
      <c r="A262" s="1132"/>
      <c r="B262" s="1132"/>
      <c r="D262" s="714" t="s">
        <v>28</v>
      </c>
      <c r="E262" s="715" t="s">
        <v>347</v>
      </c>
      <c r="F262" s="788">
        <f ca="1">SUMPRODUCT(F$237:F$256,ProcessEnergy!$E$5:$E$24)/1000</f>
        <v>0</v>
      </c>
      <c r="G262" s="788">
        <f ca="1">SUMPRODUCT(G$237:G$256,ProcessEnergy!$E$5:$E$24)/1000</f>
        <v>0</v>
      </c>
      <c r="H262" s="788">
        <f ca="1">SUMPRODUCT(H$237:H$256,ProcessEnergy!$E$5:$E$24)/1000</f>
        <v>0</v>
      </c>
      <c r="I262" s="788">
        <f ca="1">SUMPRODUCT(I$237:I$256,ProcessEnergy!$E$5:$E$24)/1000</f>
        <v>0</v>
      </c>
      <c r="J262" s="788">
        <f ca="1">SUMPRODUCT(J$237:J$256,ProcessEnergy!$E$5:$E$24)/1000</f>
        <v>2.5000000000000006E-6</v>
      </c>
      <c r="K262" s="788">
        <f ca="1">SUMPRODUCT(K$237:K$256,ProcessEnergy!$E$5:$E$24)/1000</f>
        <v>6.5000000000000004E-6</v>
      </c>
      <c r="L262" s="788">
        <f ca="1">SUMPRODUCT(L$237:L$256,ProcessEnergy!$E$5:$E$24)/1000</f>
        <v>0</v>
      </c>
      <c r="M262" s="788">
        <f ca="1">SUMPRODUCT(M$237:M$256,ProcessEnergy!$E$5:$E$24)/1000</f>
        <v>0</v>
      </c>
      <c r="N262" s="788">
        <f ca="1">SUMPRODUCT(N$237:N$256,ProcessEnergy!$E$5:$E$24)/1000</f>
        <v>0</v>
      </c>
      <c r="O262" s="788">
        <f ca="1">SUMPRODUCT(O$237:O$256,ProcessEnergy!$E$5:$E$24)/1000</f>
        <v>0</v>
      </c>
      <c r="P262" s="788">
        <f ca="1">SUMPRODUCT(P$237:P$256,ProcessEnergy!$E$5:$E$24)/1000</f>
        <v>0</v>
      </c>
      <c r="Q262" s="788">
        <f ca="1">SUMPRODUCT(Q$237:Q$256,ProcessEnergy!$E$5:$E$24)/1000</f>
        <v>0</v>
      </c>
      <c r="R262" s="788">
        <f ca="1">SUMPRODUCT(R$237:R$256,ProcessEnergy!$E$5:$E$24)/1000</f>
        <v>2.5000000000000006E-6</v>
      </c>
      <c r="S262" s="788">
        <f ca="1">SUMPRODUCT(S$237:S$256,ProcessEnergy!$E$5:$E$24)/1000</f>
        <v>1E-4</v>
      </c>
      <c r="T262" s="788">
        <f ca="1">SUMPRODUCT(T$237:T$256,ProcessEnergy!$E$5:$E$24)/1000</f>
        <v>1E-4</v>
      </c>
      <c r="U262" s="788">
        <f ca="1">SUMPRODUCT(U$237:U$256,ProcessEnergy!$E$5:$E$24)/1000</f>
        <v>1E-4</v>
      </c>
      <c r="V262" s="788">
        <f ca="1">SUMPRODUCT(V$237:V$256,ProcessEnergy!$E$5:$E$24)/1000</f>
        <v>1E-4</v>
      </c>
      <c r="W262" s="788">
        <f ca="1">SUMPRODUCT(W$237:W$256,ProcessEnergy!$E$5:$E$24)/1000</f>
        <v>0</v>
      </c>
      <c r="X262" s="788">
        <f ca="1">SUMPRODUCT(X$237:X$256,ProcessEnergy!$E$5:$E$24)/1000</f>
        <v>0</v>
      </c>
      <c r="Y262" s="788">
        <f ca="1">SUMPRODUCT(Y$237:Y$256,ProcessEnergy!$E$5:$E$24)/1000</f>
        <v>0</v>
      </c>
      <c r="Z262" s="788">
        <f ca="1">SUMPRODUCT(Z$237:Z$256,ProcessEnergy!$E$5:$E$24)/1000</f>
        <v>0</v>
      </c>
      <c r="AA262" s="788">
        <f ca="1">SUMPRODUCT(AA$237:AA$256,ProcessEnergy!$E$5:$E$24)/1000</f>
        <v>0</v>
      </c>
      <c r="AB262" s="788">
        <f ca="1">SUMPRODUCT(AB$237:AB$256,ProcessEnergy!$E$5:$E$24)/1000</f>
        <v>0</v>
      </c>
      <c r="AC262" s="788">
        <f ca="1">SUMPRODUCT(AC$237:AC$256,ProcessEnergy!$E$5:$E$24)/1000</f>
        <v>0</v>
      </c>
      <c r="AD262" s="788">
        <f ca="1">SUMPRODUCT(AD$237:AD$256,ProcessEnergy!$E$5:$E$24)/1000</f>
        <v>0</v>
      </c>
      <c r="AE262" s="788">
        <f ca="1">SUMPRODUCT(AE$237:AE$256,ProcessEnergy!$E$5:$E$24)/1000</f>
        <v>0</v>
      </c>
      <c r="AF262" s="788">
        <f ca="1">SUMPRODUCT(AF$237:AF$256,ProcessEnergy!$E$5:$E$24)/1000</f>
        <v>0</v>
      </c>
      <c r="AG262" s="788">
        <f ca="1">SUMPRODUCT(AG$237:AG$256,ProcessEnergy!$E$5:$E$24)/1000</f>
        <v>0</v>
      </c>
      <c r="AH262" s="788">
        <f ca="1">SUMPRODUCT(AH$237:AH$256,ProcessEnergy!$E$5:$E$24)/1000</f>
        <v>0</v>
      </c>
      <c r="AI262" s="788">
        <f ca="1">SUMPRODUCT(AI$237:AI$256,ProcessEnergy!$E$5:$E$24)/1000</f>
        <v>0</v>
      </c>
      <c r="AJ262" s="788">
        <f ca="1">SUMPRODUCT(AJ$237:AJ$256,ProcessEnergy!$E$5:$E$24)/1000</f>
        <v>0</v>
      </c>
      <c r="AK262" s="788">
        <f ca="1">SUMPRODUCT(AK$237:AK$256,ProcessEnergy!$E$5:$E$24)/1000</f>
        <v>0</v>
      </c>
      <c r="AL262" s="788">
        <f ca="1">SUMPRODUCT(AL$237:AL$256,ProcessEnergy!$E$5:$E$24)/1000</f>
        <v>0</v>
      </c>
    </row>
    <row r="263" spans="1:38" s="489" customFormat="1" ht="12.75" outlineLevel="2">
      <c r="A263" s="1132"/>
      <c r="B263" s="1132"/>
      <c r="D263" s="714" t="s">
        <v>26</v>
      </c>
      <c r="E263" s="715" t="s">
        <v>347</v>
      </c>
      <c r="F263" s="788">
        <f ca="1">SUMPRODUCT(F$237:F$256,ProcessEnergy!$F$5:$F$24)/1000</f>
        <v>0</v>
      </c>
      <c r="G263" s="788">
        <f ca="1">SUMPRODUCT(G$237:G$256,ProcessEnergy!$F$5:$F$24)/1000</f>
        <v>0</v>
      </c>
      <c r="H263" s="788">
        <f ca="1">SUMPRODUCT(H$237:H$256,ProcessEnergy!$F$5:$F$24)/1000</f>
        <v>0</v>
      </c>
      <c r="I263" s="788">
        <f ca="1">SUMPRODUCT(I$237:I$256,ProcessEnergy!$F$5:$F$24)/1000</f>
        <v>0</v>
      </c>
      <c r="J263" s="788">
        <f ca="1">SUMPRODUCT(J$237:J$256,ProcessEnergy!$F$5:$F$24)/1000</f>
        <v>7.4999999999999993E-6</v>
      </c>
      <c r="K263" s="788">
        <f ca="1">SUMPRODUCT(K$237:K$256,ProcessEnergy!$F$5:$F$24)/1000</f>
        <v>1.95E-5</v>
      </c>
      <c r="L263" s="788">
        <f ca="1">SUMPRODUCT(L$237:L$256,ProcessEnergy!$F$5:$F$24)/1000</f>
        <v>0</v>
      </c>
      <c r="M263" s="788">
        <f ca="1">SUMPRODUCT(M$237:M$256,ProcessEnergy!$F$5:$F$24)/1000</f>
        <v>0</v>
      </c>
      <c r="N263" s="788">
        <f ca="1">SUMPRODUCT(N$237:N$256,ProcessEnergy!$F$5:$F$24)/1000</f>
        <v>0</v>
      </c>
      <c r="O263" s="788">
        <f ca="1">SUMPRODUCT(O$237:O$256,ProcessEnergy!$F$5:$F$24)/1000</f>
        <v>0</v>
      </c>
      <c r="P263" s="788">
        <f ca="1">SUMPRODUCT(P$237:P$256,ProcessEnergy!$F$5:$F$24)/1000</f>
        <v>0</v>
      </c>
      <c r="Q263" s="788">
        <f ca="1">SUMPRODUCT(Q$237:Q$256,ProcessEnergy!$F$5:$F$24)/1000</f>
        <v>0</v>
      </c>
      <c r="R263" s="788">
        <f ca="1">SUMPRODUCT(R$237:R$256,ProcessEnergy!$F$5:$F$24)/1000</f>
        <v>7.4999999999999993E-6</v>
      </c>
      <c r="S263" s="788">
        <f ca="1">SUMPRODUCT(S$237:S$256,ProcessEnergy!$F$5:$F$24)/1000</f>
        <v>2.9999999999999997E-4</v>
      </c>
      <c r="T263" s="788">
        <f ca="1">SUMPRODUCT(T$237:T$256,ProcessEnergy!$F$5:$F$24)/1000</f>
        <v>2.9999999999999997E-4</v>
      </c>
      <c r="U263" s="788">
        <f ca="1">SUMPRODUCT(U$237:U$256,ProcessEnergy!$F$5:$F$24)/1000</f>
        <v>2.9999999999999997E-4</v>
      </c>
      <c r="V263" s="788">
        <f ca="1">SUMPRODUCT(V$237:V$256,ProcessEnergy!$F$5:$F$24)/1000</f>
        <v>2.9999999999999997E-4</v>
      </c>
      <c r="W263" s="788">
        <f ca="1">SUMPRODUCT(W$237:W$256,ProcessEnergy!$F$5:$F$24)/1000</f>
        <v>0</v>
      </c>
      <c r="X263" s="788">
        <f ca="1">SUMPRODUCT(X$237:X$256,ProcessEnergy!$F$5:$F$24)/1000</f>
        <v>0</v>
      </c>
      <c r="Y263" s="788">
        <f ca="1">SUMPRODUCT(Y$237:Y$256,ProcessEnergy!$F$5:$F$24)/1000</f>
        <v>0</v>
      </c>
      <c r="Z263" s="788">
        <f ca="1">SUMPRODUCT(Z$237:Z$256,ProcessEnergy!$F$5:$F$24)/1000</f>
        <v>0</v>
      </c>
      <c r="AA263" s="788">
        <f ca="1">SUMPRODUCT(AA$237:AA$256,ProcessEnergy!$F$5:$F$24)/1000</f>
        <v>0</v>
      </c>
      <c r="AB263" s="788">
        <f ca="1">SUMPRODUCT(AB$237:AB$256,ProcessEnergy!$F$5:$F$24)/1000</f>
        <v>0</v>
      </c>
      <c r="AC263" s="788">
        <f ca="1">SUMPRODUCT(AC$237:AC$256,ProcessEnergy!$F$5:$F$24)/1000</f>
        <v>0</v>
      </c>
      <c r="AD263" s="788">
        <f ca="1">SUMPRODUCT(AD$237:AD$256,ProcessEnergy!$F$5:$F$24)/1000</f>
        <v>0</v>
      </c>
      <c r="AE263" s="788">
        <f ca="1">SUMPRODUCT(AE$237:AE$256,ProcessEnergy!$F$5:$F$24)/1000</f>
        <v>0</v>
      </c>
      <c r="AF263" s="788">
        <f ca="1">SUMPRODUCT(AF$237:AF$256,ProcessEnergy!$F$5:$F$24)/1000</f>
        <v>0</v>
      </c>
      <c r="AG263" s="788">
        <f ca="1">SUMPRODUCT(AG$237:AG$256,ProcessEnergy!$F$5:$F$24)/1000</f>
        <v>0</v>
      </c>
      <c r="AH263" s="788">
        <f ca="1">SUMPRODUCT(AH$237:AH$256,ProcessEnergy!$F$5:$F$24)/1000</f>
        <v>0</v>
      </c>
      <c r="AI263" s="788">
        <f ca="1">SUMPRODUCT(AI$237:AI$256,ProcessEnergy!$F$5:$F$24)/1000</f>
        <v>0</v>
      </c>
      <c r="AJ263" s="788">
        <f ca="1">SUMPRODUCT(AJ$237:AJ$256,ProcessEnergy!$F$5:$F$24)/1000</f>
        <v>0</v>
      </c>
      <c r="AK263" s="788">
        <f ca="1">SUMPRODUCT(AK$237:AK$256,ProcessEnergy!$F$5:$F$24)/1000</f>
        <v>0</v>
      </c>
      <c r="AL263" s="788">
        <f ca="1">SUMPRODUCT(AL$237:AL$256,ProcessEnergy!$F$5:$F$24)/1000</f>
        <v>0</v>
      </c>
    </row>
    <row r="264" spans="1:38" s="489" customFormat="1" ht="12.75" outlineLevel="2">
      <c r="A264" s="1132"/>
      <c r="B264" s="1132"/>
      <c r="D264" s="714" t="s">
        <v>25</v>
      </c>
      <c r="E264" s="715" t="s">
        <v>347</v>
      </c>
      <c r="F264" s="788">
        <f ca="1">SUMPRODUCT(F$237:F$256,ProcessEnergy!$G$5:$G$24)/1000</f>
        <v>0</v>
      </c>
      <c r="G264" s="788">
        <f ca="1">SUMPRODUCT(G$237:G$256,ProcessEnergy!$G$5:$G$24)/1000</f>
        <v>0</v>
      </c>
      <c r="H264" s="788">
        <f ca="1">SUMPRODUCT(H$237:H$256,ProcessEnergy!$G$5:$G$24)/1000</f>
        <v>0</v>
      </c>
      <c r="I264" s="788">
        <f ca="1">SUMPRODUCT(I$237:I$256,ProcessEnergy!$G$5:$G$24)/1000</f>
        <v>0</v>
      </c>
      <c r="J264" s="788">
        <f ca="1">SUMPRODUCT(J$237:J$256,ProcessEnergy!$G$5:$G$24)/1000</f>
        <v>1.3749999999999999E-3</v>
      </c>
      <c r="K264" s="788">
        <f ca="1">SUMPRODUCT(K$237:K$256,ProcessEnergy!$G$5:$G$24)/1000</f>
        <v>2.7299999999999998E-3</v>
      </c>
      <c r="L264" s="788">
        <f ca="1">SUMPRODUCT(L$237:L$256,ProcessEnergy!$G$5:$G$24)/1000</f>
        <v>0</v>
      </c>
      <c r="M264" s="788">
        <f ca="1">SUMPRODUCT(M$237:M$256,ProcessEnergy!$G$5:$G$24)/1000</f>
        <v>0</v>
      </c>
      <c r="N264" s="788">
        <f ca="1">SUMPRODUCT(N$237:N$256,ProcessEnergy!$G$5:$G$24)/1000</f>
        <v>0</v>
      </c>
      <c r="O264" s="788">
        <f ca="1">SUMPRODUCT(O$237:O$256,ProcessEnergy!$G$5:$G$24)/1000</f>
        <v>0</v>
      </c>
      <c r="P264" s="788">
        <f ca="1">SUMPRODUCT(P$237:P$256,ProcessEnergy!$G$5:$G$24)/1000</f>
        <v>0</v>
      </c>
      <c r="Q264" s="788">
        <f ca="1">SUMPRODUCT(Q$237:Q$256,ProcessEnergy!$G$5:$G$24)/1000</f>
        <v>0</v>
      </c>
      <c r="R264" s="788">
        <f ca="1">SUMPRODUCT(R$237:R$256,ProcessEnergy!$G$5:$G$24)/1000</f>
        <v>1.3749999999999999E-3</v>
      </c>
      <c r="S264" s="788">
        <f ca="1">SUMPRODUCT(S$237:S$256,ProcessEnergy!$G$5:$G$24)/1000</f>
        <v>5.5E-2</v>
      </c>
      <c r="T264" s="788">
        <f ca="1">SUMPRODUCT(T$237:T$256,ProcessEnergy!$G$5:$G$24)/1000</f>
        <v>5.5E-2</v>
      </c>
      <c r="U264" s="788">
        <f ca="1">SUMPRODUCT(U$237:U$256,ProcessEnergy!$G$5:$G$24)/1000</f>
        <v>5.5E-2</v>
      </c>
      <c r="V264" s="788">
        <f ca="1">SUMPRODUCT(V$237:V$256,ProcessEnergy!$G$5:$G$24)/1000</f>
        <v>5.5E-2</v>
      </c>
      <c r="W264" s="788">
        <f ca="1">SUMPRODUCT(W$237:W$256,ProcessEnergy!$G$5:$G$24)/1000</f>
        <v>0</v>
      </c>
      <c r="X264" s="788">
        <f ca="1">SUMPRODUCT(X$237:X$256,ProcessEnergy!$G$5:$G$24)/1000</f>
        <v>0</v>
      </c>
      <c r="Y264" s="788">
        <f ca="1">SUMPRODUCT(Y$237:Y$256,ProcessEnergy!$G$5:$G$24)/1000</f>
        <v>0</v>
      </c>
      <c r="Z264" s="788">
        <f ca="1">SUMPRODUCT(Z$237:Z$256,ProcessEnergy!$G$5:$G$24)/1000</f>
        <v>0</v>
      </c>
      <c r="AA264" s="788">
        <f ca="1">SUMPRODUCT(AA$237:AA$256,ProcessEnergy!$G$5:$G$24)/1000</f>
        <v>0</v>
      </c>
      <c r="AB264" s="788">
        <f ca="1">SUMPRODUCT(AB$237:AB$256,ProcessEnergy!$G$5:$G$24)/1000</f>
        <v>0</v>
      </c>
      <c r="AC264" s="788">
        <f ca="1">SUMPRODUCT(AC$237:AC$256,ProcessEnergy!$G$5:$G$24)/1000</f>
        <v>0</v>
      </c>
      <c r="AD264" s="788">
        <f ca="1">SUMPRODUCT(AD$237:AD$256,ProcessEnergy!$G$5:$G$24)/1000</f>
        <v>0</v>
      </c>
      <c r="AE264" s="788">
        <f ca="1">SUMPRODUCT(AE$237:AE$256,ProcessEnergy!$G$5:$G$24)/1000</f>
        <v>0</v>
      </c>
      <c r="AF264" s="788">
        <f ca="1">SUMPRODUCT(AF$237:AF$256,ProcessEnergy!$G$5:$G$24)/1000</f>
        <v>0</v>
      </c>
      <c r="AG264" s="788">
        <f ca="1">SUMPRODUCT(AG$237:AG$256,ProcessEnergy!$G$5:$G$24)/1000</f>
        <v>0</v>
      </c>
      <c r="AH264" s="788">
        <f ca="1">SUMPRODUCT(AH$237:AH$256,ProcessEnergy!$G$5:$G$24)/1000</f>
        <v>0</v>
      </c>
      <c r="AI264" s="788">
        <f ca="1">SUMPRODUCT(AI$237:AI$256,ProcessEnergy!$G$5:$G$24)/1000</f>
        <v>0</v>
      </c>
      <c r="AJ264" s="788">
        <f ca="1">SUMPRODUCT(AJ$237:AJ$256,ProcessEnergy!$G$5:$G$24)/1000</f>
        <v>0</v>
      </c>
      <c r="AK264" s="788">
        <f ca="1">SUMPRODUCT(AK$237:AK$256,ProcessEnergy!$G$5:$G$24)/1000</f>
        <v>0</v>
      </c>
      <c r="AL264" s="788">
        <f ca="1">SUMPRODUCT(AL$237:AL$256,ProcessEnergy!$G$5:$G$24)/1000</f>
        <v>0</v>
      </c>
    </row>
    <row r="265" spans="1:38" s="489" customFormat="1" ht="12.75" outlineLevel="2">
      <c r="A265" s="1132"/>
      <c r="B265" s="1132"/>
      <c r="D265" s="492" t="s">
        <v>45</v>
      </c>
      <c r="E265" s="493" t="s">
        <v>347</v>
      </c>
      <c r="F265" s="791">
        <f ca="1">SUMPRODUCT(F$237:F$256,ProcessEnergy!$H$5:$H$24)/1000</f>
        <v>0</v>
      </c>
      <c r="G265" s="791">
        <f ca="1">SUMPRODUCT(G$237:G$256,ProcessEnergy!$H$5:$H$24)/1000</f>
        <v>0</v>
      </c>
      <c r="H265" s="791">
        <f ca="1">SUMPRODUCT(H$237:H$256,ProcessEnergy!$H$5:$H$24)/1000</f>
        <v>0</v>
      </c>
      <c r="I265" s="791">
        <f ca="1">SUMPRODUCT(I$237:I$256,ProcessEnergy!$H$5:$H$24)/1000</f>
        <v>0</v>
      </c>
      <c r="J265" s="791">
        <f ca="1">SUMPRODUCT(J$237:J$256,ProcessEnergy!$H$5:$H$24)/1000</f>
        <v>2.5000000000000006E-6</v>
      </c>
      <c r="K265" s="791">
        <f ca="1">SUMPRODUCT(K$237:K$256,ProcessEnergy!$H$5:$H$24)/1000</f>
        <v>6.5000000000000004E-6</v>
      </c>
      <c r="L265" s="791">
        <f ca="1">SUMPRODUCT(L$237:L$256,ProcessEnergy!$H$5:$H$24)/1000</f>
        <v>0</v>
      </c>
      <c r="M265" s="791">
        <f ca="1">SUMPRODUCT(M$237:M$256,ProcessEnergy!$H$5:$H$24)/1000</f>
        <v>0</v>
      </c>
      <c r="N265" s="791">
        <f ca="1">SUMPRODUCT(N$237:N$256,ProcessEnergy!$H$5:$H$24)/1000</f>
        <v>0</v>
      </c>
      <c r="O265" s="791">
        <f ca="1">SUMPRODUCT(O$237:O$256,ProcessEnergy!$H$5:$H$24)/1000</f>
        <v>0</v>
      </c>
      <c r="P265" s="791">
        <f ca="1">SUMPRODUCT(P$237:P$256,ProcessEnergy!$H$5:$H$24)/1000</f>
        <v>0</v>
      </c>
      <c r="Q265" s="791">
        <f ca="1">SUMPRODUCT(Q$237:Q$256,ProcessEnergy!$H$5:$H$24)/1000</f>
        <v>0</v>
      </c>
      <c r="R265" s="791">
        <f ca="1">SUMPRODUCT(R$237:R$256,ProcessEnergy!$H$5:$H$24)/1000</f>
        <v>2.5000000000000006E-6</v>
      </c>
      <c r="S265" s="791">
        <f ca="1">SUMPRODUCT(S$237:S$256,ProcessEnergy!$H$5:$H$24)/1000</f>
        <v>1E-4</v>
      </c>
      <c r="T265" s="791">
        <f ca="1">SUMPRODUCT(T$237:T$256,ProcessEnergy!$H$5:$H$24)/1000</f>
        <v>1E-4</v>
      </c>
      <c r="U265" s="791">
        <f ca="1">SUMPRODUCT(U$237:U$256,ProcessEnergy!$H$5:$H$24)/1000</f>
        <v>1E-4</v>
      </c>
      <c r="V265" s="791">
        <f ca="1">SUMPRODUCT(V$237:V$256,ProcessEnergy!$H$5:$H$24)/1000</f>
        <v>1E-4</v>
      </c>
      <c r="W265" s="791">
        <f ca="1">SUMPRODUCT(W$237:W$256,ProcessEnergy!$H$5:$H$24)/1000</f>
        <v>0</v>
      </c>
      <c r="X265" s="791">
        <f ca="1">SUMPRODUCT(X$237:X$256,ProcessEnergy!$H$5:$H$24)/1000</f>
        <v>0</v>
      </c>
      <c r="Y265" s="791">
        <f ca="1">SUMPRODUCT(Y$237:Y$256,ProcessEnergy!$H$5:$H$24)/1000</f>
        <v>0</v>
      </c>
      <c r="Z265" s="791">
        <f ca="1">SUMPRODUCT(Z$237:Z$256,ProcessEnergy!$H$5:$H$24)/1000</f>
        <v>0</v>
      </c>
      <c r="AA265" s="791">
        <f ca="1">SUMPRODUCT(AA$237:AA$256,ProcessEnergy!$H$5:$H$24)/1000</f>
        <v>0</v>
      </c>
      <c r="AB265" s="791">
        <f ca="1">SUMPRODUCT(AB$237:AB$256,ProcessEnergy!$H$5:$H$24)/1000</f>
        <v>0</v>
      </c>
      <c r="AC265" s="791">
        <f ca="1">SUMPRODUCT(AC$237:AC$256,ProcessEnergy!$H$5:$H$24)/1000</f>
        <v>0</v>
      </c>
      <c r="AD265" s="791">
        <f ca="1">SUMPRODUCT(AD$237:AD$256,ProcessEnergy!$H$5:$H$24)/1000</f>
        <v>0</v>
      </c>
      <c r="AE265" s="791">
        <f ca="1">SUMPRODUCT(AE$237:AE$256,ProcessEnergy!$H$5:$H$24)/1000</f>
        <v>0</v>
      </c>
      <c r="AF265" s="791">
        <f ca="1">SUMPRODUCT(AF$237:AF$256,ProcessEnergy!$H$5:$H$24)/1000</f>
        <v>0</v>
      </c>
      <c r="AG265" s="791">
        <f ca="1">SUMPRODUCT(AG$237:AG$256,ProcessEnergy!$H$5:$H$24)/1000</f>
        <v>0</v>
      </c>
      <c r="AH265" s="791">
        <f ca="1">SUMPRODUCT(AH$237:AH$256,ProcessEnergy!$H$5:$H$24)/1000</f>
        <v>0</v>
      </c>
      <c r="AI265" s="791">
        <f ca="1">SUMPRODUCT(AI$237:AI$256,ProcessEnergy!$H$5:$H$24)/1000</f>
        <v>0</v>
      </c>
      <c r="AJ265" s="791">
        <f ca="1">SUMPRODUCT(AJ$237:AJ$256,ProcessEnergy!$H$5:$H$24)/1000</f>
        <v>0</v>
      </c>
      <c r="AK265" s="791">
        <f ca="1">SUMPRODUCT(AK$237:AK$256,ProcessEnergy!$H$5:$H$24)/1000</f>
        <v>0</v>
      </c>
      <c r="AL265" s="791">
        <f ca="1">SUMPRODUCT(AL$237:AL$256,ProcessEnergy!$H$5:$H$24)/1000</f>
        <v>0</v>
      </c>
    </row>
    <row r="266" spans="1:38" s="664" customFormat="1" ht="12.75" outlineLevel="2">
      <c r="A266" s="1125"/>
      <c r="B266" s="1125"/>
      <c r="D266" s="666"/>
      <c r="E266" s="667"/>
      <c r="F266" s="792"/>
      <c r="G266" s="792"/>
      <c r="H266" s="792"/>
      <c r="I266" s="792"/>
      <c r="J266" s="792"/>
      <c r="K266" s="792"/>
      <c r="L266" s="792"/>
      <c r="M266" s="792"/>
      <c r="N266" s="792"/>
      <c r="O266" s="792"/>
      <c r="P266" s="792"/>
      <c r="Q266" s="792"/>
      <c r="R266" s="792"/>
      <c r="S266" s="792"/>
      <c r="T266" s="792"/>
      <c r="U266" s="792"/>
      <c r="V266" s="792"/>
      <c r="W266" s="792"/>
      <c r="X266" s="792"/>
      <c r="Y266" s="792"/>
      <c r="Z266" s="792"/>
      <c r="AA266" s="792"/>
      <c r="AB266" s="792"/>
      <c r="AC266" s="792"/>
      <c r="AD266" s="792"/>
      <c r="AE266" s="792"/>
      <c r="AF266" s="792"/>
      <c r="AG266" s="792"/>
      <c r="AH266" s="792"/>
      <c r="AI266" s="792"/>
      <c r="AJ266" s="792"/>
      <c r="AK266" s="792"/>
      <c r="AL266" s="792"/>
    </row>
    <row r="267" spans="1:38" s="489" customFormat="1" ht="12.75" outlineLevel="2">
      <c r="A267" s="1126"/>
      <c r="B267" s="1126"/>
      <c r="D267" s="783" t="s">
        <v>775</v>
      </c>
      <c r="E267" s="488"/>
      <c r="F267" s="488"/>
      <c r="G267" s="488"/>
      <c r="H267" s="488"/>
      <c r="I267" s="488"/>
      <c r="J267" s="488"/>
      <c r="K267" s="488"/>
      <c r="L267" s="488"/>
      <c r="M267" s="488"/>
      <c r="N267" s="488"/>
      <c r="O267" s="488"/>
      <c r="P267" s="488"/>
      <c r="Q267" s="811"/>
      <c r="R267" s="488"/>
      <c r="S267" s="488"/>
      <c r="T267" s="488"/>
      <c r="U267" s="488"/>
      <c r="V267" s="488"/>
      <c r="W267" s="488"/>
      <c r="X267" s="488"/>
      <c r="Y267" s="488"/>
      <c r="Z267" s="488"/>
      <c r="AA267" s="488"/>
      <c r="AB267" s="488"/>
      <c r="AC267" s="488"/>
      <c r="AD267" s="488"/>
      <c r="AE267" s="488"/>
      <c r="AF267" s="488"/>
      <c r="AG267" s="488"/>
      <c r="AH267" s="488"/>
      <c r="AI267" s="488"/>
      <c r="AJ267" s="488"/>
      <c r="AK267" s="488"/>
      <c r="AL267" s="488"/>
    </row>
    <row r="268" spans="1:38" s="489" customFormat="1" ht="12.75" outlineLevel="2">
      <c r="A268" s="1126"/>
      <c r="B268" s="1126"/>
      <c r="D268" s="495" t="s">
        <v>24</v>
      </c>
      <c r="E268" s="491" t="s">
        <v>750</v>
      </c>
      <c r="F268" s="786">
        <f t="shared" ref="F268:AL268" ca="1" si="104">(F213+F260)*F$227</f>
        <v>8.6850931039405381</v>
      </c>
      <c r="G268" s="786">
        <f t="shared" ca="1" si="104"/>
        <v>8.7753604881425851</v>
      </c>
      <c r="H268" s="786">
        <f t="shared" ca="1" si="104"/>
        <v>9.2958537421089602</v>
      </c>
      <c r="I268" s="786">
        <f t="shared" ca="1" si="104"/>
        <v>6.8710309682302153</v>
      </c>
      <c r="J268" s="786">
        <f t="shared" ca="1" si="104"/>
        <v>6.2482205241485778</v>
      </c>
      <c r="K268" s="786">
        <f t="shared" ca="1" si="104"/>
        <v>9.8155000000000001</v>
      </c>
      <c r="L268" s="786">
        <f t="shared" ca="1" si="104"/>
        <v>370.85434687936532</v>
      </c>
      <c r="M268" s="786">
        <f t="shared" ca="1" si="104"/>
        <v>-3.6572310291406538</v>
      </c>
      <c r="N268" s="786">
        <f t="shared" ca="1" si="104"/>
        <v>-29.241120107687262</v>
      </c>
      <c r="O268" s="786">
        <f t="shared" ca="1" si="104"/>
        <v>0.29747372171119346</v>
      </c>
      <c r="P268" s="786">
        <f t="shared" ca="1" si="104"/>
        <v>-29.113382758005059</v>
      </c>
      <c r="Q268" s="786">
        <f t="shared" ca="1" si="104"/>
        <v>-29.19092030920044</v>
      </c>
      <c r="R268" s="786">
        <f t="shared" ca="1" si="104"/>
        <v>-54.741551886802831</v>
      </c>
      <c r="S268" s="786">
        <f ca="1">(S213+S260)*S$227</f>
        <v>5.1302946876543043</v>
      </c>
      <c r="T268" s="786">
        <f t="shared" ca="1" si="104"/>
        <v>5.1302946876543043</v>
      </c>
      <c r="U268" s="786">
        <f t="shared" ca="1" si="104"/>
        <v>5.1302946876543043</v>
      </c>
      <c r="V268" s="786">
        <f t="shared" ca="1" si="104"/>
        <v>5.1302946876543043</v>
      </c>
      <c r="W268" s="786">
        <f t="shared" ca="1" si="104"/>
        <v>-89.745240476441879</v>
      </c>
      <c r="X268" s="786">
        <f t="shared" ca="1" si="104"/>
        <v>348.97966601039394</v>
      </c>
      <c r="Y268" s="786">
        <f t="shared" ca="1" si="104"/>
        <v>470.20321681265841</v>
      </c>
      <c r="Z268" s="786" t="e">
        <f t="shared" ca="1" si="104"/>
        <v>#N/A</v>
      </c>
      <c r="AA268" s="786" t="e">
        <f t="shared" ca="1" si="104"/>
        <v>#N/A</v>
      </c>
      <c r="AB268" s="786" t="e">
        <f t="shared" ca="1" si="104"/>
        <v>#N/A</v>
      </c>
      <c r="AC268" s="786">
        <f t="shared" ca="1" si="104"/>
        <v>15.32</v>
      </c>
      <c r="AD268" s="786">
        <f t="shared" ca="1" si="104"/>
        <v>-11.241974602766481</v>
      </c>
      <c r="AE268" s="786">
        <f t="shared" ca="1" si="104"/>
        <v>1.6269396863923049</v>
      </c>
      <c r="AF268" s="786" t="e">
        <f t="shared" ca="1" si="104"/>
        <v>#N/A</v>
      </c>
      <c r="AG268" s="786" t="e">
        <f t="shared" ca="1" si="104"/>
        <v>#N/A</v>
      </c>
      <c r="AH268" s="786" t="e">
        <f t="shared" ca="1" si="104"/>
        <v>#N/A</v>
      </c>
      <c r="AI268" s="786" t="e">
        <f t="shared" ca="1" si="104"/>
        <v>#N/A</v>
      </c>
      <c r="AJ268" s="786" t="e">
        <f t="shared" ca="1" si="104"/>
        <v>#N/A</v>
      </c>
      <c r="AK268" s="786" t="e">
        <f t="shared" ca="1" si="104"/>
        <v>#N/A</v>
      </c>
      <c r="AL268" s="786">
        <f t="shared" ca="1" si="104"/>
        <v>-11.241974602766481</v>
      </c>
    </row>
    <row r="269" spans="1:38" s="489" customFormat="1" ht="12.75" outlineLevel="2">
      <c r="A269" s="1126"/>
      <c r="B269" s="1126"/>
      <c r="D269" s="714" t="s">
        <v>27</v>
      </c>
      <c r="E269" s="715" t="s">
        <v>750</v>
      </c>
      <c r="F269" s="788">
        <f t="shared" ref="F269:AL269" ca="1" si="105">(F214+F261)*F$227</f>
        <v>5.3881897731722166E-6</v>
      </c>
      <c r="G269" s="788">
        <f t="shared" ca="1" si="105"/>
        <v>5.4441912219290288E-6</v>
      </c>
      <c r="H269" s="788">
        <f t="shared" ca="1" si="105"/>
        <v>5.7671027203393696E-6</v>
      </c>
      <c r="I269" s="788">
        <f t="shared" ca="1" si="105"/>
        <v>4.262754394350717E-6</v>
      </c>
      <c r="J269" s="788">
        <f t="shared" ca="1" si="105"/>
        <v>3.5000000000000004E-6</v>
      </c>
      <c r="K269" s="788">
        <f t="shared" ca="1" si="105"/>
        <v>7.5000000000000002E-6</v>
      </c>
      <c r="L269" s="788">
        <f t="shared" ca="1" si="105"/>
        <v>2.6421062244493883E-3</v>
      </c>
      <c r="M269" s="788">
        <f t="shared" ca="1" si="105"/>
        <v>-5.2041645930253995E-3</v>
      </c>
      <c r="N269" s="788">
        <f t="shared" ca="1" si="105"/>
        <v>-5.4240353103319162E-3</v>
      </c>
      <c r="O269" s="788">
        <f t="shared" ca="1" si="105"/>
        <v>0</v>
      </c>
      <c r="P269" s="788">
        <f t="shared" ca="1" si="105"/>
        <v>-4.3058816992639472E-3</v>
      </c>
      <c r="Q269" s="788">
        <f t="shared" ca="1" si="105"/>
        <v>-5.3894873147247056E-3</v>
      </c>
      <c r="R269" s="788">
        <f t="shared" ca="1" si="105"/>
        <v>0.10742476661342681</v>
      </c>
      <c r="S269" s="788">
        <f t="shared" ca="1" si="105"/>
        <v>1E-4</v>
      </c>
      <c r="T269" s="788">
        <f t="shared" ca="1" si="105"/>
        <v>1E-4</v>
      </c>
      <c r="U269" s="788">
        <f t="shared" ca="1" si="105"/>
        <v>1E-4</v>
      </c>
      <c r="V269" s="788">
        <f t="shared" ca="1" si="105"/>
        <v>1E-4</v>
      </c>
      <c r="W269" s="788">
        <f t="shared" ca="1" si="105"/>
        <v>-7.2772622330967733E-3</v>
      </c>
      <c r="X269" s="788">
        <f t="shared" ca="1" si="105"/>
        <v>4.0597012406093158E-4</v>
      </c>
      <c r="Y269" s="788">
        <f t="shared" ca="1" si="105"/>
        <v>-6.590758738768414E-4</v>
      </c>
      <c r="Z269" s="788" t="e">
        <f t="shared" ca="1" si="105"/>
        <v>#N/A</v>
      </c>
      <c r="AA269" s="788" t="e">
        <f t="shared" ca="1" si="105"/>
        <v>#N/A</v>
      </c>
      <c r="AB269" s="788" t="e">
        <f t="shared" ca="1" si="105"/>
        <v>#N/A</v>
      </c>
      <c r="AC269" s="788">
        <f t="shared" ca="1" si="105"/>
        <v>0</v>
      </c>
      <c r="AD269" s="788">
        <f t="shared" ca="1" si="105"/>
        <v>0</v>
      </c>
      <c r="AE269" s="788">
        <f t="shared" ca="1" si="105"/>
        <v>0</v>
      </c>
      <c r="AF269" s="788" t="e">
        <f t="shared" ca="1" si="105"/>
        <v>#N/A</v>
      </c>
      <c r="AG269" s="788" t="e">
        <f t="shared" ca="1" si="105"/>
        <v>#N/A</v>
      </c>
      <c r="AH269" s="788" t="e">
        <f t="shared" ca="1" si="105"/>
        <v>#N/A</v>
      </c>
      <c r="AI269" s="788" t="e">
        <f t="shared" ca="1" si="105"/>
        <v>#N/A</v>
      </c>
      <c r="AJ269" s="788" t="e">
        <f t="shared" ca="1" si="105"/>
        <v>#N/A</v>
      </c>
      <c r="AK269" s="788" t="e">
        <f t="shared" ca="1" si="105"/>
        <v>#N/A</v>
      </c>
      <c r="AL269" s="788">
        <f t="shared" ca="1" si="105"/>
        <v>0</v>
      </c>
    </row>
    <row r="270" spans="1:38" s="489" customFormat="1" ht="12.75" outlineLevel="2">
      <c r="A270" s="1126"/>
      <c r="B270" s="1126"/>
      <c r="D270" s="714" t="s">
        <v>28</v>
      </c>
      <c r="E270" s="715" t="s">
        <v>750</v>
      </c>
      <c r="F270" s="788">
        <f t="shared" ref="F270:AL270" ca="1" si="106">(F215+F262)*F$227</f>
        <v>5.3881897731722166E-6</v>
      </c>
      <c r="G270" s="788">
        <f t="shared" ca="1" si="106"/>
        <v>5.4441912219290288E-6</v>
      </c>
      <c r="H270" s="788">
        <f t="shared" ca="1" si="106"/>
        <v>5.7671027203393696E-6</v>
      </c>
      <c r="I270" s="788">
        <f t="shared" ca="1" si="106"/>
        <v>4.262754394350717E-6</v>
      </c>
      <c r="J270" s="788">
        <f t="shared" ca="1" si="106"/>
        <v>3.5000000000000004E-6</v>
      </c>
      <c r="K270" s="788">
        <f t="shared" ca="1" si="106"/>
        <v>7.5000000000000002E-6</v>
      </c>
      <c r="L270" s="788">
        <f t="shared" ca="1" si="106"/>
        <v>1.391608010980316E-4</v>
      </c>
      <c r="M270" s="788">
        <f t="shared" ca="1" si="106"/>
        <v>-2.6831418471579552E-4</v>
      </c>
      <c r="N270" s="788">
        <f t="shared" ca="1" si="106"/>
        <v>-2.7965018902588972E-4</v>
      </c>
      <c r="O270" s="788">
        <f t="shared" ca="1" si="106"/>
        <v>0</v>
      </c>
      <c r="P270" s="788">
        <f t="shared" ca="1" si="106"/>
        <v>-2.3053686520663842E-4</v>
      </c>
      <c r="Q270" s="788">
        <f t="shared" ca="1" si="106"/>
        <v>-2.7786897763082028E-4</v>
      </c>
      <c r="R270" s="788">
        <f t="shared" ca="1" si="106"/>
        <v>4.8562525606980533E-5</v>
      </c>
      <c r="S270" s="788">
        <f t="shared" ca="1" si="106"/>
        <v>1E-4</v>
      </c>
      <c r="T270" s="788">
        <f t="shared" ca="1" si="106"/>
        <v>1E-4</v>
      </c>
      <c r="U270" s="788">
        <f t="shared" ca="1" si="106"/>
        <v>1E-4</v>
      </c>
      <c r="V270" s="788">
        <f t="shared" ca="1" si="106"/>
        <v>1E-4</v>
      </c>
      <c r="W270" s="788">
        <f t="shared" ca="1" si="106"/>
        <v>-3.7899187264618146E-4</v>
      </c>
      <c r="X270" s="788">
        <f t="shared" ca="1" si="106"/>
        <v>2.2732881813676731E-5</v>
      </c>
      <c r="Y270" s="788">
        <f t="shared" ca="1" si="106"/>
        <v>-3.2368011629905568E-5</v>
      </c>
      <c r="Z270" s="788" t="e">
        <f t="shared" ca="1" si="106"/>
        <v>#N/A</v>
      </c>
      <c r="AA270" s="788" t="e">
        <f t="shared" ca="1" si="106"/>
        <v>#N/A</v>
      </c>
      <c r="AB270" s="788" t="e">
        <f t="shared" ca="1" si="106"/>
        <v>#N/A</v>
      </c>
      <c r="AC270" s="788">
        <f t="shared" ca="1" si="106"/>
        <v>0</v>
      </c>
      <c r="AD270" s="788">
        <f t="shared" ca="1" si="106"/>
        <v>0</v>
      </c>
      <c r="AE270" s="788">
        <f t="shared" ca="1" si="106"/>
        <v>0</v>
      </c>
      <c r="AF270" s="788" t="e">
        <f t="shared" ca="1" si="106"/>
        <v>#N/A</v>
      </c>
      <c r="AG270" s="788" t="e">
        <f t="shared" ca="1" si="106"/>
        <v>#N/A</v>
      </c>
      <c r="AH270" s="788" t="e">
        <f t="shared" ca="1" si="106"/>
        <v>#N/A</v>
      </c>
      <c r="AI270" s="788" t="e">
        <f t="shared" ca="1" si="106"/>
        <v>#N/A</v>
      </c>
      <c r="AJ270" s="788" t="e">
        <f t="shared" ca="1" si="106"/>
        <v>#N/A</v>
      </c>
      <c r="AK270" s="788" t="e">
        <f t="shared" ca="1" si="106"/>
        <v>#N/A</v>
      </c>
      <c r="AL270" s="788">
        <f t="shared" ca="1" si="106"/>
        <v>0</v>
      </c>
    </row>
    <row r="271" spans="1:38" s="489" customFormat="1" ht="12.75" outlineLevel="2">
      <c r="A271" s="1126"/>
      <c r="B271" s="1126"/>
      <c r="D271" s="714" t="s">
        <v>26</v>
      </c>
      <c r="E271" s="715" t="s">
        <v>750</v>
      </c>
      <c r="F271" s="788">
        <f t="shared" ref="F271:AL271" ca="1" si="107">(F216+F263)*F$227</f>
        <v>5.2137201742562576E-5</v>
      </c>
      <c r="G271" s="788">
        <f t="shared" ca="1" si="107"/>
        <v>5.2679082959561863E-5</v>
      </c>
      <c r="H271" s="788">
        <f t="shared" ca="1" si="107"/>
        <v>5.5803639192053535E-5</v>
      </c>
      <c r="I271" s="788">
        <f t="shared" ca="1" si="107"/>
        <v>4.1247263959378552E-5</v>
      </c>
      <c r="J271" s="788">
        <f t="shared" ca="1" si="107"/>
        <v>2.4390015205271157E-5</v>
      </c>
      <c r="K271" s="788">
        <f t="shared" ca="1" si="107"/>
        <v>3.639001520527116E-5</v>
      </c>
      <c r="L271" s="788">
        <f t="shared" ca="1" si="107"/>
        <v>6.3486592710578641E-3</v>
      </c>
      <c r="M271" s="788">
        <f t="shared" ca="1" si="107"/>
        <v>-1.2272061429717224E-2</v>
      </c>
      <c r="N271" s="788">
        <f t="shared" ca="1" si="107"/>
        <v>-1.280393507643654E-2</v>
      </c>
      <c r="O271" s="788">
        <f t="shared" ca="1" si="107"/>
        <v>3.0572078658842526E-5</v>
      </c>
      <c r="P271" s="788">
        <f t="shared" ca="1" si="107"/>
        <v>-1.0149252530626214E-2</v>
      </c>
      <c r="Q271" s="788">
        <f t="shared" ca="1" si="107"/>
        <v>-1.2722149354036953E-2</v>
      </c>
      <c r="R271" s="788">
        <f t="shared" ca="1" si="107"/>
        <v>1.7784494189828871E-3</v>
      </c>
      <c r="S271" s="788">
        <f t="shared" ca="1" si="107"/>
        <v>3.3057207865884252E-4</v>
      </c>
      <c r="T271" s="788">
        <f t="shared" ca="1" si="107"/>
        <v>3.3057207865884252E-4</v>
      </c>
      <c r="U271" s="788">
        <f t="shared" ca="1" si="107"/>
        <v>3.3057207865884252E-4</v>
      </c>
      <c r="V271" s="788">
        <f t="shared" ca="1" si="107"/>
        <v>3.3057207865884252E-4</v>
      </c>
      <c r="W271" s="788">
        <f t="shared" ca="1" si="107"/>
        <v>-1.7146404815630487E-2</v>
      </c>
      <c r="X271" s="788">
        <f t="shared" ca="1" si="107"/>
        <v>1.0811661196832702E-3</v>
      </c>
      <c r="Y271" s="788">
        <f t="shared" ca="1" si="107"/>
        <v>-1.4739862622612182E-3</v>
      </c>
      <c r="Z271" s="788" t="e">
        <f t="shared" ca="1" si="107"/>
        <v>#N/A</v>
      </c>
      <c r="AA271" s="788" t="e">
        <f t="shared" ca="1" si="107"/>
        <v>#N/A</v>
      </c>
      <c r="AB271" s="788" t="e">
        <f t="shared" ca="1" si="107"/>
        <v>#N/A</v>
      </c>
      <c r="AC271" s="788">
        <f t="shared" ca="1" si="107"/>
        <v>4.4528301886792451E-5</v>
      </c>
      <c r="AD271" s="788">
        <f t="shared" ca="1" si="107"/>
        <v>1.9170179104477608E-5</v>
      </c>
      <c r="AE271" s="788">
        <f t="shared" ca="1" si="107"/>
        <v>1.9914763175013182E-5</v>
      </c>
      <c r="AF271" s="788" t="e">
        <f t="shared" ca="1" si="107"/>
        <v>#N/A</v>
      </c>
      <c r="AG271" s="788" t="e">
        <f t="shared" ca="1" si="107"/>
        <v>#N/A</v>
      </c>
      <c r="AH271" s="788" t="e">
        <f t="shared" ca="1" si="107"/>
        <v>#N/A</v>
      </c>
      <c r="AI271" s="788" t="e">
        <f t="shared" ca="1" si="107"/>
        <v>#N/A</v>
      </c>
      <c r="AJ271" s="788" t="e">
        <f t="shared" ca="1" si="107"/>
        <v>#N/A</v>
      </c>
      <c r="AK271" s="788" t="e">
        <f t="shared" ca="1" si="107"/>
        <v>#N/A</v>
      </c>
      <c r="AL271" s="788">
        <f t="shared" ca="1" si="107"/>
        <v>1.9170179104477608E-5</v>
      </c>
    </row>
    <row r="272" spans="1:38" s="489" customFormat="1" ht="12.75" outlineLevel="2">
      <c r="A272" s="1126"/>
      <c r="B272" s="1126"/>
      <c r="D272" s="714" t="s">
        <v>25</v>
      </c>
      <c r="E272" s="715" t="s">
        <v>750</v>
      </c>
      <c r="F272" s="788">
        <f t="shared" ref="F272:AL272" ca="1" si="108">(F217+F264)*F$227</f>
        <v>5.2544397195581898E-2</v>
      </c>
      <c r="G272" s="788">
        <f t="shared" ca="1" si="108"/>
        <v>5.3090510545497106E-2</v>
      </c>
      <c r="H272" s="788">
        <f t="shared" ca="1" si="108"/>
        <v>5.6239469796333645E-2</v>
      </c>
      <c r="I272" s="788">
        <f t="shared" ca="1" si="108"/>
        <v>4.1569408182167464E-2</v>
      </c>
      <c r="J272" s="788">
        <f t="shared" ca="1" si="108"/>
        <v>4.4715027876330461E-3</v>
      </c>
      <c r="K272" s="788">
        <f t="shared" ca="1" si="108"/>
        <v>5.8265027876330455E-3</v>
      </c>
      <c r="L272" s="788">
        <f t="shared" ca="1" si="108"/>
        <v>0.13852228200902708</v>
      </c>
      <c r="M272" s="788">
        <f t="shared" ca="1" si="108"/>
        <v>5.0105538111061498E-2</v>
      </c>
      <c r="N272" s="788">
        <f t="shared" ca="1" si="108"/>
        <v>3.3536086820078422E-2</v>
      </c>
      <c r="O272" s="788">
        <f t="shared" ca="1" si="108"/>
        <v>4.266027856054886E-2</v>
      </c>
      <c r="P272" s="788">
        <f t="shared" ca="1" si="108"/>
        <v>5.0826396626012425E-2</v>
      </c>
      <c r="Q272" s="788">
        <f t="shared" ca="1" si="108"/>
        <v>3.3646208108183258E-2</v>
      </c>
      <c r="R272" s="788">
        <f t="shared" ca="1" si="108"/>
        <v>3.55244244497376E-2</v>
      </c>
      <c r="S272" s="788">
        <f t="shared" ca="1" si="108"/>
        <v>9.766027856054886E-2</v>
      </c>
      <c r="T272" s="788">
        <f t="shared" ca="1" si="108"/>
        <v>9.766027856054886E-2</v>
      </c>
      <c r="U272" s="788">
        <f t="shared" ca="1" si="108"/>
        <v>9.766027856054886E-2</v>
      </c>
      <c r="V272" s="788">
        <f t="shared" ca="1" si="108"/>
        <v>9.766027856054886E-2</v>
      </c>
      <c r="W272" s="788">
        <f t="shared" ca="1" si="108"/>
        <v>9.1330625169834451E-2</v>
      </c>
      <c r="X272" s="788">
        <f t="shared" ca="1" si="108"/>
        <v>0.1682571398004464</v>
      </c>
      <c r="Y272" s="788">
        <f t="shared" ca="1" si="108"/>
        <v>0.11767959632091575</v>
      </c>
      <c r="Z272" s="788" t="e">
        <f t="shared" ca="1" si="108"/>
        <v>#N/A</v>
      </c>
      <c r="AA272" s="788" t="e">
        <f t="shared" ca="1" si="108"/>
        <v>#N/A</v>
      </c>
      <c r="AB272" s="788" t="e">
        <f t="shared" ca="1" si="108"/>
        <v>#N/A</v>
      </c>
      <c r="AC272" s="788">
        <f t="shared" ca="1" si="108"/>
        <v>6.2134792452830191E-2</v>
      </c>
      <c r="AD272" s="788">
        <f t="shared" ca="1" si="108"/>
        <v>2.6750067922388057E-2</v>
      </c>
      <c r="AE272" s="788">
        <f t="shared" ca="1" si="108"/>
        <v>2.77890605344134E-2</v>
      </c>
      <c r="AF272" s="788" t="e">
        <f t="shared" ca="1" si="108"/>
        <v>#N/A</v>
      </c>
      <c r="AG272" s="788" t="e">
        <f t="shared" ca="1" si="108"/>
        <v>#N/A</v>
      </c>
      <c r="AH272" s="788" t="e">
        <f t="shared" ca="1" si="108"/>
        <v>#N/A</v>
      </c>
      <c r="AI272" s="788" t="e">
        <f t="shared" ca="1" si="108"/>
        <v>#N/A</v>
      </c>
      <c r="AJ272" s="788" t="e">
        <f t="shared" ca="1" si="108"/>
        <v>#N/A</v>
      </c>
      <c r="AK272" s="788" t="e">
        <f t="shared" ca="1" si="108"/>
        <v>#N/A</v>
      </c>
      <c r="AL272" s="788">
        <f t="shared" ca="1" si="108"/>
        <v>2.6750067922388057E-2</v>
      </c>
    </row>
    <row r="273" spans="1:38" s="489" customFormat="1" ht="12.75" outlineLevel="2">
      <c r="A273" s="1126"/>
      <c r="B273" s="1126"/>
      <c r="D273" s="492" t="s">
        <v>45</v>
      </c>
      <c r="E273" s="493" t="s">
        <v>750</v>
      </c>
      <c r="F273" s="791">
        <f t="shared" ref="F273:AL273" ca="1" si="109">(F218+F265)*F$227</f>
        <v>5.3881897731722166E-6</v>
      </c>
      <c r="G273" s="791">
        <f t="shared" ca="1" si="109"/>
        <v>5.4441912219290288E-6</v>
      </c>
      <c r="H273" s="791">
        <f t="shared" ca="1" si="109"/>
        <v>5.7671027203393696E-6</v>
      </c>
      <c r="I273" s="791">
        <f t="shared" ca="1" si="109"/>
        <v>4.262754394350717E-6</v>
      </c>
      <c r="J273" s="791">
        <f t="shared" ca="1" si="109"/>
        <v>3.5000000000000004E-6</v>
      </c>
      <c r="K273" s="791">
        <f t="shared" ca="1" si="109"/>
        <v>7.5000000000000002E-6</v>
      </c>
      <c r="L273" s="791">
        <f t="shared" ca="1" si="109"/>
        <v>6.5620600000000022E-4</v>
      </c>
      <c r="M273" s="791">
        <f t="shared" ca="1" si="109"/>
        <v>-1.2879359999999997E-3</v>
      </c>
      <c r="N273" s="791">
        <f t="shared" ca="1" si="109"/>
        <v>-1.34235E-3</v>
      </c>
      <c r="O273" s="791">
        <f t="shared" ca="1" si="109"/>
        <v>0</v>
      </c>
      <c r="P273" s="791">
        <f t="shared" ca="1" si="109"/>
        <v>-1.0723999999999998E-3</v>
      </c>
      <c r="Q273" s="791">
        <f t="shared" ca="1" si="109"/>
        <v>-1.3338E-3</v>
      </c>
      <c r="R273" s="791">
        <f t="shared" ca="1" si="109"/>
        <v>1.9141629463207855E-4</v>
      </c>
      <c r="S273" s="791">
        <f t="shared" ca="1" si="109"/>
        <v>1E-4</v>
      </c>
      <c r="T273" s="791">
        <f t="shared" ca="1" si="109"/>
        <v>1E-4</v>
      </c>
      <c r="U273" s="791">
        <f t="shared" ca="1" si="109"/>
        <v>1E-4</v>
      </c>
      <c r="V273" s="791">
        <f t="shared" ca="1" si="109"/>
        <v>1E-4</v>
      </c>
      <c r="W273" s="791">
        <f t="shared" ca="1" si="109"/>
        <v>-1.8040000000000011E-3</v>
      </c>
      <c r="X273" s="791">
        <f t="shared" ca="1" si="109"/>
        <v>1.0190000000000001E-4</v>
      </c>
      <c r="Y273" s="791">
        <f t="shared" ca="1" si="109"/>
        <v>-1.6182999999999999E-4</v>
      </c>
      <c r="Z273" s="791" t="e">
        <f t="shared" ca="1" si="109"/>
        <v>#N/A</v>
      </c>
      <c r="AA273" s="791" t="e">
        <f t="shared" ca="1" si="109"/>
        <v>#N/A</v>
      </c>
      <c r="AB273" s="791" t="e">
        <f t="shared" ca="1" si="109"/>
        <v>#N/A</v>
      </c>
      <c r="AC273" s="791">
        <f t="shared" ca="1" si="109"/>
        <v>0</v>
      </c>
      <c r="AD273" s="791">
        <f t="shared" ca="1" si="109"/>
        <v>0</v>
      </c>
      <c r="AE273" s="791">
        <f t="shared" ca="1" si="109"/>
        <v>0</v>
      </c>
      <c r="AF273" s="791" t="e">
        <f t="shared" ca="1" si="109"/>
        <v>#N/A</v>
      </c>
      <c r="AG273" s="791" t="e">
        <f t="shared" ca="1" si="109"/>
        <v>#N/A</v>
      </c>
      <c r="AH273" s="791" t="e">
        <f t="shared" ca="1" si="109"/>
        <v>#N/A</v>
      </c>
      <c r="AI273" s="791" t="e">
        <f t="shared" ca="1" si="109"/>
        <v>#N/A</v>
      </c>
      <c r="AJ273" s="791" t="e">
        <f t="shared" ca="1" si="109"/>
        <v>#N/A</v>
      </c>
      <c r="AK273" s="791" t="e">
        <f t="shared" ca="1" si="109"/>
        <v>#N/A</v>
      </c>
      <c r="AL273" s="791">
        <f t="shared" ca="1" si="109"/>
        <v>0</v>
      </c>
    </row>
    <row r="274" spans="1:38" s="489" customFormat="1" ht="12.75" outlineLevel="2">
      <c r="A274" s="1126"/>
      <c r="B274" s="1126"/>
      <c r="D274" s="488"/>
      <c r="E274" s="488"/>
    </row>
    <row r="275" spans="1:38" s="489" customFormat="1" ht="12.75" outlineLevel="2">
      <c r="A275" s="1126"/>
      <c r="B275" s="1126"/>
      <c r="D275" s="783" t="s">
        <v>775</v>
      </c>
      <c r="E275" s="488"/>
    </row>
    <row r="276" spans="1:38" s="489" customFormat="1" ht="12.75" outlineLevel="2">
      <c r="A276" s="1126"/>
      <c r="B276" s="1126"/>
      <c r="D276" s="495" t="s">
        <v>24</v>
      </c>
      <c r="E276" s="491" t="s">
        <v>348</v>
      </c>
      <c r="F276" s="786">
        <f ca="1">F268/F$230</f>
        <v>8.6850931039405381</v>
      </c>
      <c r="G276" s="786">
        <f t="shared" ref="G276:AL276" ca="1" si="110">G268/G$230</f>
        <v>8.7753604881425851</v>
      </c>
      <c r="H276" s="786">
        <f t="shared" ca="1" si="110"/>
        <v>9.2958537421089602</v>
      </c>
      <c r="I276" s="786">
        <f t="shared" ca="1" si="110"/>
        <v>6.8710309682302153</v>
      </c>
      <c r="J276" s="786">
        <f t="shared" ca="1" si="110"/>
        <v>6.2482205241485778</v>
      </c>
      <c r="K276" s="786">
        <f t="shared" ref="K276:K281" ca="1" si="111">K268/K$230</f>
        <v>10.497860962566845</v>
      </c>
      <c r="L276" s="786">
        <f t="shared" ca="1" si="110"/>
        <v>370.85434687936532</v>
      </c>
      <c r="M276" s="786">
        <f t="shared" ca="1" si="110"/>
        <v>-3.6572310291406538</v>
      </c>
      <c r="N276" s="786">
        <f t="shared" ca="1" si="110"/>
        <v>-29.241120107687262</v>
      </c>
      <c r="O276" s="786">
        <f t="shared" ca="1" si="110"/>
        <v>0.56520007125126759</v>
      </c>
      <c r="P276" s="786">
        <f t="shared" ca="1" si="110"/>
        <v>-29.113382758005059</v>
      </c>
      <c r="Q276" s="786">
        <f t="shared" ca="1" si="110"/>
        <v>-29.19092030920044</v>
      </c>
      <c r="R276" s="786">
        <f t="shared" ca="1" si="110"/>
        <v>-54.741551886802831</v>
      </c>
      <c r="S276" s="786">
        <f t="shared" ca="1" si="110"/>
        <v>9.9213348422312038</v>
      </c>
      <c r="T276" s="786">
        <f t="shared" ca="1" si="110"/>
        <v>5.7003274307270049</v>
      </c>
      <c r="U276" s="786">
        <f t="shared" ca="1" si="110"/>
        <v>5.7003274307270049</v>
      </c>
      <c r="V276" s="786">
        <f t="shared" ca="1" si="110"/>
        <v>5.400310197530847</v>
      </c>
      <c r="W276" s="786">
        <f t="shared" ca="1" si="110"/>
        <v>-89.745240476441879</v>
      </c>
      <c r="X276" s="786">
        <f t="shared" ca="1" si="110"/>
        <v>348.97966601039394</v>
      </c>
      <c r="Y276" s="786">
        <f t="shared" ca="1" si="110"/>
        <v>470.20321681265841</v>
      </c>
      <c r="Z276" s="786" t="e">
        <f t="shared" ca="1" si="110"/>
        <v>#N/A</v>
      </c>
      <c r="AA276" s="786" t="e">
        <f t="shared" ca="1" si="110"/>
        <v>#N/A</v>
      </c>
      <c r="AB276" s="786" t="e">
        <f t="shared" ca="1" si="110"/>
        <v>#N/A</v>
      </c>
      <c r="AC276" s="786">
        <f t="shared" ca="1" si="110"/>
        <v>15.32</v>
      </c>
      <c r="AD276" s="786">
        <f t="shared" ca="1" si="110"/>
        <v>-11.241974602766481</v>
      </c>
      <c r="AE276" s="786">
        <f t="shared" ca="1" si="110"/>
        <v>1.6269396863923049</v>
      </c>
      <c r="AF276" s="786" t="e">
        <f t="shared" ca="1" si="110"/>
        <v>#N/A</v>
      </c>
      <c r="AG276" s="786" t="e">
        <f t="shared" ca="1" si="110"/>
        <v>#N/A</v>
      </c>
      <c r="AH276" s="786" t="e">
        <f t="shared" ca="1" si="110"/>
        <v>#N/A</v>
      </c>
      <c r="AI276" s="786" t="e">
        <f t="shared" ca="1" si="110"/>
        <v>#N/A</v>
      </c>
      <c r="AJ276" s="786" t="e">
        <f t="shared" ca="1" si="110"/>
        <v>#N/A</v>
      </c>
      <c r="AK276" s="786" t="e">
        <f t="shared" ca="1" si="110"/>
        <v>#N/A</v>
      </c>
      <c r="AL276" s="786">
        <f t="shared" ca="1" si="110"/>
        <v>-11.241974602766481</v>
      </c>
    </row>
    <row r="277" spans="1:38" s="489" customFormat="1" ht="12.75" outlineLevel="2">
      <c r="A277" s="1126"/>
      <c r="B277" s="1126"/>
      <c r="D277" s="714" t="s">
        <v>27</v>
      </c>
      <c r="E277" s="715" t="s">
        <v>348</v>
      </c>
      <c r="F277" s="788">
        <f t="shared" ref="F277:AL277" ca="1" si="112">F269/F$230</f>
        <v>5.3881897731722166E-6</v>
      </c>
      <c r="G277" s="788">
        <f t="shared" ca="1" si="112"/>
        <v>5.4441912219290288E-6</v>
      </c>
      <c r="H277" s="788">
        <f t="shared" ca="1" si="112"/>
        <v>5.7671027203393696E-6</v>
      </c>
      <c r="I277" s="788">
        <f t="shared" ca="1" si="112"/>
        <v>4.262754394350717E-6</v>
      </c>
      <c r="J277" s="788">
        <f t="shared" ca="1" si="112"/>
        <v>3.5000000000000004E-6</v>
      </c>
      <c r="K277" s="788">
        <f t="shared" ca="1" si="111"/>
        <v>8.0213903743315507E-6</v>
      </c>
      <c r="L277" s="788">
        <f t="shared" ca="1" si="112"/>
        <v>2.6421062244493883E-3</v>
      </c>
      <c r="M277" s="788">
        <f t="shared" ca="1" si="112"/>
        <v>-5.2041645930253995E-3</v>
      </c>
      <c r="N277" s="788">
        <f t="shared" ca="1" si="112"/>
        <v>-5.4240353103319162E-3</v>
      </c>
      <c r="O277" s="788">
        <f t="shared" ca="1" si="112"/>
        <v>0</v>
      </c>
      <c r="P277" s="788">
        <f t="shared" ca="1" si="112"/>
        <v>-4.3058816992639472E-3</v>
      </c>
      <c r="Q277" s="788">
        <f t="shared" ca="1" si="112"/>
        <v>-5.3894873147247056E-3</v>
      </c>
      <c r="R277" s="788">
        <f t="shared" ca="1" si="112"/>
        <v>0.10742476661342681</v>
      </c>
      <c r="S277" s="788">
        <f t="shared" ca="1" si="112"/>
        <v>1.933872310708818E-4</v>
      </c>
      <c r="T277" s="788">
        <f t="shared" ca="1" si="112"/>
        <v>1.1111111111111112E-4</v>
      </c>
      <c r="U277" s="788">
        <f t="shared" ca="1" si="112"/>
        <v>1.1111111111111112E-4</v>
      </c>
      <c r="V277" s="788">
        <f t="shared" ca="1" si="112"/>
        <v>1.0526315789473685E-4</v>
      </c>
      <c r="W277" s="788">
        <f t="shared" ca="1" si="112"/>
        <v>-7.2772622330967733E-3</v>
      </c>
      <c r="X277" s="788">
        <f t="shared" ca="1" si="112"/>
        <v>4.0597012406093158E-4</v>
      </c>
      <c r="Y277" s="788">
        <f t="shared" ca="1" si="112"/>
        <v>-6.590758738768414E-4</v>
      </c>
      <c r="Z277" s="788" t="e">
        <f t="shared" ca="1" si="112"/>
        <v>#N/A</v>
      </c>
      <c r="AA277" s="788" t="e">
        <f t="shared" ca="1" si="112"/>
        <v>#N/A</v>
      </c>
      <c r="AB277" s="788" t="e">
        <f t="shared" ca="1" si="112"/>
        <v>#N/A</v>
      </c>
      <c r="AC277" s="788">
        <f t="shared" ca="1" si="112"/>
        <v>0</v>
      </c>
      <c r="AD277" s="788">
        <f t="shared" ca="1" si="112"/>
        <v>0</v>
      </c>
      <c r="AE277" s="788">
        <f t="shared" ca="1" si="112"/>
        <v>0</v>
      </c>
      <c r="AF277" s="788" t="e">
        <f t="shared" ca="1" si="112"/>
        <v>#N/A</v>
      </c>
      <c r="AG277" s="788" t="e">
        <f t="shared" ca="1" si="112"/>
        <v>#N/A</v>
      </c>
      <c r="AH277" s="788" t="e">
        <f t="shared" ca="1" si="112"/>
        <v>#N/A</v>
      </c>
      <c r="AI277" s="788" t="e">
        <f t="shared" ca="1" si="112"/>
        <v>#N/A</v>
      </c>
      <c r="AJ277" s="788" t="e">
        <f t="shared" ca="1" si="112"/>
        <v>#N/A</v>
      </c>
      <c r="AK277" s="788" t="e">
        <f t="shared" ca="1" si="112"/>
        <v>#N/A</v>
      </c>
      <c r="AL277" s="788">
        <f t="shared" ca="1" si="112"/>
        <v>0</v>
      </c>
    </row>
    <row r="278" spans="1:38" s="489" customFormat="1" ht="12.75" outlineLevel="2">
      <c r="A278" s="1126"/>
      <c r="B278" s="1126"/>
      <c r="D278" s="714" t="s">
        <v>28</v>
      </c>
      <c r="E278" s="715" t="s">
        <v>348</v>
      </c>
      <c r="F278" s="788">
        <f t="shared" ref="F278:AL278" ca="1" si="113">F270/F$230</f>
        <v>5.3881897731722166E-6</v>
      </c>
      <c r="G278" s="788">
        <f t="shared" ca="1" si="113"/>
        <v>5.4441912219290288E-6</v>
      </c>
      <c r="H278" s="788">
        <f t="shared" ca="1" si="113"/>
        <v>5.7671027203393696E-6</v>
      </c>
      <c r="I278" s="788">
        <f t="shared" ca="1" si="113"/>
        <v>4.262754394350717E-6</v>
      </c>
      <c r="J278" s="788">
        <f t="shared" ca="1" si="113"/>
        <v>3.5000000000000004E-6</v>
      </c>
      <c r="K278" s="788">
        <f t="shared" ca="1" si="111"/>
        <v>8.0213903743315507E-6</v>
      </c>
      <c r="L278" s="788">
        <f t="shared" ca="1" si="113"/>
        <v>1.391608010980316E-4</v>
      </c>
      <c r="M278" s="788">
        <f t="shared" ca="1" si="113"/>
        <v>-2.6831418471579552E-4</v>
      </c>
      <c r="N278" s="788">
        <f t="shared" ca="1" si="113"/>
        <v>-2.7965018902588972E-4</v>
      </c>
      <c r="O278" s="788">
        <f t="shared" ca="1" si="113"/>
        <v>0</v>
      </c>
      <c r="P278" s="788">
        <f t="shared" ca="1" si="113"/>
        <v>-2.3053686520663842E-4</v>
      </c>
      <c r="Q278" s="788">
        <f t="shared" ca="1" si="113"/>
        <v>-2.7786897763082028E-4</v>
      </c>
      <c r="R278" s="788">
        <f t="shared" ca="1" si="113"/>
        <v>4.8562525606980533E-5</v>
      </c>
      <c r="S278" s="788">
        <f t="shared" ca="1" si="113"/>
        <v>1.933872310708818E-4</v>
      </c>
      <c r="T278" s="788">
        <f t="shared" ca="1" si="113"/>
        <v>1.1111111111111112E-4</v>
      </c>
      <c r="U278" s="788">
        <f t="shared" ca="1" si="113"/>
        <v>1.1111111111111112E-4</v>
      </c>
      <c r="V278" s="788">
        <f t="shared" ca="1" si="113"/>
        <v>1.0526315789473685E-4</v>
      </c>
      <c r="W278" s="788">
        <f t="shared" ca="1" si="113"/>
        <v>-3.7899187264618146E-4</v>
      </c>
      <c r="X278" s="788">
        <f t="shared" ca="1" si="113"/>
        <v>2.2732881813676731E-5</v>
      </c>
      <c r="Y278" s="788">
        <f t="shared" ca="1" si="113"/>
        <v>-3.2368011629905568E-5</v>
      </c>
      <c r="Z278" s="788" t="e">
        <f t="shared" ca="1" si="113"/>
        <v>#N/A</v>
      </c>
      <c r="AA278" s="788" t="e">
        <f t="shared" ca="1" si="113"/>
        <v>#N/A</v>
      </c>
      <c r="AB278" s="788" t="e">
        <f t="shared" ca="1" si="113"/>
        <v>#N/A</v>
      </c>
      <c r="AC278" s="788">
        <f t="shared" ca="1" si="113"/>
        <v>0</v>
      </c>
      <c r="AD278" s="788">
        <f t="shared" ca="1" si="113"/>
        <v>0</v>
      </c>
      <c r="AE278" s="788">
        <f t="shared" ca="1" si="113"/>
        <v>0</v>
      </c>
      <c r="AF278" s="788" t="e">
        <f t="shared" ca="1" si="113"/>
        <v>#N/A</v>
      </c>
      <c r="AG278" s="788" t="e">
        <f t="shared" ca="1" si="113"/>
        <v>#N/A</v>
      </c>
      <c r="AH278" s="788" t="e">
        <f t="shared" ca="1" si="113"/>
        <v>#N/A</v>
      </c>
      <c r="AI278" s="788" t="e">
        <f t="shared" ca="1" si="113"/>
        <v>#N/A</v>
      </c>
      <c r="AJ278" s="788" t="e">
        <f t="shared" ca="1" si="113"/>
        <v>#N/A</v>
      </c>
      <c r="AK278" s="788" t="e">
        <f t="shared" ca="1" si="113"/>
        <v>#N/A</v>
      </c>
      <c r="AL278" s="788">
        <f t="shared" ca="1" si="113"/>
        <v>0</v>
      </c>
    </row>
    <row r="279" spans="1:38" s="489" customFormat="1" ht="12.75" outlineLevel="2">
      <c r="A279" s="1126"/>
      <c r="B279" s="1126"/>
      <c r="D279" s="714" t="s">
        <v>26</v>
      </c>
      <c r="E279" s="715" t="s">
        <v>348</v>
      </c>
      <c r="F279" s="788">
        <f t="shared" ref="F279:AL279" ca="1" si="114">F271/F$230</f>
        <v>5.2137201742562576E-5</v>
      </c>
      <c r="G279" s="788">
        <f t="shared" ca="1" si="114"/>
        <v>5.2679082959561863E-5</v>
      </c>
      <c r="H279" s="788">
        <f t="shared" ca="1" si="114"/>
        <v>5.5803639192053535E-5</v>
      </c>
      <c r="I279" s="788">
        <f t="shared" ca="1" si="114"/>
        <v>4.1247263959378552E-5</v>
      </c>
      <c r="J279" s="788">
        <f t="shared" ca="1" si="114"/>
        <v>2.4390015205271157E-5</v>
      </c>
      <c r="K279" s="788">
        <f t="shared" ca="1" si="111"/>
        <v>3.8919802358578779E-5</v>
      </c>
      <c r="L279" s="788">
        <f t="shared" ca="1" si="114"/>
        <v>6.3486592710578641E-3</v>
      </c>
      <c r="M279" s="788">
        <f t="shared" ca="1" si="114"/>
        <v>-1.2272061429717224E-2</v>
      </c>
      <c r="N279" s="788">
        <f t="shared" ca="1" si="114"/>
        <v>-1.280393507643654E-2</v>
      </c>
      <c r="O279" s="788">
        <f t="shared" ca="1" si="114"/>
        <v>5.8086949451800803E-5</v>
      </c>
      <c r="P279" s="788">
        <f t="shared" ca="1" si="114"/>
        <v>-1.0149252530626214E-2</v>
      </c>
      <c r="Q279" s="788">
        <f t="shared" ca="1" si="114"/>
        <v>-1.2722149354036953E-2</v>
      </c>
      <c r="R279" s="788">
        <f t="shared" ca="1" si="114"/>
        <v>1.7784494189828871E-3</v>
      </c>
      <c r="S279" s="788">
        <f t="shared" ca="1" si="114"/>
        <v>6.392841896117929E-4</v>
      </c>
      <c r="T279" s="788">
        <f t="shared" ca="1" si="114"/>
        <v>3.6730230962093611E-4</v>
      </c>
      <c r="U279" s="788">
        <f t="shared" ca="1" si="114"/>
        <v>3.6730230962093611E-4</v>
      </c>
      <c r="V279" s="788">
        <f t="shared" ca="1" si="114"/>
        <v>3.4797060911457108E-4</v>
      </c>
      <c r="W279" s="788">
        <f t="shared" ca="1" si="114"/>
        <v>-1.7146404815630487E-2</v>
      </c>
      <c r="X279" s="788">
        <f t="shared" ca="1" si="114"/>
        <v>1.0811661196832702E-3</v>
      </c>
      <c r="Y279" s="788">
        <f t="shared" ca="1" si="114"/>
        <v>-1.4739862622612182E-3</v>
      </c>
      <c r="Z279" s="788" t="e">
        <f t="shared" ca="1" si="114"/>
        <v>#N/A</v>
      </c>
      <c r="AA279" s="788" t="e">
        <f t="shared" ca="1" si="114"/>
        <v>#N/A</v>
      </c>
      <c r="AB279" s="788" t="e">
        <f t="shared" ca="1" si="114"/>
        <v>#N/A</v>
      </c>
      <c r="AC279" s="788">
        <f t="shared" ca="1" si="114"/>
        <v>4.4528301886792451E-5</v>
      </c>
      <c r="AD279" s="788">
        <f t="shared" ca="1" si="114"/>
        <v>1.9170179104477608E-5</v>
      </c>
      <c r="AE279" s="788">
        <f t="shared" ca="1" si="114"/>
        <v>1.9914763175013182E-5</v>
      </c>
      <c r="AF279" s="788" t="e">
        <f t="shared" ca="1" si="114"/>
        <v>#N/A</v>
      </c>
      <c r="AG279" s="788" t="e">
        <f t="shared" ca="1" si="114"/>
        <v>#N/A</v>
      </c>
      <c r="AH279" s="788" t="e">
        <f t="shared" ca="1" si="114"/>
        <v>#N/A</v>
      </c>
      <c r="AI279" s="788" t="e">
        <f t="shared" ca="1" si="114"/>
        <v>#N/A</v>
      </c>
      <c r="AJ279" s="788" t="e">
        <f t="shared" ca="1" si="114"/>
        <v>#N/A</v>
      </c>
      <c r="AK279" s="788" t="e">
        <f t="shared" ca="1" si="114"/>
        <v>#N/A</v>
      </c>
      <c r="AL279" s="788">
        <f t="shared" ca="1" si="114"/>
        <v>1.9170179104477608E-5</v>
      </c>
    </row>
    <row r="280" spans="1:38" s="489" customFormat="1" ht="12.75" outlineLevel="2">
      <c r="A280" s="1126"/>
      <c r="B280" s="1126"/>
      <c r="D280" s="714" t="s">
        <v>25</v>
      </c>
      <c r="E280" s="715" t="s">
        <v>348</v>
      </c>
      <c r="F280" s="788">
        <f t="shared" ref="F280:AL280" ca="1" si="115">F272/F$230</f>
        <v>5.2544397195581898E-2</v>
      </c>
      <c r="G280" s="788">
        <f t="shared" ca="1" si="115"/>
        <v>5.3090510545497106E-2</v>
      </c>
      <c r="H280" s="788">
        <f t="shared" ca="1" si="115"/>
        <v>5.6239469796333645E-2</v>
      </c>
      <c r="I280" s="788">
        <f t="shared" ca="1" si="115"/>
        <v>4.1569408182167464E-2</v>
      </c>
      <c r="J280" s="788">
        <f t="shared" ca="1" si="115"/>
        <v>4.4715027876330461E-3</v>
      </c>
      <c r="K280" s="788">
        <f t="shared" ca="1" si="111"/>
        <v>6.2315537835647538E-3</v>
      </c>
      <c r="L280" s="788">
        <f t="shared" ca="1" si="115"/>
        <v>0.13852228200902708</v>
      </c>
      <c r="M280" s="788">
        <f t="shared" ca="1" si="115"/>
        <v>5.0105538111061498E-2</v>
      </c>
      <c r="N280" s="788">
        <f t="shared" ca="1" si="115"/>
        <v>3.3536086820078422E-2</v>
      </c>
      <c r="O280" s="788">
        <f t="shared" ca="1" si="115"/>
        <v>8.1054529265042835E-2</v>
      </c>
      <c r="P280" s="788">
        <f t="shared" ca="1" si="115"/>
        <v>5.0826396626012425E-2</v>
      </c>
      <c r="Q280" s="788">
        <f t="shared" ca="1" si="115"/>
        <v>3.3646208108183258E-2</v>
      </c>
      <c r="R280" s="788">
        <f t="shared" ca="1" si="115"/>
        <v>3.55244244497376E-2</v>
      </c>
      <c r="S280" s="788">
        <f t="shared" ca="1" si="115"/>
        <v>0.18886250856435546</v>
      </c>
      <c r="T280" s="788">
        <f t="shared" ca="1" si="115"/>
        <v>0.10851142062283206</v>
      </c>
      <c r="U280" s="788">
        <f t="shared" ca="1" si="115"/>
        <v>0.10851142062283206</v>
      </c>
      <c r="V280" s="788">
        <f t="shared" ca="1" si="115"/>
        <v>0.10280029322163038</v>
      </c>
      <c r="W280" s="788">
        <f t="shared" ca="1" si="115"/>
        <v>9.1330625169834451E-2</v>
      </c>
      <c r="X280" s="788">
        <f t="shared" ca="1" si="115"/>
        <v>0.1682571398004464</v>
      </c>
      <c r="Y280" s="788">
        <f t="shared" ca="1" si="115"/>
        <v>0.11767959632091575</v>
      </c>
      <c r="Z280" s="788" t="e">
        <f t="shared" ca="1" si="115"/>
        <v>#N/A</v>
      </c>
      <c r="AA280" s="788" t="e">
        <f t="shared" ca="1" si="115"/>
        <v>#N/A</v>
      </c>
      <c r="AB280" s="788" t="e">
        <f t="shared" ca="1" si="115"/>
        <v>#N/A</v>
      </c>
      <c r="AC280" s="788">
        <f t="shared" ca="1" si="115"/>
        <v>6.2134792452830191E-2</v>
      </c>
      <c r="AD280" s="788">
        <f t="shared" ca="1" si="115"/>
        <v>2.6750067922388057E-2</v>
      </c>
      <c r="AE280" s="788">
        <f t="shared" ca="1" si="115"/>
        <v>2.77890605344134E-2</v>
      </c>
      <c r="AF280" s="788" t="e">
        <f t="shared" ca="1" si="115"/>
        <v>#N/A</v>
      </c>
      <c r="AG280" s="788" t="e">
        <f t="shared" ca="1" si="115"/>
        <v>#N/A</v>
      </c>
      <c r="AH280" s="788" t="e">
        <f t="shared" ca="1" si="115"/>
        <v>#N/A</v>
      </c>
      <c r="AI280" s="788" t="e">
        <f t="shared" ca="1" si="115"/>
        <v>#N/A</v>
      </c>
      <c r="AJ280" s="788" t="e">
        <f t="shared" ca="1" si="115"/>
        <v>#N/A</v>
      </c>
      <c r="AK280" s="788" t="e">
        <f t="shared" ca="1" si="115"/>
        <v>#N/A</v>
      </c>
      <c r="AL280" s="788">
        <f t="shared" ca="1" si="115"/>
        <v>2.6750067922388057E-2</v>
      </c>
    </row>
    <row r="281" spans="1:38" s="489" customFormat="1" ht="12.75" outlineLevel="2">
      <c r="A281" s="1126"/>
      <c r="B281" s="1126"/>
      <c r="D281" s="492" t="s">
        <v>45</v>
      </c>
      <c r="E281" s="493" t="s">
        <v>348</v>
      </c>
      <c r="F281" s="791">
        <f t="shared" ref="F281:AL281" ca="1" si="116">F273/F$230</f>
        <v>5.3881897731722166E-6</v>
      </c>
      <c r="G281" s="791">
        <f t="shared" ca="1" si="116"/>
        <v>5.4441912219290288E-6</v>
      </c>
      <c r="H281" s="791">
        <f t="shared" ca="1" si="116"/>
        <v>5.7671027203393696E-6</v>
      </c>
      <c r="I281" s="791">
        <f t="shared" ca="1" si="116"/>
        <v>4.262754394350717E-6</v>
      </c>
      <c r="J281" s="791">
        <f t="shared" ca="1" si="116"/>
        <v>3.5000000000000004E-6</v>
      </c>
      <c r="K281" s="791">
        <f t="shared" ca="1" si="111"/>
        <v>8.0213903743315507E-6</v>
      </c>
      <c r="L281" s="791">
        <f t="shared" ca="1" si="116"/>
        <v>6.5620600000000022E-4</v>
      </c>
      <c r="M281" s="791">
        <f t="shared" ca="1" si="116"/>
        <v>-1.2879359999999997E-3</v>
      </c>
      <c r="N281" s="791">
        <f t="shared" ca="1" si="116"/>
        <v>-1.34235E-3</v>
      </c>
      <c r="O281" s="791">
        <f t="shared" ca="1" si="116"/>
        <v>0</v>
      </c>
      <c r="P281" s="791">
        <f t="shared" ca="1" si="116"/>
        <v>-1.0723999999999998E-3</v>
      </c>
      <c r="Q281" s="791">
        <f t="shared" ca="1" si="116"/>
        <v>-1.3338E-3</v>
      </c>
      <c r="R281" s="791">
        <f t="shared" ca="1" si="116"/>
        <v>1.9141629463207855E-4</v>
      </c>
      <c r="S281" s="791">
        <f t="shared" ca="1" si="116"/>
        <v>1.933872310708818E-4</v>
      </c>
      <c r="T281" s="791">
        <f t="shared" ca="1" si="116"/>
        <v>1.1111111111111112E-4</v>
      </c>
      <c r="U281" s="791">
        <f t="shared" ca="1" si="116"/>
        <v>1.1111111111111112E-4</v>
      </c>
      <c r="V281" s="791">
        <f t="shared" ca="1" si="116"/>
        <v>1.0526315789473685E-4</v>
      </c>
      <c r="W281" s="791">
        <f t="shared" ca="1" si="116"/>
        <v>-1.8040000000000011E-3</v>
      </c>
      <c r="X281" s="791">
        <f t="shared" ca="1" si="116"/>
        <v>1.0190000000000001E-4</v>
      </c>
      <c r="Y281" s="791">
        <f t="shared" ca="1" si="116"/>
        <v>-1.6182999999999999E-4</v>
      </c>
      <c r="Z281" s="791" t="e">
        <f t="shared" ca="1" si="116"/>
        <v>#N/A</v>
      </c>
      <c r="AA281" s="791" t="e">
        <f t="shared" ca="1" si="116"/>
        <v>#N/A</v>
      </c>
      <c r="AB281" s="791" t="e">
        <f t="shared" ca="1" si="116"/>
        <v>#N/A</v>
      </c>
      <c r="AC281" s="791">
        <f t="shared" ca="1" si="116"/>
        <v>0</v>
      </c>
      <c r="AD281" s="791">
        <f t="shared" ca="1" si="116"/>
        <v>0</v>
      </c>
      <c r="AE281" s="791">
        <f t="shared" ca="1" si="116"/>
        <v>0</v>
      </c>
      <c r="AF281" s="791" t="e">
        <f t="shared" ca="1" si="116"/>
        <v>#N/A</v>
      </c>
      <c r="AG281" s="791" t="e">
        <f t="shared" ca="1" si="116"/>
        <v>#N/A</v>
      </c>
      <c r="AH281" s="791" t="e">
        <f t="shared" ca="1" si="116"/>
        <v>#N/A</v>
      </c>
      <c r="AI281" s="791" t="e">
        <f t="shared" ca="1" si="116"/>
        <v>#N/A</v>
      </c>
      <c r="AJ281" s="791" t="e">
        <f t="shared" ca="1" si="116"/>
        <v>#N/A</v>
      </c>
      <c r="AK281" s="791" t="e">
        <f t="shared" ca="1" si="116"/>
        <v>#N/A</v>
      </c>
      <c r="AL281" s="791">
        <f t="shared" ca="1" si="116"/>
        <v>0</v>
      </c>
    </row>
    <row r="282" spans="1:38" s="489" customFormat="1" ht="12.75" outlineLevel="2">
      <c r="A282" s="1126"/>
      <c r="B282" s="1126"/>
      <c r="D282" s="488"/>
      <c r="E282" s="488"/>
    </row>
    <row r="283" spans="1:38" s="812" customFormat="1" ht="12.75" outlineLevel="1">
      <c r="A283" s="1126"/>
      <c r="B283" s="1126"/>
      <c r="C283" s="489"/>
      <c r="D283" s="489"/>
      <c r="E283" s="488"/>
      <c r="F283" s="489"/>
      <c r="G283" s="489"/>
      <c r="H283" s="489"/>
      <c r="I283" s="489"/>
      <c r="J283" s="489"/>
      <c r="K283" s="489"/>
      <c r="L283" s="489"/>
      <c r="M283" s="489"/>
      <c r="N283" s="489"/>
      <c r="O283" s="489"/>
      <c r="P283" s="489"/>
      <c r="Q283" s="489"/>
      <c r="R283" s="489"/>
      <c r="S283" s="489"/>
      <c r="T283" s="489"/>
      <c r="U283" s="489"/>
      <c r="V283" s="489"/>
      <c r="W283" s="489"/>
      <c r="X283" s="489"/>
      <c r="Y283" s="489"/>
      <c r="Z283" s="489"/>
      <c r="AA283" s="489"/>
      <c r="AB283" s="489"/>
      <c r="AC283" s="489"/>
      <c r="AD283" s="489"/>
      <c r="AE283" s="489"/>
      <c r="AF283" s="489"/>
      <c r="AG283" s="489"/>
      <c r="AH283" s="489"/>
      <c r="AI283" s="489"/>
      <c r="AJ283" s="489"/>
      <c r="AK283" s="489"/>
      <c r="AL283" s="489"/>
    </row>
    <row r="284" spans="1:38" s="765" customFormat="1" ht="17.25" outlineLevel="1">
      <c r="A284" s="765" t="s">
        <v>776</v>
      </c>
      <c r="D284" s="766"/>
      <c r="E284" s="766"/>
    </row>
    <row r="285" spans="1:38" s="489" customFormat="1" ht="12.75" outlineLevel="2">
      <c r="A285" s="1126"/>
      <c r="B285" s="1126"/>
      <c r="E285" s="488"/>
    </row>
    <row r="286" spans="1:38" s="489" customFormat="1" ht="12.75" outlineLevel="2">
      <c r="A286" s="1126"/>
      <c r="B286" s="1126"/>
      <c r="E286" s="488"/>
    </row>
    <row r="287" spans="1:38" s="489" customFormat="1" ht="12.75" outlineLevel="2">
      <c r="A287" s="1126"/>
      <c r="B287" s="1126"/>
      <c r="D287" s="783" t="s">
        <v>778</v>
      </c>
      <c r="E287" s="488"/>
      <c r="F287" s="777"/>
      <c r="G287" s="777"/>
      <c r="H287" s="777"/>
      <c r="I287" s="777"/>
      <c r="J287" s="777"/>
      <c r="K287" s="777"/>
      <c r="L287" s="777"/>
      <c r="M287" s="777"/>
      <c r="N287" s="777"/>
      <c r="O287" s="777"/>
      <c r="P287" s="777"/>
      <c r="Q287" s="777"/>
      <c r="R287" s="777"/>
      <c r="S287" s="777"/>
      <c r="T287" s="777"/>
      <c r="U287" s="777"/>
      <c r="V287" s="777"/>
      <c r="W287" s="777"/>
      <c r="X287" s="777"/>
      <c r="Y287" s="777"/>
      <c r="Z287" s="777"/>
      <c r="AA287" s="777"/>
      <c r="AB287" s="777"/>
      <c r="AC287" s="777"/>
      <c r="AD287" s="777"/>
      <c r="AE287" s="777"/>
      <c r="AF287" s="777"/>
      <c r="AG287" s="777"/>
      <c r="AH287" s="777"/>
      <c r="AI287" s="777"/>
      <c r="AJ287" s="777"/>
      <c r="AK287" s="777"/>
      <c r="AL287" s="777"/>
    </row>
    <row r="288" spans="1:38" s="489" customFormat="1" ht="12.75" outlineLevel="2">
      <c r="A288" s="1126"/>
      <c r="B288" s="1126">
        <v>5</v>
      </c>
      <c r="D288" s="495" t="s">
        <v>24</v>
      </c>
      <c r="E288" s="491" t="s">
        <v>348</v>
      </c>
      <c r="F288" s="1619">
        <f>VLOOKUP(F$10,Distribution!$B$8:$K$27,$B288,0)</f>
        <v>8.2222222222222224E-2</v>
      </c>
      <c r="G288" s="1619">
        <f>VLOOKUP(G$10,Distribution!$B$8:$K$27,$B288,0)</f>
        <v>8.9776154236428235E-2</v>
      </c>
      <c r="H288" s="1619">
        <f>VLOOKUP(H$10,Distribution!$B$8:$K$27,$B288,0)</f>
        <v>8.5331635851586082E-2</v>
      </c>
      <c r="I288" s="1619">
        <f>VLOOKUP(I$10,Distribution!$B$8:$K$27,$B288,0)</f>
        <v>7.4030340303403053E-2</v>
      </c>
      <c r="J288" s="1619">
        <f>VLOOKUP(J$10,Distribution!$B$8:$K$27,$B288,0)</f>
        <v>0</v>
      </c>
      <c r="K288" s="1619">
        <f>VLOOKUP(K$10,Distribution!$B$8:$K$27,$B288,0)</f>
        <v>5.6740000000000004</v>
      </c>
      <c r="L288" s="1619">
        <f>VLOOKUP(L$10,Distribution!$B$8:$K$27,$B288,0)</f>
        <v>0.12870231690471123</v>
      </c>
      <c r="M288" s="1619">
        <f>VLOOKUP(M$10,Distribution!$B$8:$K$27,$B288,0)</f>
        <v>0.12870231690471123</v>
      </c>
      <c r="N288" s="1619">
        <f>VLOOKUP(N$10,Distribution!$B$8:$K$27,$B288,0)</f>
        <v>0.18688313361680198</v>
      </c>
      <c r="O288" s="1619">
        <f>VLOOKUP(O$10,Distribution!$B$8:$K$27,$B288,0)</f>
        <v>0.18688313361680198</v>
      </c>
      <c r="P288" s="1619">
        <f>VLOOKUP(P$10,Distribution!$B$8:$K$27,$B288,0)</f>
        <v>8.2222222222222224E-2</v>
      </c>
      <c r="Q288" s="1619">
        <f>VLOOKUP(Q$10,Distribution!$B$8:$K$27,$B288,0)</f>
        <v>0.15498983953472079</v>
      </c>
      <c r="R288" s="1619">
        <f>VLOOKUP(R$10,Distribution!$B$8:$K$27,$B288,0)</f>
        <v>0</v>
      </c>
      <c r="S288" s="1619">
        <f>VLOOKUP(S$10,Distribution!$B$8:$K$27,$B288,0)</f>
        <v>0</v>
      </c>
      <c r="T288" s="1619">
        <f>VLOOKUP(T$10,Distribution!$B$8:$K$27,$B288,0)</f>
        <v>0</v>
      </c>
      <c r="U288" s="1619">
        <f>VLOOKUP(U$10,Distribution!$B$8:$K$27,$B288,0)</f>
        <v>0</v>
      </c>
      <c r="V288" s="1619">
        <f>VLOOKUP(V$10,Distribution!$B$8:$K$27,$B288,0)</f>
        <v>0</v>
      </c>
      <c r="W288" s="1619">
        <f>VLOOKUP(W$10,Distribution!$B$8:$K$27,$B288,0)</f>
        <v>8.5331635851586082E-2</v>
      </c>
      <c r="X288" s="1619">
        <f>VLOOKUP(X$10,Distribution!$B$8:$K$27,$B288,0)</f>
        <v>9.770562770562774E-2</v>
      </c>
      <c r="Y288" s="1619">
        <f>VLOOKUP(Y$10,Distribution!$B$8:$K$27,$B288,0)</f>
        <v>0.12870231690471123</v>
      </c>
      <c r="Z288" s="1619" t="e">
        <f>VLOOKUP(Z$10,Distribution!$B$8:$K$27,$B288,0)</f>
        <v>#N/A</v>
      </c>
      <c r="AA288" s="1619" t="e">
        <f>VLOOKUP(AA$10,Distribution!$B$8:$K$27,$B288,0)</f>
        <v>#N/A</v>
      </c>
      <c r="AB288" s="1619" t="e">
        <f>VLOOKUP(AB$10,Distribution!$B$8:$K$27,$B288,0)</f>
        <v>#N/A</v>
      </c>
      <c r="AC288" s="1619">
        <f>VLOOKUP(AC$10,Distribution!$B$8:$K$27,$B288,0)</f>
        <v>0</v>
      </c>
      <c r="AD288" s="1619">
        <f>VLOOKUP(AD$10,Distribution!$B$8:$K$27,$B288,0)</f>
        <v>0</v>
      </c>
      <c r="AE288" s="1619">
        <f>VLOOKUP(AE$10,Distribution!$B$8:$K$27,$B288,0)</f>
        <v>0</v>
      </c>
      <c r="AF288" s="1619" t="e">
        <f>VLOOKUP(AF$10,Distribution!$B$8:$K$27,$B288,0)</f>
        <v>#N/A</v>
      </c>
      <c r="AG288" s="1619" t="e">
        <f>VLOOKUP(AG$10,Distribution!$B$8:$K$27,$B288,0)</f>
        <v>#N/A</v>
      </c>
      <c r="AH288" s="1619" t="e">
        <f>VLOOKUP(AH$10,Distribution!$B$8:$K$27,$B288,0)</f>
        <v>#N/A</v>
      </c>
      <c r="AI288" s="1619" t="e">
        <f>VLOOKUP(AI$10,Distribution!$B$8:$K$27,$B288,0)</f>
        <v>#N/A</v>
      </c>
      <c r="AJ288" s="1619" t="e">
        <f>VLOOKUP(AJ$10,Distribution!$B$8:$K$27,$B288,0)</f>
        <v>#N/A</v>
      </c>
      <c r="AK288" s="1619" t="e">
        <f>VLOOKUP(AK$10,Distribution!$B$8:$K$27,$B288,0)</f>
        <v>#N/A</v>
      </c>
      <c r="AL288" s="1619">
        <f>VLOOKUP(AL$10,Distribution!$B$8:$K$27,$B288,0)</f>
        <v>0</v>
      </c>
    </row>
    <row r="289" spans="1:38" s="489" customFormat="1" ht="12.75" outlineLevel="2">
      <c r="A289" s="1126"/>
      <c r="B289" s="1126">
        <v>6</v>
      </c>
      <c r="D289" s="714" t="s">
        <v>27</v>
      </c>
      <c r="E289" s="715" t="s">
        <v>348</v>
      </c>
      <c r="F289" s="1620">
        <f>VLOOKUP(F$10,Distribution!$B$8:$K$27,$B289,0)</f>
        <v>5.777777777777778E-6</v>
      </c>
      <c r="G289" s="1620">
        <f>VLOOKUP(G$10,Distribution!$B$8:$K$27,$B289,0)</f>
        <v>6.3085946220192821E-6</v>
      </c>
      <c r="H289" s="1620">
        <f>VLOOKUP(H$10,Distribution!$B$8:$K$27,$B289,0)</f>
        <v>5.9962771138952393E-6</v>
      </c>
      <c r="I289" s="1620">
        <f>VLOOKUP(I$10,Distribution!$B$8:$K$27,$B289,0)</f>
        <v>5.2021320213202146E-6</v>
      </c>
      <c r="J289" s="1620">
        <f>VLOOKUP(J$10,Distribution!$B$8:$K$27,$B289,0)</f>
        <v>0</v>
      </c>
      <c r="K289" s="1620">
        <f>VLOOKUP(K$10,Distribution!$B$8:$K$27,$B289,0)</f>
        <v>1.0000000000000003E-5</v>
      </c>
      <c r="L289" s="1620">
        <f>VLOOKUP(L$10,Distribution!$B$8:$K$27,$B289,0)</f>
        <v>9.0439465933040339E-6</v>
      </c>
      <c r="M289" s="1620">
        <f>VLOOKUP(M$10,Distribution!$B$8:$K$27,$B289,0)</f>
        <v>9.0439465933040339E-6</v>
      </c>
      <c r="N289" s="1620">
        <f>VLOOKUP(N$10,Distribution!$B$8:$K$27,$B289,0)</f>
        <v>1.3132328308207706E-5</v>
      </c>
      <c r="O289" s="1620">
        <f>VLOOKUP(O$10,Distribution!$B$8:$K$27,$B289,0)</f>
        <v>1.3132328308207706E-5</v>
      </c>
      <c r="P289" s="1620">
        <f>VLOOKUP(P$10,Distribution!$B$8:$K$27,$B289,0)</f>
        <v>5.777777777777778E-6</v>
      </c>
      <c r="Q289" s="1620">
        <f>VLOOKUP(Q$10,Distribution!$B$8:$K$27,$B289,0)</f>
        <v>1.0891177913250651E-5</v>
      </c>
      <c r="R289" s="1620">
        <f>VLOOKUP(R$10,Distribution!$B$8:$K$27,$B289,0)</f>
        <v>0</v>
      </c>
      <c r="S289" s="1620">
        <f>VLOOKUP(S$10,Distribution!$B$8:$K$27,$B289,0)</f>
        <v>0</v>
      </c>
      <c r="T289" s="1620">
        <f>VLOOKUP(T$10,Distribution!$B$8:$K$27,$B289,0)</f>
        <v>0</v>
      </c>
      <c r="U289" s="1620">
        <f>VLOOKUP(U$10,Distribution!$B$8:$K$27,$B289,0)</f>
        <v>0</v>
      </c>
      <c r="V289" s="1620">
        <f>VLOOKUP(V$10,Distribution!$B$8:$K$27,$B289,0)</f>
        <v>0</v>
      </c>
      <c r="W289" s="1620">
        <f>VLOOKUP(W$10,Distribution!$B$8:$K$27,$B289,0)</f>
        <v>5.9962771138952393E-6</v>
      </c>
      <c r="X289" s="1620">
        <f>VLOOKUP(X$10,Distribution!$B$8:$K$27,$B289,0)</f>
        <v>6.8658008658008676E-6</v>
      </c>
      <c r="Y289" s="1620">
        <f>VLOOKUP(Y$10,Distribution!$B$8:$K$27,$B289,0)</f>
        <v>9.0439465933040339E-6</v>
      </c>
      <c r="Z289" s="1620" t="e">
        <f>VLOOKUP(Z$10,Distribution!$B$8:$K$27,$B289,0)</f>
        <v>#N/A</v>
      </c>
      <c r="AA289" s="1620" t="e">
        <f>VLOOKUP(AA$10,Distribution!$B$8:$K$27,$B289,0)</f>
        <v>#N/A</v>
      </c>
      <c r="AB289" s="1620" t="e">
        <f>VLOOKUP(AB$10,Distribution!$B$8:$K$27,$B289,0)</f>
        <v>#N/A</v>
      </c>
      <c r="AC289" s="1620">
        <f>VLOOKUP(AC$10,Distribution!$B$8:$K$27,$B289,0)</f>
        <v>0</v>
      </c>
      <c r="AD289" s="1620">
        <f>VLOOKUP(AD$10,Distribution!$B$8:$K$27,$B289,0)</f>
        <v>0</v>
      </c>
      <c r="AE289" s="1620">
        <f>VLOOKUP(AE$10,Distribution!$B$8:$K$27,$B289,0)</f>
        <v>0</v>
      </c>
      <c r="AF289" s="1620" t="e">
        <f>VLOOKUP(AF$10,Distribution!$B$8:$K$27,$B289,0)</f>
        <v>#N/A</v>
      </c>
      <c r="AG289" s="1620" t="e">
        <f>VLOOKUP(AG$10,Distribution!$B$8:$K$27,$B289,0)</f>
        <v>#N/A</v>
      </c>
      <c r="AH289" s="1620" t="e">
        <f>VLOOKUP(AH$10,Distribution!$B$8:$K$27,$B289,0)</f>
        <v>#N/A</v>
      </c>
      <c r="AI289" s="1620" t="e">
        <f>VLOOKUP(AI$10,Distribution!$B$8:$K$27,$B289,0)</f>
        <v>#N/A</v>
      </c>
      <c r="AJ289" s="1620" t="e">
        <f>VLOOKUP(AJ$10,Distribution!$B$8:$K$27,$B289,0)</f>
        <v>#N/A</v>
      </c>
      <c r="AK289" s="1620" t="e">
        <f>VLOOKUP(AK$10,Distribution!$B$8:$K$27,$B289,0)</f>
        <v>#N/A</v>
      </c>
      <c r="AL289" s="1620">
        <f>VLOOKUP(AL$10,Distribution!$B$8:$K$27,$B289,0)</f>
        <v>0</v>
      </c>
    </row>
    <row r="290" spans="1:38" s="489" customFormat="1" ht="12.75" outlineLevel="2">
      <c r="A290" s="1126"/>
      <c r="B290" s="1126">
        <v>7</v>
      </c>
      <c r="D290" s="714" t="s">
        <v>28</v>
      </c>
      <c r="E290" s="715" t="s">
        <v>348</v>
      </c>
      <c r="F290" s="1620">
        <f>VLOOKUP(F$10,Distribution!$B$8:$K$27,$B290,0)</f>
        <v>3.4444444444444444E-6</v>
      </c>
      <c r="G290" s="1620">
        <f>VLOOKUP(G$10,Distribution!$B$8:$K$27,$B290,0)</f>
        <v>3.7608929477422641E-6</v>
      </c>
      <c r="H290" s="1620">
        <f>VLOOKUP(H$10,Distribution!$B$8:$K$27,$B290,0)</f>
        <v>3.5747036640529311E-6</v>
      </c>
      <c r="I290" s="1620">
        <f>VLOOKUP(I$10,Distribution!$B$8:$K$27,$B290,0)</f>
        <v>3.101271012710128E-6</v>
      </c>
      <c r="J290" s="1620">
        <f>VLOOKUP(J$10,Distribution!$B$8:$K$27,$B290,0)</f>
        <v>0</v>
      </c>
      <c r="K290" s="1620">
        <f>VLOOKUP(K$10,Distribution!$B$8:$K$27,$B290,0)</f>
        <v>1.0000000000000003E-5</v>
      </c>
      <c r="L290" s="1620">
        <f>VLOOKUP(L$10,Distribution!$B$8:$K$27,$B290,0)</f>
        <v>5.3915835460081734E-6</v>
      </c>
      <c r="M290" s="1620">
        <f>VLOOKUP(M$10,Distribution!$B$8:$K$27,$B290,0)</f>
        <v>5.3915835460081734E-6</v>
      </c>
      <c r="N290" s="1620">
        <f>VLOOKUP(N$10,Distribution!$B$8:$K$27,$B290,0)</f>
        <v>7.8288880298930559E-6</v>
      </c>
      <c r="O290" s="1620">
        <f>VLOOKUP(O$10,Distribution!$B$8:$K$27,$B290,0)</f>
        <v>7.8288880298930559E-6</v>
      </c>
      <c r="P290" s="1620">
        <f>VLOOKUP(P$10,Distribution!$B$8:$K$27,$B290,0)</f>
        <v>3.4444444444444444E-6</v>
      </c>
      <c r="Q290" s="1620">
        <f>VLOOKUP(Q$10,Distribution!$B$8:$K$27,$B290,0)</f>
        <v>6.4928176021301949E-6</v>
      </c>
      <c r="R290" s="1620">
        <f>VLOOKUP(R$10,Distribution!$B$8:$K$27,$B290,0)</f>
        <v>0</v>
      </c>
      <c r="S290" s="1620">
        <f>VLOOKUP(S$10,Distribution!$B$8:$K$27,$B290,0)</f>
        <v>0</v>
      </c>
      <c r="T290" s="1620">
        <f>VLOOKUP(T$10,Distribution!$B$8:$K$27,$B290,0)</f>
        <v>0</v>
      </c>
      <c r="U290" s="1620">
        <f>VLOOKUP(U$10,Distribution!$B$8:$K$27,$B290,0)</f>
        <v>0</v>
      </c>
      <c r="V290" s="1620">
        <f>VLOOKUP(V$10,Distribution!$B$8:$K$27,$B290,0)</f>
        <v>0</v>
      </c>
      <c r="W290" s="1620">
        <f>VLOOKUP(W$10,Distribution!$B$8:$K$27,$B290,0)</f>
        <v>3.5747036640529311E-6</v>
      </c>
      <c r="X290" s="1620">
        <f>VLOOKUP(X$10,Distribution!$B$8:$K$27,$B290,0)</f>
        <v>4.0930735930735945E-6</v>
      </c>
      <c r="Y290" s="1620">
        <f>VLOOKUP(Y$10,Distribution!$B$8:$K$27,$B290,0)</f>
        <v>5.3915835460081734E-6</v>
      </c>
      <c r="Z290" s="1620" t="e">
        <f>VLOOKUP(Z$10,Distribution!$B$8:$K$27,$B290,0)</f>
        <v>#N/A</v>
      </c>
      <c r="AA290" s="1620" t="e">
        <f>VLOOKUP(AA$10,Distribution!$B$8:$K$27,$B290,0)</f>
        <v>#N/A</v>
      </c>
      <c r="AB290" s="1620" t="e">
        <f>VLOOKUP(AB$10,Distribution!$B$8:$K$27,$B290,0)</f>
        <v>#N/A</v>
      </c>
      <c r="AC290" s="1620">
        <f>VLOOKUP(AC$10,Distribution!$B$8:$K$27,$B290,0)</f>
        <v>0</v>
      </c>
      <c r="AD290" s="1620">
        <f>VLOOKUP(AD$10,Distribution!$B$8:$K$27,$B290,0)</f>
        <v>0</v>
      </c>
      <c r="AE290" s="1620">
        <f>VLOOKUP(AE$10,Distribution!$B$8:$K$27,$B290,0)</f>
        <v>0</v>
      </c>
      <c r="AF290" s="1620" t="e">
        <f>VLOOKUP(AF$10,Distribution!$B$8:$K$27,$B290,0)</f>
        <v>#N/A</v>
      </c>
      <c r="AG290" s="1620" t="e">
        <f>VLOOKUP(AG$10,Distribution!$B$8:$K$27,$B290,0)</f>
        <v>#N/A</v>
      </c>
      <c r="AH290" s="1620" t="e">
        <f>VLOOKUP(AH$10,Distribution!$B$8:$K$27,$B290,0)</f>
        <v>#N/A</v>
      </c>
      <c r="AI290" s="1620" t="e">
        <f>VLOOKUP(AI$10,Distribution!$B$8:$K$27,$B290,0)</f>
        <v>#N/A</v>
      </c>
      <c r="AJ290" s="1620" t="e">
        <f>VLOOKUP(AJ$10,Distribution!$B$8:$K$27,$B290,0)</f>
        <v>#N/A</v>
      </c>
      <c r="AK290" s="1620" t="e">
        <f>VLOOKUP(AK$10,Distribution!$B$8:$K$27,$B290,0)</f>
        <v>#N/A</v>
      </c>
      <c r="AL290" s="1620">
        <f>VLOOKUP(AL$10,Distribution!$B$8:$K$27,$B290,0)</f>
        <v>0</v>
      </c>
    </row>
    <row r="291" spans="1:38" s="489" customFormat="1" ht="12.75" outlineLevel="2">
      <c r="A291" s="1126"/>
      <c r="B291" s="1126">
        <v>8</v>
      </c>
      <c r="D291" s="714" t="s">
        <v>26</v>
      </c>
      <c r="E291" s="715" t="s">
        <v>348</v>
      </c>
      <c r="F291" s="1620">
        <f>VLOOKUP(F$10,Distribution!$B$8:$K$27,$B291,0)</f>
        <v>5.5555555555555552E-7</v>
      </c>
      <c r="G291" s="1620">
        <f>VLOOKUP(G$10,Distribution!$B$8:$K$27,$B291,0)</f>
        <v>6.0659563673262324E-7</v>
      </c>
      <c r="H291" s="1620">
        <f>VLOOKUP(H$10,Distribution!$B$8:$K$27,$B291,0)</f>
        <v>5.7656510710531136E-7</v>
      </c>
      <c r="I291" s="1620">
        <f>VLOOKUP(I$10,Distribution!$B$8:$K$27,$B291,0)</f>
        <v>5.0020500205002061E-7</v>
      </c>
      <c r="J291" s="1620">
        <f>VLOOKUP(J$10,Distribution!$B$8:$K$27,$B291,0)</f>
        <v>0</v>
      </c>
      <c r="K291" s="1620">
        <f>VLOOKUP(K$10,Distribution!$B$8:$K$27,$B291,0)</f>
        <v>2.9999999999999997E-5</v>
      </c>
      <c r="L291" s="1620">
        <f>VLOOKUP(L$10,Distribution!$B$8:$K$27,$B291,0)</f>
        <v>8.6961024935615694E-7</v>
      </c>
      <c r="M291" s="1620">
        <f>VLOOKUP(M$10,Distribution!$B$8:$K$27,$B291,0)</f>
        <v>8.6961024935615694E-7</v>
      </c>
      <c r="N291" s="1620">
        <f>VLOOKUP(N$10,Distribution!$B$8:$K$27,$B291,0)</f>
        <v>1.2627238757892025E-6</v>
      </c>
      <c r="O291" s="1620">
        <f>VLOOKUP(O$10,Distribution!$B$8:$K$27,$B291,0)</f>
        <v>1.2627238757892025E-6</v>
      </c>
      <c r="P291" s="1620">
        <f>VLOOKUP(P$10,Distribution!$B$8:$K$27,$B291,0)</f>
        <v>5.5555555555555552E-7</v>
      </c>
      <c r="Q291" s="1620">
        <f>VLOOKUP(Q$10,Distribution!$B$8:$K$27,$B291,0)</f>
        <v>1.0472286455048701E-6</v>
      </c>
      <c r="R291" s="1620">
        <f>VLOOKUP(R$10,Distribution!$B$8:$K$27,$B291,0)</f>
        <v>0</v>
      </c>
      <c r="S291" s="1620">
        <f>VLOOKUP(S$10,Distribution!$B$8:$K$27,$B291,0)</f>
        <v>0</v>
      </c>
      <c r="T291" s="1620">
        <f>VLOOKUP(T$10,Distribution!$B$8:$K$27,$B291,0)</f>
        <v>0</v>
      </c>
      <c r="U291" s="1620">
        <f>VLOOKUP(U$10,Distribution!$B$8:$K$27,$B291,0)</f>
        <v>0</v>
      </c>
      <c r="V291" s="1620">
        <f>VLOOKUP(V$10,Distribution!$B$8:$K$27,$B291,0)</f>
        <v>0</v>
      </c>
      <c r="W291" s="1620">
        <f>VLOOKUP(W$10,Distribution!$B$8:$K$27,$B291,0)</f>
        <v>5.7656510710531136E-7</v>
      </c>
      <c r="X291" s="1620">
        <f>VLOOKUP(X$10,Distribution!$B$8:$K$27,$B291,0)</f>
        <v>6.6017316017316031E-7</v>
      </c>
      <c r="Y291" s="1620">
        <f>VLOOKUP(Y$10,Distribution!$B$8:$K$27,$B291,0)</f>
        <v>8.6961024935615694E-7</v>
      </c>
      <c r="Z291" s="1620" t="e">
        <f>VLOOKUP(Z$10,Distribution!$B$8:$K$27,$B291,0)</f>
        <v>#N/A</v>
      </c>
      <c r="AA291" s="1620" t="e">
        <f>VLOOKUP(AA$10,Distribution!$B$8:$K$27,$B291,0)</f>
        <v>#N/A</v>
      </c>
      <c r="AB291" s="1620" t="e">
        <f>VLOOKUP(AB$10,Distribution!$B$8:$K$27,$B291,0)</f>
        <v>#N/A</v>
      </c>
      <c r="AC291" s="1620">
        <f>VLOOKUP(AC$10,Distribution!$B$8:$K$27,$B291,0)</f>
        <v>0</v>
      </c>
      <c r="AD291" s="1620">
        <f>VLOOKUP(AD$10,Distribution!$B$8:$K$27,$B291,0)</f>
        <v>0</v>
      </c>
      <c r="AE291" s="1620">
        <f>VLOOKUP(AE$10,Distribution!$B$8:$K$27,$B291,0)</f>
        <v>0</v>
      </c>
      <c r="AF291" s="1620" t="e">
        <f>VLOOKUP(AF$10,Distribution!$B$8:$K$27,$B291,0)</f>
        <v>#N/A</v>
      </c>
      <c r="AG291" s="1620" t="e">
        <f>VLOOKUP(AG$10,Distribution!$B$8:$K$27,$B291,0)</f>
        <v>#N/A</v>
      </c>
      <c r="AH291" s="1620" t="e">
        <f>VLOOKUP(AH$10,Distribution!$B$8:$K$27,$B291,0)</f>
        <v>#N/A</v>
      </c>
      <c r="AI291" s="1620" t="e">
        <f>VLOOKUP(AI$10,Distribution!$B$8:$K$27,$B291,0)</f>
        <v>#N/A</v>
      </c>
      <c r="AJ291" s="1620" t="e">
        <f>VLOOKUP(AJ$10,Distribution!$B$8:$K$27,$B291,0)</f>
        <v>#N/A</v>
      </c>
      <c r="AK291" s="1620" t="e">
        <f>VLOOKUP(AK$10,Distribution!$B$8:$K$27,$B291,0)</f>
        <v>#N/A</v>
      </c>
      <c r="AL291" s="1620">
        <f>VLOOKUP(AL$10,Distribution!$B$8:$K$27,$B291,0)</f>
        <v>0</v>
      </c>
    </row>
    <row r="292" spans="1:38" s="489" customFormat="1" ht="12.75" outlineLevel="2">
      <c r="A292" s="1126"/>
      <c r="B292" s="1126">
        <v>9</v>
      </c>
      <c r="D292" s="714" t="s">
        <v>25</v>
      </c>
      <c r="E292" s="715" t="s">
        <v>348</v>
      </c>
      <c r="F292" s="1620">
        <f>VLOOKUP(F$10,Distribution!$B$8:$K$27,$B292,0)</f>
        <v>7.4233333333333345E-4</v>
      </c>
      <c r="G292" s="1620">
        <f>VLOOKUP(G$10,Distribution!$B$8:$K$27,$B292,0)</f>
        <v>8.1053308980213123E-4</v>
      </c>
      <c r="H292" s="1620">
        <f>VLOOKUP(H$10,Distribution!$B$8:$K$27,$B292,0)</f>
        <v>7.7040629611411712E-4</v>
      </c>
      <c r="I292" s="1620">
        <f>VLOOKUP(I$10,Distribution!$B$8:$K$27,$B292,0)</f>
        <v>6.6837392373923755E-4</v>
      </c>
      <c r="J292" s="1620">
        <f>VLOOKUP(J$10,Distribution!$B$8:$K$27,$B292,0)</f>
        <v>0</v>
      </c>
      <c r="K292" s="1620">
        <f>VLOOKUP(K$10,Distribution!$B$8:$K$27,$B292,0)</f>
        <v>5.4999999999999997E-3</v>
      </c>
      <c r="L292" s="1620">
        <f>VLOOKUP(L$10,Distribution!$B$8:$K$27,$B292,0)</f>
        <v>1.161973215189697E-3</v>
      </c>
      <c r="M292" s="1620">
        <f>VLOOKUP(M$10,Distribution!$B$8:$K$27,$B292,0)</f>
        <v>1.161973215189697E-3</v>
      </c>
      <c r="N292" s="1620">
        <f>VLOOKUP(N$10,Distribution!$B$8:$K$27,$B292,0)</f>
        <v>1.6872516428295325E-3</v>
      </c>
      <c r="O292" s="1620">
        <f>VLOOKUP(O$10,Distribution!$B$8:$K$27,$B292,0)</f>
        <v>1.6872516428295325E-3</v>
      </c>
      <c r="P292" s="1620">
        <f>VLOOKUP(P$10,Distribution!$B$8:$K$27,$B292,0)</f>
        <v>7.4233333333333345E-4</v>
      </c>
      <c r="Q292" s="1620">
        <f>VLOOKUP(Q$10,Distribution!$B$8:$K$27,$B292,0)</f>
        <v>1.3993069161236076E-3</v>
      </c>
      <c r="R292" s="1620">
        <f>VLOOKUP(R$10,Distribution!$B$8:$K$27,$B292,0)</f>
        <v>0</v>
      </c>
      <c r="S292" s="1620">
        <f>VLOOKUP(S$10,Distribution!$B$8:$K$27,$B292,0)</f>
        <v>0</v>
      </c>
      <c r="T292" s="1620">
        <f>VLOOKUP(T$10,Distribution!$B$8:$K$27,$B292,0)</f>
        <v>0</v>
      </c>
      <c r="U292" s="1620">
        <f>VLOOKUP(U$10,Distribution!$B$8:$K$27,$B292,0)</f>
        <v>0</v>
      </c>
      <c r="V292" s="1620">
        <f>VLOOKUP(V$10,Distribution!$B$8:$K$27,$B292,0)</f>
        <v>0</v>
      </c>
      <c r="W292" s="1620">
        <f>VLOOKUP(W$10,Distribution!$B$8:$K$27,$B292,0)</f>
        <v>7.7040629611411712E-4</v>
      </c>
      <c r="X292" s="1620">
        <f>VLOOKUP(X$10,Distribution!$B$8:$K$27,$B292,0)</f>
        <v>8.8212337662337697E-4</v>
      </c>
      <c r="Y292" s="1620">
        <f>VLOOKUP(Y$10,Distribution!$B$8:$K$27,$B292,0)</f>
        <v>1.161973215189697E-3</v>
      </c>
      <c r="Z292" s="1620" t="e">
        <f>VLOOKUP(Z$10,Distribution!$B$8:$K$27,$B292,0)</f>
        <v>#N/A</v>
      </c>
      <c r="AA292" s="1620" t="e">
        <f>VLOOKUP(AA$10,Distribution!$B$8:$K$27,$B292,0)</f>
        <v>#N/A</v>
      </c>
      <c r="AB292" s="1620" t="e">
        <f>VLOOKUP(AB$10,Distribution!$B$8:$K$27,$B292,0)</f>
        <v>#N/A</v>
      </c>
      <c r="AC292" s="1620">
        <f>VLOOKUP(AC$10,Distribution!$B$8:$K$27,$B292,0)</f>
        <v>0</v>
      </c>
      <c r="AD292" s="1620">
        <f>VLOOKUP(AD$10,Distribution!$B$8:$K$27,$B292,0)</f>
        <v>0</v>
      </c>
      <c r="AE292" s="1620">
        <f>VLOOKUP(AE$10,Distribution!$B$8:$K$27,$B292,0)</f>
        <v>0</v>
      </c>
      <c r="AF292" s="1620" t="e">
        <f>VLOOKUP(AF$10,Distribution!$B$8:$K$27,$B292,0)</f>
        <v>#N/A</v>
      </c>
      <c r="AG292" s="1620" t="e">
        <f>VLOOKUP(AG$10,Distribution!$B$8:$K$27,$B292,0)</f>
        <v>#N/A</v>
      </c>
      <c r="AH292" s="1620" t="e">
        <f>VLOOKUP(AH$10,Distribution!$B$8:$K$27,$B292,0)</f>
        <v>#N/A</v>
      </c>
      <c r="AI292" s="1620" t="e">
        <f>VLOOKUP(AI$10,Distribution!$B$8:$K$27,$B292,0)</f>
        <v>#N/A</v>
      </c>
      <c r="AJ292" s="1620" t="e">
        <f>VLOOKUP(AJ$10,Distribution!$B$8:$K$27,$B292,0)</f>
        <v>#N/A</v>
      </c>
      <c r="AK292" s="1620" t="e">
        <f>VLOOKUP(AK$10,Distribution!$B$8:$K$27,$B292,0)</f>
        <v>#N/A</v>
      </c>
      <c r="AL292" s="1620">
        <f>VLOOKUP(AL$10,Distribution!$B$8:$K$27,$B292,0)</f>
        <v>0</v>
      </c>
    </row>
    <row r="293" spans="1:38" s="489" customFormat="1" ht="12.75" outlineLevel="2">
      <c r="A293" s="1126"/>
      <c r="B293" s="1126">
        <v>10</v>
      </c>
      <c r="D293" s="492" t="s">
        <v>45</v>
      </c>
      <c r="E293" s="493" t="s">
        <v>348</v>
      </c>
      <c r="F293" s="1621">
        <f>VLOOKUP(F$10,Distribution!$B$8:$K$27,$B293,0)</f>
        <v>1.3805459989356637E-5</v>
      </c>
      <c r="G293" s="1621">
        <f>VLOOKUP(G$10,Distribution!$B$8:$K$27,$B293,0)</f>
        <v>1.507379722673498E-5</v>
      </c>
      <c r="H293" s="1621">
        <f>VLOOKUP(H$10,Distribution!$B$8:$K$27,$B293,0)</f>
        <v>1.4327543731322703E-5</v>
      </c>
      <c r="I293" s="1621">
        <f>VLOOKUP(I$10,Distribution!$B$8:$K$27,$B293,0)</f>
        <v>1.2430008256099707E-5</v>
      </c>
      <c r="J293" s="1621">
        <f>VLOOKUP(J$10,Distribution!$B$8:$K$27,$B293,0)</f>
        <v>0</v>
      </c>
      <c r="K293" s="1621">
        <f>VLOOKUP(K$10,Distribution!$B$8:$K$27,$B293,0)</f>
        <v>1.0000000000000003E-5</v>
      </c>
      <c r="L293" s="1621">
        <f>VLOOKUP(L$10,Distribution!$B$8:$K$27,$B293,0)</f>
        <v>2.1609665106877572E-5</v>
      </c>
      <c r="M293" s="1621">
        <f>VLOOKUP(M$10,Distribution!$B$8:$K$27,$B293,0)</f>
        <v>2.1609665106877572E-5</v>
      </c>
      <c r="N293" s="1621">
        <f>VLOOKUP(N$10,Distribution!$B$8:$K$27,$B293,0)</f>
        <v>3.1378471100663718E-5</v>
      </c>
      <c r="O293" s="1621">
        <f>VLOOKUP(O$10,Distribution!$B$8:$K$27,$B293,0)</f>
        <v>3.1378471100663718E-5</v>
      </c>
      <c r="P293" s="1621">
        <f>VLOOKUP(P$10,Distribution!$B$8:$K$27,$B293,0)</f>
        <v>1.3805459989356637E-5</v>
      </c>
      <c r="Q293" s="1621">
        <f>VLOOKUP(Q$10,Distribution!$B$8:$K$27,$B293,0)</f>
        <v>2.6023451697406137E-5</v>
      </c>
      <c r="R293" s="1621">
        <f>VLOOKUP(R$10,Distribution!$B$8:$K$27,$B293,0)</f>
        <v>0</v>
      </c>
      <c r="S293" s="1621">
        <f>VLOOKUP(S$10,Distribution!$B$8:$K$27,$B293,0)</f>
        <v>0</v>
      </c>
      <c r="T293" s="1621">
        <f>VLOOKUP(T$10,Distribution!$B$8:$K$27,$B293,0)</f>
        <v>0</v>
      </c>
      <c r="U293" s="1621">
        <f>VLOOKUP(U$10,Distribution!$B$8:$K$27,$B293,0)</f>
        <v>0</v>
      </c>
      <c r="V293" s="1621">
        <f>VLOOKUP(V$10,Distribution!$B$8:$K$27,$B293,0)</f>
        <v>0</v>
      </c>
      <c r="W293" s="1621">
        <f>VLOOKUP(W$10,Distribution!$B$8:$K$27,$B293,0)</f>
        <v>1.4327543731322703E-5</v>
      </c>
      <c r="X293" s="1621">
        <f>VLOOKUP(X$10,Distribution!$B$8:$K$27,$B293,0)</f>
        <v>1.6405189467871852E-5</v>
      </c>
      <c r="Y293" s="1621">
        <f>VLOOKUP(Y$10,Distribution!$B$8:$K$27,$B293,0)</f>
        <v>2.1609665106877572E-5</v>
      </c>
      <c r="Z293" s="1621" t="e">
        <f>VLOOKUP(Z$10,Distribution!$B$8:$K$27,$B293,0)</f>
        <v>#N/A</v>
      </c>
      <c r="AA293" s="1621" t="e">
        <f>VLOOKUP(AA$10,Distribution!$B$8:$K$27,$B293,0)</f>
        <v>#N/A</v>
      </c>
      <c r="AB293" s="1621" t="e">
        <f>VLOOKUP(AB$10,Distribution!$B$8:$K$27,$B293,0)</f>
        <v>#N/A</v>
      </c>
      <c r="AC293" s="1621">
        <f>VLOOKUP(AC$10,Distribution!$B$8:$K$27,$B293,0)</f>
        <v>0</v>
      </c>
      <c r="AD293" s="1621">
        <f>VLOOKUP(AD$10,Distribution!$B$8:$K$27,$B293,0)</f>
        <v>0</v>
      </c>
      <c r="AE293" s="1621">
        <f>VLOOKUP(AE$10,Distribution!$B$8:$K$27,$B293,0)</f>
        <v>0</v>
      </c>
      <c r="AF293" s="1621" t="e">
        <f>VLOOKUP(AF$10,Distribution!$B$8:$K$27,$B293,0)</f>
        <v>#N/A</v>
      </c>
      <c r="AG293" s="1621" t="e">
        <f>VLOOKUP(AG$10,Distribution!$B$8:$K$27,$B293,0)</f>
        <v>#N/A</v>
      </c>
      <c r="AH293" s="1621" t="e">
        <f>VLOOKUP(AH$10,Distribution!$B$8:$K$27,$B293,0)</f>
        <v>#N/A</v>
      </c>
      <c r="AI293" s="1621" t="e">
        <f>VLOOKUP(AI$10,Distribution!$B$8:$K$27,$B293,0)</f>
        <v>#N/A</v>
      </c>
      <c r="AJ293" s="1621" t="e">
        <f>VLOOKUP(AJ$10,Distribution!$B$8:$K$27,$B293,0)</f>
        <v>#N/A</v>
      </c>
      <c r="AK293" s="1621" t="e">
        <f>VLOOKUP(AK$10,Distribution!$B$8:$K$27,$B293,0)</f>
        <v>#N/A</v>
      </c>
      <c r="AL293" s="1621">
        <f>VLOOKUP(AL$10,Distribution!$B$8:$K$27,$B293,0)</f>
        <v>0</v>
      </c>
    </row>
    <row r="294" spans="1:38" s="489" customFormat="1" ht="12.75" outlineLevel="2">
      <c r="A294" s="1126"/>
      <c r="B294" s="1126"/>
      <c r="D294" s="489" t="s">
        <v>780</v>
      </c>
      <c r="E294" s="488"/>
    </row>
    <row r="295" spans="1:38" s="489" customFormat="1" ht="12.75" outlineLevel="2">
      <c r="A295" s="1126"/>
      <c r="B295" s="1126"/>
      <c r="E295" s="488"/>
      <c r="F295" s="813"/>
      <c r="G295" s="813"/>
      <c r="H295" s="813"/>
      <c r="I295" s="813"/>
      <c r="J295" s="813"/>
      <c r="K295" s="813"/>
      <c r="L295" s="813"/>
      <c r="M295" s="813"/>
      <c r="N295" s="813"/>
      <c r="O295" s="813"/>
      <c r="P295" s="813"/>
      <c r="Q295" s="813"/>
      <c r="R295" s="813"/>
      <c r="S295" s="813"/>
      <c r="T295" s="813"/>
      <c r="U295" s="813"/>
      <c r="V295" s="813"/>
      <c r="W295" s="813"/>
      <c r="X295" s="813"/>
      <c r="Y295" s="813"/>
      <c r="Z295" s="813"/>
      <c r="AA295" s="813"/>
      <c r="AB295" s="813"/>
      <c r="AC295" s="813"/>
      <c r="AD295" s="813"/>
      <c r="AE295" s="813"/>
      <c r="AF295" s="813"/>
      <c r="AG295" s="813"/>
      <c r="AH295" s="813"/>
      <c r="AI295" s="813"/>
      <c r="AJ295" s="813"/>
      <c r="AK295" s="813"/>
      <c r="AL295" s="813"/>
    </row>
    <row r="296" spans="1:38" s="489" customFormat="1" ht="12.75" outlineLevel="2">
      <c r="A296" s="1126"/>
      <c r="B296" s="1126"/>
      <c r="D296" s="783" t="s">
        <v>779</v>
      </c>
      <c r="E296" s="488" t="s">
        <v>750</v>
      </c>
      <c r="F296" s="777"/>
      <c r="G296" s="777"/>
      <c r="H296" s="777"/>
      <c r="I296" s="777"/>
      <c r="J296" s="777"/>
      <c r="K296" s="777"/>
      <c r="L296" s="777"/>
      <c r="M296" s="777"/>
      <c r="N296" s="777"/>
      <c r="O296" s="777"/>
      <c r="P296" s="777"/>
      <c r="Q296" s="777"/>
      <c r="R296" s="777"/>
      <c r="S296" s="777">
        <v>417.19436821161872</v>
      </c>
      <c r="T296" s="777">
        <v>239.70005436553666</v>
      </c>
      <c r="U296" s="777">
        <v>239.70005436553666</v>
      </c>
      <c r="V296" s="777">
        <v>227.08426203050843</v>
      </c>
      <c r="W296" s="777"/>
      <c r="X296" s="777"/>
      <c r="Y296" s="777"/>
      <c r="Z296" s="777"/>
      <c r="AA296" s="777"/>
      <c r="AB296" s="777"/>
      <c r="AC296" s="777"/>
      <c r="AD296" s="777"/>
      <c r="AE296" s="777"/>
      <c r="AF296" s="777"/>
      <c r="AG296" s="777"/>
      <c r="AH296" s="777"/>
      <c r="AI296" s="777"/>
      <c r="AJ296" s="777"/>
      <c r="AK296" s="777"/>
      <c r="AL296" s="777"/>
    </row>
    <row r="297" spans="1:38" s="489" customFormat="1" ht="12.75" outlineLevel="2">
      <c r="A297" s="1126"/>
      <c r="B297" s="1126"/>
      <c r="D297" s="495" t="s">
        <v>24</v>
      </c>
      <c r="E297" s="491" t="s">
        <v>348</v>
      </c>
      <c r="F297" s="864">
        <f ca="1">F288+F276</f>
        <v>8.7673153261627608</v>
      </c>
      <c r="G297" s="864">
        <f t="shared" ref="G297:W297" ca="1" si="117">G288+G276</f>
        <v>8.8651366423790137</v>
      </c>
      <c r="H297" s="864">
        <f t="shared" ca="1" si="117"/>
        <v>9.3811853779605467</v>
      </c>
      <c r="I297" s="864">
        <f t="shared" ca="1" si="117"/>
        <v>6.9450613085336181</v>
      </c>
      <c r="J297" s="864">
        <f t="shared" ca="1" si="117"/>
        <v>6.2482205241485778</v>
      </c>
      <c r="K297" s="864">
        <f t="shared" ref="K297:K302" ca="1" si="118">K288+K276</f>
        <v>16.171860962566846</v>
      </c>
      <c r="L297" s="864">
        <f t="shared" ca="1" si="117"/>
        <v>370.98304919627003</v>
      </c>
      <c r="M297" s="864">
        <f t="shared" ca="1" si="117"/>
        <v>-3.5285287122359428</v>
      </c>
      <c r="N297" s="864">
        <f t="shared" ca="1" si="117"/>
        <v>-29.054236974070459</v>
      </c>
      <c r="O297" s="864">
        <f t="shared" ca="1" si="117"/>
        <v>0.75208320486806957</v>
      </c>
      <c r="P297" s="864">
        <f t="shared" ca="1" si="117"/>
        <v>-29.031160535782838</v>
      </c>
      <c r="Q297" s="864">
        <f t="shared" ca="1" si="117"/>
        <v>-29.035930469665718</v>
      </c>
      <c r="R297" s="864">
        <f t="shared" ca="1" si="117"/>
        <v>-54.741551886802831</v>
      </c>
      <c r="S297" s="864">
        <f t="shared" ca="1" si="117"/>
        <v>9.9213348422312038</v>
      </c>
      <c r="T297" s="864">
        <f t="shared" ca="1" si="117"/>
        <v>5.7003274307270049</v>
      </c>
      <c r="U297" s="864">
        <f t="shared" ca="1" si="117"/>
        <v>5.7003274307270049</v>
      </c>
      <c r="V297" s="864">
        <f t="shared" ref="V297:V302" ca="1" si="119">V288+V276</f>
        <v>5.400310197530847</v>
      </c>
      <c r="W297" s="864">
        <f t="shared" ca="1" si="117"/>
        <v>-89.65990884059029</v>
      </c>
      <c r="X297" s="864">
        <f t="shared" ref="X297:AA302" ca="1" si="120">X288+X276</f>
        <v>349.07737163809958</v>
      </c>
      <c r="Y297" s="864">
        <f t="shared" ca="1" si="120"/>
        <v>470.33191912956312</v>
      </c>
      <c r="Z297" s="864" t="e">
        <f t="shared" ca="1" si="120"/>
        <v>#N/A</v>
      </c>
      <c r="AA297" s="864" t="e">
        <f t="shared" ca="1" si="120"/>
        <v>#N/A</v>
      </c>
      <c r="AB297" s="864" t="e">
        <f t="shared" ref="AB297:AD302" ca="1" si="121">AB288+AB276</f>
        <v>#N/A</v>
      </c>
      <c r="AC297" s="864">
        <f t="shared" ca="1" si="121"/>
        <v>15.32</v>
      </c>
      <c r="AD297" s="864">
        <f t="shared" ca="1" si="121"/>
        <v>-11.241974602766481</v>
      </c>
      <c r="AE297" s="864">
        <f t="shared" ref="AE297:AL302" ca="1" si="122">AE288+AE276</f>
        <v>1.6269396863923049</v>
      </c>
      <c r="AF297" s="864" t="e">
        <f t="shared" ca="1" si="122"/>
        <v>#N/A</v>
      </c>
      <c r="AG297" s="864" t="e">
        <f t="shared" ca="1" si="122"/>
        <v>#N/A</v>
      </c>
      <c r="AH297" s="864" t="e">
        <f t="shared" ca="1" si="122"/>
        <v>#N/A</v>
      </c>
      <c r="AI297" s="864" t="e">
        <f t="shared" ca="1" si="122"/>
        <v>#N/A</v>
      </c>
      <c r="AJ297" s="864" t="e">
        <f t="shared" ca="1" si="122"/>
        <v>#N/A</v>
      </c>
      <c r="AK297" s="864" t="e">
        <f t="shared" ca="1" si="122"/>
        <v>#N/A</v>
      </c>
      <c r="AL297" s="864">
        <f t="shared" ca="1" si="122"/>
        <v>-11.241974602766481</v>
      </c>
    </row>
    <row r="298" spans="1:38" s="489" customFormat="1" ht="12.75" outlineLevel="2">
      <c r="A298" s="1126"/>
      <c r="B298" s="1126"/>
      <c r="D298" s="714" t="s">
        <v>27</v>
      </c>
      <c r="E298" s="715" t="s">
        <v>348</v>
      </c>
      <c r="F298" s="788">
        <f t="shared" ref="F298:W298" ca="1" si="123">F289+F277</f>
        <v>1.1165967550949995E-5</v>
      </c>
      <c r="G298" s="788">
        <f t="shared" ca="1" si="123"/>
        <v>1.175278584394831E-5</v>
      </c>
      <c r="H298" s="788">
        <f t="shared" ca="1" si="123"/>
        <v>1.1763379834234609E-5</v>
      </c>
      <c r="I298" s="788">
        <f t="shared" ca="1" si="123"/>
        <v>9.4648864156709324E-6</v>
      </c>
      <c r="J298" s="788">
        <f t="shared" ca="1" si="123"/>
        <v>3.5000000000000004E-6</v>
      </c>
      <c r="K298" s="788">
        <f t="shared" ca="1" si="118"/>
        <v>1.8021390374331553E-5</v>
      </c>
      <c r="L298" s="788">
        <f t="shared" ca="1" si="123"/>
        <v>2.6511501710426923E-3</v>
      </c>
      <c r="M298" s="788">
        <f t="shared" ca="1" si="123"/>
        <v>-5.1951206464320955E-3</v>
      </c>
      <c r="N298" s="788">
        <f t="shared" ca="1" si="123"/>
        <v>-5.4109029820237084E-3</v>
      </c>
      <c r="O298" s="788">
        <f t="shared" ca="1" si="123"/>
        <v>1.3132328308207706E-5</v>
      </c>
      <c r="P298" s="788">
        <f t="shared" ca="1" si="123"/>
        <v>-4.3001039214861691E-3</v>
      </c>
      <c r="Q298" s="788">
        <f t="shared" ca="1" si="123"/>
        <v>-5.3785961368114548E-3</v>
      </c>
      <c r="R298" s="788">
        <f t="shared" ca="1" si="123"/>
        <v>0.10742476661342681</v>
      </c>
      <c r="S298" s="788">
        <f t="shared" ca="1" si="123"/>
        <v>1.933872310708818E-4</v>
      </c>
      <c r="T298" s="788">
        <f t="shared" ca="1" si="123"/>
        <v>1.1111111111111112E-4</v>
      </c>
      <c r="U298" s="788">
        <f t="shared" ca="1" si="123"/>
        <v>1.1111111111111112E-4</v>
      </c>
      <c r="V298" s="788">
        <f t="shared" ca="1" si="119"/>
        <v>1.0526315789473685E-4</v>
      </c>
      <c r="W298" s="788">
        <f t="shared" ca="1" si="123"/>
        <v>-7.2712659559828778E-3</v>
      </c>
      <c r="X298" s="788">
        <f t="shared" ca="1" si="120"/>
        <v>4.1283592492673244E-4</v>
      </c>
      <c r="Y298" s="788">
        <f t="shared" ca="1" si="120"/>
        <v>-6.5003192728353741E-4</v>
      </c>
      <c r="Z298" s="788" t="e">
        <f t="shared" ca="1" si="120"/>
        <v>#N/A</v>
      </c>
      <c r="AA298" s="788" t="e">
        <f t="shared" ca="1" si="120"/>
        <v>#N/A</v>
      </c>
      <c r="AB298" s="788" t="e">
        <f t="shared" ca="1" si="121"/>
        <v>#N/A</v>
      </c>
      <c r="AC298" s="788">
        <f t="shared" ca="1" si="121"/>
        <v>0</v>
      </c>
      <c r="AD298" s="788">
        <f t="shared" ca="1" si="121"/>
        <v>0</v>
      </c>
      <c r="AE298" s="788">
        <f t="shared" ca="1" si="122"/>
        <v>0</v>
      </c>
      <c r="AF298" s="788" t="e">
        <f t="shared" ca="1" si="122"/>
        <v>#N/A</v>
      </c>
      <c r="AG298" s="788" t="e">
        <f t="shared" ca="1" si="122"/>
        <v>#N/A</v>
      </c>
      <c r="AH298" s="788" t="e">
        <f t="shared" ca="1" si="122"/>
        <v>#N/A</v>
      </c>
      <c r="AI298" s="788" t="e">
        <f t="shared" ca="1" si="122"/>
        <v>#N/A</v>
      </c>
      <c r="AJ298" s="788" t="e">
        <f t="shared" ca="1" si="122"/>
        <v>#N/A</v>
      </c>
      <c r="AK298" s="788" t="e">
        <f t="shared" ca="1" si="122"/>
        <v>#N/A</v>
      </c>
      <c r="AL298" s="788">
        <f t="shared" ca="1" si="122"/>
        <v>0</v>
      </c>
    </row>
    <row r="299" spans="1:38" s="489" customFormat="1" ht="12.75" outlineLevel="2">
      <c r="A299" s="1126"/>
      <c r="B299" s="1126"/>
      <c r="D299" s="714" t="s">
        <v>28</v>
      </c>
      <c r="E299" s="715" t="s">
        <v>348</v>
      </c>
      <c r="F299" s="788">
        <f t="shared" ref="F299:W299" ca="1" si="124">F290+F278</f>
        <v>8.832634217616661E-6</v>
      </c>
      <c r="G299" s="788">
        <f t="shared" ca="1" si="124"/>
        <v>9.2050841696712929E-6</v>
      </c>
      <c r="H299" s="788">
        <f t="shared" ca="1" si="124"/>
        <v>9.3418063843923003E-6</v>
      </c>
      <c r="I299" s="788">
        <f t="shared" ca="1" si="124"/>
        <v>7.3640254070608454E-6</v>
      </c>
      <c r="J299" s="788">
        <f t="shared" ca="1" si="124"/>
        <v>3.5000000000000004E-6</v>
      </c>
      <c r="K299" s="788">
        <f t="shared" ca="1" si="118"/>
        <v>1.8021390374331553E-5</v>
      </c>
      <c r="L299" s="788">
        <f t="shared" ca="1" si="124"/>
        <v>1.4455238464403976E-4</v>
      </c>
      <c r="M299" s="788">
        <f t="shared" ca="1" si="124"/>
        <v>-2.6292260116978736E-4</v>
      </c>
      <c r="N299" s="788">
        <f t="shared" ca="1" si="124"/>
        <v>-2.7182130099599668E-4</v>
      </c>
      <c r="O299" s="788">
        <f t="shared" ca="1" si="124"/>
        <v>7.8288880298930559E-6</v>
      </c>
      <c r="P299" s="788">
        <f t="shared" ca="1" si="124"/>
        <v>-2.2709242076219397E-4</v>
      </c>
      <c r="Q299" s="788">
        <f t="shared" ca="1" si="124"/>
        <v>-2.713761600286901E-4</v>
      </c>
      <c r="R299" s="788">
        <f t="shared" ca="1" si="124"/>
        <v>4.8562525606980533E-5</v>
      </c>
      <c r="S299" s="788">
        <f t="shared" ca="1" si="124"/>
        <v>1.933872310708818E-4</v>
      </c>
      <c r="T299" s="788">
        <f t="shared" ca="1" si="124"/>
        <v>1.1111111111111112E-4</v>
      </c>
      <c r="U299" s="788">
        <f t="shared" ca="1" si="124"/>
        <v>1.1111111111111112E-4</v>
      </c>
      <c r="V299" s="788">
        <f t="shared" ca="1" si="119"/>
        <v>1.0526315789473685E-4</v>
      </c>
      <c r="W299" s="788">
        <f t="shared" ca="1" si="124"/>
        <v>-3.7541716898212854E-4</v>
      </c>
      <c r="X299" s="788">
        <f t="shared" ca="1" si="120"/>
        <v>2.6825955406750324E-5</v>
      </c>
      <c r="Y299" s="788">
        <f t="shared" ca="1" si="120"/>
        <v>-2.6976428083897395E-5</v>
      </c>
      <c r="Z299" s="788" t="e">
        <f t="shared" ca="1" si="120"/>
        <v>#N/A</v>
      </c>
      <c r="AA299" s="788" t="e">
        <f t="shared" ca="1" si="120"/>
        <v>#N/A</v>
      </c>
      <c r="AB299" s="788" t="e">
        <f t="shared" ca="1" si="121"/>
        <v>#N/A</v>
      </c>
      <c r="AC299" s="788">
        <f t="shared" ca="1" si="121"/>
        <v>0</v>
      </c>
      <c r="AD299" s="788">
        <f t="shared" ca="1" si="121"/>
        <v>0</v>
      </c>
      <c r="AE299" s="788">
        <f t="shared" ca="1" si="122"/>
        <v>0</v>
      </c>
      <c r="AF299" s="788" t="e">
        <f t="shared" ca="1" si="122"/>
        <v>#N/A</v>
      </c>
      <c r="AG299" s="788" t="e">
        <f t="shared" ca="1" si="122"/>
        <v>#N/A</v>
      </c>
      <c r="AH299" s="788" t="e">
        <f t="shared" ca="1" si="122"/>
        <v>#N/A</v>
      </c>
      <c r="AI299" s="788" t="e">
        <f t="shared" ca="1" si="122"/>
        <v>#N/A</v>
      </c>
      <c r="AJ299" s="788" t="e">
        <f t="shared" ca="1" si="122"/>
        <v>#N/A</v>
      </c>
      <c r="AK299" s="788" t="e">
        <f t="shared" ca="1" si="122"/>
        <v>#N/A</v>
      </c>
      <c r="AL299" s="788">
        <f t="shared" ca="1" si="122"/>
        <v>0</v>
      </c>
    </row>
    <row r="300" spans="1:38" s="489" customFormat="1" ht="12.75" outlineLevel="2">
      <c r="A300" s="1126"/>
      <c r="B300" s="1126"/>
      <c r="D300" s="714" t="s">
        <v>26</v>
      </c>
      <c r="E300" s="715" t="s">
        <v>348</v>
      </c>
      <c r="F300" s="788">
        <f t="shared" ref="F300:W300" ca="1" si="125">F291+F279</f>
        <v>5.2692757298118132E-5</v>
      </c>
      <c r="G300" s="788">
        <f t="shared" ca="1" si="125"/>
        <v>5.3285678596294488E-5</v>
      </c>
      <c r="H300" s="788">
        <f t="shared" ca="1" si="125"/>
        <v>5.6380204299158847E-5</v>
      </c>
      <c r="I300" s="788">
        <f t="shared" ca="1" si="125"/>
        <v>4.1747468961428574E-5</v>
      </c>
      <c r="J300" s="788">
        <f t="shared" ca="1" si="125"/>
        <v>2.4390015205271157E-5</v>
      </c>
      <c r="K300" s="788">
        <f t="shared" ca="1" si="118"/>
        <v>6.891980235857877E-5</v>
      </c>
      <c r="L300" s="788">
        <f t="shared" ca="1" si="125"/>
        <v>6.34952888130722E-3</v>
      </c>
      <c r="M300" s="788">
        <f t="shared" ca="1" si="125"/>
        <v>-1.2271191819467868E-2</v>
      </c>
      <c r="N300" s="788">
        <f t="shared" ca="1" si="125"/>
        <v>-1.2802672352560751E-2</v>
      </c>
      <c r="O300" s="788">
        <f t="shared" ca="1" si="125"/>
        <v>5.9349673327590004E-5</v>
      </c>
      <c r="P300" s="788">
        <f t="shared" ca="1" si="125"/>
        <v>-1.0148696975070658E-2</v>
      </c>
      <c r="Q300" s="788">
        <f t="shared" ca="1" si="125"/>
        <v>-1.2721102125391449E-2</v>
      </c>
      <c r="R300" s="788">
        <f t="shared" ca="1" si="125"/>
        <v>1.7784494189828871E-3</v>
      </c>
      <c r="S300" s="788">
        <f t="shared" ca="1" si="125"/>
        <v>6.392841896117929E-4</v>
      </c>
      <c r="T300" s="788">
        <f t="shared" ca="1" si="125"/>
        <v>3.6730230962093611E-4</v>
      </c>
      <c r="U300" s="788">
        <f t="shared" ca="1" si="125"/>
        <v>3.6730230962093611E-4</v>
      </c>
      <c r="V300" s="788">
        <f t="shared" ca="1" si="119"/>
        <v>3.4797060911457108E-4</v>
      </c>
      <c r="W300" s="788">
        <f t="shared" ca="1" si="125"/>
        <v>-1.7145828250523382E-2</v>
      </c>
      <c r="X300" s="788">
        <f t="shared" ca="1" si="120"/>
        <v>1.0818262928434434E-3</v>
      </c>
      <c r="Y300" s="788">
        <f t="shared" ca="1" si="120"/>
        <v>-1.473116652011862E-3</v>
      </c>
      <c r="Z300" s="788" t="e">
        <f t="shared" ca="1" si="120"/>
        <v>#N/A</v>
      </c>
      <c r="AA300" s="788" t="e">
        <f t="shared" ca="1" si="120"/>
        <v>#N/A</v>
      </c>
      <c r="AB300" s="788" t="e">
        <f t="shared" ca="1" si="121"/>
        <v>#N/A</v>
      </c>
      <c r="AC300" s="788">
        <f t="shared" ca="1" si="121"/>
        <v>4.4528301886792451E-5</v>
      </c>
      <c r="AD300" s="788">
        <f t="shared" ca="1" si="121"/>
        <v>1.9170179104477608E-5</v>
      </c>
      <c r="AE300" s="788">
        <f t="shared" ca="1" si="122"/>
        <v>1.9914763175013182E-5</v>
      </c>
      <c r="AF300" s="788" t="e">
        <f t="shared" ca="1" si="122"/>
        <v>#N/A</v>
      </c>
      <c r="AG300" s="788" t="e">
        <f t="shared" ca="1" si="122"/>
        <v>#N/A</v>
      </c>
      <c r="AH300" s="788" t="e">
        <f t="shared" ca="1" si="122"/>
        <v>#N/A</v>
      </c>
      <c r="AI300" s="788" t="e">
        <f t="shared" ca="1" si="122"/>
        <v>#N/A</v>
      </c>
      <c r="AJ300" s="788" t="e">
        <f t="shared" ca="1" si="122"/>
        <v>#N/A</v>
      </c>
      <c r="AK300" s="788" t="e">
        <f t="shared" ca="1" si="122"/>
        <v>#N/A</v>
      </c>
      <c r="AL300" s="788">
        <f t="shared" ca="1" si="122"/>
        <v>1.9170179104477608E-5</v>
      </c>
    </row>
    <row r="301" spans="1:38" s="489" customFormat="1" ht="12.75" outlineLevel="2">
      <c r="A301" s="1126"/>
      <c r="B301" s="1126"/>
      <c r="D301" s="714" t="s">
        <v>25</v>
      </c>
      <c r="E301" s="715" t="s">
        <v>348</v>
      </c>
      <c r="F301" s="788">
        <f t="shared" ref="F301:W301" ca="1" si="126">F292+F280</f>
        <v>5.3286730528915228E-2</v>
      </c>
      <c r="G301" s="788">
        <f t="shared" ca="1" si="126"/>
        <v>5.3901043635299239E-2</v>
      </c>
      <c r="H301" s="788">
        <f t="shared" ca="1" si="126"/>
        <v>5.7009876092447759E-2</v>
      </c>
      <c r="I301" s="788">
        <f t="shared" ca="1" si="126"/>
        <v>4.2237782105906702E-2</v>
      </c>
      <c r="J301" s="788">
        <f t="shared" ca="1" si="126"/>
        <v>4.4715027876330461E-3</v>
      </c>
      <c r="K301" s="788">
        <f t="shared" ca="1" si="118"/>
        <v>1.1731553783564753E-2</v>
      </c>
      <c r="L301" s="788">
        <f t="shared" ca="1" si="126"/>
        <v>0.13968425522421679</v>
      </c>
      <c r="M301" s="788">
        <f t="shared" ca="1" si="126"/>
        <v>5.1267511326251194E-2</v>
      </c>
      <c r="N301" s="788">
        <f t="shared" ca="1" si="126"/>
        <v>3.5223338462907955E-2</v>
      </c>
      <c r="O301" s="788">
        <f t="shared" ca="1" si="126"/>
        <v>8.2741780907872362E-2</v>
      </c>
      <c r="P301" s="788">
        <f t="shared" ca="1" si="126"/>
        <v>5.1568729959345756E-2</v>
      </c>
      <c r="Q301" s="788">
        <f t="shared" ca="1" si="126"/>
        <v>3.5045515024306868E-2</v>
      </c>
      <c r="R301" s="788">
        <f t="shared" ca="1" si="126"/>
        <v>3.55244244497376E-2</v>
      </c>
      <c r="S301" s="788">
        <f t="shared" ca="1" si="126"/>
        <v>0.18886250856435546</v>
      </c>
      <c r="T301" s="788">
        <f t="shared" ca="1" si="126"/>
        <v>0.10851142062283206</v>
      </c>
      <c r="U301" s="788">
        <f t="shared" ca="1" si="126"/>
        <v>0.10851142062283206</v>
      </c>
      <c r="V301" s="788">
        <f t="shared" ca="1" si="119"/>
        <v>0.10280029322163038</v>
      </c>
      <c r="W301" s="788">
        <f t="shared" ca="1" si="126"/>
        <v>9.2101031465948571E-2</v>
      </c>
      <c r="X301" s="788">
        <f t="shared" ca="1" si="120"/>
        <v>0.16913926317706979</v>
      </c>
      <c r="Y301" s="788">
        <f t="shared" ca="1" si="120"/>
        <v>0.11884156953610545</v>
      </c>
      <c r="Z301" s="788" t="e">
        <f t="shared" ca="1" si="120"/>
        <v>#N/A</v>
      </c>
      <c r="AA301" s="788" t="e">
        <f t="shared" ca="1" si="120"/>
        <v>#N/A</v>
      </c>
      <c r="AB301" s="788" t="e">
        <f t="shared" ca="1" si="121"/>
        <v>#N/A</v>
      </c>
      <c r="AC301" s="788">
        <f t="shared" ca="1" si="121"/>
        <v>6.2134792452830191E-2</v>
      </c>
      <c r="AD301" s="788">
        <f t="shared" ca="1" si="121"/>
        <v>2.6750067922388057E-2</v>
      </c>
      <c r="AE301" s="788">
        <f t="shared" ca="1" si="122"/>
        <v>2.77890605344134E-2</v>
      </c>
      <c r="AF301" s="788" t="e">
        <f t="shared" ca="1" si="122"/>
        <v>#N/A</v>
      </c>
      <c r="AG301" s="788" t="e">
        <f t="shared" ca="1" si="122"/>
        <v>#N/A</v>
      </c>
      <c r="AH301" s="788" t="e">
        <f t="shared" ca="1" si="122"/>
        <v>#N/A</v>
      </c>
      <c r="AI301" s="788" t="e">
        <f t="shared" ca="1" si="122"/>
        <v>#N/A</v>
      </c>
      <c r="AJ301" s="788" t="e">
        <f t="shared" ca="1" si="122"/>
        <v>#N/A</v>
      </c>
      <c r="AK301" s="788" t="e">
        <f t="shared" ca="1" si="122"/>
        <v>#N/A</v>
      </c>
      <c r="AL301" s="788">
        <f t="shared" ca="1" si="122"/>
        <v>2.6750067922388057E-2</v>
      </c>
    </row>
    <row r="302" spans="1:38" s="489" customFormat="1" ht="12.75" outlineLevel="2">
      <c r="A302" s="1126"/>
      <c r="B302" s="1126"/>
      <c r="D302" s="492" t="s">
        <v>45</v>
      </c>
      <c r="E302" s="493" t="s">
        <v>348</v>
      </c>
      <c r="F302" s="791">
        <f t="shared" ref="F302:W302" ca="1" si="127">F293+F281</f>
        <v>1.9193649762528854E-5</v>
      </c>
      <c r="G302" s="791">
        <f t="shared" ca="1" si="127"/>
        <v>2.0517988448664011E-5</v>
      </c>
      <c r="H302" s="791">
        <f t="shared" ca="1" si="127"/>
        <v>2.0094646451662072E-5</v>
      </c>
      <c r="I302" s="791">
        <f t="shared" ca="1" si="127"/>
        <v>1.6692762650450424E-5</v>
      </c>
      <c r="J302" s="791">
        <f t="shared" ca="1" si="127"/>
        <v>3.5000000000000004E-6</v>
      </c>
      <c r="K302" s="791">
        <f t="shared" ca="1" si="118"/>
        <v>1.8021390374331553E-5</v>
      </c>
      <c r="L302" s="791">
        <f t="shared" ca="1" si="127"/>
        <v>6.7781566510687779E-4</v>
      </c>
      <c r="M302" s="791">
        <f t="shared" ca="1" si="127"/>
        <v>-1.2663263348931223E-3</v>
      </c>
      <c r="N302" s="791">
        <f t="shared" ca="1" si="127"/>
        <v>-1.3109715288993362E-3</v>
      </c>
      <c r="O302" s="791">
        <f t="shared" ca="1" si="127"/>
        <v>3.1378471100663718E-5</v>
      </c>
      <c r="P302" s="791">
        <f t="shared" ca="1" si="127"/>
        <v>-1.0585945400106431E-3</v>
      </c>
      <c r="Q302" s="791">
        <f t="shared" ca="1" si="127"/>
        <v>-1.3077765483025939E-3</v>
      </c>
      <c r="R302" s="791">
        <f t="shared" ca="1" si="127"/>
        <v>1.9141629463207855E-4</v>
      </c>
      <c r="S302" s="791">
        <f t="shared" ca="1" si="127"/>
        <v>1.933872310708818E-4</v>
      </c>
      <c r="T302" s="791">
        <f t="shared" ca="1" si="127"/>
        <v>1.1111111111111112E-4</v>
      </c>
      <c r="U302" s="791">
        <f t="shared" ca="1" si="127"/>
        <v>1.1111111111111112E-4</v>
      </c>
      <c r="V302" s="791">
        <f t="shared" ca="1" si="119"/>
        <v>1.0526315789473685E-4</v>
      </c>
      <c r="W302" s="791">
        <f t="shared" ca="1" si="127"/>
        <v>-1.7896724562686784E-3</v>
      </c>
      <c r="X302" s="791">
        <f t="shared" ca="1" si="120"/>
        <v>1.1830518946787187E-4</v>
      </c>
      <c r="Y302" s="791">
        <f t="shared" ca="1" si="120"/>
        <v>-1.4022033489312241E-4</v>
      </c>
      <c r="Z302" s="791" t="e">
        <f t="shared" ca="1" si="120"/>
        <v>#N/A</v>
      </c>
      <c r="AA302" s="791" t="e">
        <f t="shared" ca="1" si="120"/>
        <v>#N/A</v>
      </c>
      <c r="AB302" s="791" t="e">
        <f t="shared" ca="1" si="121"/>
        <v>#N/A</v>
      </c>
      <c r="AC302" s="791">
        <f t="shared" ca="1" si="121"/>
        <v>0</v>
      </c>
      <c r="AD302" s="791">
        <f t="shared" ca="1" si="121"/>
        <v>0</v>
      </c>
      <c r="AE302" s="791">
        <f t="shared" ca="1" si="122"/>
        <v>0</v>
      </c>
      <c r="AF302" s="791" t="e">
        <f t="shared" ca="1" si="122"/>
        <v>#N/A</v>
      </c>
      <c r="AG302" s="791" t="e">
        <f t="shared" ca="1" si="122"/>
        <v>#N/A</v>
      </c>
      <c r="AH302" s="791" t="e">
        <f t="shared" ca="1" si="122"/>
        <v>#N/A</v>
      </c>
      <c r="AI302" s="791" t="e">
        <f t="shared" ca="1" si="122"/>
        <v>#N/A</v>
      </c>
      <c r="AJ302" s="791" t="e">
        <f t="shared" ca="1" si="122"/>
        <v>#N/A</v>
      </c>
      <c r="AK302" s="791" t="e">
        <f t="shared" ca="1" si="122"/>
        <v>#N/A</v>
      </c>
      <c r="AL302" s="791">
        <f t="shared" ca="1" si="122"/>
        <v>0</v>
      </c>
    </row>
    <row r="303" spans="1:38" s="489" customFormat="1" ht="12.75" outlineLevel="2">
      <c r="A303" s="1126"/>
      <c r="B303" s="1126"/>
      <c r="E303" s="488"/>
    </row>
    <row r="304" spans="1:38" s="489" customFormat="1" ht="12.75" outlineLevel="2">
      <c r="A304" s="1126"/>
      <c r="B304" s="1126"/>
      <c r="D304" s="752" t="s">
        <v>899</v>
      </c>
      <c r="E304" s="488"/>
    </row>
    <row r="305" spans="1:38" s="489" customFormat="1" ht="12.75" outlineLevel="2">
      <c r="A305" s="1126"/>
      <c r="B305" s="1126">
        <v>2</v>
      </c>
      <c r="D305" s="495" t="s">
        <v>24</v>
      </c>
      <c r="E305" s="491" t="s">
        <v>348</v>
      </c>
      <c r="F305" s="1622">
        <f>IF(F$7&lt;&gt;"",HLOOKUP(F$7,Supplementary!$D$145:$P$151,$B305,0),0)</f>
        <v>74</v>
      </c>
      <c r="G305" s="1622">
        <f>IF(G$7&lt;&gt;"",HLOOKUP(G$7,Supplementary!$D$145:$P$151,$B305,0),0)</f>
        <v>72.8</v>
      </c>
      <c r="H305" s="1622">
        <f>IF(H$7&lt;&gt;"",HLOOKUP(H$7,Supplementary!$D$145:$P$151,$B305,0),0)</f>
        <v>72</v>
      </c>
      <c r="I305" s="1622">
        <f>IF(I$7&lt;&gt;"",HLOOKUP(I$7,Supplementary!$D$145:$P$151,$B305,0),0)</f>
        <v>78.900000000000006</v>
      </c>
      <c r="J305" s="1622">
        <f>IF(J$7&lt;&gt;"",HLOOKUP(J$7,Supplementary!$D$145:$P$151,$B305,0),0)</f>
        <v>56.74</v>
      </c>
      <c r="K305" s="1622">
        <f>IF(K$7&lt;&gt;"",HLOOKUP(K$7,Supplementary!$D$145:$P$151,$B305,0),0)</f>
        <v>56.74</v>
      </c>
      <c r="L305" s="1622">
        <f>IF(L$7&lt;&gt;"",HLOOKUP(L$7,Supplementary!$D$145:$P$151,$B305,0),0)</f>
        <v>0</v>
      </c>
      <c r="M305" s="1622">
        <f>IF(M$7&lt;&gt;"",HLOOKUP(M$7,Supplementary!$D$145:$P$151,$B305,0),0)</f>
        <v>0</v>
      </c>
      <c r="N305" s="1622">
        <f>IF(N$7&lt;&gt;"",HLOOKUP(N$7,Supplementary!$D$145:$P$151,$B305,0),0)</f>
        <v>0</v>
      </c>
      <c r="O305" s="1622">
        <f>IF(O$7&lt;&gt;"",HLOOKUP(O$7,Supplementary!$D$145:$P$151,$B305,0),0)</f>
        <v>0</v>
      </c>
      <c r="P305" s="1622">
        <f>IF(P$7&lt;&gt;"",HLOOKUP(P$7,Supplementary!$D$145:$P$151,$B305,0),0)</f>
        <v>0</v>
      </c>
      <c r="Q305" s="1622">
        <f>IF(Q$7&lt;&gt;"",HLOOKUP(Q$7,Supplementary!$D$145:$P$151,$B305,0),0)</f>
        <v>0</v>
      </c>
      <c r="R305" s="1622">
        <f>IF(R$7&lt;&gt;"",HLOOKUP(R$7,Supplementary!$D$145:$P$151,$B305,0),0)</f>
        <v>0</v>
      </c>
      <c r="S305" s="1622">
        <f>IF(S$7&lt;&gt;"",HLOOKUP(S$7,Supplementary!$D$145:$P$151,$B305,0),0)</f>
        <v>0</v>
      </c>
      <c r="T305" s="1622">
        <f>IF(T$7&lt;&gt;"",HLOOKUP(T$7,Supplementary!$D$145:$P$151,$B305,0),0)</f>
        <v>0</v>
      </c>
      <c r="U305" s="1622">
        <f>IF(U$7&lt;&gt;"",HLOOKUP(U$7,Supplementary!$D$145:$P$151,$B305,0),0)</f>
        <v>0</v>
      </c>
      <c r="V305" s="1622">
        <f>IF(V$7&lt;&gt;"",HLOOKUP(V$7,Supplementary!$D$145:$P$151,$B305,0),0)</f>
        <v>0</v>
      </c>
      <c r="W305" s="1622">
        <f>IF(W$7&lt;&gt;"",HLOOKUP(W$7,Supplementary!$D$145:$P$151,$B305,0),0)</f>
        <v>0</v>
      </c>
      <c r="X305" s="1622">
        <f>IF(X$7&lt;&gt;"",HLOOKUP(X$7,Supplementary!$D$145:$P$151,$B305,0),0)</f>
        <v>0</v>
      </c>
      <c r="Y305" s="1622">
        <f>IF(Y$7&lt;&gt;"",HLOOKUP(Y$7,Supplementary!$D$145:$P$151,$B305,0),0)</f>
        <v>0</v>
      </c>
      <c r="Z305" s="1622">
        <f>IF(Z$7&lt;&gt;"",HLOOKUP(Z$7,Supplementary!$D$145:$P$151,$B305,0),0)</f>
        <v>0</v>
      </c>
      <c r="AA305" s="1622">
        <f>IF(AA$7&lt;&gt;"",HLOOKUP(AA$7,Supplementary!$D$145:$P$151,$B305,0),0)</f>
        <v>0</v>
      </c>
      <c r="AB305" s="1622">
        <f>IF(AB$7&lt;&gt;"",HLOOKUP(AB$7,Supplementary!$D$145:$P$151,$B305,0),0)</f>
        <v>0</v>
      </c>
      <c r="AC305" s="1622">
        <f>IF(AC$7&lt;&gt;"",HLOOKUP(AC$7,Supplementary!$D$145:$P$151,$B305,0),0)</f>
        <v>93.6</v>
      </c>
      <c r="AD305" s="1622">
        <f>IF(AD$7&lt;&gt;"",HLOOKUP(AD$7,Supplementary!$D$145:$P$151,$B305,0),0)</f>
        <v>0</v>
      </c>
      <c r="AE305" s="1622">
        <f>IF(AE$7&lt;&gt;"",HLOOKUP(AE$7,Supplementary!$D$145:$P$151,$B305,0),0)</f>
        <v>0</v>
      </c>
      <c r="AF305" s="1622">
        <f>IF(AF$7&lt;&gt;"",HLOOKUP(AF$7,Supplementary!$D$145:$P$151,$B305,0),0)</f>
        <v>0</v>
      </c>
      <c r="AG305" s="1622">
        <f>IF(AG$7&lt;&gt;"",HLOOKUP(AG$7,Supplementary!$D$145:$P$151,$B305,0),0)</f>
        <v>0</v>
      </c>
      <c r="AH305" s="1622">
        <f>IF(AH$7&lt;&gt;"",HLOOKUP(AH$7,Supplementary!$D$145:$P$151,$B305,0),0)</f>
        <v>0</v>
      </c>
      <c r="AI305" s="1622">
        <f>IF(AI$7&lt;&gt;"",HLOOKUP(AI$7,Supplementary!$D$145:$P$151,$B305,0),0)</f>
        <v>0</v>
      </c>
      <c r="AJ305" s="1622">
        <f>IF(AJ$7&lt;&gt;"",HLOOKUP(AJ$7,Supplementary!$D$145:$P$151,$B305,0),0)</f>
        <v>0</v>
      </c>
      <c r="AK305" s="1622">
        <f>IF(AK$7&lt;&gt;"",HLOOKUP(AK$7,Supplementary!$D$145:$P$151,$B305,0),0)</f>
        <v>0</v>
      </c>
      <c r="AL305" s="1622">
        <f>IF(AL$7&lt;&gt;"",HLOOKUP(AL$7,Supplementary!$D$145:$P$151,$B305,0),0)</f>
        <v>0</v>
      </c>
    </row>
    <row r="306" spans="1:38" s="489" customFormat="1" ht="12.75" outlineLevel="2">
      <c r="A306" s="1126"/>
      <c r="B306" s="1126">
        <v>3</v>
      </c>
      <c r="D306" s="714" t="s">
        <v>27</v>
      </c>
      <c r="E306" s="715" t="s">
        <v>348</v>
      </c>
      <c r="F306" s="1593">
        <f>IF(F$7&lt;&gt;"",HLOOKUP(F$7,Supplementary!$D$145:$P$151,$B306,0),0)</f>
        <v>0</v>
      </c>
      <c r="G306" s="1593">
        <f>IF(G$7&lt;&gt;"",HLOOKUP(G$7,Supplementary!$D$145:$P$151,$B306,0),0)</f>
        <v>0</v>
      </c>
      <c r="H306" s="1593">
        <f>IF(H$7&lt;&gt;"",HLOOKUP(H$7,Supplementary!$D$145:$P$151,$B306,0),0)</f>
        <v>0</v>
      </c>
      <c r="I306" s="1593">
        <f>IF(I$7&lt;&gt;"",HLOOKUP(I$7,Supplementary!$D$145:$P$151,$B306,0),0)</f>
        <v>0</v>
      </c>
      <c r="J306" s="1593">
        <f>IF(J$7&lt;&gt;"",HLOOKUP(J$7,Supplementary!$D$145:$P$151,$B306,0),0)</f>
        <v>0</v>
      </c>
      <c r="K306" s="1593">
        <f>IF(K$7&lt;&gt;"",HLOOKUP(K$7,Supplementary!$D$145:$P$151,$B306,0),0)</f>
        <v>0</v>
      </c>
      <c r="L306" s="1593">
        <f>IF(L$7&lt;&gt;"",HLOOKUP(L$7,Supplementary!$D$145:$P$151,$B306,0),0)</f>
        <v>0</v>
      </c>
      <c r="M306" s="1593">
        <f>IF(M$7&lt;&gt;"",HLOOKUP(M$7,Supplementary!$D$145:$P$151,$B306,0),0)</f>
        <v>0</v>
      </c>
      <c r="N306" s="1593">
        <f>IF(N$7&lt;&gt;"",HLOOKUP(N$7,Supplementary!$D$145:$P$151,$B306,0),0)</f>
        <v>0</v>
      </c>
      <c r="O306" s="1593">
        <f>IF(O$7&lt;&gt;"",HLOOKUP(O$7,Supplementary!$D$145:$P$151,$B306,0),0)</f>
        <v>0</v>
      </c>
      <c r="P306" s="1593">
        <f>IF(P$7&lt;&gt;"",HLOOKUP(P$7,Supplementary!$D$145:$P$151,$B306,0),0)</f>
        <v>0</v>
      </c>
      <c r="Q306" s="1593">
        <f>IF(Q$7&lt;&gt;"",HLOOKUP(Q$7,Supplementary!$D$145:$P$151,$B306,0),0)</f>
        <v>0</v>
      </c>
      <c r="R306" s="1593">
        <f>IF(R$7&lt;&gt;"",HLOOKUP(R$7,Supplementary!$D$145:$P$151,$B306,0),0)</f>
        <v>0</v>
      </c>
      <c r="S306" s="1593">
        <f>IF(S$7&lt;&gt;"",HLOOKUP(S$7,Supplementary!$D$145:$P$151,$B306,0),0)</f>
        <v>0</v>
      </c>
      <c r="T306" s="1593">
        <f>IF(T$7&lt;&gt;"",HLOOKUP(T$7,Supplementary!$D$145:$P$151,$B306,0),0)</f>
        <v>0</v>
      </c>
      <c r="U306" s="1593">
        <f>IF(U$7&lt;&gt;"",HLOOKUP(U$7,Supplementary!$D$145:$P$151,$B306,0),0)</f>
        <v>0</v>
      </c>
      <c r="V306" s="1593">
        <f>IF(V$7&lt;&gt;"",HLOOKUP(V$7,Supplementary!$D$145:$P$151,$B306,0),0)</f>
        <v>0</v>
      </c>
      <c r="W306" s="1593">
        <f>IF(W$7&lt;&gt;"",HLOOKUP(W$7,Supplementary!$D$145:$P$151,$B306,0),0)</f>
        <v>0</v>
      </c>
      <c r="X306" s="1593">
        <f>IF(X$7&lt;&gt;"",HLOOKUP(X$7,Supplementary!$D$145:$P$151,$B306,0),0)</f>
        <v>0</v>
      </c>
      <c r="Y306" s="1593">
        <f>IF(Y$7&lt;&gt;"",HLOOKUP(Y$7,Supplementary!$D$145:$P$151,$B306,0),0)</f>
        <v>0</v>
      </c>
      <c r="Z306" s="1593">
        <f>IF(Z$7&lt;&gt;"",HLOOKUP(Z$7,Supplementary!$D$145:$P$151,$B306,0),0)</f>
        <v>0</v>
      </c>
      <c r="AA306" s="1593">
        <f>IF(AA$7&lt;&gt;"",HLOOKUP(AA$7,Supplementary!$D$145:$P$151,$B306,0),0)</f>
        <v>0</v>
      </c>
      <c r="AB306" s="1593">
        <f>IF(AB$7&lt;&gt;"",HLOOKUP(AB$7,Supplementary!$D$145:$P$151,$B306,0),0)</f>
        <v>0</v>
      </c>
      <c r="AC306" s="1593">
        <f>IF(AC$7&lt;&gt;"",HLOOKUP(AC$7,Supplementary!$D$145:$P$151,$B306,0),0)</f>
        <v>0</v>
      </c>
      <c r="AD306" s="1593">
        <f>IF(AD$7&lt;&gt;"",HLOOKUP(AD$7,Supplementary!$D$145:$P$151,$B306,0),0)</f>
        <v>0</v>
      </c>
      <c r="AE306" s="1593">
        <f>IF(AE$7&lt;&gt;"",HLOOKUP(AE$7,Supplementary!$D$145:$P$151,$B306,0),0)</f>
        <v>0</v>
      </c>
      <c r="AF306" s="1593">
        <f>IF(AF$7&lt;&gt;"",HLOOKUP(AF$7,Supplementary!$D$145:$P$151,$B306,0),0)</f>
        <v>0</v>
      </c>
      <c r="AG306" s="1593">
        <f>IF(AG$7&lt;&gt;"",HLOOKUP(AG$7,Supplementary!$D$145:$P$151,$B306,0),0)</f>
        <v>0</v>
      </c>
      <c r="AH306" s="1593">
        <f>IF(AH$7&lt;&gt;"",HLOOKUP(AH$7,Supplementary!$D$145:$P$151,$B306,0),0)</f>
        <v>0</v>
      </c>
      <c r="AI306" s="1593">
        <f>IF(AI$7&lt;&gt;"",HLOOKUP(AI$7,Supplementary!$D$145:$P$151,$B306,0),0)</f>
        <v>0</v>
      </c>
      <c r="AJ306" s="1593">
        <f>IF(AJ$7&lt;&gt;"",HLOOKUP(AJ$7,Supplementary!$D$145:$P$151,$B306,0),0)</f>
        <v>0</v>
      </c>
      <c r="AK306" s="1593">
        <f>IF(AK$7&lt;&gt;"",HLOOKUP(AK$7,Supplementary!$D$145:$P$151,$B306,0),0)</f>
        <v>0</v>
      </c>
      <c r="AL306" s="1593">
        <f>IF(AL$7&lt;&gt;"",HLOOKUP(AL$7,Supplementary!$D$145:$P$151,$B306,0),0)</f>
        <v>0</v>
      </c>
    </row>
    <row r="307" spans="1:38" s="489" customFormat="1" ht="12.75" outlineLevel="2">
      <c r="A307" s="1126"/>
      <c r="B307" s="1126">
        <v>4</v>
      </c>
      <c r="D307" s="714" t="s">
        <v>28</v>
      </c>
      <c r="E307" s="715" t="s">
        <v>348</v>
      </c>
      <c r="F307" s="1593">
        <f>IF(F$7&lt;&gt;"",HLOOKUP(F$7,Supplementary!$D$145:$P$151,$B307,0),0)</f>
        <v>0</v>
      </c>
      <c r="G307" s="1593">
        <f>IF(G$7&lt;&gt;"",HLOOKUP(G$7,Supplementary!$D$145:$P$151,$B307,0),0)</f>
        <v>0</v>
      </c>
      <c r="H307" s="1593">
        <f>IF(H$7&lt;&gt;"",HLOOKUP(H$7,Supplementary!$D$145:$P$151,$B307,0),0)</f>
        <v>0</v>
      </c>
      <c r="I307" s="1593">
        <f>IF(I$7&lt;&gt;"",HLOOKUP(I$7,Supplementary!$D$145:$P$151,$B307,0),0)</f>
        <v>0</v>
      </c>
      <c r="J307" s="1593">
        <f>IF(J$7&lt;&gt;"",HLOOKUP(J$7,Supplementary!$D$145:$P$151,$B307,0),0)</f>
        <v>0</v>
      </c>
      <c r="K307" s="1593">
        <f>IF(K$7&lt;&gt;"",HLOOKUP(K$7,Supplementary!$D$145:$P$151,$B307,0),0)</f>
        <v>0</v>
      </c>
      <c r="L307" s="1593">
        <f>IF(L$7&lt;&gt;"",HLOOKUP(L$7,Supplementary!$D$145:$P$151,$B307,0),0)</f>
        <v>0</v>
      </c>
      <c r="M307" s="1593">
        <f>IF(M$7&lt;&gt;"",HLOOKUP(M$7,Supplementary!$D$145:$P$151,$B307,0),0)</f>
        <v>0</v>
      </c>
      <c r="N307" s="1593">
        <f>IF(N$7&lt;&gt;"",HLOOKUP(N$7,Supplementary!$D$145:$P$151,$B307,0),0)</f>
        <v>0</v>
      </c>
      <c r="O307" s="1593">
        <f>IF(O$7&lt;&gt;"",HLOOKUP(O$7,Supplementary!$D$145:$P$151,$B307,0),0)</f>
        <v>0</v>
      </c>
      <c r="P307" s="1593">
        <f>IF(P$7&lt;&gt;"",HLOOKUP(P$7,Supplementary!$D$145:$P$151,$B307,0),0)</f>
        <v>0</v>
      </c>
      <c r="Q307" s="1593">
        <f>IF(Q$7&lt;&gt;"",HLOOKUP(Q$7,Supplementary!$D$145:$P$151,$B307,0),0)</f>
        <v>0</v>
      </c>
      <c r="R307" s="1593">
        <f>IF(R$7&lt;&gt;"",HLOOKUP(R$7,Supplementary!$D$145:$P$151,$B307,0),0)</f>
        <v>0</v>
      </c>
      <c r="S307" s="1593">
        <f>IF(S$7&lt;&gt;"",HLOOKUP(S$7,Supplementary!$D$145:$P$151,$B307,0),0)</f>
        <v>0</v>
      </c>
      <c r="T307" s="1593">
        <f>IF(T$7&lt;&gt;"",HLOOKUP(T$7,Supplementary!$D$145:$P$151,$B307,0),0)</f>
        <v>0</v>
      </c>
      <c r="U307" s="1593">
        <f>IF(U$7&lt;&gt;"",HLOOKUP(U$7,Supplementary!$D$145:$P$151,$B307,0),0)</f>
        <v>0</v>
      </c>
      <c r="V307" s="1593">
        <f>IF(V$7&lt;&gt;"",HLOOKUP(V$7,Supplementary!$D$145:$P$151,$B307,0),0)</f>
        <v>0</v>
      </c>
      <c r="W307" s="1593">
        <f>IF(W$7&lt;&gt;"",HLOOKUP(W$7,Supplementary!$D$145:$P$151,$B307,0),0)</f>
        <v>0</v>
      </c>
      <c r="X307" s="1593">
        <f>IF(X$7&lt;&gt;"",HLOOKUP(X$7,Supplementary!$D$145:$P$151,$B307,0),0)</f>
        <v>0</v>
      </c>
      <c r="Y307" s="1593">
        <f>IF(Y$7&lt;&gt;"",HLOOKUP(Y$7,Supplementary!$D$145:$P$151,$B307,0),0)</f>
        <v>0</v>
      </c>
      <c r="Z307" s="1593">
        <f>IF(Z$7&lt;&gt;"",HLOOKUP(Z$7,Supplementary!$D$145:$P$151,$B307,0),0)</f>
        <v>0</v>
      </c>
      <c r="AA307" s="1593">
        <f>IF(AA$7&lt;&gt;"",HLOOKUP(AA$7,Supplementary!$D$145:$P$151,$B307,0),0)</f>
        <v>0</v>
      </c>
      <c r="AB307" s="1593">
        <f>IF(AB$7&lt;&gt;"",HLOOKUP(AB$7,Supplementary!$D$145:$P$151,$B307,0),0)</f>
        <v>0</v>
      </c>
      <c r="AC307" s="1593">
        <f>IF(AC$7&lt;&gt;"",HLOOKUP(AC$7,Supplementary!$D$145:$P$151,$B307,0),0)</f>
        <v>0</v>
      </c>
      <c r="AD307" s="1593">
        <f>IF(AD$7&lt;&gt;"",HLOOKUP(AD$7,Supplementary!$D$145:$P$151,$B307,0),0)</f>
        <v>0</v>
      </c>
      <c r="AE307" s="1593">
        <f>IF(AE$7&lt;&gt;"",HLOOKUP(AE$7,Supplementary!$D$145:$P$151,$B307,0),0)</f>
        <v>0</v>
      </c>
      <c r="AF307" s="1593">
        <f>IF(AF$7&lt;&gt;"",HLOOKUP(AF$7,Supplementary!$D$145:$P$151,$B307,0),0)</f>
        <v>0</v>
      </c>
      <c r="AG307" s="1593">
        <f>IF(AG$7&lt;&gt;"",HLOOKUP(AG$7,Supplementary!$D$145:$P$151,$B307,0),0)</f>
        <v>0</v>
      </c>
      <c r="AH307" s="1593">
        <f>IF(AH$7&lt;&gt;"",HLOOKUP(AH$7,Supplementary!$D$145:$P$151,$B307,0),0)</f>
        <v>0</v>
      </c>
      <c r="AI307" s="1593">
        <f>IF(AI$7&lt;&gt;"",HLOOKUP(AI$7,Supplementary!$D$145:$P$151,$B307,0),0)</f>
        <v>0</v>
      </c>
      <c r="AJ307" s="1593">
        <f>IF(AJ$7&lt;&gt;"",HLOOKUP(AJ$7,Supplementary!$D$145:$P$151,$B307,0),0)</f>
        <v>0</v>
      </c>
      <c r="AK307" s="1593">
        <f>IF(AK$7&lt;&gt;"",HLOOKUP(AK$7,Supplementary!$D$145:$P$151,$B307,0),0)</f>
        <v>0</v>
      </c>
      <c r="AL307" s="1593">
        <f>IF(AL$7&lt;&gt;"",HLOOKUP(AL$7,Supplementary!$D$145:$P$151,$B307,0),0)</f>
        <v>0</v>
      </c>
    </row>
    <row r="308" spans="1:38" s="489" customFormat="1" ht="12.75" outlineLevel="2">
      <c r="A308" s="1126"/>
      <c r="B308" s="1126">
        <v>5</v>
      </c>
      <c r="D308" s="714" t="s">
        <v>26</v>
      </c>
      <c r="E308" s="715" t="s">
        <v>348</v>
      </c>
      <c r="F308" s="1593">
        <f>IF(F$7&lt;&gt;"",HLOOKUP(F$7,Supplementary!$D$145:$P$151,$B308,0),0)</f>
        <v>2.34192037470726E-3</v>
      </c>
      <c r="G308" s="1593">
        <f>IF(G$7&lt;&gt;"",HLOOKUP(G$7,Supplementary!$D$145:$P$151,$B308,0),0)</f>
        <v>0</v>
      </c>
      <c r="H308" s="1593">
        <f>IF(H$7&lt;&gt;"",HLOOKUP(H$7,Supplementary!$D$145:$P$151,$B308,0),0)</f>
        <v>0</v>
      </c>
      <c r="I308" s="1593">
        <f>IF(I$7&lt;&gt;"",HLOOKUP(I$7,Supplementary!$D$145:$P$151,$B308,0),0)</f>
        <v>0</v>
      </c>
      <c r="J308" s="1593">
        <f>IF(J$7&lt;&gt;"",HLOOKUP(J$7,Supplementary!$D$145:$P$151,$B308,0),0)</f>
        <v>0</v>
      </c>
      <c r="K308" s="1593">
        <f>IF(K$7&lt;&gt;"",HLOOKUP(K$7,Supplementary!$D$145:$P$151,$B308,0),0)</f>
        <v>0</v>
      </c>
      <c r="L308" s="1593">
        <f>IF(L$7&lt;&gt;"",HLOOKUP(L$7,Supplementary!$D$145:$P$151,$B308,0),0)</f>
        <v>0</v>
      </c>
      <c r="M308" s="1593">
        <f>IF(M$7&lt;&gt;"",HLOOKUP(M$7,Supplementary!$D$145:$P$151,$B308,0),0)</f>
        <v>0</v>
      </c>
      <c r="N308" s="1593">
        <f>IF(N$7&lt;&gt;"",HLOOKUP(N$7,Supplementary!$D$145:$P$151,$B308,0),0)</f>
        <v>0</v>
      </c>
      <c r="O308" s="1593">
        <f>IF(O$7&lt;&gt;"",HLOOKUP(O$7,Supplementary!$D$145:$P$151,$B308,0),0)</f>
        <v>0</v>
      </c>
      <c r="P308" s="1593">
        <f>IF(P$7&lt;&gt;"",HLOOKUP(P$7,Supplementary!$D$145:$P$151,$B308,0),0)</f>
        <v>0</v>
      </c>
      <c r="Q308" s="1593">
        <f>IF(Q$7&lt;&gt;"",HLOOKUP(Q$7,Supplementary!$D$145:$P$151,$B308,0),0)</f>
        <v>0</v>
      </c>
      <c r="R308" s="1593">
        <f>IF(R$7&lt;&gt;"",HLOOKUP(R$7,Supplementary!$D$145:$P$151,$B308,0),0)</f>
        <v>0</v>
      </c>
      <c r="S308" s="1593">
        <f>IF(S$7&lt;&gt;"",HLOOKUP(S$7,Supplementary!$D$145:$P$151,$B308,0),0)</f>
        <v>0</v>
      </c>
      <c r="T308" s="1593">
        <f>IF(T$7&lt;&gt;"",HLOOKUP(T$7,Supplementary!$D$145:$P$151,$B308,0),0)</f>
        <v>0</v>
      </c>
      <c r="U308" s="1593">
        <f>IF(U$7&lt;&gt;"",HLOOKUP(U$7,Supplementary!$D$145:$P$151,$B308,0),0)</f>
        <v>0</v>
      </c>
      <c r="V308" s="1593">
        <f>IF(V$7&lt;&gt;"",HLOOKUP(V$7,Supplementary!$D$145:$P$151,$B308,0),0)</f>
        <v>0</v>
      </c>
      <c r="W308" s="1593">
        <f>IF(W$7&lt;&gt;"",HLOOKUP(W$7,Supplementary!$D$145:$P$151,$B308,0),0)</f>
        <v>0</v>
      </c>
      <c r="X308" s="1593">
        <f>IF(X$7&lt;&gt;"",HLOOKUP(X$7,Supplementary!$D$145:$P$151,$B308,0),0)</f>
        <v>0</v>
      </c>
      <c r="Y308" s="1593">
        <f>IF(Y$7&lt;&gt;"",HLOOKUP(Y$7,Supplementary!$D$145:$P$151,$B308,0),0)</f>
        <v>0</v>
      </c>
      <c r="Z308" s="1593">
        <f>IF(Z$7&lt;&gt;"",HLOOKUP(Z$7,Supplementary!$D$145:$P$151,$B308,0),0)</f>
        <v>0</v>
      </c>
      <c r="AA308" s="1593">
        <f>IF(AA$7&lt;&gt;"",HLOOKUP(AA$7,Supplementary!$D$145:$P$151,$B308,0),0)</f>
        <v>0</v>
      </c>
      <c r="AB308" s="1593">
        <f>IF(AB$7&lt;&gt;"",HLOOKUP(AB$7,Supplementary!$D$145:$P$151,$B308,0),0)</f>
        <v>0</v>
      </c>
      <c r="AC308" s="1593">
        <f>IF(AC$7&lt;&gt;"",HLOOKUP(AC$7,Supplementary!$D$145:$P$151,$B308,0),0)</f>
        <v>0</v>
      </c>
      <c r="AD308" s="1593">
        <f>IF(AD$7&lt;&gt;"",HLOOKUP(AD$7,Supplementary!$D$145:$P$151,$B308,0),0)</f>
        <v>0</v>
      </c>
      <c r="AE308" s="1593">
        <f>IF(AE$7&lt;&gt;"",HLOOKUP(AE$7,Supplementary!$D$145:$P$151,$B308,0),0)</f>
        <v>0</v>
      </c>
      <c r="AF308" s="1593">
        <f>IF(AF$7&lt;&gt;"",HLOOKUP(AF$7,Supplementary!$D$145:$P$151,$B308,0),0)</f>
        <v>0</v>
      </c>
      <c r="AG308" s="1593">
        <f>IF(AG$7&lt;&gt;"",HLOOKUP(AG$7,Supplementary!$D$145:$P$151,$B308,0),0)</f>
        <v>0</v>
      </c>
      <c r="AH308" s="1593">
        <f>IF(AH$7&lt;&gt;"",HLOOKUP(AH$7,Supplementary!$D$145:$P$151,$B308,0),0)</f>
        <v>0</v>
      </c>
      <c r="AI308" s="1593">
        <f>IF(AI$7&lt;&gt;"",HLOOKUP(AI$7,Supplementary!$D$145:$P$151,$B308,0),0)</f>
        <v>0</v>
      </c>
      <c r="AJ308" s="1593">
        <f>IF(AJ$7&lt;&gt;"",HLOOKUP(AJ$7,Supplementary!$D$145:$P$151,$B308,0),0)</f>
        <v>0</v>
      </c>
      <c r="AK308" s="1593">
        <f>IF(AK$7&lt;&gt;"",HLOOKUP(AK$7,Supplementary!$D$145:$P$151,$B308,0),0)</f>
        <v>0</v>
      </c>
      <c r="AL308" s="1593">
        <f>IF(AL$7&lt;&gt;"",HLOOKUP(AL$7,Supplementary!$D$145:$P$151,$B308,0),0)</f>
        <v>0</v>
      </c>
    </row>
    <row r="309" spans="1:38" s="489" customFormat="1" ht="12.75" outlineLevel="2">
      <c r="A309" s="1126"/>
      <c r="B309" s="1126">
        <v>6</v>
      </c>
      <c r="D309" s="714" t="s">
        <v>25</v>
      </c>
      <c r="E309" s="715" t="s">
        <v>348</v>
      </c>
      <c r="F309" s="1593">
        <f>IF(F$7&lt;&gt;"",HLOOKUP(F$7,Supplementary!$D$145:$P$151,$B309,0),0)</f>
        <v>0</v>
      </c>
      <c r="G309" s="1593">
        <f>IF(G$7&lt;&gt;"",HLOOKUP(G$7,Supplementary!$D$145:$P$151,$B309,0),0)</f>
        <v>0</v>
      </c>
      <c r="H309" s="1593">
        <f>IF(H$7&lt;&gt;"",HLOOKUP(H$7,Supplementary!$D$145:$P$151,$B309,0),0)</f>
        <v>0</v>
      </c>
      <c r="I309" s="1593">
        <f>IF(I$7&lt;&gt;"",HLOOKUP(I$7,Supplementary!$D$145:$P$151,$B309,0),0)</f>
        <v>0</v>
      </c>
      <c r="J309" s="1593">
        <f>IF(J$7&lt;&gt;"",HLOOKUP(J$7,Supplementary!$D$145:$P$151,$B309,0),0)</f>
        <v>0</v>
      </c>
      <c r="K309" s="1593">
        <f>IF(K$7&lt;&gt;"",HLOOKUP(K$7,Supplementary!$D$145:$P$151,$B309,0),0)</f>
        <v>0</v>
      </c>
      <c r="L309" s="1593">
        <f>IF(L$7&lt;&gt;"",HLOOKUP(L$7,Supplementary!$D$145:$P$151,$B309,0),0)</f>
        <v>0</v>
      </c>
      <c r="M309" s="1593">
        <f>IF(M$7&lt;&gt;"",HLOOKUP(M$7,Supplementary!$D$145:$P$151,$B309,0),0)</f>
        <v>0</v>
      </c>
      <c r="N309" s="1593">
        <f>IF(N$7&lt;&gt;"",HLOOKUP(N$7,Supplementary!$D$145:$P$151,$B309,0),0)</f>
        <v>0</v>
      </c>
      <c r="O309" s="1593">
        <f>IF(O$7&lt;&gt;"",HLOOKUP(O$7,Supplementary!$D$145:$P$151,$B309,0),0)</f>
        <v>0</v>
      </c>
      <c r="P309" s="1593">
        <f>IF(P$7&lt;&gt;"",HLOOKUP(P$7,Supplementary!$D$145:$P$151,$B309,0),0)</f>
        <v>0</v>
      </c>
      <c r="Q309" s="1593">
        <f>IF(Q$7&lt;&gt;"",HLOOKUP(Q$7,Supplementary!$D$145:$P$151,$B309,0),0)</f>
        <v>0</v>
      </c>
      <c r="R309" s="1593">
        <f>IF(R$7&lt;&gt;"",HLOOKUP(R$7,Supplementary!$D$145:$P$151,$B309,0),0)</f>
        <v>0</v>
      </c>
      <c r="S309" s="1593">
        <f>IF(S$7&lt;&gt;"",HLOOKUP(S$7,Supplementary!$D$145:$P$151,$B309,0),0)</f>
        <v>0</v>
      </c>
      <c r="T309" s="1593">
        <f>IF(T$7&lt;&gt;"",HLOOKUP(T$7,Supplementary!$D$145:$P$151,$B309,0),0)</f>
        <v>0</v>
      </c>
      <c r="U309" s="1593">
        <f>IF(U$7&lt;&gt;"",HLOOKUP(U$7,Supplementary!$D$145:$P$151,$B309,0),0)</f>
        <v>0</v>
      </c>
      <c r="V309" s="1593">
        <f>IF(V$7&lt;&gt;"",HLOOKUP(V$7,Supplementary!$D$145:$P$151,$B309,0),0)</f>
        <v>0</v>
      </c>
      <c r="W309" s="1593">
        <f>IF(W$7&lt;&gt;"",HLOOKUP(W$7,Supplementary!$D$145:$P$151,$B309,0),0)</f>
        <v>0</v>
      </c>
      <c r="X309" s="1593">
        <f>IF(X$7&lt;&gt;"",HLOOKUP(X$7,Supplementary!$D$145:$P$151,$B309,0),0)</f>
        <v>0</v>
      </c>
      <c r="Y309" s="1593">
        <f>IF(Y$7&lt;&gt;"",HLOOKUP(Y$7,Supplementary!$D$145:$P$151,$B309,0),0)</f>
        <v>0</v>
      </c>
      <c r="Z309" s="1593">
        <f>IF(Z$7&lt;&gt;"",HLOOKUP(Z$7,Supplementary!$D$145:$P$151,$B309,0),0)</f>
        <v>0</v>
      </c>
      <c r="AA309" s="1593">
        <f>IF(AA$7&lt;&gt;"",HLOOKUP(AA$7,Supplementary!$D$145:$P$151,$B309,0),0)</f>
        <v>0</v>
      </c>
      <c r="AB309" s="1593">
        <f>IF(AB$7&lt;&gt;"",HLOOKUP(AB$7,Supplementary!$D$145:$P$151,$B309,0),0)</f>
        <v>0</v>
      </c>
      <c r="AC309" s="1593">
        <f>IF(AC$7&lt;&gt;"",HLOOKUP(AC$7,Supplementary!$D$145:$P$151,$B309,0),0)</f>
        <v>0</v>
      </c>
      <c r="AD309" s="1593">
        <f>IF(AD$7&lt;&gt;"",HLOOKUP(AD$7,Supplementary!$D$145:$P$151,$B309,0),0)</f>
        <v>0</v>
      </c>
      <c r="AE309" s="1593">
        <f>IF(AE$7&lt;&gt;"",HLOOKUP(AE$7,Supplementary!$D$145:$P$151,$B309,0),0)</f>
        <v>0</v>
      </c>
      <c r="AF309" s="1593">
        <f>IF(AF$7&lt;&gt;"",HLOOKUP(AF$7,Supplementary!$D$145:$P$151,$B309,0),0)</f>
        <v>0</v>
      </c>
      <c r="AG309" s="1593">
        <f>IF(AG$7&lt;&gt;"",HLOOKUP(AG$7,Supplementary!$D$145:$P$151,$B309,0),0)</f>
        <v>0</v>
      </c>
      <c r="AH309" s="1593">
        <f>IF(AH$7&lt;&gt;"",HLOOKUP(AH$7,Supplementary!$D$145:$P$151,$B309,0),0)</f>
        <v>0</v>
      </c>
      <c r="AI309" s="1593">
        <f>IF(AI$7&lt;&gt;"",HLOOKUP(AI$7,Supplementary!$D$145:$P$151,$B309,0),0)</f>
        <v>0</v>
      </c>
      <c r="AJ309" s="1593">
        <f>IF(AJ$7&lt;&gt;"",HLOOKUP(AJ$7,Supplementary!$D$145:$P$151,$B309,0),0)</f>
        <v>0</v>
      </c>
      <c r="AK309" s="1593">
        <f>IF(AK$7&lt;&gt;"",HLOOKUP(AK$7,Supplementary!$D$145:$P$151,$B309,0),0)</f>
        <v>0</v>
      </c>
      <c r="AL309" s="1593">
        <f>IF(AL$7&lt;&gt;"",HLOOKUP(AL$7,Supplementary!$D$145:$P$151,$B309,0),0)</f>
        <v>0</v>
      </c>
    </row>
    <row r="310" spans="1:38" s="489" customFormat="1" ht="12.75" outlineLevel="2">
      <c r="A310" s="1126"/>
      <c r="B310" s="1126">
        <v>7</v>
      </c>
      <c r="D310" s="492" t="s">
        <v>45</v>
      </c>
      <c r="E310" s="493" t="s">
        <v>348</v>
      </c>
      <c r="F310" s="1623">
        <f>IF(F$7&lt;&gt;"",HLOOKUP(F$7,Supplementary!$D$145:$P$151,$B310,0),0)</f>
        <v>0</v>
      </c>
      <c r="G310" s="1623">
        <f>IF(G$7&lt;&gt;"",HLOOKUP(G$7,Supplementary!$D$145:$P$151,$B310,0),0)</f>
        <v>0</v>
      </c>
      <c r="H310" s="1623">
        <f>IF(H$7&lt;&gt;"",HLOOKUP(H$7,Supplementary!$D$145:$P$151,$B310,0),0)</f>
        <v>0</v>
      </c>
      <c r="I310" s="1623">
        <f>IF(I$7&lt;&gt;"",HLOOKUP(I$7,Supplementary!$D$145:$P$151,$B310,0),0)</f>
        <v>0</v>
      </c>
      <c r="J310" s="1623">
        <f>IF(J$7&lt;&gt;"",HLOOKUP(J$7,Supplementary!$D$145:$P$151,$B310,0),0)</f>
        <v>0</v>
      </c>
      <c r="K310" s="1623">
        <f>IF(K$7&lt;&gt;"",HLOOKUP(K$7,Supplementary!$D$145:$P$151,$B310,0),0)</f>
        <v>0</v>
      </c>
      <c r="L310" s="1623">
        <f>IF(L$7&lt;&gt;"",HLOOKUP(L$7,Supplementary!$D$145:$P$151,$B310,0),0)</f>
        <v>0</v>
      </c>
      <c r="M310" s="1623">
        <f>IF(M$7&lt;&gt;"",HLOOKUP(M$7,Supplementary!$D$145:$P$151,$B310,0),0)</f>
        <v>0</v>
      </c>
      <c r="N310" s="1623">
        <f>IF(N$7&lt;&gt;"",HLOOKUP(N$7,Supplementary!$D$145:$P$151,$B310,0),0)</f>
        <v>0</v>
      </c>
      <c r="O310" s="1623">
        <f>IF(O$7&lt;&gt;"",HLOOKUP(O$7,Supplementary!$D$145:$P$151,$B310,0),0)</f>
        <v>0</v>
      </c>
      <c r="P310" s="1623">
        <f>IF(P$7&lt;&gt;"",HLOOKUP(P$7,Supplementary!$D$145:$P$151,$B310,0),0)</f>
        <v>0</v>
      </c>
      <c r="Q310" s="1623">
        <f>IF(Q$7&lt;&gt;"",HLOOKUP(Q$7,Supplementary!$D$145:$P$151,$B310,0),0)</f>
        <v>0</v>
      </c>
      <c r="R310" s="1623">
        <f>IF(R$7&lt;&gt;"",HLOOKUP(R$7,Supplementary!$D$145:$P$151,$B310,0),0)</f>
        <v>0</v>
      </c>
      <c r="S310" s="1623">
        <f>IF(S$7&lt;&gt;"",HLOOKUP(S$7,Supplementary!$D$145:$P$151,$B310,0),0)</f>
        <v>0</v>
      </c>
      <c r="T310" s="1623">
        <f>IF(T$7&lt;&gt;"",HLOOKUP(T$7,Supplementary!$D$145:$P$151,$B310,0),0)</f>
        <v>0</v>
      </c>
      <c r="U310" s="1623">
        <f>IF(U$7&lt;&gt;"",HLOOKUP(U$7,Supplementary!$D$145:$P$151,$B310,0),0)</f>
        <v>0</v>
      </c>
      <c r="V310" s="1623">
        <f>IF(V$7&lt;&gt;"",HLOOKUP(V$7,Supplementary!$D$145:$P$151,$B310,0),0)</f>
        <v>0</v>
      </c>
      <c r="W310" s="1623">
        <f>IF(W$7&lt;&gt;"",HLOOKUP(W$7,Supplementary!$D$145:$P$151,$B310,0),0)</f>
        <v>0</v>
      </c>
      <c r="X310" s="1623">
        <f>IF(X$7&lt;&gt;"",HLOOKUP(X$7,Supplementary!$D$145:$P$151,$B310,0),0)</f>
        <v>0</v>
      </c>
      <c r="Y310" s="1623">
        <f>IF(Y$7&lt;&gt;"",HLOOKUP(Y$7,Supplementary!$D$145:$P$151,$B310,0),0)</f>
        <v>0</v>
      </c>
      <c r="Z310" s="1623">
        <f>IF(Z$7&lt;&gt;"",HLOOKUP(Z$7,Supplementary!$D$145:$P$151,$B310,0),0)</f>
        <v>0</v>
      </c>
      <c r="AA310" s="1623">
        <f>IF(AA$7&lt;&gt;"",HLOOKUP(AA$7,Supplementary!$D$145:$P$151,$B310,0),0)</f>
        <v>0</v>
      </c>
      <c r="AB310" s="1623">
        <f>IF(AB$7&lt;&gt;"",HLOOKUP(AB$7,Supplementary!$D$145:$P$151,$B310,0),0)</f>
        <v>0</v>
      </c>
      <c r="AC310" s="1623">
        <f>IF(AC$7&lt;&gt;"",HLOOKUP(AC$7,Supplementary!$D$145:$P$151,$B310,0),0)</f>
        <v>0</v>
      </c>
      <c r="AD310" s="1623">
        <f>IF(AD$7&lt;&gt;"",HLOOKUP(AD$7,Supplementary!$D$145:$P$151,$B310,0),0)</f>
        <v>0</v>
      </c>
      <c r="AE310" s="1623">
        <f>IF(AE$7&lt;&gt;"",HLOOKUP(AE$7,Supplementary!$D$145:$P$151,$B310,0),0)</f>
        <v>0</v>
      </c>
      <c r="AF310" s="1623">
        <f>IF(AF$7&lt;&gt;"",HLOOKUP(AF$7,Supplementary!$D$145:$P$151,$B310,0),0)</f>
        <v>0</v>
      </c>
      <c r="AG310" s="1623">
        <f>IF(AG$7&lt;&gt;"",HLOOKUP(AG$7,Supplementary!$D$145:$P$151,$B310,0),0)</f>
        <v>0</v>
      </c>
      <c r="AH310" s="1623">
        <f>IF(AH$7&lt;&gt;"",HLOOKUP(AH$7,Supplementary!$D$145:$P$151,$B310,0),0)</f>
        <v>0</v>
      </c>
      <c r="AI310" s="1623">
        <f>IF(AI$7&lt;&gt;"",HLOOKUP(AI$7,Supplementary!$D$145:$P$151,$B310,0),0)</f>
        <v>0</v>
      </c>
      <c r="AJ310" s="1623">
        <f>IF(AJ$7&lt;&gt;"",HLOOKUP(AJ$7,Supplementary!$D$145:$P$151,$B310,0),0)</f>
        <v>0</v>
      </c>
      <c r="AK310" s="1623">
        <f>IF(AK$7&lt;&gt;"",HLOOKUP(AK$7,Supplementary!$D$145:$P$151,$B310,0),0)</f>
        <v>0</v>
      </c>
      <c r="AL310" s="1623">
        <f>IF(AL$7&lt;&gt;"",HLOOKUP(AL$7,Supplementary!$D$145:$P$151,$B310,0),0)</f>
        <v>0</v>
      </c>
    </row>
    <row r="311" spans="1:38" s="489" customFormat="1" ht="12.75" outlineLevel="2">
      <c r="A311" s="1126"/>
      <c r="B311" s="1126"/>
      <c r="E311" s="488"/>
    </row>
    <row r="312" spans="1:38" s="489" customFormat="1" ht="12.75" outlineLevel="2">
      <c r="A312" s="1126"/>
      <c r="B312" s="1126"/>
      <c r="E312" s="488"/>
    </row>
    <row r="313" spans="1:38" s="489" customFormat="1" ht="12.75">
      <c r="A313" s="1126"/>
      <c r="B313" s="1126"/>
      <c r="E313" s="488"/>
    </row>
    <row r="314" spans="1:38" s="765" customFormat="1" ht="17.25">
      <c r="A314" s="765" t="s">
        <v>337</v>
      </c>
      <c r="E314" s="766"/>
    </row>
    <row r="315" spans="1:38" outlineLevel="1"/>
    <row r="316" spans="1:38" outlineLevel="1">
      <c r="C316" s="747"/>
    </row>
    <row r="317" spans="1:38" outlineLevel="1"/>
    <row r="318" spans="1:38" outlineLevel="1">
      <c r="D318" s="749" t="str">
        <f>Supplementary!B272</f>
        <v>Råstof/Råvare</v>
      </c>
      <c r="F318" s="749" t="str">
        <f>Supplementary!D299</f>
        <v>Mellemprodukt - trans dist</v>
      </c>
      <c r="G318" s="749"/>
      <c r="H318" s="749"/>
      <c r="I318" s="749"/>
      <c r="J318" s="749"/>
      <c r="K318" s="749"/>
      <c r="L318" s="749"/>
      <c r="N318" s="749" t="str">
        <f>Supplementary!B299</f>
        <v>TransDist</v>
      </c>
      <c r="Q318" s="749" t="str">
        <f>Supplementary!K272</f>
        <v>Drivmidler</v>
      </c>
      <c r="S318" s="749" t="s">
        <v>380</v>
      </c>
      <c r="AB318" s="749" t="s">
        <v>771</v>
      </c>
    </row>
    <row r="319" spans="1:38" outlineLevel="1">
      <c r="D319" s="698" t="str">
        <f>Feedstocks!B10</f>
        <v>Hvede</v>
      </c>
      <c r="F319" s="698" t="str">
        <f>Supplementary!D300</f>
        <v>El (AC-net) til elektrolyse</v>
      </c>
      <c r="N319" s="698" t="str">
        <f>Supplementary!B300</f>
        <v>Ingen</v>
      </c>
      <c r="Q319" s="698" t="str">
        <f>Supplementary!K273</f>
        <v>Benzin</v>
      </c>
      <c r="S319" s="814" t="str">
        <f>Supplementary!I273</f>
        <v>(FORCE 1) Bio-Methanol</v>
      </c>
      <c r="AB319" s="814" t="str">
        <f>Supplementary!I303</f>
        <v>tog-elektricitet</v>
      </c>
    </row>
    <row r="320" spans="1:38" outlineLevel="1">
      <c r="D320" s="698" t="str">
        <f>Feedstocks!B12</f>
        <v>Halm</v>
      </c>
      <c r="F320" s="698" t="str">
        <f>Supplementary!D301</f>
        <v>El (AC-net) til ladestation</v>
      </c>
      <c r="N320" s="698" t="str">
        <f>Supplementary!B301</f>
        <v>1. g. ethanol E85</v>
      </c>
      <c r="Q320" s="698" t="str">
        <f>Supplementary!K274</f>
        <v>Diesel</v>
      </c>
      <c r="S320" s="814" t="str">
        <f>Supplementary!I274</f>
        <v>(FORCE 2) ETL-Methanol</v>
      </c>
      <c r="AB320" s="814" t="str">
        <f>Supplementary!I304</f>
        <v>Elektrolyse og komprimering</v>
      </c>
    </row>
    <row r="321" spans="4:28" outlineLevel="1">
      <c r="D321" s="698" t="str">
        <f>Feedstocks!B13</f>
        <v>Rapsfrø</v>
      </c>
      <c r="F321" s="698" t="str">
        <f>Supplementary!D302</f>
        <v>Naturgas komprimering</v>
      </c>
      <c r="N321" s="698" t="str">
        <f>Supplementary!B302</f>
        <v>2. g. ethanol E85</v>
      </c>
      <c r="Q321" s="698" t="str">
        <f>Supplementary!K275</f>
        <v>1. g. ethanol E85</v>
      </c>
      <c r="S321" s="814" t="str">
        <f>Supplementary!I275</f>
        <v>(FORCE 3) 1G ethanol</v>
      </c>
      <c r="AB321" s="814" t="str">
        <f>Supplementary!I305</f>
        <v>Ladestation</v>
      </c>
    </row>
    <row r="322" spans="4:28" outlineLevel="1">
      <c r="D322" s="698" t="str">
        <f>Feedstocks!B14</f>
        <v>Naturgas</v>
      </c>
      <c r="F322" s="698" t="s">
        <v>747</v>
      </c>
      <c r="N322" s="698" t="str">
        <f>Supplementary!B303</f>
        <v>Ethanol</v>
      </c>
      <c r="Q322" s="698" t="str">
        <f>Supplementary!K276</f>
        <v>2. g. ethanol E85</v>
      </c>
      <c r="S322" s="814" t="str">
        <f>Supplementary!I276</f>
        <v>(FORCE 4) 2G ethanol</v>
      </c>
      <c r="AB322" s="814" t="str">
        <f>Supplementary!I306</f>
        <v>Ladestation Hybrid</v>
      </c>
    </row>
    <row r="323" spans="4:28" outlineLevel="1">
      <c r="D323" s="698" t="str">
        <f>Feedstocks!B15</f>
        <v>Træ</v>
      </c>
      <c r="F323" s="698" t="str">
        <f>Supplementary!D303</f>
        <v>Syntesegas til katalysator</v>
      </c>
      <c r="N323" s="698" t="str">
        <f>Supplementary!B304</f>
        <v>RME</v>
      </c>
      <c r="Q323" s="698" t="str">
        <f>Supplementary!K277</f>
        <v>RME</v>
      </c>
      <c r="S323" s="814" t="str">
        <f>Supplementary!I277</f>
        <v>(FORCE 5) 1G diesel</v>
      </c>
      <c r="AB323" s="814" t="str">
        <f>Supplementary!I307</f>
        <v>Importspor</v>
      </c>
    </row>
    <row r="324" spans="4:28" outlineLevel="1">
      <c r="D324" s="698" t="s">
        <v>219</v>
      </c>
      <c r="N324" s="698" t="str">
        <f>Supplementary!B305</f>
        <v>Bio-olie</v>
      </c>
      <c r="Q324" s="698" t="str">
        <f>Supplementary!K278</f>
        <v>DME</v>
      </c>
      <c r="S324" s="814" t="str">
        <f>Supplementary!I278</f>
        <v>(FORCE 6) 1G HVO DIESEL</v>
      </c>
      <c r="AB324" s="814" t="str">
        <f>Supplementary!I308</f>
        <v>Biogas komprimering</v>
      </c>
    </row>
    <row r="325" spans="4:28" outlineLevel="1">
      <c r="D325" s="698" t="str">
        <f>Feedstocks!B17</f>
        <v>Elektricitet</v>
      </c>
      <c r="N325" s="698" t="str">
        <f>Supplementary!B306</f>
        <v>Naturgas raffinering</v>
      </c>
      <c r="Q325" s="698" t="str">
        <f>Supplementary!K279</f>
        <v>Biogas</v>
      </c>
      <c r="S325" s="814" t="str">
        <f>Supplementary!I279</f>
        <v>(FORCE 7) 2G diesel</v>
      </c>
      <c r="AB325" s="814" t="str">
        <f>Supplementary!I309</f>
        <v>Naturgas komprimering</v>
      </c>
    </row>
    <row r="326" spans="4:28" outlineLevel="1">
      <c r="D326" s="698" t="str">
        <f>Feedstocks!B18</f>
        <v>Oplade-el-brændsel</v>
      </c>
      <c r="N326" s="698" t="str">
        <f>Supplementary!B307</f>
        <v>MeOH</v>
      </c>
      <c r="Q326" s="698" t="str">
        <f>Supplementary!K280</f>
        <v>Naturgas raffinering</v>
      </c>
      <c r="S326" s="814" t="str">
        <f>Supplementary!I280</f>
        <v>(FORCE 8)  Diesel - MOGD</v>
      </c>
      <c r="AB326" s="814" t="str">
        <f>Supplementary!I310</f>
        <v>Ingen mellem</v>
      </c>
    </row>
    <row r="327" spans="4:28" outlineLevel="1">
      <c r="D327" s="698" t="str">
        <f>Feedstocks!B19</f>
        <v>Kul</v>
      </c>
      <c r="N327" s="698" t="str">
        <f>Supplementary!B308</f>
        <v>Brint</v>
      </c>
      <c r="Q327" s="698" t="str">
        <f>Supplementary!K281</f>
        <v>El</v>
      </c>
      <c r="S327" s="814" t="str">
        <f>Supplementary!I281</f>
        <v xml:space="preserve">(FORCE 9) Bio-DME </v>
      </c>
      <c r="AB327" s="814" t="str">
        <f>Supplementary!I311</f>
        <v>LNG</v>
      </c>
    </row>
    <row r="328" spans="4:28" outlineLevel="1">
      <c r="D328" s="698" t="str">
        <f>Feedstocks!B20</f>
        <v>Råolie</v>
      </c>
      <c r="N328" s="698" t="str">
        <f>Supplementary!B309</f>
        <v>El i batteri</v>
      </c>
      <c r="Q328" s="698" t="str">
        <f>Supplementary!K282</f>
        <v>Brint</v>
      </c>
      <c r="S328" s="814" t="str">
        <f>Supplementary!I282</f>
        <v>(FORCE 10) SNG-gasification</v>
      </c>
      <c r="AB328" s="814"/>
    </row>
    <row r="329" spans="4:28" outlineLevel="1">
      <c r="D329" s="698" t="str">
        <f>Feedstocks!B21</f>
        <v>Biomasse</v>
      </c>
      <c r="N329" s="698" t="str">
        <f>Supplementary!B310</f>
        <v>DME</v>
      </c>
      <c r="S329" s="814" t="str">
        <f>Supplementary!I283</f>
        <v>(FORCE 11) 2G Kerosene</v>
      </c>
      <c r="AB329" s="814"/>
    </row>
    <row r="330" spans="4:28" outlineLevel="1">
      <c r="D330" s="698" t="str">
        <f>Feedstocks!B22</f>
        <v>Ethanol på sukkerrør</v>
      </c>
      <c r="N330" s="698" t="str">
        <f>Supplementary!B311</f>
        <v>Diesel</v>
      </c>
      <c r="S330" s="814" t="str">
        <f>Supplementary!I284</f>
        <v>(FORCE 12) Torrefied wood</v>
      </c>
      <c r="AB330" s="815"/>
    </row>
    <row r="331" spans="4:28" outlineLevel="1">
      <c r="D331" s="698" t="str">
        <f>Feedstocks!B23</f>
        <v>Biodiesel på palmeolie</v>
      </c>
      <c r="N331" s="698" t="str">
        <f>Supplementary!B312</f>
        <v>Benzin</v>
      </c>
      <c r="S331" s="814" t="str">
        <f>Supplementary!I285</f>
        <v>(FORCE 13) Bio-Liquid</v>
      </c>
    </row>
    <row r="332" spans="4:28" outlineLevel="1">
      <c r="D332" s="698" t="e">
        <f>Feedstocks!#REF!</f>
        <v>#REF!</v>
      </c>
      <c r="N332" s="698" t="str">
        <f>Supplementary!B313</f>
        <v>HFO</v>
      </c>
      <c r="S332" s="814" t="str">
        <f>Supplementary!I286</f>
        <v>(FORCE 14) 2G bio-ethanol</v>
      </c>
    </row>
    <row r="333" spans="4:28" outlineLevel="1">
      <c r="D333" s="698">
        <f>Feedstocks!B24</f>
        <v>0</v>
      </c>
      <c r="N333" s="698" t="str">
        <f>Supplementary!B314</f>
        <v>JP1</v>
      </c>
      <c r="S333" s="814" t="str">
        <f>Supplementary!I287</f>
        <v>(FORCE 15) Ethanol+Biogas</v>
      </c>
    </row>
    <row r="334" spans="4:28" outlineLevel="1">
      <c r="D334" s="698" t="str">
        <f>Feedstocks!B176</f>
        <v>Upstream emissions, world market wood</v>
      </c>
      <c r="N334" s="698" t="str">
        <f>Supplementary!B315</f>
        <v>El (AC-net) til elektrolyse</v>
      </c>
      <c r="S334" s="814" t="str">
        <f>Supplementary!I288</f>
        <v>(FORCE 16) 2G Diesel</v>
      </c>
    </row>
    <row r="335" spans="4:28" outlineLevel="1">
      <c r="N335" s="698" t="str">
        <f>Supplementary!B316</f>
        <v>El (AC-net) til togdrift</v>
      </c>
      <c r="S335" s="814" t="str">
        <f>Supplementary!I289</f>
        <v>(FORCE 17) SNG-biogas</v>
      </c>
    </row>
    <row r="336" spans="4:28" outlineLevel="1">
      <c r="N336" s="698" t="str">
        <f>Supplementary!B317</f>
        <v>El (AC-net) til ladestation</v>
      </c>
      <c r="S336" s="814" t="str">
        <f>Supplementary!I290</f>
        <v>(FORCE 18) Bio Jetfuel</v>
      </c>
      <c r="T336" s="698" t="s">
        <v>944</v>
      </c>
    </row>
    <row r="337" spans="1:38" outlineLevel="1">
      <c r="N337" s="698" t="str">
        <f>Supplementary!B318</f>
        <v>Naturgas komprimering</v>
      </c>
      <c r="S337" s="814" t="str">
        <f>Supplementary!I291</f>
        <v>(FORCE 19) RME Rapeseed</v>
      </c>
    </row>
    <row r="338" spans="1:38" outlineLevel="1">
      <c r="N338" s="698" t="str">
        <f>Supplementary!B319</f>
        <v>Syntesegas til katalysator</v>
      </c>
      <c r="S338" s="814" t="str">
        <f>Supplementary!I292</f>
        <v>(FORCE 20) Ethanol SugarBeet</v>
      </c>
    </row>
    <row r="339" spans="1:38">
      <c r="N339" s="698" t="str">
        <f>Supplementary!B320</f>
        <v>LNG</v>
      </c>
      <c r="S339" s="814" t="str">
        <f>Supplementary!I293</f>
        <v>Biogas ENS</v>
      </c>
    </row>
    <row r="340" spans="1:38">
      <c r="S340" s="814" t="str">
        <f>Supplementary!I294</f>
        <v>brint-elektricitet</v>
      </c>
    </row>
    <row r="341" spans="1:38">
      <c r="S341" s="814" t="str">
        <f>Supplementary!I295</f>
        <v>oplade-elektricitet</v>
      </c>
    </row>
    <row r="342" spans="1:38">
      <c r="S342" s="814" t="str">
        <f>Supplementary!I296</f>
        <v>Diesel</v>
      </c>
    </row>
    <row r="343" spans="1:38">
      <c r="S343" s="814" t="str">
        <f>Supplementary!I297</f>
        <v>Benzin</v>
      </c>
    </row>
    <row r="344" spans="1:38">
      <c r="S344" s="814" t="str">
        <f>Supplementary!I298</f>
        <v>HFO</v>
      </c>
    </row>
    <row r="345" spans="1:38">
      <c r="S345" s="814" t="str">
        <f>Supplementary!I299</f>
        <v>Jet Fuel</v>
      </c>
    </row>
    <row r="346" spans="1:38">
      <c r="S346" s="814" t="str">
        <f>Supplementary!I300</f>
        <v>Naturgas raffinering</v>
      </c>
    </row>
    <row r="347" spans="1:38">
      <c r="S347" s="814"/>
    </row>
    <row r="348" spans="1:38">
      <c r="D348" s="749" t="s">
        <v>486</v>
      </c>
      <c r="S348" s="814"/>
    </row>
    <row r="349" spans="1:38">
      <c r="S349" s="814"/>
    </row>
    <row r="350" spans="1:38" s="720" customFormat="1">
      <c r="A350" s="1129"/>
      <c r="B350" s="1129"/>
      <c r="C350" s="698"/>
      <c r="D350" s="698" t="s">
        <v>450</v>
      </c>
      <c r="F350" s="698"/>
      <c r="G350" s="698"/>
      <c r="H350" s="698"/>
      <c r="I350" s="698"/>
      <c r="J350" s="698"/>
      <c r="K350" s="698"/>
      <c r="L350" s="698"/>
      <c r="M350" s="698"/>
      <c r="N350" s="698"/>
      <c r="O350" s="698"/>
      <c r="P350" s="698"/>
      <c r="Q350" s="698"/>
      <c r="R350" s="698"/>
      <c r="S350" s="814"/>
      <c r="T350" s="698"/>
      <c r="U350" s="698"/>
      <c r="V350" s="698"/>
      <c r="W350" s="698"/>
      <c r="X350" s="698"/>
      <c r="Y350" s="698"/>
      <c r="Z350" s="698"/>
      <c r="AA350" s="698"/>
      <c r="AB350" s="698"/>
      <c r="AC350" s="698"/>
      <c r="AD350" s="698"/>
      <c r="AE350" s="698"/>
      <c r="AF350" s="698"/>
      <c r="AG350" s="698"/>
      <c r="AH350" s="698"/>
      <c r="AI350" s="698"/>
      <c r="AJ350" s="698"/>
      <c r="AK350" s="698"/>
      <c r="AL350" s="698"/>
    </row>
    <row r="351" spans="1:38" s="720" customFormat="1">
      <c r="A351" s="1129"/>
      <c r="B351" s="1129"/>
      <c r="C351" s="698"/>
      <c r="D351" s="698" t="s">
        <v>451</v>
      </c>
      <c r="F351" s="698"/>
      <c r="G351" s="698"/>
      <c r="H351" s="698"/>
      <c r="I351" s="698"/>
      <c r="J351" s="698"/>
      <c r="K351" s="698"/>
      <c r="L351" s="698"/>
      <c r="M351" s="698"/>
      <c r="N351" s="698"/>
      <c r="O351" s="698"/>
      <c r="P351" s="698"/>
      <c r="Q351" s="698"/>
      <c r="R351" s="698"/>
      <c r="S351" s="814"/>
      <c r="T351" s="698"/>
      <c r="U351" s="698"/>
      <c r="V351" s="698"/>
      <c r="W351" s="698"/>
      <c r="X351" s="698"/>
      <c r="Y351" s="698"/>
      <c r="Z351" s="698"/>
      <c r="AA351" s="698"/>
      <c r="AB351" s="698"/>
      <c r="AC351" s="698"/>
      <c r="AD351" s="698"/>
      <c r="AE351" s="698"/>
      <c r="AF351" s="698"/>
      <c r="AG351" s="698"/>
      <c r="AH351" s="698"/>
      <c r="AI351" s="698"/>
      <c r="AJ351" s="698"/>
      <c r="AK351" s="698"/>
      <c r="AL351" s="698"/>
    </row>
    <row r="352" spans="1:38" s="720" customFormat="1">
      <c r="A352" s="1129"/>
      <c r="B352" s="1129"/>
      <c r="C352" s="698"/>
      <c r="D352" s="698" t="s">
        <v>458</v>
      </c>
      <c r="F352" s="698"/>
      <c r="G352" s="698"/>
      <c r="H352" s="698"/>
      <c r="I352" s="698"/>
      <c r="J352" s="698"/>
      <c r="K352" s="698"/>
      <c r="L352" s="698"/>
      <c r="M352" s="698"/>
      <c r="N352" s="698"/>
      <c r="O352" s="698"/>
      <c r="P352" s="698"/>
      <c r="Q352" s="698"/>
      <c r="R352" s="698"/>
      <c r="S352" s="814"/>
      <c r="T352" s="698"/>
      <c r="U352" s="698"/>
      <c r="V352" s="698"/>
      <c r="W352" s="698"/>
      <c r="X352" s="698"/>
      <c r="Y352" s="698"/>
      <c r="Z352" s="698"/>
      <c r="AA352" s="698"/>
      <c r="AB352" s="698"/>
      <c r="AC352" s="698"/>
      <c r="AD352" s="698"/>
      <c r="AE352" s="698"/>
      <c r="AF352" s="698"/>
      <c r="AG352" s="698"/>
      <c r="AH352" s="698"/>
      <c r="AI352" s="698"/>
      <c r="AJ352" s="698"/>
      <c r="AK352" s="698"/>
      <c r="AL352" s="698"/>
    </row>
    <row r="353" spans="1:38" s="720" customFormat="1">
      <c r="A353" s="1129"/>
      <c r="B353" s="1129"/>
      <c r="C353" s="698"/>
      <c r="D353" s="698" t="s">
        <v>459</v>
      </c>
      <c r="F353" s="698"/>
      <c r="G353" s="698"/>
      <c r="H353" s="698"/>
      <c r="I353" s="698"/>
      <c r="J353" s="698"/>
      <c r="K353" s="698"/>
      <c r="L353" s="698"/>
      <c r="M353" s="698"/>
      <c r="N353" s="698"/>
      <c r="O353" s="698"/>
      <c r="P353" s="698"/>
      <c r="Q353" s="698"/>
      <c r="R353" s="698"/>
      <c r="S353" s="698"/>
      <c r="T353" s="698"/>
      <c r="U353" s="698"/>
      <c r="V353" s="698"/>
      <c r="W353" s="698"/>
      <c r="X353" s="698"/>
      <c r="Y353" s="698"/>
      <c r="Z353" s="698"/>
      <c r="AA353" s="698"/>
      <c r="AB353" s="698"/>
      <c r="AC353" s="698"/>
      <c r="AD353" s="698"/>
      <c r="AE353" s="698"/>
      <c r="AF353" s="698"/>
      <c r="AG353" s="698"/>
      <c r="AH353" s="698"/>
      <c r="AI353" s="698"/>
      <c r="AJ353" s="698"/>
      <c r="AK353" s="698"/>
      <c r="AL353" s="698"/>
    </row>
    <row r="354" spans="1:38" s="720" customFormat="1">
      <c r="A354" s="1129"/>
      <c r="B354" s="1129"/>
      <c r="C354" s="698"/>
      <c r="D354" s="698" t="s">
        <v>452</v>
      </c>
      <c r="F354" s="698"/>
      <c r="G354" s="698"/>
      <c r="H354" s="698"/>
      <c r="I354" s="698"/>
      <c r="J354" s="698"/>
      <c r="K354" s="698"/>
      <c r="L354" s="698"/>
      <c r="M354" s="698"/>
      <c r="N354" s="698"/>
      <c r="O354" s="698"/>
      <c r="P354" s="698"/>
      <c r="Q354" s="698"/>
      <c r="R354" s="698"/>
      <c r="S354" s="698"/>
      <c r="T354" s="698"/>
      <c r="U354" s="698"/>
      <c r="V354" s="698"/>
      <c r="W354" s="698"/>
      <c r="X354" s="698"/>
      <c r="Y354" s="698"/>
      <c r="Z354" s="698"/>
      <c r="AA354" s="698"/>
      <c r="AB354" s="698"/>
      <c r="AC354" s="698"/>
      <c r="AD354" s="698"/>
      <c r="AE354" s="698"/>
      <c r="AF354" s="698"/>
      <c r="AG354" s="698"/>
      <c r="AH354" s="698"/>
      <c r="AI354" s="698"/>
      <c r="AJ354" s="698"/>
      <c r="AK354" s="698"/>
      <c r="AL354" s="698"/>
    </row>
    <row r="355" spans="1:38" s="720" customFormat="1">
      <c r="A355" s="1129"/>
      <c r="B355" s="1129"/>
      <c r="C355" s="698"/>
      <c r="D355" s="698" t="s">
        <v>453</v>
      </c>
      <c r="F355" s="698"/>
      <c r="G355" s="698"/>
      <c r="H355" s="698"/>
      <c r="I355" s="698"/>
      <c r="J355" s="698"/>
      <c r="K355" s="698"/>
      <c r="L355" s="698"/>
      <c r="M355" s="698"/>
      <c r="N355" s="698"/>
      <c r="O355" s="698"/>
      <c r="P355" s="698"/>
      <c r="Q355" s="698"/>
      <c r="R355" s="698"/>
      <c r="S355" s="698"/>
      <c r="T355" s="698"/>
      <c r="U355" s="698"/>
      <c r="V355" s="698"/>
      <c r="W355" s="698"/>
      <c r="X355" s="698"/>
      <c r="Y355" s="698"/>
      <c r="Z355" s="698"/>
      <c r="AA355" s="698"/>
      <c r="AB355" s="698"/>
      <c r="AC355" s="698"/>
      <c r="AD355" s="698"/>
      <c r="AE355" s="698"/>
      <c r="AF355" s="698"/>
      <c r="AG355" s="698"/>
      <c r="AH355" s="698"/>
      <c r="AI355" s="698"/>
      <c r="AJ355" s="698"/>
      <c r="AK355" s="698"/>
      <c r="AL355" s="698"/>
    </row>
    <row r="356" spans="1:38" s="720" customFormat="1">
      <c r="A356" s="1129"/>
      <c r="B356" s="1129"/>
      <c r="C356" s="698"/>
      <c r="D356" s="698" t="s">
        <v>455</v>
      </c>
      <c r="F356" s="698"/>
      <c r="G356" s="698"/>
      <c r="H356" s="698"/>
      <c r="I356" s="698"/>
      <c r="J356" s="698"/>
      <c r="K356" s="698"/>
      <c r="L356" s="698"/>
      <c r="M356" s="698"/>
      <c r="N356" s="698"/>
      <c r="O356" s="698"/>
      <c r="P356" s="698"/>
      <c r="Q356" s="698"/>
      <c r="R356" s="698"/>
      <c r="S356" s="698"/>
      <c r="T356" s="698"/>
      <c r="U356" s="698"/>
      <c r="V356" s="698"/>
      <c r="W356" s="698"/>
      <c r="X356" s="698"/>
      <c r="Y356" s="698"/>
      <c r="Z356" s="698"/>
      <c r="AA356" s="698"/>
      <c r="AB356" s="698"/>
      <c r="AC356" s="698"/>
      <c r="AD356" s="698"/>
      <c r="AE356" s="698"/>
      <c r="AF356" s="698"/>
      <c r="AG356" s="698"/>
      <c r="AH356" s="698"/>
      <c r="AI356" s="698"/>
      <c r="AJ356" s="698"/>
      <c r="AK356" s="698"/>
      <c r="AL356" s="698"/>
    </row>
    <row r="357" spans="1:38" s="720" customFormat="1">
      <c r="A357" s="1129"/>
      <c r="B357" s="1129"/>
      <c r="C357" s="698"/>
      <c r="D357" s="698" t="s">
        <v>456</v>
      </c>
      <c r="F357" s="698"/>
      <c r="G357" s="698"/>
      <c r="H357" s="698"/>
      <c r="I357" s="698"/>
      <c r="J357" s="698"/>
      <c r="K357" s="698"/>
      <c r="L357" s="698"/>
      <c r="M357" s="698"/>
      <c r="N357" s="698"/>
      <c r="O357" s="698"/>
      <c r="P357" s="698"/>
      <c r="Q357" s="698"/>
      <c r="R357" s="698"/>
      <c r="S357" s="698"/>
      <c r="T357" s="698"/>
      <c r="U357" s="698"/>
      <c r="V357" s="698"/>
      <c r="W357" s="698"/>
      <c r="X357" s="698"/>
      <c r="Y357" s="698"/>
      <c r="Z357" s="698"/>
      <c r="AA357" s="698"/>
      <c r="AB357" s="698"/>
      <c r="AC357" s="698"/>
      <c r="AD357" s="698"/>
      <c r="AE357" s="698"/>
      <c r="AF357" s="698"/>
      <c r="AG357" s="698"/>
      <c r="AH357" s="698"/>
      <c r="AI357" s="698"/>
      <c r="AJ357" s="698"/>
      <c r="AK357" s="698"/>
      <c r="AL357" s="698"/>
    </row>
    <row r="358" spans="1:38">
      <c r="D358" s="698" t="s">
        <v>457</v>
      </c>
    </row>
    <row r="367" spans="1:38" ht="12.75">
      <c r="D367" s="1105" t="str">
        <f ca="1">IFERROR(INDEX(MID(SheetNames,FIND("]",SheetNames)+1,255),ROWS(A$1:A1)),"")</f>
        <v>Introduktion</v>
      </c>
    </row>
    <row r="368" spans="1:38" ht="12.75">
      <c r="D368" s="1105" t="str">
        <f ca="1">IFERROR(INDEX(MID(SheetNames,FIND("]",SheetNames)+1,255),ROWS(A$1:A2)),"")</f>
        <v>Oversigt</v>
      </c>
    </row>
    <row r="369" spans="4:4" ht="12.75">
      <c r="D369" s="1105" t="str">
        <f ca="1">IFERROR(INDEX(MID(SheetNames,FIND("]",SheetNames)+1,255),ROWS(A$1:A3)),"")</f>
        <v>Referencer</v>
      </c>
    </row>
    <row r="370" spans="4:4" ht="12.75">
      <c r="D370" s="1105" t="str">
        <f ca="1">IFERROR(INDEX(MID(SheetNames,FIND("]",SheetNames)+1,255),ROWS(A$1:A4)),"")</f>
        <v>Cockpit</v>
      </c>
    </row>
    <row r="371" spans="4:4" ht="12.75">
      <c r="D371" s="1105" t="str">
        <f ca="1">IFERROR(INDEX(MID(SheetNames,FIND("]",SheetNames)+1,255),ROWS(A$1:A5)),"")</f>
        <v>ResultsOneYear</v>
      </c>
    </row>
    <row r="372" spans="4:4" ht="12.75">
      <c r="D372" s="1105" t="str">
        <f ca="1">IFERROR(INDEX(MID(SheetNames,FIND("]",SheetNames)+1,255),ROWS(A$1:A6)),"")</f>
        <v>ResultsAllYears</v>
      </c>
    </row>
    <row r="373" spans="4:4" ht="12.75">
      <c r="D373" s="1105" t="str">
        <f ca="1">IFERROR(INDEX(MID(SheetNames,FIND("]",SheetNames)+1,255),ROWS(A$1:A7)),"")</f>
        <v>A4results</v>
      </c>
    </row>
    <row r="374" spans="4:4" ht="12.75">
      <c r="D374" s="1105" t="str">
        <f ca="1">IFERROR(INDEX(MID(SheetNames,FIND("]",SheetNames)+1,255),ROWS(A$1:A8)),"")</f>
        <v>Vehicles</v>
      </c>
    </row>
    <row r="375" spans="4:4" ht="12.75">
      <c r="D375" s="1105" t="str">
        <f ca="1">IFERROR(INDEX(MID(SheetNames,FIND("]",SheetNames)+1,255),ROWS(A$1:A9)),"")</f>
        <v>Fuels</v>
      </c>
    </row>
    <row r="376" spans="4:4" ht="12.75">
      <c r="D376" s="1105" t="str">
        <f ca="1">IFERROR(INDEX(MID(SheetNames,FIND("]",SheetNames)+1,255),ROWS(A$1:A10)),"")</f>
        <v>ProcessEnergy</v>
      </c>
    </row>
    <row r="377" spans="4:4" ht="12.75">
      <c r="D377" s="1105" t="str">
        <f ca="1">IFERROR(INDEX(MID(SheetNames,FIND("]",SheetNames)+1,255),ROWS(A$1:A11)),"")</f>
        <v>Prices</v>
      </c>
    </row>
    <row r="378" spans="4:4" ht="12.75">
      <c r="D378" s="1105" t="str">
        <f ca="1">IFERROR(INDEX(MID(SheetNames,FIND("]",SheetNames)+1,255),ROWS(A$1:A12)),"")</f>
        <v>Feedstocks</v>
      </c>
    </row>
    <row r="379" spans="4:4" ht="12.75">
      <c r="D379" s="1105" t="str">
        <f ca="1">IFERROR(INDEX(MID(SheetNames,FIND("]",SheetNames)+1,255),ROWS(A$1:A13)),"")</f>
        <v>Distribution</v>
      </c>
    </row>
    <row r="380" spans="4:4" ht="12.75">
      <c r="D380" s="1105" t="str">
        <f ca="1">IFERROR(INDEX(MID(SheetNames,FIND("]",SheetNames)+1,255),ROWS(A$1:A14)),"")</f>
        <v>Supplementary</v>
      </c>
    </row>
    <row r="381" spans="4:4" ht="12.75">
      <c r="D381" s="1105" t="str">
        <f ca="1">IFERROR(INDEX(MID(SheetNames,FIND("]",SheetNames)+1,255),ROWS(A$1:A15)),"")</f>
        <v>(FORCE 1) Bio-Methanol</v>
      </c>
    </row>
    <row r="382" spans="4:4" ht="12.75">
      <c r="D382" s="1105" t="str">
        <f ca="1">IFERROR(INDEX(MID(SheetNames,FIND("]",SheetNames)+1,255),ROWS(A$1:A16)),"")</f>
        <v>(FORCE 2) ETL-Methanol</v>
      </c>
    </row>
    <row r="383" spans="4:4" ht="12.75">
      <c r="D383" s="1105" t="str">
        <f ca="1">IFERROR(INDEX(MID(SheetNames,FIND("]",SheetNames)+1,255),ROWS(A$1:A17)),"")</f>
        <v>(FORCE 3) 1G ethanol</v>
      </c>
    </row>
    <row r="384" spans="4:4" ht="12.75">
      <c r="D384" s="1105" t="str">
        <f ca="1">IFERROR(INDEX(MID(SheetNames,FIND("]",SheetNames)+1,255),ROWS(A$1:A18)),"")</f>
        <v>(FORCE 4) 2G ethanol</v>
      </c>
    </row>
    <row r="385" spans="4:4" ht="12.75">
      <c r="D385" s="1105" t="str">
        <f ca="1">IFERROR(INDEX(MID(SheetNames,FIND("]",SheetNames)+1,255),ROWS(A$1:A19)),"")</f>
        <v>(FORCE 7) 2G diesel</v>
      </c>
    </row>
    <row r="386" spans="4:4" ht="12.75">
      <c r="D386" s="1105" t="str">
        <f ca="1">IFERROR(INDEX(MID(SheetNames,FIND("]",SheetNames)+1,255),ROWS(A$1:A20)),"")</f>
        <v xml:space="preserve">(FORCE 9) Bio-DME </v>
      </c>
    </row>
    <row r="387" spans="4:4" ht="12.75">
      <c r="D387" s="1105" t="str">
        <f ca="1">IFERROR(INDEX(MID(SheetNames,FIND("]",SheetNames)+1,255),ROWS(A$1:A22)),"")</f>
        <v>(FORCE 19) RME Rapeseed</v>
      </c>
    </row>
    <row r="388" spans="4:4" ht="12.75">
      <c r="D388" s="1105" t="str">
        <f ca="1">IFERROR(INDEX(MID(SheetNames,FIND("]",SheetNames)+1,255),ROWS(A$1:A23)),"")</f>
        <v>(FORCE 20) Ethanol SugarBeet</v>
      </c>
    </row>
    <row r="389" spans="4:4" ht="12.75">
      <c r="D389" s="1105" t="str">
        <f ca="1">IFERROR(INDEX(MID(SheetNames,FIND("]",SheetNames)+1,255),ROWS(A$1:A24)),"")</f>
        <v>Biogas ENS</v>
      </c>
    </row>
    <row r="390" spans="4:4" ht="12.75">
      <c r="D390" s="1105" t="str">
        <f ca="1">IFERROR(INDEX(MID(SheetNames,FIND("]",SheetNames)+1,255),ROWS(A$1:A25)),"")</f>
        <v>Diesel</v>
      </c>
    </row>
    <row r="391" spans="4:4" ht="12.75">
      <c r="D391" s="1105" t="str">
        <f ca="1">IFERROR(INDEX(MID(SheetNames,FIND("]",SheetNames)+1,255),ROWS(A$1:A26)),"")</f>
        <v>Benzin</v>
      </c>
    </row>
    <row r="392" spans="4:4" ht="12.75">
      <c r="D392" s="1105" t="str">
        <f ca="1">IFERROR(INDEX(MID(SheetNames,FIND("]",SheetNames)+1,255),ROWS(A$1:A27)),"")</f>
        <v>HFO</v>
      </c>
    </row>
    <row r="393" spans="4:4" ht="12.75">
      <c r="D393" s="1105" t="str">
        <f ca="1">IFERROR(INDEX(MID(SheetNames,FIND("]",SheetNames)+1,255),ROWS(A$1:A28)),"")</f>
        <v>Jet Fuel</v>
      </c>
    </row>
    <row r="394" spans="4:4" ht="12.75">
      <c r="D394" s="1105" t="str">
        <f ca="1">IFERROR(INDEX(MID(SheetNames,FIND("]",SheetNames)+1,255),ROWS(A$1:A29)),"")</f>
        <v>Naturgas raffinering</v>
      </c>
    </row>
    <row r="395" spans="4:4" ht="12.75">
      <c r="D395" s="1105" t="str">
        <f ca="1">IFERROR(INDEX(MID(SheetNames,FIND("]",SheetNames)+1,255),ROWS(A$1:A29)),"")</f>
        <v>Naturgas raffinering</v>
      </c>
    </row>
    <row r="396" spans="4:4" ht="12.75">
      <c r="D396" s="1105" t="str">
        <f ca="1">IFERROR(INDEX(MID(SheetNames,FIND("]",SheetNames)+1,255),ROWS(A$1:A29)),"")</f>
        <v>Naturgas raffinering</v>
      </c>
    </row>
    <row r="397" spans="4:4" ht="12.75">
      <c r="D397" s="1105" t="str">
        <f ca="1">IFERROR(INDEX(MID(SheetNames,FIND("]",SheetNames)+1,255),ROWS(A$1:A31)),"")</f>
        <v>oplade-elektricitet</v>
      </c>
    </row>
    <row r="398" spans="4:4" ht="12.75">
      <c r="D398" s="1105" t="str">
        <f ca="1">IFERROR(INDEX(MID(SheetNames,FIND("]",SheetNames)+1,255),ROWS(A$1:A32)),"")</f>
        <v>Importspor</v>
      </c>
    </row>
    <row r="399" spans="4:4" ht="12.75">
      <c r="D399" s="1105" t="str">
        <f ca="1">IFERROR(INDEX(MID(SheetNames,FIND("]",SheetNames)+1,255),ROWS(A$1:A33)),"")</f>
        <v>LNG</v>
      </c>
    </row>
    <row r="400" spans="4:4" ht="12.75">
      <c r="D400" s="1105" t="str">
        <f ca="1">IFERROR(INDEX(MID(SheetNames,FIND("]",SheetNames)+1,255),ROWS(A$1:A34)),"")</f>
        <v>tog-elektricitet</v>
      </c>
    </row>
    <row r="401" spans="4:4" ht="12.75">
      <c r="D401" s="1105" t="str">
        <f ca="1">IFERROR(INDEX(MID(SheetNames,FIND("]",SheetNames)+1,255),ROWS(A$1:A35)),"")</f>
        <v>Elektrolyse og komprimering</v>
      </c>
    </row>
    <row r="402" spans="4:4" ht="12.75">
      <c r="D402" s="1105" t="str">
        <f ca="1">IFERROR(INDEX(MID(SheetNames,FIND("]",SheetNames)+1,255),ROWS(A$1:A36)),"")</f>
        <v>Ladestation</v>
      </c>
    </row>
    <row r="403" spans="4:4" ht="12.75">
      <c r="D403" s="1105" t="str">
        <f ca="1">IFERROR(INDEX(MID(SheetNames,FIND("]",SheetNames)+1,255),ROWS(A$1:A37)),"")</f>
        <v>Ladestation Hybrid</v>
      </c>
    </row>
    <row r="404" spans="4:4" ht="12.75">
      <c r="D404" s="1105" t="str">
        <f ca="1">IFERROR(INDEX(MID(SheetNames,FIND("]",SheetNames)+1,255),ROWS(A$1:A38)),"")</f>
        <v>Naturgas komprimering</v>
      </c>
    </row>
    <row r="405" spans="4:4" ht="12.75">
      <c r="D405" s="1105" t="str">
        <f ca="1">IFERROR(INDEX(MID(SheetNames,FIND("]",SheetNames)+1,255),ROWS(A$1:A39)),"")</f>
        <v>Ingen mellem</v>
      </c>
    </row>
    <row r="406" spans="4:4" ht="12.75">
      <c r="D406" s="1105" t="str">
        <f ca="1">IFERROR(INDEX(MID(SheetNames,FIND("]",SheetNames)+1,255),ROWS(A$1:A40)),"")</f>
        <v>Std benzin motor</v>
      </c>
    </row>
    <row r="407" spans="4:4" ht="12.75">
      <c r="D407" s="1105" t="str">
        <f ca="1">IFERROR(INDEX(MID(SheetNames,FIND("]",SheetNames)+1,255),ROWS(A$1:A41)),"")</f>
        <v>Std diesel motor</v>
      </c>
    </row>
    <row r="408" spans="4:4" ht="12.75">
      <c r="D408" s="1105" t="str">
        <f ca="1">IFERROR(INDEX(MID(SheetNames,FIND("]",SheetNames)+1,255),ROWS(A$1:A43)),"")</f>
        <v>Tilpasset Otto motor</v>
      </c>
    </row>
    <row r="409" spans="4:4" ht="12.75">
      <c r="D409" s="1105" t="str">
        <f ca="1">IFERROR(INDEX(MID(SheetNames,FIND("]",SheetNames)+1,255),ROWS(A$1:A44)),"")</f>
        <v>Brændselscelle, brint</v>
      </c>
    </row>
    <row r="410" spans="4:4" ht="12.75">
      <c r="D410" s="1105" t="str">
        <f ca="1">IFERROR(INDEX(MID(SheetNames,FIND("]",SheetNames)+1,255),ROWS(A$1:A45)),"")</f>
        <v>Brændselscelle, brinthybrid</v>
      </c>
    </row>
    <row r="411" spans="4:4" ht="12.75">
      <c r="D411" s="1105" t="str">
        <f ca="1">IFERROR(INDEX(MID(SheetNames,FIND("]",SheetNames)+1,255),ROWS(A$1:A46)),"")</f>
        <v>Brændselscelle, methanolhybrid</v>
      </c>
    </row>
    <row r="412" spans="4:4" ht="12.75">
      <c r="D412" s="1105" t="str">
        <f ca="1">IFERROR(INDEX(MID(SheetNames,FIND("]",SheetNames)+1,255),ROWS(A$1:A47)),"")</f>
        <v>Plugin Hybrid</v>
      </c>
    </row>
    <row r="413" spans="4:4" ht="12.75">
      <c r="D413" s="1105" t="str">
        <f ca="1">IFERROR(INDEX(MID(SheetNames,FIND("]",SheetNames)+1,255),ROWS(A$1:A48)),"")</f>
        <v>Elmotor</v>
      </c>
    </row>
    <row r="414" spans="4:4" ht="12.75">
      <c r="D414" s="1105" t="str">
        <f ca="1">IFERROR(INDEX(MID(SheetNames,FIND("]",SheetNames)+1,255),ROWS(A$1:A48)),"")</f>
        <v>Elmotor</v>
      </c>
    </row>
    <row r="415" spans="4:4" ht="12.75">
      <c r="D415" s="1105" t="str">
        <f ca="1">IFERROR(INDEX(MID(SheetNames,FIND("]",SheetNames)+1,255),ROWS(A$1:A48)),"")</f>
        <v>Elmotor</v>
      </c>
    </row>
    <row r="416" spans="4:4" ht="12.75">
      <c r="D416" s="1105" t="str">
        <f ca="1">IFERROR(INDEX(MID(SheetNames,FIND("]",SheetNames)+1,255),ROWS(A$1:A48)),"")</f>
        <v>Elmotor</v>
      </c>
    </row>
    <row r="417" spans="4:4" ht="12.75">
      <c r="D417" s="1105" t="str">
        <f ca="1">IFERROR(INDEX(MID(SheetNames,FIND("]",SheetNames)+1,255),ROWS(A$1:A49)),"")</f>
        <v>Lastbil</v>
      </c>
    </row>
    <row r="418" spans="4:4" ht="12.75">
      <c r="D418" s="1105" t="str">
        <f ca="1">IFERROR(INDEX(MID(SheetNames,FIND("]",SheetNames)+1,255),ROWS(A$1:A50)),"")</f>
        <v>Lastbil DME</v>
      </c>
    </row>
    <row r="419" spans="4:4" ht="12.75">
      <c r="D419" s="1105" t="str">
        <f ca="1">IFERROR(INDEX(MID(SheetNames,FIND("]",SheetNames)+1,255),ROWS(A$1:A51)),"")</f>
        <v>Lastbil RME</v>
      </c>
    </row>
    <row r="420" spans="4:4" ht="12.75">
      <c r="D420" s="1105" t="str">
        <f ca="1">IFERROR(INDEX(MID(SheetNames,FIND("]",SheetNames)+1,255),ROWS(A$1:A52)),"")</f>
        <v>Lastbil Gas</v>
      </c>
    </row>
    <row r="421" spans="4:4" ht="12.75">
      <c r="D421" s="1105" t="str">
        <f ca="1">IFERROR(INDEX(MID(SheetNames,FIND("]",SheetNames)+1,255),ROWS(A$1:A53)),"")</f>
        <v>Bus</v>
      </c>
    </row>
    <row r="422" spans="4:4" ht="12.75">
      <c r="D422" s="1105" t="str">
        <f ca="1">IFERROR(INDEX(MID(SheetNames,FIND("]",SheetNames)+1,255),ROWS(A$1:A54)),"")</f>
        <v>Bus Gas</v>
      </c>
    </row>
    <row r="423" spans="4:4" ht="12.75">
      <c r="D423" s="1105" t="str">
        <f ca="1">IFERROR(INDEX(MID(SheetNames,FIND("]",SheetNames)+1,255),ROWS(A$1:A55)),"")</f>
        <v>Bus Hybrid</v>
      </c>
    </row>
    <row r="424" spans="4:4" ht="12.75">
      <c r="D424" s="1105" t="str">
        <f ca="1">IFERROR(INDEX(MID(SheetNames,FIND("]",SheetNames)+1,255),ROWS(A$1:A56)),"")</f>
        <v>9000 TEU HFO</v>
      </c>
    </row>
    <row r="425" spans="4:4" ht="12.75">
      <c r="D425" s="1105" t="str">
        <f ca="1">IFERROR(INDEX(MID(SheetNames,FIND("]",SheetNames)+1,255),ROWS(A$1:A57)),"")</f>
        <v>9000 TEU Diesel</v>
      </c>
    </row>
    <row r="426" spans="4:4" ht="12.75">
      <c r="D426" s="1105" t="str">
        <f ca="1">IFERROR(INDEX(MID(SheetNames,FIND("]",SheetNames)+1,255),ROWS(A$1:A58)),"")</f>
        <v>9000 TEU Dual fuel</v>
      </c>
    </row>
    <row r="427" spans="4:4" ht="12.75">
      <c r="D427" s="1105" t="str">
        <f ca="1">IFERROR(INDEX(MID(SheetNames,FIND("]",SheetNames)+1,255),ROWS(A$1:A59)),"")</f>
        <v>Katamaran ferry</v>
      </c>
    </row>
    <row r="428" spans="4:4" ht="12.75">
      <c r="D428" s="1105" t="str">
        <f ca="1">IFERROR(INDEX(MID(SheetNames,FIND("]",SheetNames)+1,255),ROWS(A$1:A60)),"")</f>
        <v>SAS avg. airplane</v>
      </c>
    </row>
    <row r="429" spans="4:4" ht="12.75">
      <c r="D429" s="1105" t="str">
        <f ca="1">IFERROR(INDEX(MID(SheetNames,FIND("]",SheetNames)+1,255),ROWS(A$1:A61)),"")</f>
        <v>Diesel Lokaltog</v>
      </c>
    </row>
    <row r="430" spans="4:4" ht="12.75">
      <c r="D430" s="1105" t="str">
        <f ca="1">IFERROR(INDEX(MID(SheetNames,FIND("]",SheetNames)+1,255),ROWS(A$1:A62)),"")</f>
        <v>Gas Lokaltog</v>
      </c>
    </row>
    <row r="431" spans="4:4" ht="12.75">
      <c r="D431" s="1105" t="str">
        <f ca="1">IFERROR(INDEX(MID(SheetNames,FIND("]",SheetNames)+1,255),ROWS(A$1:A63)),"")</f>
        <v>Diesel IC-reg.tog</v>
      </c>
    </row>
    <row r="432" spans="4:4" ht="12.75">
      <c r="D432" s="1105" t="str">
        <f ca="1">IFERROR(INDEX(MID(SheetNames,FIND("]",SheetNames)+1,255),ROWS(A$1:A64)),"")</f>
        <v>El IC-reg.tog</v>
      </c>
    </row>
    <row r="433" spans="4:4" ht="12.75">
      <c r="D433" s="1105" t="str">
        <f ca="1">IFERROR(INDEX(MID(SheetNames,FIND("]",SheetNames)+1,255),ROWS(A$1:A65)),"")</f>
        <v>Sensitivity</v>
      </c>
    </row>
    <row r="434" spans="4:4" ht="12.75">
      <c r="D434" s="1105"/>
    </row>
    <row r="435" spans="4:4" ht="12.75">
      <c r="D435" s="1105"/>
    </row>
  </sheetData>
  <dataConsolidate/>
  <conditionalFormatting sqref="U1">
    <cfRule type="cellIs" dxfId="83" priority="39" operator="notEqual">
      <formula>0</formula>
    </cfRule>
  </conditionalFormatting>
  <conditionalFormatting sqref="Y1:AA1">
    <cfRule type="cellIs" dxfId="82" priority="33" operator="notEqual">
      <formula>0</formula>
    </cfRule>
  </conditionalFormatting>
  <conditionalFormatting sqref="X1">
    <cfRule type="cellIs" dxfId="81" priority="31" operator="notEqual">
      <formula>0</formula>
    </cfRule>
  </conditionalFormatting>
  <conditionalFormatting sqref="W1">
    <cfRule type="cellIs" dxfId="80" priority="29" operator="notEqual">
      <formula>0</formula>
    </cfRule>
  </conditionalFormatting>
  <conditionalFormatting sqref="V1">
    <cfRule type="cellIs" dxfId="79" priority="27" operator="notEqual">
      <formula>0</formula>
    </cfRule>
  </conditionalFormatting>
  <dataValidations count="5">
    <dataValidation type="list" allowBlank="1" showInputMessage="1" showErrorMessage="1" sqref="F9:AL9">
      <formula1>$F$319:$F$323</formula1>
    </dataValidation>
    <dataValidation type="list" allowBlank="1" showInputMessage="1" showErrorMessage="1" sqref="F12:N12 P12:AL12">
      <formula1>$AB$319:$AB$330</formula1>
    </dataValidation>
    <dataValidation type="list" allowBlank="1" showInputMessage="1" showErrorMessage="1" sqref="F8:AL8">
      <formula1>$D$319:$D$334</formula1>
    </dataValidation>
    <dataValidation type="list" allowBlank="1" showInputMessage="1" showErrorMessage="1" sqref="O11:O12 F11:N11 P11:AL11">
      <formula1>$S$319:$S$344</formula1>
    </dataValidation>
    <dataValidation type="list" allowBlank="1" showInputMessage="1" showErrorMessage="1" sqref="F10:AL10">
      <formula1>$N$319:$N$339</formula1>
    </dataValidation>
  </dataValidations>
  <pageMargins left="0.75" right="0.44" top="0.56000000000000005" bottom="0.49" header="0.5" footer="0.5"/>
  <pageSetup paperSize="9" scale="31" orientation="portrait" r:id="rId1"/>
  <headerFooter alignWithMargins="0"/>
  <cellWatches>
    <cellWatch r="Q2"/>
    <cellWatch r="R2"/>
  </cellWatches>
  <drawing r:id="rId2"/>
  <legacyDrawing r:id="rId3"/>
  <mc:AlternateContent xmlns:mc="http://schemas.openxmlformats.org/markup-compatibility/2006">
    <mc:Choice Requires="x14">
      <controls>
        <mc:AlternateContent xmlns:mc="http://schemas.openxmlformats.org/markup-compatibility/2006">
          <mc:Choice Requires="x14">
            <control shapeId="472065" r:id="rId4" name="Button 1">
              <controlPr defaultSize="0" print="0" autoFill="0" autoPict="0" macro="[0]!GtOver">
                <anchor>
                  <from>
                    <xdr:col>7</xdr:col>
                    <xdr:colOff>628650</xdr:colOff>
                    <xdr:row>0</xdr:row>
                    <xdr:rowOff>38100</xdr:rowOff>
                  </from>
                  <to>
                    <xdr:col>9</xdr:col>
                    <xdr:colOff>428625</xdr:colOff>
                    <xdr:row>0</xdr:row>
                    <xdr:rowOff>247650</xdr:rowOff>
                  </to>
                </anchor>
              </controlPr>
            </control>
          </mc:Choice>
        </mc:AlternateContent>
        <mc:AlternateContent xmlns:mc="http://schemas.openxmlformats.org/markup-compatibility/2006">
          <mc:Choice Requires="x14">
            <control shapeId="472066" r:id="rId5" name="Button 2">
              <controlPr defaultSize="0" print="0" autoFill="0" autoPict="0" macro="[0]!GtRes">
                <anchor>
                  <from>
                    <xdr:col>9</xdr:col>
                    <xdr:colOff>590550</xdr:colOff>
                    <xdr:row>0</xdr:row>
                    <xdr:rowOff>38100</xdr:rowOff>
                  </from>
                  <to>
                    <xdr:col>11</xdr:col>
                    <xdr:colOff>342900</xdr:colOff>
                    <xdr:row>0</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Supplementary!$D$145:$P$145</xm:f>
          </x14:formula1>
          <xm:sqref>F7:AL7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8" tint="0.39997558519241921"/>
  </sheetPr>
  <dimension ref="A1:AF175"/>
  <sheetViews>
    <sheetView zoomScale="80" zoomScaleNormal="80" workbookViewId="0">
      <selection activeCell="C9" sqref="C9"/>
    </sheetView>
  </sheetViews>
  <sheetFormatPr defaultRowHeight="12.75"/>
  <cols>
    <col min="1" max="1" width="3.5703125" style="70" customWidth="1"/>
    <col min="2" max="2" width="30.7109375" style="70" customWidth="1"/>
    <col min="3" max="3" width="14" style="70" customWidth="1"/>
    <col min="4" max="8" width="9.140625" style="70"/>
    <col min="9" max="9" width="11.28515625" style="70" customWidth="1"/>
    <col min="10" max="10" width="9.5703125" style="70" customWidth="1"/>
    <col min="11" max="11" width="9.140625" style="70"/>
    <col min="12" max="12" width="21.7109375" style="70" customWidth="1"/>
    <col min="13" max="18" width="9.140625" style="70"/>
    <col min="19" max="19" width="20.28515625" style="70" customWidth="1"/>
    <col min="20" max="16384" width="9.140625" style="70"/>
  </cols>
  <sheetData>
    <row r="1" spans="1:18" s="465" customFormat="1" ht="21">
      <c r="A1" s="465" t="s">
        <v>1019</v>
      </c>
      <c r="P1" s="2399">
        <f ca="1">'Log2015'!$M$1</f>
        <v>-8.0112614142160741</v>
      </c>
      <c r="Q1" s="465">
        <f ca="1">'Log2015'!M1</f>
        <v>-8.0112614142160741</v>
      </c>
      <c r="R1" s="465">
        <f ca="1">'Log2015'!N1</f>
        <v>-160807.124977848</v>
      </c>
    </row>
    <row r="2" spans="1:18" s="116" customFormat="1" ht="13.5" customHeight="1"/>
    <row r="3" spans="1:18" s="116" customFormat="1" ht="13.5" customHeight="1">
      <c r="B3" s="546"/>
      <c r="C3" s="547" t="s">
        <v>886</v>
      </c>
      <c r="D3" s="547" t="s">
        <v>884</v>
      </c>
      <c r="E3" s="547" t="s">
        <v>28</v>
      </c>
      <c r="F3" s="547" t="s">
        <v>885</v>
      </c>
      <c r="G3" s="547" t="s">
        <v>25</v>
      </c>
      <c r="H3" s="547" t="s">
        <v>45</v>
      </c>
      <c r="I3" s="547" t="s">
        <v>493</v>
      </c>
      <c r="J3" s="92" t="s">
        <v>904</v>
      </c>
      <c r="K3" s="2413" t="s">
        <v>2508</v>
      </c>
    </row>
    <row r="4" spans="1:18">
      <c r="B4" s="548"/>
      <c r="C4" s="449" t="s">
        <v>203</v>
      </c>
      <c r="D4" s="449" t="s">
        <v>203</v>
      </c>
      <c r="E4" s="449" t="s">
        <v>203</v>
      </c>
      <c r="F4" s="449" t="s">
        <v>203</v>
      </c>
      <c r="G4" s="449" t="s">
        <v>203</v>
      </c>
      <c r="H4" s="449" t="s">
        <v>203</v>
      </c>
      <c r="I4" s="449" t="s">
        <v>887</v>
      </c>
      <c r="J4" s="444" t="s">
        <v>159</v>
      </c>
      <c r="K4" s="2414" t="s">
        <v>2507</v>
      </c>
    </row>
    <row r="5" spans="1:18">
      <c r="B5" s="549" t="s">
        <v>880</v>
      </c>
      <c r="C5" s="833">
        <f ca="1">C6</f>
        <v>4832.8209659431113</v>
      </c>
      <c r="D5" s="834">
        <f t="shared" ref="D5:J5" ca="1" si="0">D6</f>
        <v>0.1</v>
      </c>
      <c r="E5" s="834">
        <f t="shared" ca="1" si="0"/>
        <v>0.1</v>
      </c>
      <c r="F5" s="834">
        <f t="shared" ca="1" si="0"/>
        <v>0.3</v>
      </c>
      <c r="G5" s="834">
        <f t="shared" ca="1" si="0"/>
        <v>55</v>
      </c>
      <c r="H5" s="834">
        <f t="shared" ca="1" si="0"/>
        <v>0.1</v>
      </c>
      <c r="I5" s="835">
        <f t="shared" ca="1" si="0"/>
        <v>104.52616523108871</v>
      </c>
      <c r="J5" s="836">
        <f t="shared" ca="1" si="0"/>
        <v>0.24076664595307512</v>
      </c>
      <c r="K5" s="2323"/>
    </row>
    <row r="6" spans="1:18">
      <c r="B6" s="95" t="s">
        <v>881</v>
      </c>
      <c r="C6" s="830">
        <f t="shared" ref="C6:H6" ca="1" si="1">OFFSET(C$88,chosenYear,0)</f>
        <v>4832.8209659431113</v>
      </c>
      <c r="D6" s="832">
        <f t="shared" ca="1" si="1"/>
        <v>0.1</v>
      </c>
      <c r="E6" s="832">
        <f t="shared" ca="1" si="1"/>
        <v>0.1</v>
      </c>
      <c r="F6" s="832">
        <f t="shared" ca="1" si="1"/>
        <v>0.3</v>
      </c>
      <c r="G6" s="832">
        <f t="shared" ca="1" si="1"/>
        <v>55</v>
      </c>
      <c r="H6" s="832">
        <f t="shared" ca="1" si="1"/>
        <v>0.1</v>
      </c>
      <c r="I6" s="446">
        <f ca="1">Prices!Q6/(Supplementary!C50*1000)</f>
        <v>104.52616523108871</v>
      </c>
      <c r="J6" s="831">
        <f ca="1">C6*Supplementary!D137/1000000</f>
        <v>0.24076664595307512</v>
      </c>
      <c r="K6" s="2323"/>
    </row>
    <row r="7" spans="1:18">
      <c r="B7" s="549" t="s">
        <v>874</v>
      </c>
      <c r="C7" s="830">
        <f t="shared" ref="C7:H7" ca="1" si="2">OFFSET(C$128,chosenYear,0)</f>
        <v>11742.642920893875</v>
      </c>
      <c r="D7" s="832">
        <f t="shared" ca="1" si="2"/>
        <v>8.0814024812186318</v>
      </c>
      <c r="E7" s="832">
        <f t="shared" ca="1" si="2"/>
        <v>0.41665763627353469</v>
      </c>
      <c r="F7" s="832">
        <f t="shared" ca="1" si="2"/>
        <v>19.131163134406147</v>
      </c>
      <c r="G7" s="832">
        <f t="shared" ca="1" si="2"/>
        <v>25.75936563855759</v>
      </c>
      <c r="H7" s="832">
        <f t="shared" ca="1" si="2"/>
        <v>2</v>
      </c>
      <c r="I7" s="446">
        <f ca="1">Prices!Q27</f>
        <v>71.287484397741025</v>
      </c>
      <c r="J7" s="241"/>
      <c r="K7" s="2323"/>
    </row>
    <row r="8" spans="1:18">
      <c r="B8" s="549" t="s">
        <v>875</v>
      </c>
      <c r="C8" s="858">
        <f ca="1">C6</f>
        <v>4832.8209659431113</v>
      </c>
      <c r="D8" s="858">
        <f t="shared" ref="D8:I8" ca="1" si="3">D6</f>
        <v>0.1</v>
      </c>
      <c r="E8" s="859">
        <f t="shared" ca="1" si="3"/>
        <v>0.1</v>
      </c>
      <c r="F8" s="859">
        <f t="shared" ca="1" si="3"/>
        <v>0.3</v>
      </c>
      <c r="G8" s="858">
        <f t="shared" ca="1" si="3"/>
        <v>55</v>
      </c>
      <c r="H8" s="858">
        <f t="shared" ca="1" si="3"/>
        <v>0.1</v>
      </c>
      <c r="I8" s="858">
        <f t="shared" ca="1" si="3"/>
        <v>104.52616523108871</v>
      </c>
      <c r="J8" s="241"/>
      <c r="K8" s="2323"/>
      <c r="L8" s="98"/>
    </row>
    <row r="9" spans="1:18">
      <c r="B9" s="549" t="s">
        <v>882</v>
      </c>
      <c r="C9" s="446">
        <f>Supplementary!E73</f>
        <v>78900</v>
      </c>
      <c r="D9" s="446">
        <f>Supplementary!F73</f>
        <v>0.9</v>
      </c>
      <c r="E9" s="450">
        <f>Supplementary!G73</f>
        <v>0.3</v>
      </c>
      <c r="F9" s="450">
        <f>Supplementary!H73</f>
        <v>344</v>
      </c>
      <c r="G9" s="446">
        <f>Supplementary!I73</f>
        <v>142</v>
      </c>
      <c r="H9" s="446">
        <f>Supplementary!J73</f>
        <v>0</v>
      </c>
      <c r="I9" s="446">
        <f ca="1">Prices!Q12</f>
        <v>107.82999339926188</v>
      </c>
      <c r="J9" s="241"/>
      <c r="K9" s="2323"/>
      <c r="L9" s="98"/>
    </row>
    <row r="10" spans="1:18">
      <c r="B10" s="549" t="s">
        <v>191</v>
      </c>
      <c r="C10" s="446">
        <f>Supplementary!E66</f>
        <v>93600</v>
      </c>
      <c r="D10" s="446">
        <f>Supplementary!F66</f>
        <v>0.9</v>
      </c>
      <c r="E10" s="450">
        <f>Supplementary!G66</f>
        <v>0.8</v>
      </c>
      <c r="F10" s="450">
        <f>Supplementary!H66</f>
        <v>10</v>
      </c>
      <c r="G10" s="446">
        <f>Supplementary!I66</f>
        <v>30</v>
      </c>
      <c r="H10" s="446">
        <f>Supplementary!J66</f>
        <v>2.1</v>
      </c>
      <c r="I10" s="446">
        <f ca="1">Prices!Q13</f>
        <v>28.441450277315031</v>
      </c>
      <c r="J10" s="241"/>
      <c r="K10" s="2323"/>
      <c r="L10" s="98"/>
    </row>
    <row r="11" spans="1:18">
      <c r="B11" s="550" t="s">
        <v>891</v>
      </c>
      <c r="C11" s="446">
        <f>Supplementary!E76</f>
        <v>56740</v>
      </c>
      <c r="D11" s="446">
        <f>Supplementary!F76</f>
        <v>0.1</v>
      </c>
      <c r="E11" s="450">
        <f>Supplementary!G76</f>
        <v>0.1</v>
      </c>
      <c r="F11" s="450">
        <f>Supplementary!H76</f>
        <v>0.3</v>
      </c>
      <c r="G11" s="446">
        <f>Supplementary!I76</f>
        <v>42</v>
      </c>
      <c r="H11" s="446">
        <f>Supplementary!J76</f>
        <v>0.1</v>
      </c>
      <c r="I11" s="446">
        <f ca="1">Prices!Q14</f>
        <v>60.03565279090197</v>
      </c>
      <c r="J11" s="241"/>
      <c r="K11" s="2323"/>
      <c r="L11" s="98"/>
    </row>
    <row r="12" spans="1:18">
      <c r="B12" s="549" t="s">
        <v>883</v>
      </c>
      <c r="C12" s="446">
        <f ca="1">OFFSET($C$171,chosenYear,,,)</f>
        <v>-66200</v>
      </c>
      <c r="D12" s="446"/>
      <c r="E12" s="450"/>
      <c r="F12" s="450"/>
      <c r="G12" s="446"/>
      <c r="H12" s="446"/>
      <c r="I12" s="446"/>
      <c r="J12" s="241"/>
      <c r="K12" s="2323"/>
      <c r="L12" s="98"/>
    </row>
    <row r="13" spans="1:18">
      <c r="B13" s="549" t="s">
        <v>204</v>
      </c>
      <c r="C13" s="446">
        <f>Supplementary!E71</f>
        <v>37000</v>
      </c>
      <c r="D13" s="446">
        <f>Supplementary!F71</f>
        <v>0.34</v>
      </c>
      <c r="E13" s="450">
        <f>Supplementary!G71</f>
        <v>1.2</v>
      </c>
      <c r="F13" s="450">
        <f>Supplementary!H71</f>
        <v>8.3000000000000007</v>
      </c>
      <c r="G13" s="446">
        <f>Supplementary!I71</f>
        <v>102</v>
      </c>
      <c r="H13" s="446">
        <f>Supplementary!J71</f>
        <v>0.28999999999999998</v>
      </c>
      <c r="I13" s="446">
        <v>0</v>
      </c>
      <c r="J13" s="241"/>
      <c r="K13" s="2323"/>
      <c r="L13" s="65"/>
    </row>
    <row r="14" spans="1:18">
      <c r="B14" s="549" t="s">
        <v>596</v>
      </c>
      <c r="C14" s="446">
        <v>0</v>
      </c>
      <c r="D14" s="446"/>
      <c r="E14" s="450"/>
      <c r="F14" s="450"/>
      <c r="G14" s="446"/>
      <c r="H14" s="446"/>
      <c r="I14" s="446"/>
      <c r="J14" s="241"/>
      <c r="K14" s="2323"/>
      <c r="L14" s="65"/>
    </row>
    <row r="15" spans="1:18">
      <c r="B15" s="549" t="s">
        <v>467</v>
      </c>
      <c r="C15" s="446">
        <v>0</v>
      </c>
      <c r="D15" s="446"/>
      <c r="E15" s="450"/>
      <c r="F15" s="450"/>
      <c r="G15" s="446"/>
      <c r="H15" s="446"/>
      <c r="I15" s="446"/>
      <c r="J15" s="241"/>
      <c r="K15" s="2323"/>
    </row>
    <row r="16" spans="1:18" s="1240" customFormat="1">
      <c r="B16" s="549" t="s">
        <v>1080</v>
      </c>
      <c r="C16" s="446">
        <v>107700</v>
      </c>
      <c r="D16" s="446"/>
      <c r="E16" s="450"/>
      <c r="F16" s="450"/>
      <c r="G16" s="446"/>
      <c r="H16" s="446"/>
      <c r="I16" s="446">
        <f ca="1">Prices!Q26</f>
        <v>123.67344474925807</v>
      </c>
      <c r="J16" s="1509"/>
      <c r="K16" s="2323"/>
    </row>
    <row r="17" spans="1:11" s="1240" customFormat="1">
      <c r="B17" s="549" t="s">
        <v>2506</v>
      </c>
      <c r="C17" s="446"/>
      <c r="D17" s="446"/>
      <c r="E17" s="450"/>
      <c r="F17" s="450"/>
      <c r="G17" s="446"/>
      <c r="H17" s="446"/>
      <c r="I17" s="446"/>
      <c r="J17" s="1509"/>
      <c r="K17" s="2323"/>
    </row>
    <row r="18" spans="1:11" s="1240" customFormat="1">
      <c r="B18" s="549" t="s">
        <v>2506</v>
      </c>
      <c r="C18" s="446"/>
      <c r="D18" s="446"/>
      <c r="E18" s="450"/>
      <c r="F18" s="450"/>
      <c r="G18" s="446"/>
      <c r="H18" s="446"/>
      <c r="I18" s="446"/>
      <c r="J18" s="1509"/>
      <c r="K18" s="2323"/>
    </row>
    <row r="19" spans="1:11" s="1240" customFormat="1">
      <c r="B19" s="549" t="s">
        <v>2506</v>
      </c>
      <c r="C19" s="446"/>
      <c r="D19" s="446"/>
      <c r="E19" s="450"/>
      <c r="F19" s="450"/>
      <c r="G19" s="446"/>
      <c r="H19" s="446"/>
      <c r="I19" s="446"/>
      <c r="J19" s="1509"/>
      <c r="K19" s="2323"/>
    </row>
    <row r="20" spans="1:11" s="1240" customFormat="1">
      <c r="B20" s="549" t="s">
        <v>2506</v>
      </c>
      <c r="C20" s="446"/>
      <c r="D20" s="446"/>
      <c r="E20" s="450"/>
      <c r="F20" s="450"/>
      <c r="G20" s="446"/>
      <c r="H20" s="446"/>
      <c r="I20" s="446"/>
      <c r="J20" s="1509"/>
      <c r="K20" s="2323"/>
    </row>
    <row r="21" spans="1:11" s="1240" customFormat="1">
      <c r="B21" s="549" t="s">
        <v>2506</v>
      </c>
      <c r="C21" s="446"/>
      <c r="D21" s="446"/>
      <c r="E21" s="450"/>
      <c r="F21" s="450"/>
      <c r="G21" s="446"/>
      <c r="H21" s="446"/>
      <c r="I21" s="446"/>
      <c r="J21" s="1509"/>
      <c r="K21" s="2323"/>
    </row>
    <row r="22" spans="1:11" s="1240" customFormat="1">
      <c r="B22" s="549" t="s">
        <v>2506</v>
      </c>
      <c r="C22" s="446"/>
      <c r="D22" s="446"/>
      <c r="E22" s="450"/>
      <c r="F22" s="450"/>
      <c r="G22" s="446"/>
      <c r="H22" s="446"/>
      <c r="I22" s="446"/>
      <c r="J22" s="1509"/>
      <c r="K22" s="2323"/>
    </row>
    <row r="23" spans="1:11" s="1240" customFormat="1">
      <c r="B23" s="549" t="s">
        <v>2506</v>
      </c>
      <c r="C23" s="446"/>
      <c r="D23" s="446"/>
      <c r="E23" s="450"/>
      <c r="F23" s="450"/>
      <c r="G23" s="446"/>
      <c r="H23" s="446"/>
      <c r="I23" s="446"/>
      <c r="J23" s="1509"/>
      <c r="K23" s="2323"/>
    </row>
    <row r="24" spans="1:11">
      <c r="B24" s="548" t="s">
        <v>2506</v>
      </c>
      <c r="C24" s="2408">
        <v>0</v>
      </c>
      <c r="D24" s="2409"/>
      <c r="E24" s="397"/>
      <c r="F24" s="397"/>
      <c r="G24" s="2409"/>
      <c r="H24" s="2409"/>
      <c r="I24" s="2409"/>
      <c r="J24" s="444"/>
      <c r="K24" s="2320"/>
    </row>
    <row r="25" spans="1:11">
      <c r="B25" s="1240" t="s">
        <v>2509</v>
      </c>
      <c r="C25" s="1240"/>
      <c r="D25" s="1240"/>
      <c r="E25" s="1240"/>
      <c r="F25" s="1240"/>
      <c r="G25" s="1240"/>
      <c r="H25" s="1240"/>
      <c r="I25" s="1240"/>
      <c r="J25" s="1240"/>
    </row>
    <row r="26" spans="1:11">
      <c r="B26" s="1240"/>
      <c r="C26" s="1240"/>
      <c r="D26" s="1240"/>
      <c r="E26" s="1240"/>
      <c r="F26" s="1240"/>
      <c r="G26" s="1240"/>
      <c r="H26" s="1240"/>
      <c r="I26" s="1240"/>
      <c r="J26" s="1240"/>
    </row>
    <row r="27" spans="1:11">
      <c r="B27" s="1240"/>
      <c r="C27" s="1240"/>
      <c r="D27" s="1240"/>
      <c r="E27" s="1240"/>
      <c r="F27" s="1240"/>
      <c r="G27" s="1240"/>
      <c r="H27" s="1240"/>
      <c r="I27" s="1240"/>
      <c r="J27" s="1240"/>
    </row>
    <row r="31" spans="1:11" s="14" customFormat="1" ht="18">
      <c r="A31" s="14" t="s">
        <v>2436</v>
      </c>
    </row>
    <row r="32" spans="1:11" s="209" customFormat="1"/>
    <row r="33" spans="2:29" s="209" customFormat="1" ht="15">
      <c r="B33" s="2317"/>
      <c r="C33" s="2318" t="s">
        <v>886</v>
      </c>
      <c r="D33" s="2318" t="s">
        <v>884</v>
      </c>
      <c r="E33" s="2318" t="s">
        <v>28</v>
      </c>
      <c r="F33" s="2318" t="s">
        <v>885</v>
      </c>
      <c r="G33" s="2318" t="s">
        <v>25</v>
      </c>
      <c r="H33" s="2318" t="s">
        <v>45</v>
      </c>
      <c r="I33" s="2319"/>
      <c r="L33" s="2310" t="s">
        <v>2442</v>
      </c>
      <c r="S33" s="2310" t="s">
        <v>2511</v>
      </c>
    </row>
    <row r="34" spans="2:29">
      <c r="B34" s="2320"/>
      <c r="C34" s="2321" t="s">
        <v>203</v>
      </c>
      <c r="D34" s="2321" t="s">
        <v>203</v>
      </c>
      <c r="E34" s="2321" t="s">
        <v>203</v>
      </c>
      <c r="F34" s="2321" t="s">
        <v>203</v>
      </c>
      <c r="G34" s="2321" t="s">
        <v>203</v>
      </c>
      <c r="H34" s="2321" t="s">
        <v>203</v>
      </c>
      <c r="I34" s="2322"/>
      <c r="L34" s="842"/>
      <c r="M34" s="1257">
        <f>Supplementary!$L$7</f>
        <v>2015</v>
      </c>
      <c r="N34" s="1257">
        <f>Supplementary!$L$8</f>
        <v>2020</v>
      </c>
      <c r="O34" s="1257">
        <f>Supplementary!$L$9</f>
        <v>2035</v>
      </c>
      <c r="P34" s="92">
        <f>Supplementary!$L$10</f>
        <v>2050</v>
      </c>
      <c r="S34" s="842"/>
      <c r="T34" s="1257" t="s">
        <v>2512</v>
      </c>
      <c r="U34" s="1257" t="s">
        <v>2223</v>
      </c>
      <c r="V34" s="92" t="s">
        <v>1098</v>
      </c>
    </row>
    <row r="35" spans="2:29">
      <c r="B35" s="2336" t="s">
        <v>2465</v>
      </c>
      <c r="C35" s="2324">
        <f ca="1">OFFSET($L$69,chosenYear,chosenLUC)*1000</f>
        <v>98532.041897461662</v>
      </c>
      <c r="D35" s="2324"/>
      <c r="E35" s="2324"/>
      <c r="F35" s="2324"/>
      <c r="G35" s="2324"/>
      <c r="H35" s="2324"/>
      <c r="I35" s="2325"/>
      <c r="L35" s="95" t="str">
        <f t="shared" ref="L35:L54" si="4">B35</f>
        <v xml:space="preserve">Green diesel </v>
      </c>
      <c r="M35" s="1471">
        <f ca="1">Prices!M16</f>
        <v>122.83890659698737</v>
      </c>
      <c r="N35" s="1471">
        <f ca="1">Prices!N16</f>
        <v>126.35163096241249</v>
      </c>
      <c r="O35" s="1471">
        <f ca="1">Prices!O16</f>
        <v>135.61244974398781</v>
      </c>
      <c r="P35" s="1509">
        <f ca="1">Prices!P16</f>
        <v>135.61244974398781</v>
      </c>
      <c r="S35" s="95" t="str">
        <f>B35</f>
        <v xml:space="preserve">Green diesel </v>
      </c>
      <c r="T35" s="2335">
        <v>0</v>
      </c>
      <c r="U35" s="2335"/>
      <c r="V35" s="1509" t="s">
        <v>2513</v>
      </c>
    </row>
    <row r="36" spans="2:29">
      <c r="B36" s="2336" t="s">
        <v>2466</v>
      </c>
      <c r="C36" s="2324">
        <f ca="1">OFFSET($L$62,chosenYear,chosenLUC)*1000</f>
        <v>63100.511538123035</v>
      </c>
      <c r="D36" s="2324"/>
      <c r="E36" s="2324"/>
      <c r="F36" s="2324"/>
      <c r="G36" s="2324"/>
      <c r="H36" s="2324"/>
      <c r="I36" s="2325"/>
      <c r="L36" s="95" t="str">
        <f t="shared" si="4"/>
        <v>Green gasoline</v>
      </c>
      <c r="M36" s="1471">
        <f ca="1">Prices!M15</f>
        <v>124.11626091168741</v>
      </c>
      <c r="N36" s="1471">
        <f ca="1">Prices!N15</f>
        <v>127.62898527711253</v>
      </c>
      <c r="O36" s="1471">
        <f ca="1">Prices!O15</f>
        <v>136.88980405868782</v>
      </c>
      <c r="P36" s="1509">
        <f ca="1">Prices!P15</f>
        <v>136.88980405868782</v>
      </c>
      <c r="S36" s="95" t="str">
        <f t="shared" ref="S36:S54" si="5">B36</f>
        <v>Green gasoline</v>
      </c>
      <c r="T36" s="2335">
        <v>0</v>
      </c>
      <c r="U36" s="2335"/>
      <c r="V36" s="1509" t="s">
        <v>2513</v>
      </c>
      <c r="AC36" s="557" t="s">
        <v>2527</v>
      </c>
    </row>
    <row r="37" spans="2:29">
      <c r="B37" s="2336" t="s">
        <v>2467</v>
      </c>
      <c r="C37" s="2324">
        <f t="shared" ref="C37:H38" ca="1" si="6">C5</f>
        <v>4832.8209659431113</v>
      </c>
      <c r="D37" s="2324">
        <f t="shared" ca="1" si="6"/>
        <v>0.1</v>
      </c>
      <c r="E37" s="2324">
        <f t="shared" ca="1" si="6"/>
        <v>0.1</v>
      </c>
      <c r="F37" s="2324">
        <f t="shared" ca="1" si="6"/>
        <v>0.3</v>
      </c>
      <c r="G37" s="2324">
        <f t="shared" ca="1" si="6"/>
        <v>55</v>
      </c>
      <c r="H37" s="2324">
        <f t="shared" ca="1" si="6"/>
        <v>0.1</v>
      </c>
      <c r="I37" s="2325"/>
      <c r="L37" s="95" t="str">
        <f t="shared" si="4"/>
        <v>Electricity - balancing</v>
      </c>
      <c r="M37" s="1471">
        <f ca="1">(Prices!M7/3.6-$T37)*(1-$AC37)</f>
        <v>91.352623977736727</v>
      </c>
      <c r="N37" s="1471">
        <f ca="1">(Prices!N7/3.6-$T37)*(1-$AC37)</f>
        <v>125.32094080305696</v>
      </c>
      <c r="O37" s="1471">
        <f ca="1">(Prices!O7/3.6-$T37)*(1-$AC37)</f>
        <v>178.29851636519717</v>
      </c>
      <c r="P37" s="1509">
        <f ca="1">(Prices!P7/3.6-$T37)*(1-$AC37)</f>
        <v>178.29851636519717</v>
      </c>
      <c r="S37" s="95" t="str">
        <f t="shared" si="5"/>
        <v>Electricity - balancing</v>
      </c>
      <c r="T37" s="2329">
        <f ca="1">Prices!$Q$22</f>
        <v>62.397819460967341</v>
      </c>
      <c r="U37" s="2335"/>
      <c r="V37" s="1509"/>
      <c r="AC37" s="2419">
        <v>7.0000000000000007E-2</v>
      </c>
    </row>
    <row r="38" spans="2:29">
      <c r="B38" s="2336" t="s">
        <v>2468</v>
      </c>
      <c r="C38" s="2324">
        <f t="shared" ca="1" si="6"/>
        <v>4832.8209659431113</v>
      </c>
      <c r="D38" s="2324">
        <f t="shared" ca="1" si="6"/>
        <v>0.1</v>
      </c>
      <c r="E38" s="2324">
        <f t="shared" ca="1" si="6"/>
        <v>0.1</v>
      </c>
      <c r="F38" s="2324">
        <f t="shared" ca="1" si="6"/>
        <v>0.3</v>
      </c>
      <c r="G38" s="2324">
        <f t="shared" ca="1" si="6"/>
        <v>55</v>
      </c>
      <c r="H38" s="2324">
        <f t="shared" ca="1" si="6"/>
        <v>0.1</v>
      </c>
      <c r="I38" s="2325"/>
      <c r="L38" s="95" t="str">
        <f t="shared" si="4"/>
        <v>Electricity  - continous</v>
      </c>
      <c r="M38" s="2420">
        <f ca="1">M37</f>
        <v>91.352623977736727</v>
      </c>
      <c r="N38" s="2420">
        <f t="shared" ref="N38:P38" ca="1" si="7">N37</f>
        <v>125.32094080305696</v>
      </c>
      <c r="O38" s="2420">
        <f t="shared" ca="1" si="7"/>
        <v>178.29851636519717</v>
      </c>
      <c r="P38" s="2420">
        <f t="shared" ca="1" si="7"/>
        <v>178.29851636519717</v>
      </c>
      <c r="S38" s="95" t="str">
        <f t="shared" si="5"/>
        <v>Electricity  - continous</v>
      </c>
      <c r="T38" s="2329">
        <f ca="1">Prices!$Q$22</f>
        <v>62.397819460967341</v>
      </c>
      <c r="U38" s="2335"/>
      <c r="V38" s="1509"/>
      <c r="AC38" s="2419">
        <v>7.0000000000000007E-2</v>
      </c>
    </row>
    <row r="39" spans="2:29">
      <c r="B39" s="2336" t="s">
        <v>2469</v>
      </c>
      <c r="C39" s="2324">
        <f t="shared" ref="C39:H39" ca="1" si="8">OFFSET(C$62,chosenYear,0)</f>
        <v>93600</v>
      </c>
      <c r="D39" s="2324">
        <f t="shared" ca="1" si="8"/>
        <v>0.9</v>
      </c>
      <c r="E39" s="2324">
        <f t="shared" ca="1" si="8"/>
        <v>0.8</v>
      </c>
      <c r="F39" s="2324">
        <f t="shared" ca="1" si="8"/>
        <v>10</v>
      </c>
      <c r="G39" s="2324">
        <f t="shared" ca="1" si="8"/>
        <v>30</v>
      </c>
      <c r="H39" s="2324">
        <f t="shared" ca="1" si="8"/>
        <v>2.1</v>
      </c>
      <c r="I39" s="2325"/>
      <c r="L39" s="95" t="str">
        <f t="shared" si="4"/>
        <v>Elec/heat fuel</v>
      </c>
      <c r="M39" s="1471">
        <f>Prices!M13</f>
        <v>28.441450277315031</v>
      </c>
      <c r="N39" s="1471">
        <f>Prices!N13</f>
        <v>24.683733703512562</v>
      </c>
      <c r="O39" s="1471">
        <f>Prices!O13</f>
        <v>25.535767562197361</v>
      </c>
      <c r="P39" s="1509">
        <f>Prices!P13</f>
        <v>25.535767562197361</v>
      </c>
      <c r="Q39" s="70" t="s">
        <v>2446</v>
      </c>
      <c r="S39" s="95" t="str">
        <f t="shared" si="5"/>
        <v>Elec/heat fuel</v>
      </c>
      <c r="T39" s="2335"/>
      <c r="U39" s="2335"/>
      <c r="V39" s="1509" t="s">
        <v>2515</v>
      </c>
    </row>
    <row r="40" spans="2:29">
      <c r="B40" s="2336" t="s">
        <v>2470</v>
      </c>
      <c r="C40" s="2324">
        <f t="shared" ref="C40:H40" ca="1" si="9">OFFSET(C$67,chosenYear,0)</f>
        <v>56740</v>
      </c>
      <c r="D40" s="2324">
        <f t="shared" ca="1" si="9"/>
        <v>0.1</v>
      </c>
      <c r="E40" s="2324">
        <f t="shared" ca="1" si="9"/>
        <v>0.1</v>
      </c>
      <c r="F40" s="2324">
        <f t="shared" ca="1" si="9"/>
        <v>0.3</v>
      </c>
      <c r="G40" s="2324">
        <f t="shared" ca="1" si="9"/>
        <v>42</v>
      </c>
      <c r="H40" s="2324">
        <f t="shared" ca="1" si="9"/>
        <v>0.1</v>
      </c>
      <c r="I40" s="2325"/>
      <c r="L40" s="95" t="str">
        <f t="shared" si="4"/>
        <v>Biogas (100% CH4)</v>
      </c>
      <c r="M40" s="1471">
        <f ca="1">Prices!M14</f>
        <v>60.03565279090197</v>
      </c>
      <c r="N40" s="1471">
        <f ca="1">Prices!N14</f>
        <v>62.704272324678641</v>
      </c>
      <c r="O40" s="1471">
        <f ca="1">Prices!O14</f>
        <v>72.954009146981875</v>
      </c>
      <c r="P40" s="1509">
        <f ca="1">Prices!P14</f>
        <v>72.954009146981875</v>
      </c>
      <c r="Q40" s="70" t="s">
        <v>948</v>
      </c>
      <c r="S40" s="95" t="str">
        <f t="shared" si="5"/>
        <v>Biogas (100% CH4)</v>
      </c>
      <c r="T40" s="2418"/>
      <c r="U40" s="2335"/>
      <c r="V40" s="1509" t="s">
        <v>2514</v>
      </c>
      <c r="AC40" s="557" t="s">
        <v>2527</v>
      </c>
    </row>
    <row r="41" spans="2:29">
      <c r="B41" s="2336" t="s">
        <v>2471</v>
      </c>
      <c r="C41" s="2324">
        <f t="shared" ref="C41:H41" ca="1" si="10">C$7</f>
        <v>11742.642920893875</v>
      </c>
      <c r="D41" s="2324">
        <f t="shared" ca="1" si="10"/>
        <v>8.0814024812186318</v>
      </c>
      <c r="E41" s="2324">
        <f t="shared" ca="1" si="10"/>
        <v>0.41665763627353469</v>
      </c>
      <c r="F41" s="2324">
        <f t="shared" ca="1" si="10"/>
        <v>19.131163134406147</v>
      </c>
      <c r="G41" s="2324">
        <f t="shared" ca="1" si="10"/>
        <v>25.75936563855759</v>
      </c>
      <c r="H41" s="2324">
        <f t="shared" ca="1" si="10"/>
        <v>2</v>
      </c>
      <c r="I41" s="2325"/>
      <c r="L41" s="95" t="str">
        <f t="shared" si="4"/>
        <v>District heating</v>
      </c>
      <c r="M41" s="1471">
        <f ca="1">(Prices!M27-$T$41*HLOOKUP($U$41,Supplementary!$B$44:$AF$46,3,0))*(1-$AC$41)</f>
        <v>44.528302022872509</v>
      </c>
      <c r="N41" s="1471">
        <f ca="1">(Prices!N27-$T$41*HLOOKUP($U$41,Supplementary!$B$44:$AF$46,3,0))*(1-$AC$41)</f>
        <v>43.857952421410999</v>
      </c>
      <c r="O41" s="1471">
        <f ca="1">(Prices!O27-$T$41*HLOOKUP($U$41,Supplementary!$B$44:$AF$46,3,0))*(1-$AC$41)</f>
        <v>49.88865400681879</v>
      </c>
      <c r="P41" s="1509">
        <f ca="1">(Prices!P27-$T$41*HLOOKUP($U$41,Supplementary!$B$44:$AF$46,3,0))*(1-$AC$41)</f>
        <v>49.88865400681879</v>
      </c>
      <c r="S41" s="95" t="str">
        <f t="shared" si="5"/>
        <v>District heating</v>
      </c>
      <c r="T41" s="2418">
        <v>13.9</v>
      </c>
      <c r="U41" s="2335">
        <v>2009</v>
      </c>
      <c r="V41" s="1509" t="s">
        <v>2524</v>
      </c>
      <c r="AC41" s="2419">
        <v>0.2</v>
      </c>
    </row>
    <row r="42" spans="2:29" s="1240" customFormat="1">
      <c r="B42" s="549" t="s">
        <v>2506</v>
      </c>
      <c r="C42" s="2324"/>
      <c r="D42" s="2324"/>
      <c r="E42" s="2324"/>
      <c r="F42" s="2324"/>
      <c r="G42" s="2324"/>
      <c r="H42" s="2324"/>
      <c r="I42" s="2325"/>
      <c r="L42" s="95" t="str">
        <f t="shared" si="4"/>
        <v>&lt;empty&gt;</v>
      </c>
      <c r="M42" s="1471"/>
      <c r="N42" s="1471"/>
      <c r="O42" s="1471"/>
      <c r="P42" s="1509"/>
      <c r="S42" s="95" t="str">
        <f t="shared" si="5"/>
        <v>&lt;empty&gt;</v>
      </c>
      <c r="T42" s="2335"/>
      <c r="U42" s="2335"/>
      <c r="V42" s="1509"/>
    </row>
    <row r="43" spans="2:29" s="1240" customFormat="1">
      <c r="B43" s="549" t="s">
        <v>2506</v>
      </c>
      <c r="C43" s="2324"/>
      <c r="D43" s="2324"/>
      <c r="E43" s="2324"/>
      <c r="F43" s="2324"/>
      <c r="G43" s="2324"/>
      <c r="H43" s="2324"/>
      <c r="I43" s="2325"/>
      <c r="L43" s="95" t="str">
        <f t="shared" si="4"/>
        <v>&lt;empty&gt;</v>
      </c>
      <c r="M43" s="1471"/>
      <c r="N43" s="1471"/>
      <c r="O43" s="1471"/>
      <c r="P43" s="1509"/>
      <c r="S43" s="95" t="str">
        <f t="shared" si="5"/>
        <v>&lt;empty&gt;</v>
      </c>
      <c r="T43" s="2335"/>
      <c r="U43" s="2335"/>
      <c r="V43" s="1509"/>
    </row>
    <row r="44" spans="2:29" s="1240" customFormat="1">
      <c r="B44" s="549" t="s">
        <v>2506</v>
      </c>
      <c r="C44" s="2324"/>
      <c r="D44" s="2324"/>
      <c r="E44" s="2324"/>
      <c r="F44" s="2324"/>
      <c r="G44" s="2324"/>
      <c r="H44" s="2324"/>
      <c r="I44" s="2325"/>
      <c r="L44" s="95" t="str">
        <f t="shared" si="4"/>
        <v>&lt;empty&gt;</v>
      </c>
      <c r="M44" s="1471"/>
      <c r="N44" s="1471"/>
      <c r="O44" s="1471"/>
      <c r="P44" s="1509"/>
      <c r="S44" s="95" t="str">
        <f t="shared" si="5"/>
        <v>&lt;empty&gt;</v>
      </c>
      <c r="T44" s="2335"/>
      <c r="U44" s="2335"/>
      <c r="V44" s="1509"/>
    </row>
    <row r="45" spans="2:29" s="1240" customFormat="1">
      <c r="B45" s="549" t="s">
        <v>2506</v>
      </c>
      <c r="C45" s="2324"/>
      <c r="D45" s="2324"/>
      <c r="E45" s="2324"/>
      <c r="F45" s="2324"/>
      <c r="G45" s="2324"/>
      <c r="H45" s="2324"/>
      <c r="I45" s="2325"/>
      <c r="L45" s="95" t="str">
        <f t="shared" si="4"/>
        <v>&lt;empty&gt;</v>
      </c>
      <c r="M45" s="1471"/>
      <c r="N45" s="1471"/>
      <c r="O45" s="1471"/>
      <c r="P45" s="1509"/>
      <c r="S45" s="95" t="str">
        <f t="shared" si="5"/>
        <v>&lt;empty&gt;</v>
      </c>
      <c r="T45" s="2335"/>
      <c r="U45" s="2335"/>
      <c r="V45" s="1509"/>
    </row>
    <row r="46" spans="2:29" s="1240" customFormat="1">
      <c r="B46" s="549" t="s">
        <v>2506</v>
      </c>
      <c r="C46" s="2324"/>
      <c r="D46" s="2324"/>
      <c r="E46" s="2324"/>
      <c r="F46" s="2324"/>
      <c r="G46" s="2324"/>
      <c r="H46" s="2324"/>
      <c r="I46" s="2325"/>
      <c r="L46" s="95" t="str">
        <f t="shared" si="4"/>
        <v>&lt;empty&gt;</v>
      </c>
      <c r="M46" s="1471"/>
      <c r="N46" s="1471"/>
      <c r="O46" s="1471"/>
      <c r="P46" s="1509"/>
      <c r="S46" s="95" t="str">
        <f t="shared" si="5"/>
        <v>&lt;empty&gt;</v>
      </c>
      <c r="T46" s="2335"/>
      <c r="U46" s="2335"/>
      <c r="V46" s="1509"/>
    </row>
    <row r="47" spans="2:29" s="1240" customFormat="1">
      <c r="B47" s="549" t="s">
        <v>2506</v>
      </c>
      <c r="C47" s="2324"/>
      <c r="D47" s="2324"/>
      <c r="E47" s="2324"/>
      <c r="F47" s="2324"/>
      <c r="G47" s="2324"/>
      <c r="H47" s="2324"/>
      <c r="I47" s="2325"/>
      <c r="L47" s="95" t="str">
        <f t="shared" si="4"/>
        <v>&lt;empty&gt;</v>
      </c>
      <c r="M47" s="1471"/>
      <c r="N47" s="1471"/>
      <c r="O47" s="1471"/>
      <c r="P47" s="1509"/>
      <c r="S47" s="95" t="str">
        <f t="shared" si="5"/>
        <v>&lt;empty&gt;</v>
      </c>
      <c r="T47" s="2335"/>
      <c r="U47" s="2335"/>
      <c r="V47" s="1509"/>
      <c r="Y47" s="557" t="s">
        <v>2516</v>
      </c>
    </row>
    <row r="48" spans="2:29" s="1240" customFormat="1">
      <c r="B48" s="2323" t="s">
        <v>1018</v>
      </c>
      <c r="C48" s="2324">
        <f>(Feedstocks!D120)*1000</f>
        <v>368217.77397504455</v>
      </c>
      <c r="D48" s="2324"/>
      <c r="E48" s="2324"/>
      <c r="F48" s="2324"/>
      <c r="G48" s="2324"/>
      <c r="H48" s="2324"/>
      <c r="I48" s="2325"/>
      <c r="L48" s="95" t="str">
        <f t="shared" si="4"/>
        <v>Glycerol</v>
      </c>
      <c r="M48" s="1471">
        <f>Feedstocks!F$142-$T$48</f>
        <v>330.55555555555554</v>
      </c>
      <c r="N48" s="1471">
        <f>Feedstocks!G$142-$T$48</f>
        <v>330.55555555555554</v>
      </c>
      <c r="O48" s="1471">
        <f>Feedstocks!H$142-$T$48</f>
        <v>330.55555555555554</v>
      </c>
      <c r="P48" s="1509">
        <f>Feedstocks!I$142-$T$48</f>
        <v>330.55555555555554</v>
      </c>
      <c r="S48" s="95" t="str">
        <f t="shared" si="5"/>
        <v>Glycerol</v>
      </c>
      <c r="T48" s="2311">
        <f>$AE$53/AA48</f>
        <v>2.7777777777777777</v>
      </c>
      <c r="U48" s="2335"/>
      <c r="V48" s="1509"/>
      <c r="Y48" s="842" t="str">
        <f>L48</f>
        <v>Glycerol</v>
      </c>
      <c r="Z48" s="1257"/>
      <c r="AA48" s="1974">
        <f>Feedstocks!D43</f>
        <v>18</v>
      </c>
    </row>
    <row r="49" spans="1:32" s="1240" customFormat="1">
      <c r="B49" s="549" t="s">
        <v>2506</v>
      </c>
      <c r="C49" s="2324"/>
      <c r="D49" s="2324"/>
      <c r="E49" s="2324"/>
      <c r="F49" s="2324"/>
      <c r="G49" s="2324"/>
      <c r="H49" s="2324"/>
      <c r="I49" s="2325"/>
      <c r="L49" s="95" t="str">
        <f t="shared" si="4"/>
        <v>&lt;empty&gt;</v>
      </c>
      <c r="M49" s="1471"/>
      <c r="N49" s="1471"/>
      <c r="O49" s="1471"/>
      <c r="P49" s="1509"/>
      <c r="S49" s="95" t="str">
        <f t="shared" si="5"/>
        <v>&lt;empty&gt;</v>
      </c>
      <c r="T49" s="2335"/>
      <c r="U49" s="2335"/>
      <c r="V49" s="1509"/>
      <c r="Y49" s="95"/>
      <c r="Z49" s="1471"/>
      <c r="AA49" s="2415"/>
    </row>
    <row r="50" spans="1:32" s="1240" customFormat="1">
      <c r="B50" s="549" t="s">
        <v>2506</v>
      </c>
      <c r="C50" s="2324"/>
      <c r="D50" s="2324"/>
      <c r="E50" s="2324"/>
      <c r="F50" s="2324"/>
      <c r="G50" s="2324"/>
      <c r="H50" s="2324"/>
      <c r="I50" s="2325"/>
      <c r="L50" s="95" t="str">
        <f t="shared" si="4"/>
        <v>&lt;empty&gt;</v>
      </c>
      <c r="M50" s="1471"/>
      <c r="N50" s="1471"/>
      <c r="O50" s="1471"/>
      <c r="P50" s="1509"/>
      <c r="S50" s="95" t="str">
        <f t="shared" si="5"/>
        <v>&lt;empty&gt;</v>
      </c>
      <c r="T50" s="2335"/>
      <c r="U50" s="2335"/>
      <c r="V50" s="1509"/>
      <c r="Y50" s="95"/>
      <c r="Z50" s="1471"/>
      <c r="AA50" s="2415"/>
      <c r="AC50" s="557" t="s">
        <v>2518</v>
      </c>
    </row>
    <row r="51" spans="1:32">
      <c r="B51" s="2336" t="s">
        <v>2472</v>
      </c>
      <c r="C51" s="2324">
        <f ca="1">Feedstocks!Q10*1000</f>
        <v>346103.71146761742</v>
      </c>
      <c r="D51" s="2324"/>
      <c r="E51" s="2324"/>
      <c r="F51" s="2324"/>
      <c r="G51" s="2324"/>
      <c r="H51" s="2324"/>
      <c r="I51" s="2325"/>
      <c r="L51" s="95" t="str">
        <f t="shared" si="4"/>
        <v>Fodder (wheat like)</v>
      </c>
      <c r="M51" s="1471">
        <f>Feedstocks!F127-$T51</f>
        <v>81.070588235294125</v>
      </c>
      <c r="N51" s="1471">
        <f>Feedstocks!G127-$T51</f>
        <v>81.070588235294125</v>
      </c>
      <c r="O51" s="1471">
        <f>Feedstocks!H127-$T51</f>
        <v>81.070588235294125</v>
      </c>
      <c r="P51" s="1509">
        <f>Feedstocks!I127-$T51</f>
        <v>81.070588235294125</v>
      </c>
      <c r="Q51" s="70" t="s">
        <v>2459</v>
      </c>
      <c r="S51" s="95" t="str">
        <f t="shared" si="5"/>
        <v>Fodder (wheat like)</v>
      </c>
      <c r="T51" s="2311">
        <f>$AE$53/AA51</f>
        <v>2.9411764705882355</v>
      </c>
      <c r="U51" s="2311"/>
      <c r="V51" s="1509"/>
      <c r="Y51" s="95" t="str">
        <f>L51</f>
        <v>Fodder (wheat like)</v>
      </c>
      <c r="Z51" s="1471"/>
      <c r="AA51" s="2415">
        <f>Feedstocks!D28</f>
        <v>17</v>
      </c>
      <c r="AC51" s="842" t="s">
        <v>2519</v>
      </c>
      <c r="AD51" s="1257"/>
      <c r="AE51" s="2417">
        <v>50</v>
      </c>
      <c r="AF51" s="92" t="s">
        <v>60</v>
      </c>
    </row>
    <row r="52" spans="1:32">
      <c r="B52" s="2323" t="s">
        <v>1017</v>
      </c>
      <c r="C52" s="2324">
        <f>(Feedstocks!D120)*1000</f>
        <v>368217.77397504455</v>
      </c>
      <c r="D52" s="2324"/>
      <c r="E52" s="2324"/>
      <c r="F52" s="2311"/>
      <c r="G52" s="2311"/>
      <c r="H52" s="2324"/>
      <c r="I52" s="2325"/>
      <c r="L52" s="95" t="str">
        <f t="shared" si="4"/>
        <v>Rape seed cake</v>
      </c>
      <c r="M52" s="1471">
        <f>Feedstocks!F131-$T52</f>
        <v>100.7</v>
      </c>
      <c r="N52" s="1471">
        <f>Feedstocks!G131-$T52</f>
        <v>100.7</v>
      </c>
      <c r="O52" s="1471">
        <f>Feedstocks!H131-$T52</f>
        <v>100.7</v>
      </c>
      <c r="P52" s="1509">
        <f>Feedstocks!I131-$T52</f>
        <v>100.7</v>
      </c>
      <c r="S52" s="95" t="str">
        <f t="shared" si="5"/>
        <v>Rape seed cake</v>
      </c>
      <c r="T52" s="2311">
        <f t="shared" ref="T52:T54" si="11">$AE$53/AA52</f>
        <v>2.7173913043478262</v>
      </c>
      <c r="U52" s="2311"/>
      <c r="V52" s="1509"/>
      <c r="Y52" s="95" t="str">
        <f t="shared" ref="Y52:Y54" si="12">L52</f>
        <v>Rape seed cake</v>
      </c>
      <c r="Z52" s="1471"/>
      <c r="AA52" s="2415">
        <f>Feedstocks!D32</f>
        <v>18.399999999999999</v>
      </c>
      <c r="AC52" s="95" t="s">
        <v>2520</v>
      </c>
      <c r="AD52" s="1471"/>
      <c r="AE52" s="2416">
        <v>1</v>
      </c>
      <c r="AF52" s="1509" t="s">
        <v>2521</v>
      </c>
    </row>
    <row r="53" spans="1:32">
      <c r="B53" s="549" t="s">
        <v>2506</v>
      </c>
      <c r="C53" s="2324"/>
      <c r="D53" s="2324"/>
      <c r="E53" s="2324"/>
      <c r="F53" s="2311"/>
      <c r="G53" s="2311"/>
      <c r="H53" s="2324"/>
      <c r="I53" s="2325"/>
      <c r="L53" s="95" t="str">
        <f t="shared" si="4"/>
        <v>&lt;empty&gt;</v>
      </c>
      <c r="M53" s="1471"/>
      <c r="N53" s="1471"/>
      <c r="O53" s="1471"/>
      <c r="P53" s="1509"/>
      <c r="S53" s="95" t="str">
        <f t="shared" si="5"/>
        <v>&lt;empty&gt;</v>
      </c>
      <c r="T53" s="2311"/>
      <c r="U53" s="2311"/>
      <c r="V53" s="1509"/>
      <c r="Y53" s="95" t="str">
        <f t="shared" si="12"/>
        <v>&lt;empty&gt;</v>
      </c>
      <c r="Z53" s="1471"/>
      <c r="AA53" s="2415"/>
      <c r="AC53" s="847" t="s">
        <v>2520</v>
      </c>
      <c r="AD53" s="1464"/>
      <c r="AE53" s="662">
        <f>AE52*AE51</f>
        <v>50</v>
      </c>
      <c r="AF53" s="444" t="s">
        <v>352</v>
      </c>
    </row>
    <row r="54" spans="1:32">
      <c r="B54" s="2320" t="s">
        <v>1006</v>
      </c>
      <c r="C54" s="2326">
        <f>(Feedstocks!D122)*1000</f>
        <v>346103.71146761742</v>
      </c>
      <c r="D54" s="2326"/>
      <c r="E54" s="2326"/>
      <c r="F54" s="2410"/>
      <c r="G54" s="2410"/>
      <c r="H54" s="2326"/>
      <c r="I54" s="2327"/>
      <c r="L54" s="847" t="str">
        <f t="shared" si="4"/>
        <v>DDGS</v>
      </c>
      <c r="M54" s="2411">
        <f>Feedstocks!F127-$T54</f>
        <v>81.070588235294125</v>
      </c>
      <c r="N54" s="2169">
        <f>Feedstocks!G127-$T54</f>
        <v>81.070588235294125</v>
      </c>
      <c r="O54" s="2169">
        <f>Feedstocks!H127-$T54</f>
        <v>81.070588235294125</v>
      </c>
      <c r="P54" s="2412">
        <f>Feedstocks!I127-$T54</f>
        <v>81.070588235294125</v>
      </c>
      <c r="S54" s="847" t="str">
        <f t="shared" si="5"/>
        <v>DDGS</v>
      </c>
      <c r="T54" s="2410">
        <f t="shared" si="11"/>
        <v>2.9411764705882355</v>
      </c>
      <c r="U54" s="2410"/>
      <c r="V54" s="444"/>
      <c r="Y54" s="847" t="str">
        <f t="shared" si="12"/>
        <v>DDGS</v>
      </c>
      <c r="Z54" s="1464"/>
      <c r="AA54" s="1975">
        <f>AA51</f>
        <v>17</v>
      </c>
      <c r="AC54" s="70" t="s">
        <v>2522</v>
      </c>
    </row>
    <row r="55" spans="1:32">
      <c r="B55" s="1240"/>
      <c r="C55" s="1240"/>
      <c r="D55" s="1240"/>
      <c r="E55" s="1240"/>
      <c r="F55" s="1240"/>
      <c r="G55" s="1240"/>
      <c r="H55" s="1240"/>
      <c r="I55" s="1240"/>
      <c r="J55" s="1240"/>
      <c r="L55" s="1240" t="s">
        <v>2510</v>
      </c>
      <c r="M55" s="1240"/>
      <c r="N55" s="1240"/>
      <c r="O55" s="1240"/>
      <c r="P55" s="1240"/>
      <c r="U55" s="1240"/>
      <c r="Y55" s="70" t="s">
        <v>2517</v>
      </c>
    </row>
    <row r="56" spans="1:32">
      <c r="A56" s="1240"/>
      <c r="B56" s="1240"/>
      <c r="C56" s="1240"/>
      <c r="D56" s="1240"/>
      <c r="E56" s="1240"/>
      <c r="F56" s="1240"/>
      <c r="G56" s="1240"/>
      <c r="H56" s="1240"/>
      <c r="I56" s="1240"/>
      <c r="J56" s="1240"/>
      <c r="K56" s="1240"/>
      <c r="L56" s="1240"/>
      <c r="M56" s="1240"/>
      <c r="N56" s="1240"/>
      <c r="O56" s="1240"/>
      <c r="P56" s="1240"/>
    </row>
    <row r="57" spans="1:32">
      <c r="A57" s="1240"/>
      <c r="B57" s="1240"/>
      <c r="C57" s="1240"/>
      <c r="D57" s="1240"/>
      <c r="E57" s="1240"/>
      <c r="F57" s="1240"/>
      <c r="G57" s="1240"/>
      <c r="H57" s="1240"/>
      <c r="I57" s="1240"/>
      <c r="J57" s="1240"/>
      <c r="K57" s="1240"/>
      <c r="L57" s="1240"/>
      <c r="M57" s="1240"/>
      <c r="N57" s="1240"/>
      <c r="O57" s="1240"/>
      <c r="P57" s="1240"/>
    </row>
    <row r="59" spans="1:32" ht="15">
      <c r="B59" s="454" t="s">
        <v>2461</v>
      </c>
      <c r="P59" s="837"/>
      <c r="Q59" s="837"/>
      <c r="R59" s="837"/>
      <c r="S59" s="837"/>
      <c r="T59" s="837"/>
      <c r="U59" s="837"/>
    </row>
    <row r="60" spans="1:32" s="1240" customFormat="1">
      <c r="B60" s="551"/>
      <c r="C60" s="2313" t="s">
        <v>886</v>
      </c>
      <c r="D60" s="552" t="s">
        <v>884</v>
      </c>
      <c r="E60" s="552" t="s">
        <v>28</v>
      </c>
      <c r="F60" s="552" t="s">
        <v>885</v>
      </c>
      <c r="G60" s="552" t="s">
        <v>25</v>
      </c>
      <c r="H60" s="553" t="s">
        <v>45</v>
      </c>
      <c r="I60" s="553" t="s">
        <v>493</v>
      </c>
      <c r="Q60" s="837"/>
      <c r="R60" s="837"/>
      <c r="S60" s="837"/>
      <c r="T60" s="837"/>
      <c r="U60" s="837"/>
    </row>
    <row r="61" spans="1:32" s="1240" customFormat="1">
      <c r="B61" s="847"/>
      <c r="C61" s="2314" t="s">
        <v>203</v>
      </c>
      <c r="D61" s="445" t="s">
        <v>203</v>
      </c>
      <c r="E61" s="445" t="s">
        <v>203</v>
      </c>
      <c r="F61" s="445" t="s">
        <v>203</v>
      </c>
      <c r="G61" s="445" t="s">
        <v>203</v>
      </c>
      <c r="H61" s="554" t="s">
        <v>203</v>
      </c>
      <c r="I61" s="554" t="s">
        <v>887</v>
      </c>
      <c r="L61" s="557" t="s">
        <v>2476</v>
      </c>
      <c r="Q61" s="837"/>
      <c r="R61" s="837"/>
      <c r="S61" s="837"/>
      <c r="T61" s="837"/>
      <c r="U61" s="837"/>
    </row>
    <row r="62" spans="1:32" s="1240" customFormat="1">
      <c r="B62" s="2315" t="s">
        <v>2447</v>
      </c>
      <c r="C62" s="842"/>
      <c r="D62" s="1257"/>
      <c r="E62" s="1257"/>
      <c r="F62" s="1257"/>
      <c r="G62" s="1257"/>
      <c r="H62" s="92"/>
      <c r="I62" s="92"/>
      <c r="L62" s="842"/>
      <c r="M62" s="2341" t="s">
        <v>2464</v>
      </c>
      <c r="N62" s="2341"/>
      <c r="O62" s="2341"/>
      <c r="P62" s="2341"/>
      <c r="Q62" s="2341"/>
      <c r="R62" s="2341" t="s">
        <v>2474</v>
      </c>
      <c r="S62" s="2342" t="s">
        <v>2475</v>
      </c>
      <c r="U62" s="837"/>
      <c r="V62" s="837"/>
      <c r="W62" s="837"/>
      <c r="X62" s="837"/>
      <c r="Y62" s="837"/>
    </row>
    <row r="63" spans="1:32" s="1240" customFormat="1">
      <c r="B63" s="95" t="s">
        <v>2659</v>
      </c>
      <c r="C63" s="2250">
        <f t="shared" ref="C63:H63" si="13">C10</f>
        <v>93600</v>
      </c>
      <c r="D63" s="2162">
        <f t="shared" si="13"/>
        <v>0.9</v>
      </c>
      <c r="E63" s="2162">
        <f t="shared" si="13"/>
        <v>0.8</v>
      </c>
      <c r="F63" s="2162">
        <f t="shared" si="13"/>
        <v>10</v>
      </c>
      <c r="G63" s="2162">
        <f t="shared" si="13"/>
        <v>30</v>
      </c>
      <c r="H63" s="2249">
        <f t="shared" si="13"/>
        <v>2.1</v>
      </c>
      <c r="I63" s="1509"/>
      <c r="L63" s="2343">
        <v>2015</v>
      </c>
      <c r="M63" s="2335">
        <v>50.186120281292439</v>
      </c>
      <c r="N63" s="2329">
        <f>$R63</f>
        <v>63.100511538123037</v>
      </c>
      <c r="O63" s="2329">
        <f t="shared" ref="O63:Q66" si="14">$R63</f>
        <v>63.100511538123037</v>
      </c>
      <c r="P63" s="2329">
        <f t="shared" si="14"/>
        <v>63.100511538123037</v>
      </c>
      <c r="Q63" s="2329">
        <f t="shared" si="14"/>
        <v>63.100511538123037</v>
      </c>
      <c r="R63" s="2335">
        <v>63.100511538123037</v>
      </c>
      <c r="S63" s="2344">
        <v>80.185510445226853</v>
      </c>
      <c r="U63" s="837"/>
      <c r="V63" s="837"/>
      <c r="W63" s="837"/>
      <c r="X63" s="837"/>
      <c r="Y63" s="837"/>
    </row>
    <row r="64" spans="1:32" s="1240" customFormat="1">
      <c r="B64" s="95" t="s">
        <v>2448</v>
      </c>
      <c r="C64" s="2250">
        <f t="shared" ref="C64:H64" si="15">C63</f>
        <v>93600</v>
      </c>
      <c r="D64" s="2162">
        <f t="shared" si="15"/>
        <v>0.9</v>
      </c>
      <c r="E64" s="2162">
        <f t="shared" si="15"/>
        <v>0.8</v>
      </c>
      <c r="F64" s="2162">
        <f t="shared" si="15"/>
        <v>10</v>
      </c>
      <c r="G64" s="2162">
        <f t="shared" si="15"/>
        <v>30</v>
      </c>
      <c r="H64" s="2249">
        <f t="shared" si="15"/>
        <v>2.1</v>
      </c>
      <c r="I64" s="1509"/>
      <c r="L64" s="2343">
        <v>2020</v>
      </c>
      <c r="M64" s="2335">
        <v>43.989942547741556</v>
      </c>
      <c r="N64" s="2329">
        <f>$R64</f>
        <v>56.904333804572154</v>
      </c>
      <c r="O64" s="2329">
        <f t="shared" si="14"/>
        <v>56.904333804572154</v>
      </c>
      <c r="P64" s="2329">
        <f t="shared" si="14"/>
        <v>56.904333804572154</v>
      </c>
      <c r="Q64" s="2329">
        <f t="shared" si="14"/>
        <v>56.904333804572154</v>
      </c>
      <c r="R64" s="2335">
        <v>56.904333804572154</v>
      </c>
      <c r="S64" s="2344">
        <v>73.989332711675971</v>
      </c>
      <c r="U64" s="837"/>
      <c r="V64" s="837"/>
      <c r="W64" s="837"/>
      <c r="X64" s="837"/>
      <c r="Y64" s="837"/>
    </row>
    <row r="65" spans="2:25" s="1240" customFormat="1">
      <c r="B65" s="95" t="s">
        <v>2449</v>
      </c>
      <c r="C65" s="2250">
        <f t="shared" ref="C65:H65" si="16">C63</f>
        <v>93600</v>
      </c>
      <c r="D65" s="2162">
        <f t="shared" si="16"/>
        <v>0.9</v>
      </c>
      <c r="E65" s="2162">
        <f t="shared" si="16"/>
        <v>0.8</v>
      </c>
      <c r="F65" s="2162">
        <f t="shared" si="16"/>
        <v>10</v>
      </c>
      <c r="G65" s="2162">
        <f t="shared" si="16"/>
        <v>30</v>
      </c>
      <c r="H65" s="2249">
        <f t="shared" si="16"/>
        <v>2.1</v>
      </c>
      <c r="I65" s="1509"/>
      <c r="L65" s="2343">
        <v>2035</v>
      </c>
      <c r="M65" s="2335">
        <v>41.682479670272706</v>
      </c>
      <c r="N65" s="2329">
        <f>$R65</f>
        <v>54.596870927103311</v>
      </c>
      <c r="O65" s="2329">
        <f t="shared" si="14"/>
        <v>54.596870927103311</v>
      </c>
      <c r="P65" s="2329">
        <f t="shared" si="14"/>
        <v>54.596870927103311</v>
      </c>
      <c r="Q65" s="2329">
        <f t="shared" si="14"/>
        <v>54.596870927103311</v>
      </c>
      <c r="R65" s="2335">
        <v>54.596870927103311</v>
      </c>
      <c r="S65" s="2344">
        <v>71.68186983420712</v>
      </c>
      <c r="U65" s="837"/>
      <c r="V65" s="837"/>
      <c r="W65" s="837"/>
      <c r="X65" s="837"/>
      <c r="Y65" s="837"/>
    </row>
    <row r="66" spans="2:25" s="1240" customFormat="1">
      <c r="B66" s="95" t="s">
        <v>2450</v>
      </c>
      <c r="C66" s="2250">
        <f>Supplementary!E70</f>
        <v>0</v>
      </c>
      <c r="D66" s="2162">
        <f>Supplementary!F70</f>
        <v>3.1</v>
      </c>
      <c r="E66" s="2162">
        <f>Supplementary!G70</f>
        <v>0.8</v>
      </c>
      <c r="F66" s="2162">
        <f>Supplementary!H70</f>
        <v>1.9</v>
      </c>
      <c r="G66" s="2162">
        <f>Supplementary!I70</f>
        <v>81</v>
      </c>
      <c r="H66" s="2249">
        <f>Supplementary!J70</f>
        <v>4.82</v>
      </c>
      <c r="I66" s="1509"/>
      <c r="L66" s="2345">
        <v>2050</v>
      </c>
      <c r="M66" s="2346">
        <v>40.528748231538273</v>
      </c>
      <c r="N66" s="2330">
        <f>$R66</f>
        <v>53.443139488368871</v>
      </c>
      <c r="O66" s="2330">
        <f t="shared" si="14"/>
        <v>53.443139488368871</v>
      </c>
      <c r="P66" s="2330">
        <f t="shared" si="14"/>
        <v>53.443139488368871</v>
      </c>
      <c r="Q66" s="2330">
        <f t="shared" si="14"/>
        <v>53.443139488368871</v>
      </c>
      <c r="R66" s="2346">
        <v>53.443139488368871</v>
      </c>
      <c r="S66" s="2347">
        <v>70.528138395472695</v>
      </c>
      <c r="U66" s="837"/>
      <c r="V66" s="837"/>
      <c r="W66" s="837"/>
      <c r="X66" s="837"/>
      <c r="Y66" s="837"/>
    </row>
    <row r="67" spans="2:25" s="1240" customFormat="1">
      <c r="B67" s="2316" t="s">
        <v>2451</v>
      </c>
      <c r="C67" s="95"/>
      <c r="D67" s="1471"/>
      <c r="E67" s="1471"/>
      <c r="F67" s="1471"/>
      <c r="G67" s="1471"/>
      <c r="H67" s="1509"/>
      <c r="I67" s="1509"/>
      <c r="U67" s="837"/>
      <c r="V67" s="837"/>
      <c r="W67" s="837"/>
      <c r="X67" s="837"/>
      <c r="Y67" s="837"/>
    </row>
    <row r="68" spans="2:25" s="1240" customFormat="1">
      <c r="B68" s="95" t="s">
        <v>2660</v>
      </c>
      <c r="C68" s="2331">
        <f>C$11</f>
        <v>56740</v>
      </c>
      <c r="D68" s="2329">
        <f t="shared" ref="D68:H70" si="17">D$11</f>
        <v>0.1</v>
      </c>
      <c r="E68" s="2329">
        <f t="shared" si="17"/>
        <v>0.1</v>
      </c>
      <c r="F68" s="2329">
        <f t="shared" si="17"/>
        <v>0.3</v>
      </c>
      <c r="G68" s="2329">
        <f t="shared" si="17"/>
        <v>42</v>
      </c>
      <c r="H68" s="2251">
        <f t="shared" si="17"/>
        <v>0.1</v>
      </c>
      <c r="I68" s="1509"/>
      <c r="L68" s="557" t="s">
        <v>2477</v>
      </c>
      <c r="U68" s="837"/>
      <c r="V68" s="837"/>
      <c r="W68" s="837"/>
      <c r="X68" s="837"/>
      <c r="Y68" s="837"/>
    </row>
    <row r="69" spans="2:25" s="1240" customFormat="1">
      <c r="B69" s="95" t="s">
        <v>2452</v>
      </c>
      <c r="C69" s="2331">
        <f>C$11</f>
        <v>56740</v>
      </c>
      <c r="D69" s="2329">
        <f t="shared" si="17"/>
        <v>0.1</v>
      </c>
      <c r="E69" s="2329">
        <f t="shared" si="17"/>
        <v>0.1</v>
      </c>
      <c r="F69" s="2329">
        <f t="shared" si="17"/>
        <v>0.3</v>
      </c>
      <c r="G69" s="2329">
        <f t="shared" si="17"/>
        <v>42</v>
      </c>
      <c r="H69" s="2251">
        <f t="shared" si="17"/>
        <v>0.1</v>
      </c>
      <c r="I69" s="1509"/>
      <c r="L69" s="842"/>
      <c r="M69" s="2341" t="s">
        <v>2464</v>
      </c>
      <c r="N69" s="2341"/>
      <c r="O69" s="2341"/>
      <c r="P69" s="2341"/>
      <c r="Q69" s="2341"/>
      <c r="R69" s="2341" t="s">
        <v>2474</v>
      </c>
      <c r="S69" s="2342" t="s">
        <v>2475</v>
      </c>
      <c r="U69" s="837"/>
      <c r="V69" s="837"/>
      <c r="W69" s="837"/>
      <c r="X69" s="837"/>
      <c r="Y69" s="837"/>
    </row>
    <row r="70" spans="2:25" s="1240" customFormat="1">
      <c r="B70" s="95" t="s">
        <v>2453</v>
      </c>
      <c r="C70" s="2331">
        <f>C$11</f>
        <v>56740</v>
      </c>
      <c r="D70" s="2329">
        <f t="shared" si="17"/>
        <v>0.1</v>
      </c>
      <c r="E70" s="2329">
        <f t="shared" si="17"/>
        <v>0.1</v>
      </c>
      <c r="F70" s="2329">
        <f t="shared" si="17"/>
        <v>0.3</v>
      </c>
      <c r="G70" s="2329">
        <f t="shared" si="17"/>
        <v>42</v>
      </c>
      <c r="H70" s="2251">
        <f t="shared" si="17"/>
        <v>0.1</v>
      </c>
      <c r="I70" s="1509"/>
      <c r="L70" s="2343">
        <v>2015</v>
      </c>
      <c r="M70" s="2335">
        <v>51.391241897461668</v>
      </c>
      <c r="N70" s="2329">
        <f>$R70</f>
        <v>98.532041897461667</v>
      </c>
      <c r="O70" s="2329">
        <f t="shared" ref="O70:Q73" si="18">$R70</f>
        <v>98.532041897461667</v>
      </c>
      <c r="P70" s="2329">
        <f t="shared" si="18"/>
        <v>98.532041897461667</v>
      </c>
      <c r="Q70" s="2329">
        <f t="shared" si="18"/>
        <v>98.532041897461667</v>
      </c>
      <c r="R70" s="2335">
        <v>98.532041897461667</v>
      </c>
      <c r="S70" s="2344">
        <v>100.77684189746165</v>
      </c>
      <c r="U70" s="837"/>
      <c r="V70" s="837"/>
      <c r="W70" s="837"/>
      <c r="X70" s="837"/>
      <c r="Y70" s="837"/>
    </row>
    <row r="71" spans="2:25" s="1240" customFormat="1">
      <c r="B71" s="847" t="s">
        <v>2454</v>
      </c>
      <c r="C71" s="2332">
        <v>0</v>
      </c>
      <c r="D71" s="2330">
        <v>0</v>
      </c>
      <c r="E71" s="2330">
        <v>0</v>
      </c>
      <c r="F71" s="2330">
        <v>0</v>
      </c>
      <c r="G71" s="2330">
        <v>0</v>
      </c>
      <c r="H71" s="2252">
        <v>0</v>
      </c>
      <c r="I71" s="444"/>
      <c r="L71" s="2343">
        <v>2020</v>
      </c>
      <c r="M71" s="2335">
        <v>47.765270126602729</v>
      </c>
      <c r="N71" s="2329">
        <f>$R71</f>
        <v>94.906070126602756</v>
      </c>
      <c r="O71" s="2329">
        <f t="shared" si="18"/>
        <v>94.906070126602756</v>
      </c>
      <c r="P71" s="2329">
        <f t="shared" si="18"/>
        <v>94.906070126602756</v>
      </c>
      <c r="Q71" s="2329">
        <f t="shared" si="18"/>
        <v>94.906070126602756</v>
      </c>
      <c r="R71" s="2335">
        <v>94.906070126602756</v>
      </c>
      <c r="S71" s="2344">
        <v>97.150870126602754</v>
      </c>
      <c r="U71" s="837"/>
      <c r="V71" s="837"/>
      <c r="W71" s="837"/>
      <c r="X71" s="837"/>
      <c r="Y71" s="837"/>
    </row>
    <row r="72" spans="2:25" s="1240" customFormat="1">
      <c r="L72" s="2343">
        <v>2035</v>
      </c>
      <c r="M72" s="2335">
        <v>47.411964097034968</v>
      </c>
      <c r="N72" s="2329">
        <f>$R72</f>
        <v>94.552764097034981</v>
      </c>
      <c r="O72" s="2329">
        <f t="shared" si="18"/>
        <v>94.552764097034981</v>
      </c>
      <c r="P72" s="2329">
        <f t="shared" si="18"/>
        <v>94.552764097034981</v>
      </c>
      <c r="Q72" s="2329">
        <f t="shared" si="18"/>
        <v>94.552764097034981</v>
      </c>
      <c r="R72" s="2335">
        <v>94.552764097034981</v>
      </c>
      <c r="S72" s="2344">
        <v>96.797564097034979</v>
      </c>
      <c r="T72" s="837"/>
      <c r="U72" s="837"/>
      <c r="V72" s="837"/>
      <c r="W72" s="837"/>
      <c r="X72" s="837"/>
      <c r="Y72" s="837"/>
    </row>
    <row r="73" spans="2:25" s="1240" customFormat="1" ht="15">
      <c r="B73" s="454" t="s">
        <v>2461</v>
      </c>
      <c r="L73" s="2345">
        <v>2050</v>
      </c>
      <c r="M73" s="2346">
        <v>47.235311082251087</v>
      </c>
      <c r="N73" s="2330">
        <f>$R73</f>
        <v>94.376111082251086</v>
      </c>
      <c r="O73" s="2330">
        <f t="shared" si="18"/>
        <v>94.376111082251086</v>
      </c>
      <c r="P73" s="2330">
        <f t="shared" si="18"/>
        <v>94.376111082251086</v>
      </c>
      <c r="Q73" s="2330">
        <f t="shared" si="18"/>
        <v>94.376111082251086</v>
      </c>
      <c r="R73" s="2346">
        <v>94.376111082251086</v>
      </c>
      <c r="S73" s="2347">
        <v>96.620911082251084</v>
      </c>
      <c r="T73" s="837"/>
      <c r="U73" s="837"/>
      <c r="V73" s="837"/>
      <c r="W73" s="837"/>
      <c r="X73" s="837"/>
      <c r="Y73" s="837"/>
    </row>
    <row r="74" spans="2:25" s="1240" customFormat="1">
      <c r="B74" s="551"/>
      <c r="C74" s="2313" t="s">
        <v>886</v>
      </c>
      <c r="D74" s="552" t="s">
        <v>884</v>
      </c>
      <c r="E74" s="552" t="s">
        <v>28</v>
      </c>
      <c r="F74" s="552" t="s">
        <v>885</v>
      </c>
      <c r="G74" s="552" t="s">
        <v>25</v>
      </c>
      <c r="H74" s="553" t="s">
        <v>45</v>
      </c>
      <c r="I74" s="553" t="s">
        <v>493</v>
      </c>
      <c r="P74" s="837"/>
      <c r="Q74" s="837"/>
      <c r="R74" s="837"/>
      <c r="S74" s="837"/>
      <c r="T74" s="837"/>
      <c r="U74" s="837"/>
    </row>
    <row r="75" spans="2:25" s="1240" customFormat="1">
      <c r="B75" s="847"/>
      <c r="C75" s="2314" t="s">
        <v>203</v>
      </c>
      <c r="D75" s="445" t="s">
        <v>203</v>
      </c>
      <c r="E75" s="445" t="s">
        <v>203</v>
      </c>
      <c r="F75" s="445" t="s">
        <v>203</v>
      </c>
      <c r="G75" s="445" t="s">
        <v>203</v>
      </c>
      <c r="H75" s="554" t="s">
        <v>203</v>
      </c>
      <c r="I75" s="554" t="s">
        <v>887</v>
      </c>
      <c r="W75" s="557" t="s">
        <v>2463</v>
      </c>
    </row>
    <row r="76" spans="2:25" s="1240" customFormat="1">
      <c r="B76" s="2333" t="s">
        <v>2447</v>
      </c>
      <c r="C76" s="1257"/>
      <c r="D76" s="1257"/>
      <c r="E76" s="1257"/>
      <c r="F76" s="1257"/>
      <c r="G76" s="1257"/>
      <c r="H76" s="1257"/>
      <c r="I76" s="546"/>
      <c r="S76" s="1240" t="s">
        <v>2462</v>
      </c>
      <c r="T76" s="1240" t="s">
        <v>10</v>
      </c>
      <c r="U76" s="1240" t="s">
        <v>2462</v>
      </c>
      <c r="V76" s="1240" t="s">
        <v>10</v>
      </c>
      <c r="W76" s="1240" t="s">
        <v>2462</v>
      </c>
      <c r="X76" s="1240" t="s">
        <v>10</v>
      </c>
    </row>
    <row r="77" spans="2:25" s="1240" customFormat="1">
      <c r="B77" s="549" t="s">
        <v>2659</v>
      </c>
      <c r="C77" s="1471"/>
      <c r="D77" s="1471"/>
      <c r="E77" s="1471"/>
      <c r="F77" s="1471"/>
      <c r="G77" s="1471"/>
      <c r="H77" s="1471"/>
      <c r="I77" s="549"/>
    </row>
    <row r="78" spans="2:25" s="1240" customFormat="1">
      <c r="B78" s="549" t="s">
        <v>2448</v>
      </c>
      <c r="C78" s="1471"/>
      <c r="D78" s="1471"/>
      <c r="E78" s="1471"/>
      <c r="F78" s="1471"/>
      <c r="G78" s="1471"/>
      <c r="H78" s="1471"/>
      <c r="I78" s="549"/>
    </row>
    <row r="79" spans="2:25" s="1240" customFormat="1">
      <c r="B79" s="549" t="s">
        <v>2449</v>
      </c>
      <c r="C79" s="1471"/>
      <c r="D79" s="1471"/>
      <c r="E79" s="1471"/>
      <c r="F79" s="1471"/>
      <c r="G79" s="1471"/>
      <c r="H79" s="1471"/>
      <c r="I79" s="549"/>
    </row>
    <row r="80" spans="2:25" s="1240" customFormat="1">
      <c r="B80" s="548" t="s">
        <v>2450</v>
      </c>
      <c r="C80" s="1464"/>
      <c r="D80" s="1464"/>
      <c r="E80" s="1464"/>
      <c r="F80" s="1464"/>
      <c r="G80" s="1464"/>
      <c r="H80" s="1464"/>
      <c r="I80" s="548"/>
    </row>
    <row r="81" spans="1:21" s="1240" customFormat="1">
      <c r="P81" s="837"/>
      <c r="Q81" s="837"/>
      <c r="R81" s="837"/>
      <c r="S81" s="837"/>
      <c r="T81" s="837"/>
      <c r="U81" s="837"/>
    </row>
    <row r="82" spans="1:21">
      <c r="P82" s="837"/>
      <c r="Q82" s="837"/>
      <c r="R82" s="837"/>
      <c r="S82" s="837"/>
      <c r="T82" s="837"/>
      <c r="U82" s="837"/>
    </row>
    <row r="83" spans="1:21" s="14" customFormat="1" ht="18">
      <c r="A83" s="14" t="s">
        <v>2348</v>
      </c>
    </row>
    <row r="85" spans="1:21" s="664" customFormat="1" ht="11.25">
      <c r="C85" s="1800"/>
    </row>
    <row r="86" spans="1:21" s="664" customFormat="1" ht="15.75" thickBot="1">
      <c r="B86" s="454" t="s">
        <v>2370</v>
      </c>
      <c r="C86" s="1800"/>
    </row>
    <row r="87" spans="1:21" s="664" customFormat="1">
      <c r="B87" s="1455"/>
      <c r="C87" s="2159" t="s">
        <v>886</v>
      </c>
      <c r="D87" s="2159" t="s">
        <v>27</v>
      </c>
      <c r="E87" s="2159" t="s">
        <v>28</v>
      </c>
      <c r="F87" s="2159" t="s">
        <v>885</v>
      </c>
      <c r="G87" s="2159" t="s">
        <v>25</v>
      </c>
      <c r="H87" s="2159" t="s">
        <v>2356</v>
      </c>
      <c r="I87" s="2160" t="s">
        <v>56</v>
      </c>
    </row>
    <row r="88" spans="1:21" s="664" customFormat="1" ht="13.5" thickBot="1">
      <c r="B88" s="1460"/>
      <c r="C88" s="99" t="s">
        <v>203</v>
      </c>
      <c r="D88" s="99" t="s">
        <v>203</v>
      </c>
      <c r="E88" s="99" t="s">
        <v>203</v>
      </c>
      <c r="F88" s="99" t="s">
        <v>203</v>
      </c>
      <c r="G88" s="99" t="s">
        <v>203</v>
      </c>
      <c r="H88" s="99" t="s">
        <v>203</v>
      </c>
      <c r="I88" s="2161" t="s">
        <v>74</v>
      </c>
      <c r="L88" s="1713" t="s">
        <v>2364</v>
      </c>
      <c r="M88" s="489"/>
      <c r="N88" s="489"/>
    </row>
    <row r="89" spans="1:21" s="664" customFormat="1">
      <c r="B89" s="2142">
        <v>2012</v>
      </c>
      <c r="C89" s="464">
        <f>IF($M$90=1,0,CHOOSE($M$89,C100,C114))</f>
        <v>4832.8209659431113</v>
      </c>
      <c r="D89" s="1505">
        <f t="shared" ref="D89:H90" si="19">CHOOSE($M$89,D100,D114)</f>
        <v>0.1</v>
      </c>
      <c r="E89" s="1505">
        <f t="shared" si="19"/>
        <v>0.1</v>
      </c>
      <c r="F89" s="1505">
        <f t="shared" si="19"/>
        <v>0.3</v>
      </c>
      <c r="G89" s="1505">
        <f t="shared" si="19"/>
        <v>55</v>
      </c>
      <c r="H89" s="1505">
        <f t="shared" si="19"/>
        <v>0.1</v>
      </c>
      <c r="I89" s="2173">
        <f>SUMPRODUCT(C89:H89,$C$95:$H$95)/1000</f>
        <v>4.8651209659431114</v>
      </c>
      <c r="L89" s="2164" t="s">
        <v>2362</v>
      </c>
      <c r="M89" s="2214">
        <f>Cockpit!B14</f>
        <v>1</v>
      </c>
      <c r="N89" s="2207" t="s">
        <v>2365</v>
      </c>
      <c r="O89" s="1818"/>
      <c r="P89" s="1818"/>
      <c r="Q89" s="1818"/>
      <c r="R89" s="1818"/>
      <c r="S89" s="1819"/>
    </row>
    <row r="90" spans="1:21" s="664" customFormat="1" ht="13.5" thickBot="1">
      <c r="B90" s="2142">
        <v>2020</v>
      </c>
      <c r="C90" s="1505">
        <f>CHOOSE($M$89,C101,C115)</f>
        <v>4229.7090909090912</v>
      </c>
      <c r="D90" s="1505">
        <f t="shared" si="19"/>
        <v>0.12672727272727272</v>
      </c>
      <c r="E90" s="1505">
        <f t="shared" si="19"/>
        <v>7.454545454545454E-2</v>
      </c>
      <c r="F90" s="1505">
        <f t="shared" si="19"/>
        <v>2.2363636363636363E-2</v>
      </c>
      <c r="G90" s="1505">
        <f t="shared" si="19"/>
        <v>3.5781818181818177</v>
      </c>
      <c r="H90" s="1505">
        <f t="shared" si="19"/>
        <v>3.8018181818181814E-3</v>
      </c>
      <c r="I90" s="2173">
        <f>SUMPRODUCT(C90:H90,$C$95:$H$95)/1000</f>
        <v>4.2550918181818176</v>
      </c>
      <c r="L90" s="2165" t="s">
        <v>2363</v>
      </c>
      <c r="M90" s="2163">
        <f>Cockpit!B11</f>
        <v>2</v>
      </c>
      <c r="N90" s="2208" t="s">
        <v>2366</v>
      </c>
      <c r="O90" s="1820"/>
      <c r="P90" s="1820"/>
      <c r="Q90" s="1820"/>
      <c r="R90" s="1820"/>
      <c r="S90" s="2209"/>
    </row>
    <row r="91" spans="1:21" s="664" customFormat="1">
      <c r="B91" s="2142">
        <v>2035</v>
      </c>
      <c r="C91" s="1505">
        <f t="shared" ref="C91:H91" si="20">CHOOSE($M$89,C102,C116)</f>
        <v>4229.7090909090912</v>
      </c>
      <c r="D91" s="1505">
        <f t="shared" si="20"/>
        <v>0.12672727272727272</v>
      </c>
      <c r="E91" s="1505">
        <f t="shared" si="20"/>
        <v>7.454545454545454E-2</v>
      </c>
      <c r="F91" s="1505">
        <f t="shared" si="20"/>
        <v>2.2363636363636363E-2</v>
      </c>
      <c r="G91" s="1505">
        <f t="shared" si="20"/>
        <v>3.5781818181818177</v>
      </c>
      <c r="H91" s="1505">
        <f t="shared" si="20"/>
        <v>3.8018181818181814E-3</v>
      </c>
      <c r="I91" s="2173">
        <f>SUMPRODUCT(C91:H91,$C$95:$H$95)/1000</f>
        <v>4.2550918181818176</v>
      </c>
    </row>
    <row r="92" spans="1:21" s="664" customFormat="1" ht="13.5" thickBot="1">
      <c r="B92" s="2167">
        <v>2050</v>
      </c>
      <c r="C92" s="826">
        <f t="shared" ref="C92:H92" si="21">CHOOSE($M$89,C103,C117)</f>
        <v>0</v>
      </c>
      <c r="D92" s="826">
        <f t="shared" si="21"/>
        <v>0</v>
      </c>
      <c r="E92" s="826">
        <f t="shared" si="21"/>
        <v>0</v>
      </c>
      <c r="F92" s="826">
        <f t="shared" si="21"/>
        <v>0</v>
      </c>
      <c r="G92" s="826">
        <f t="shared" si="21"/>
        <v>0</v>
      </c>
      <c r="H92" s="826">
        <f t="shared" si="21"/>
        <v>0</v>
      </c>
      <c r="I92" s="2174">
        <f>SUMPRODUCT(C92:H92,$C$95:$H$95)/1000</f>
        <v>0</v>
      </c>
    </row>
    <row r="93" spans="1:21" s="664" customFormat="1" ht="11.25">
      <c r="C93" s="1800"/>
    </row>
    <row r="94" spans="1:21" s="664" customFormat="1" ht="15.75" thickBot="1">
      <c r="B94" s="2151" t="s">
        <v>2368</v>
      </c>
    </row>
    <row r="95" spans="1:21" s="664" customFormat="1" ht="13.5" thickBot="1">
      <c r="B95" s="2210" t="s">
        <v>2369</v>
      </c>
      <c r="C95" s="2213">
        <f>Supplementary!$C$195</f>
        <v>1</v>
      </c>
      <c r="D95" s="2213">
        <f>Supplementary!$C$196</f>
        <v>25</v>
      </c>
      <c r="E95" s="2213">
        <f>Supplementary!$C$197</f>
        <v>298</v>
      </c>
      <c r="F95" s="2211">
        <v>0</v>
      </c>
      <c r="G95" s="2211">
        <v>0</v>
      </c>
      <c r="H95" s="2212">
        <v>0</v>
      </c>
    </row>
    <row r="96" spans="1:21" s="664" customFormat="1" ht="11.25">
      <c r="C96" s="1800"/>
    </row>
    <row r="97" spans="1:14" s="664" customFormat="1" ht="15.75" thickBot="1">
      <c r="B97" s="454" t="s">
        <v>2358</v>
      </c>
      <c r="C97" s="1800"/>
    </row>
    <row r="98" spans="1:14" s="664" customFormat="1" ht="13.5" thickBot="1">
      <c r="B98" s="1455"/>
      <c r="C98" s="2159" t="s">
        <v>886</v>
      </c>
      <c r="D98" s="2159" t="s">
        <v>27</v>
      </c>
      <c r="E98" s="2159" t="s">
        <v>28</v>
      </c>
      <c r="F98" s="2159" t="s">
        <v>885</v>
      </c>
      <c r="G98" s="2159" t="s">
        <v>25</v>
      </c>
      <c r="H98" s="2160" t="s">
        <v>2356</v>
      </c>
    </row>
    <row r="99" spans="1:14" s="664" customFormat="1">
      <c r="B99" s="1460"/>
      <c r="C99" s="99" t="s">
        <v>203</v>
      </c>
      <c r="D99" s="99" t="s">
        <v>203</v>
      </c>
      <c r="E99" s="99" t="s">
        <v>203</v>
      </c>
      <c r="F99" s="99" t="s">
        <v>203</v>
      </c>
      <c r="G99" s="99" t="s">
        <v>203</v>
      </c>
      <c r="H99" s="2161" t="s">
        <v>203</v>
      </c>
      <c r="M99" s="2180" t="s">
        <v>2359</v>
      </c>
      <c r="N99" s="2166" t="s">
        <v>2360</v>
      </c>
    </row>
    <row r="100" spans="1:14" s="664" customFormat="1">
      <c r="B100" s="2142">
        <v>2012</v>
      </c>
      <c r="C100" s="464">
        <f>17398.1554773952/3.6</f>
        <v>4832.8209659431113</v>
      </c>
      <c r="D100" s="1505">
        <v>0.1</v>
      </c>
      <c r="E100" s="1505">
        <v>0.1</v>
      </c>
      <c r="F100" s="1505">
        <v>0.3</v>
      </c>
      <c r="G100" s="1505">
        <v>55</v>
      </c>
      <c r="H100" s="2173">
        <v>0.1</v>
      </c>
      <c r="I100" s="489" t="s">
        <v>2530</v>
      </c>
      <c r="M100" s="2175">
        <v>0.04</v>
      </c>
      <c r="N100" s="2176">
        <v>0.55000000000000004</v>
      </c>
    </row>
    <row r="101" spans="1:14" s="664" customFormat="1">
      <c r="B101" s="2142">
        <v>2020</v>
      </c>
      <c r="C101" s="1505">
        <f>Supplementary!E$68*$M101/$N101</f>
        <v>4229.7090909090912</v>
      </c>
      <c r="D101" s="1505">
        <f>Supplementary!F$68*$M101/$N101</f>
        <v>0.12672727272727272</v>
      </c>
      <c r="E101" s="1505">
        <f>Supplementary!G$68*$M101/$N101</f>
        <v>7.454545454545454E-2</v>
      </c>
      <c r="F101" s="1505">
        <f>Supplementary!H$68*$M101/$N101</f>
        <v>2.2363636363636363E-2</v>
      </c>
      <c r="G101" s="1505">
        <f>Supplementary!I$68*$M101/$N101</f>
        <v>3.5781818181818177</v>
      </c>
      <c r="H101" s="2173">
        <f>Supplementary!J$68*$M101/$N101</f>
        <v>3.8018181818181814E-3</v>
      </c>
      <c r="I101" s="489" t="s">
        <v>2531</v>
      </c>
      <c r="M101" s="2175">
        <v>4.1000000000000002E-2</v>
      </c>
      <c r="N101" s="2177">
        <v>0.55000000000000004</v>
      </c>
    </row>
    <row r="102" spans="1:14" s="664" customFormat="1">
      <c r="B102" s="2142">
        <v>2035</v>
      </c>
      <c r="C102" s="1505">
        <f>Supplementary!E$68*$M102/$N102</f>
        <v>4229.7090909090912</v>
      </c>
      <c r="D102" s="1505">
        <f>Supplementary!F$68*$M102/$N102</f>
        <v>0.12672727272727272</v>
      </c>
      <c r="E102" s="1505">
        <f>Supplementary!G$68*$M102/$N102</f>
        <v>7.454545454545454E-2</v>
      </c>
      <c r="F102" s="1505">
        <f>Supplementary!H$68*$M102/$N102</f>
        <v>2.2363636363636363E-2</v>
      </c>
      <c r="G102" s="1505">
        <f>Supplementary!I$68*$M102/$N102</f>
        <v>3.5781818181818177</v>
      </c>
      <c r="H102" s="2173">
        <f>Supplementary!J$68*$M102/$N102</f>
        <v>3.8018181818181814E-3</v>
      </c>
      <c r="I102" s="489" t="s">
        <v>2531</v>
      </c>
      <c r="M102" s="2175">
        <v>4.1000000000000002E-2</v>
      </c>
      <c r="N102" s="2177">
        <v>0.55000000000000004</v>
      </c>
    </row>
    <row r="103" spans="1:14" s="664" customFormat="1" ht="13.5" thickBot="1">
      <c r="B103" s="2167">
        <v>2050</v>
      </c>
      <c r="C103" s="826">
        <v>0</v>
      </c>
      <c r="D103" s="826">
        <v>0</v>
      </c>
      <c r="E103" s="826">
        <v>0</v>
      </c>
      <c r="F103" s="826">
        <f>Supplementary!H$68*$M103/$N103</f>
        <v>0</v>
      </c>
      <c r="G103" s="826">
        <v>0</v>
      </c>
      <c r="H103" s="2174">
        <f>Supplementary!J$68*$M103/$N103</f>
        <v>0</v>
      </c>
      <c r="I103" s="489" t="s">
        <v>2532</v>
      </c>
      <c r="M103" s="2178">
        <v>0</v>
      </c>
      <c r="N103" s="2179">
        <v>0.55000000000000004</v>
      </c>
    </row>
    <row r="104" spans="1:14" s="664" customFormat="1" ht="11.25">
      <c r="C104" s="1800"/>
      <c r="M104" s="1811" t="str">
        <f>CONCATENATE("Kilde: ENS, mail af 14/12 2011 samt vurdering fra Energinet.dk for 2020 og 2035 langsigtet marginal")</f>
        <v>Kilde: ENS, mail af 14/12 2011 samt vurdering fra Energinet.dk for 2020 og 2035 langsigtet marginal</v>
      </c>
    </row>
    <row r="105" spans="1:14" s="664" customFormat="1" ht="11.25">
      <c r="C105" s="1800"/>
    </row>
    <row r="106" spans="1:14" ht="15.75" thickBot="1">
      <c r="B106" s="454" t="s">
        <v>2357</v>
      </c>
      <c r="C106" s="1240"/>
      <c r="D106" s="1240"/>
      <c r="E106" s="1240"/>
      <c r="F106" s="1240"/>
      <c r="G106" s="1240"/>
    </row>
    <row r="107" spans="1:14">
      <c r="B107" s="1455"/>
      <c r="C107" s="2159" t="s">
        <v>886</v>
      </c>
      <c r="D107" s="2159" t="s">
        <v>27</v>
      </c>
      <c r="E107" s="2159" t="s">
        <v>28</v>
      </c>
      <c r="F107" s="2159" t="s">
        <v>885</v>
      </c>
      <c r="G107" s="2159" t="s">
        <v>25</v>
      </c>
      <c r="H107" s="2160" t="s">
        <v>2356</v>
      </c>
    </row>
    <row r="108" spans="1:14">
      <c r="B108" s="1460"/>
      <c r="C108" s="99" t="s">
        <v>238</v>
      </c>
      <c r="D108" s="99" t="s">
        <v>239</v>
      </c>
      <c r="E108" s="99" t="s">
        <v>239</v>
      </c>
      <c r="F108" s="99" t="s">
        <v>239</v>
      </c>
      <c r="G108" s="99" t="s">
        <v>239</v>
      </c>
      <c r="H108" s="2161" t="s">
        <v>239</v>
      </c>
    </row>
    <row r="109" spans="1:14">
      <c r="A109" s="70">
        <f>MATCH(B109,$B$139:$B$162,0)</f>
        <v>1</v>
      </c>
      <c r="B109" s="2142">
        <v>2012</v>
      </c>
      <c r="C109" s="2162">
        <f ca="1">OFFSET(D$138,$A109,0)</f>
        <v>368.52769805974117</v>
      </c>
      <c r="D109" s="2162">
        <f ca="1">OFFSET(G$138,$A109,0)</f>
        <v>237.23779378354698</v>
      </c>
      <c r="E109" s="2162">
        <f ca="1">OFFSET(J$138,$A109,0)</f>
        <v>5.4224649759943855</v>
      </c>
      <c r="F109" s="2162">
        <f ca="1">OFFSET(M$138,$A109,0)</f>
        <v>211.99856362619531</v>
      </c>
      <c r="G109" s="2162">
        <f ca="1">OFFSET(P$138,$A109,0)</f>
        <v>462.31166168880873</v>
      </c>
      <c r="H109" s="2215">
        <f>4*3.6</f>
        <v>14.4</v>
      </c>
    </row>
    <row r="110" spans="1:14">
      <c r="A110" s="1240">
        <f>MATCH(B110,$B$139:$B$162,0)</f>
        <v>9</v>
      </c>
      <c r="B110" s="2142">
        <v>2020</v>
      </c>
      <c r="C110" s="2162">
        <f ca="1">OFFSET(D$138,$A110,0)</f>
        <v>201.52469576182855</v>
      </c>
      <c r="D110" s="2162">
        <f ca="1">OFFSET(G$138,$A110,0)</f>
        <v>90.818118165051615</v>
      </c>
      <c r="E110" s="2162">
        <f ca="1">OFFSET(J$138,$A110,0)</f>
        <v>3.4717139667622496</v>
      </c>
      <c r="F110" s="2162">
        <f ca="1">OFFSET(M$138,$A110,0)</f>
        <v>139.94779936012461</v>
      </c>
      <c r="G110" s="2162">
        <f ca="1">OFFSET(P$138,$A110,0)</f>
        <v>329.04153580320241</v>
      </c>
      <c r="H110" s="2215">
        <f>4*3.6</f>
        <v>14.4</v>
      </c>
    </row>
    <row r="111" spans="1:14">
      <c r="A111" s="1240">
        <f>MATCH(B111,$B$139:$B$162,0)</f>
        <v>24</v>
      </c>
      <c r="B111" s="2142">
        <v>2035</v>
      </c>
      <c r="C111" s="2162">
        <f ca="1">OFFSET(D$138,$A111,0)</f>
        <v>158.06647331207986</v>
      </c>
      <c r="D111" s="2162">
        <f ca="1">OFFSET(G$138,$A111,0)</f>
        <v>148.33785116396243</v>
      </c>
      <c r="E111" s="2162">
        <f ca="1">OFFSET(J$138,$A111,0)</f>
        <v>3.0132247940105721</v>
      </c>
      <c r="F111" s="2162">
        <f ca="1">OFFSET(M$138,$A111,0)</f>
        <v>88.775259244528939</v>
      </c>
      <c r="G111" s="2162">
        <f ca="1">OFFSET(P$138,$A111,0)</f>
        <v>364.10140094383331</v>
      </c>
      <c r="H111" s="2215">
        <f>4*3.6</f>
        <v>14.4</v>
      </c>
    </row>
    <row r="112" spans="1:14">
      <c r="B112" s="2168">
        <v>2050</v>
      </c>
      <c r="C112" s="2169">
        <f t="shared" ref="C112:H112" ca="1" si="22">C111/3</f>
        <v>52.688824437359955</v>
      </c>
      <c r="D112" s="2169">
        <f t="shared" ca="1" si="22"/>
        <v>49.445950387987473</v>
      </c>
      <c r="E112" s="2169">
        <f t="shared" ca="1" si="22"/>
        <v>1.0044082646701906</v>
      </c>
      <c r="F112" s="2169">
        <f t="shared" ca="1" si="22"/>
        <v>29.591753081509648</v>
      </c>
      <c r="G112" s="2169">
        <f t="shared" ca="1" si="22"/>
        <v>121.36713364794444</v>
      </c>
      <c r="H112" s="2170">
        <f t="shared" si="22"/>
        <v>4.8</v>
      </c>
      <c r="I112" s="70" t="s">
        <v>2361</v>
      </c>
    </row>
    <row r="113" spans="1:28" s="1240" customFormat="1">
      <c r="B113" s="2181"/>
      <c r="C113" s="844" t="s">
        <v>203</v>
      </c>
      <c r="D113" s="844" t="s">
        <v>203</v>
      </c>
      <c r="E113" s="844" t="s">
        <v>203</v>
      </c>
      <c r="F113" s="844" t="s">
        <v>203</v>
      </c>
      <c r="G113" s="844" t="s">
        <v>203</v>
      </c>
      <c r="H113" s="2182" t="s">
        <v>203</v>
      </c>
    </row>
    <row r="114" spans="1:28" s="1240" customFormat="1">
      <c r="B114" s="2142">
        <v>2012</v>
      </c>
      <c r="C114" s="464">
        <f ca="1">1000*C109/3.6</f>
        <v>102368.80501659476</v>
      </c>
      <c r="D114" s="464">
        <f t="shared" ref="D114:H117" ca="1" si="23">D109/3.6</f>
        <v>65.899387162096374</v>
      </c>
      <c r="E114" s="464">
        <f t="shared" ca="1" si="23"/>
        <v>1.5062402711095515</v>
      </c>
      <c r="F114" s="464">
        <f t="shared" ca="1" si="23"/>
        <v>58.88848989616536</v>
      </c>
      <c r="G114" s="464">
        <f t="shared" ca="1" si="23"/>
        <v>128.41990602466907</v>
      </c>
      <c r="H114" s="2171">
        <f t="shared" si="23"/>
        <v>4</v>
      </c>
    </row>
    <row r="115" spans="1:28" s="1240" customFormat="1">
      <c r="B115" s="2142">
        <v>2020</v>
      </c>
      <c r="C115" s="464">
        <f ca="1">1000*C110/3.6</f>
        <v>55979.082156063487</v>
      </c>
      <c r="D115" s="464">
        <f t="shared" ca="1" si="23"/>
        <v>25.22725504584767</v>
      </c>
      <c r="E115" s="464">
        <f t="shared" ca="1" si="23"/>
        <v>0.96436499076729154</v>
      </c>
      <c r="F115" s="464">
        <f t="shared" ca="1" si="23"/>
        <v>38.87438871114572</v>
      </c>
      <c r="G115" s="464">
        <f t="shared" ca="1" si="23"/>
        <v>91.400426612000672</v>
      </c>
      <c r="H115" s="2171">
        <f t="shared" si="23"/>
        <v>4</v>
      </c>
    </row>
    <row r="116" spans="1:28" s="1240" customFormat="1">
      <c r="B116" s="2142">
        <v>2035</v>
      </c>
      <c r="C116" s="464">
        <f ca="1">1000*C111/3.6</f>
        <v>43907.353697799968</v>
      </c>
      <c r="D116" s="464">
        <f t="shared" ca="1" si="23"/>
        <v>41.204958656656231</v>
      </c>
      <c r="E116" s="464">
        <f t="shared" ca="1" si="23"/>
        <v>0.83700688722515892</v>
      </c>
      <c r="F116" s="464">
        <f t="shared" ca="1" si="23"/>
        <v>24.65979423459137</v>
      </c>
      <c r="G116" s="464">
        <f t="shared" ca="1" si="23"/>
        <v>101.13927803995369</v>
      </c>
      <c r="H116" s="2171">
        <f t="shared" si="23"/>
        <v>4</v>
      </c>
    </row>
    <row r="117" spans="1:28" s="1240" customFormat="1" ht="13.5" thickBot="1">
      <c r="B117" s="2167">
        <v>2050</v>
      </c>
      <c r="C117" s="824">
        <f ca="1">1000*C112/3.6</f>
        <v>14635.78456593332</v>
      </c>
      <c r="D117" s="824">
        <f t="shared" ca="1" si="23"/>
        <v>13.734986218885409</v>
      </c>
      <c r="E117" s="824">
        <f t="shared" ca="1" si="23"/>
        <v>0.27900229574171959</v>
      </c>
      <c r="F117" s="824">
        <f t="shared" ca="1" si="23"/>
        <v>8.2199314115304567</v>
      </c>
      <c r="G117" s="824">
        <f t="shared" ca="1" si="23"/>
        <v>33.71309267998457</v>
      </c>
      <c r="H117" s="2172">
        <f t="shared" si="23"/>
        <v>1.3333333333333333</v>
      </c>
    </row>
    <row r="118" spans="1:28">
      <c r="B118" s="70" t="s">
        <v>2374</v>
      </c>
      <c r="S118" s="1240"/>
      <c r="T118" s="1240"/>
      <c r="U118" s="1240"/>
      <c r="V118" s="1240"/>
      <c r="W118" s="1240"/>
      <c r="X118" s="1240"/>
      <c r="Y118" s="1240"/>
      <c r="Z118" s="1240"/>
      <c r="AA118" s="1240"/>
      <c r="AB118" s="1240"/>
    </row>
    <row r="119" spans="1:28">
      <c r="B119" s="530"/>
      <c r="C119" s="530"/>
      <c r="D119" s="530"/>
      <c r="E119" s="530"/>
      <c r="F119" s="530"/>
      <c r="G119" s="530"/>
      <c r="H119" s="530"/>
      <c r="I119" s="530"/>
      <c r="J119" s="530"/>
      <c r="K119" s="530"/>
      <c r="L119" s="530"/>
      <c r="M119" s="530"/>
      <c r="N119" s="530"/>
      <c r="O119" s="530"/>
      <c r="P119" s="530"/>
      <c r="Q119" s="530"/>
      <c r="R119" s="1240"/>
      <c r="S119" s="1240"/>
      <c r="T119" s="1240"/>
      <c r="U119" s="1240"/>
      <c r="V119" s="1240"/>
      <c r="W119" s="1240"/>
      <c r="X119" s="1240"/>
      <c r="Y119" s="1240"/>
      <c r="Z119" s="1240"/>
      <c r="AA119" s="1240"/>
      <c r="AB119" s="1240"/>
    </row>
    <row r="120" spans="1:28" s="1240" customFormat="1" ht="15.75" thickBot="1">
      <c r="B120" s="454" t="s">
        <v>2372</v>
      </c>
    </row>
    <row r="121" spans="1:28" s="1240" customFormat="1">
      <c r="B121" s="1455"/>
      <c r="C121" s="2159" t="s">
        <v>886</v>
      </c>
      <c r="D121" s="2159" t="s">
        <v>27</v>
      </c>
      <c r="E121" s="2159" t="s">
        <v>28</v>
      </c>
      <c r="F121" s="2159" t="s">
        <v>885</v>
      </c>
      <c r="G121" s="2159" t="s">
        <v>25</v>
      </c>
      <c r="H121" s="2160" t="s">
        <v>2356</v>
      </c>
    </row>
    <row r="122" spans="1:28" s="1240" customFormat="1">
      <c r="B122" s="1460"/>
      <c r="C122" s="99" t="s">
        <v>238</v>
      </c>
      <c r="D122" s="99" t="s">
        <v>239</v>
      </c>
      <c r="E122" s="99" t="s">
        <v>239</v>
      </c>
      <c r="F122" s="99" t="s">
        <v>239</v>
      </c>
      <c r="G122" s="99" t="s">
        <v>239</v>
      </c>
      <c r="H122" s="2161" t="s">
        <v>239</v>
      </c>
    </row>
    <row r="123" spans="1:28" s="1240" customFormat="1">
      <c r="A123" s="1240">
        <f>MATCH(B123,$B$139:$B$162,0)</f>
        <v>1</v>
      </c>
      <c r="B123" s="2142">
        <v>2012</v>
      </c>
      <c r="C123" s="2162">
        <f ca="1">OFFSET(E$138,$A123,0)</f>
        <v>50.903496154278841</v>
      </c>
      <c r="D123" s="2162">
        <f ca="1">OFFSET(H$138,$A123,0)</f>
        <v>54.339913616833194</v>
      </c>
      <c r="E123" s="2162">
        <f ca="1">OFFSET(K$138,$A123,0)</f>
        <v>1.6558510297838316</v>
      </c>
      <c r="F123" s="2162">
        <f ca="1">OFFSET(N$138,$A123,0)</f>
        <v>75.498171293963665</v>
      </c>
      <c r="G123" s="2162">
        <f ca="1">OFFSET(Q$138,$A123,0)</f>
        <v>96.983514141233698</v>
      </c>
      <c r="H123" s="2215">
        <f>2*3.6</f>
        <v>7.2</v>
      </c>
    </row>
    <row r="124" spans="1:28" s="1240" customFormat="1">
      <c r="A124" s="1240">
        <f>MATCH(B124,$B$139:$B$162,0)</f>
        <v>9</v>
      </c>
      <c r="B124" s="2142">
        <v>2020</v>
      </c>
      <c r="C124" s="2162">
        <f ca="1">OFFSET(E$138,$A124,0)</f>
        <v>42.273514515217954</v>
      </c>
      <c r="D124" s="2162">
        <f ca="1">OFFSET(H$138,$A124,0)</f>
        <v>29.093048932387077</v>
      </c>
      <c r="E124" s="2162">
        <f ca="1">OFFSET(K$138,$A124,0)</f>
        <v>1.4999674905847249</v>
      </c>
      <c r="F124" s="2162">
        <f ca="1">OFFSET(N$138,$A124,0)</f>
        <v>68.872187283862132</v>
      </c>
      <c r="G124" s="2162">
        <f ca="1">OFFSET(Q$138,$A124,0)</f>
        <v>92.733716298807323</v>
      </c>
      <c r="H124" s="2215">
        <f>2*3.6</f>
        <v>7.2</v>
      </c>
    </row>
    <row r="125" spans="1:28" s="1240" customFormat="1">
      <c r="A125" s="1240">
        <f>MATCH(B125,$B$139:$B$162,0)</f>
        <v>24</v>
      </c>
      <c r="B125" s="2142">
        <v>2035</v>
      </c>
      <c r="C125" s="2162">
        <f ca="1">OFFSET(E$138,$A125,0)</f>
        <v>38.157051193318786</v>
      </c>
      <c r="D125" s="2162">
        <f ca="1">OFFSET(H$138,$A125,0)</f>
        <v>44.120312216836339</v>
      </c>
      <c r="E125" s="2162">
        <f ca="1">OFFSET(K$138,$A125,0)</f>
        <v>1.5061579698046041</v>
      </c>
      <c r="F125" s="2162">
        <f ca="1">OFFSET(N$138,$A125,0)</f>
        <v>75.792719364636625</v>
      </c>
      <c r="G125" s="2162">
        <f ca="1">OFFSET(Q$138,$A125,0)</f>
        <v>104.76193835588229</v>
      </c>
      <c r="H125" s="2215">
        <f>2*3.6</f>
        <v>7.2</v>
      </c>
    </row>
    <row r="126" spans="1:28" s="1240" customFormat="1">
      <c r="B126" s="2168">
        <v>2050</v>
      </c>
      <c r="C126" s="2169">
        <f t="shared" ref="C126:H126" ca="1" si="24">C125/3</f>
        <v>12.719017064439596</v>
      </c>
      <c r="D126" s="2169">
        <f t="shared" ca="1" si="24"/>
        <v>14.706770738945446</v>
      </c>
      <c r="E126" s="2169">
        <f t="shared" ca="1" si="24"/>
        <v>0.50205265660153475</v>
      </c>
      <c r="F126" s="2169">
        <f t="shared" ca="1" si="24"/>
        <v>25.264239788212208</v>
      </c>
      <c r="G126" s="2169">
        <f t="shared" ca="1" si="24"/>
        <v>34.920646118627431</v>
      </c>
      <c r="H126" s="2170">
        <f t="shared" si="24"/>
        <v>2.4</v>
      </c>
      <c r="I126" s="1240" t="s">
        <v>2361</v>
      </c>
    </row>
    <row r="127" spans="1:28" s="1240" customFormat="1">
      <c r="B127" s="2181"/>
      <c r="C127" s="844" t="s">
        <v>203</v>
      </c>
      <c r="D127" s="844" t="s">
        <v>203</v>
      </c>
      <c r="E127" s="844" t="s">
        <v>203</v>
      </c>
      <c r="F127" s="844" t="s">
        <v>203</v>
      </c>
      <c r="G127" s="844" t="s">
        <v>203</v>
      </c>
      <c r="H127" s="2182" t="s">
        <v>203</v>
      </c>
    </row>
    <row r="128" spans="1:28" s="1240" customFormat="1">
      <c r="B128" s="2142">
        <v>2012</v>
      </c>
      <c r="C128" s="464">
        <f ca="1">1000*C123/3.6</f>
        <v>14139.860042855234</v>
      </c>
      <c r="D128" s="464">
        <f t="shared" ref="D128:H131" ca="1" si="25">D123/3.6</f>
        <v>15.094420449120332</v>
      </c>
      <c r="E128" s="464">
        <f t="shared" ca="1" si="25"/>
        <v>0.45995861938439764</v>
      </c>
      <c r="F128" s="464">
        <f t="shared" ca="1" si="25"/>
        <v>20.971714248323241</v>
      </c>
      <c r="G128" s="464">
        <f t="shared" ca="1" si="25"/>
        <v>26.939865039231581</v>
      </c>
      <c r="H128" s="2171">
        <f t="shared" si="25"/>
        <v>2</v>
      </c>
    </row>
    <row r="129" spans="2:28" s="1240" customFormat="1">
      <c r="B129" s="2142">
        <v>2020</v>
      </c>
      <c r="C129" s="464">
        <f ca="1">1000*C124/3.6</f>
        <v>11742.642920893875</v>
      </c>
      <c r="D129" s="464">
        <f t="shared" ca="1" si="25"/>
        <v>8.0814024812186318</v>
      </c>
      <c r="E129" s="464">
        <f t="shared" ca="1" si="25"/>
        <v>0.41665763627353469</v>
      </c>
      <c r="F129" s="464">
        <f t="shared" ca="1" si="25"/>
        <v>19.131163134406147</v>
      </c>
      <c r="G129" s="464">
        <f t="shared" ca="1" si="25"/>
        <v>25.75936563855759</v>
      </c>
      <c r="H129" s="2171">
        <f t="shared" si="25"/>
        <v>2</v>
      </c>
    </row>
    <row r="130" spans="2:28" s="1240" customFormat="1">
      <c r="B130" s="2142">
        <v>2035</v>
      </c>
      <c r="C130" s="464">
        <f ca="1">1000*C125/3.6</f>
        <v>10599.180887032997</v>
      </c>
      <c r="D130" s="464">
        <f t="shared" ca="1" si="25"/>
        <v>12.255642282454538</v>
      </c>
      <c r="E130" s="464">
        <f t="shared" ca="1" si="25"/>
        <v>0.41837721383461224</v>
      </c>
      <c r="F130" s="464">
        <f t="shared" ca="1" si="25"/>
        <v>21.053533156843507</v>
      </c>
      <c r="G130" s="464">
        <f t="shared" ca="1" si="25"/>
        <v>29.100538432189524</v>
      </c>
      <c r="H130" s="2171">
        <f t="shared" si="25"/>
        <v>2</v>
      </c>
    </row>
    <row r="131" spans="2:28" s="1240" customFormat="1" ht="13.5" thickBot="1">
      <c r="B131" s="2167">
        <v>2050</v>
      </c>
      <c r="C131" s="824">
        <f ca="1">1000*C126/3.6</f>
        <v>3533.0602956776656</v>
      </c>
      <c r="D131" s="824">
        <f t="shared" ca="1" si="25"/>
        <v>4.0852140941515129</v>
      </c>
      <c r="E131" s="824">
        <f t="shared" ca="1" si="25"/>
        <v>0.13945907127820409</v>
      </c>
      <c r="F131" s="824">
        <f t="shared" ca="1" si="25"/>
        <v>7.0178443856145023</v>
      </c>
      <c r="G131" s="824">
        <f t="shared" ca="1" si="25"/>
        <v>9.7001794773965084</v>
      </c>
      <c r="H131" s="2172">
        <f t="shared" si="25"/>
        <v>0.66666666666666663</v>
      </c>
    </row>
    <row r="132" spans="2:28" s="1240" customFormat="1">
      <c r="B132" s="1240" t="s">
        <v>2373</v>
      </c>
    </row>
    <row r="133" spans="2:28" s="1240" customFormat="1">
      <c r="B133" s="530"/>
      <c r="C133" s="530"/>
      <c r="D133" s="530"/>
      <c r="E133" s="530"/>
      <c r="F133" s="530"/>
      <c r="G133" s="530"/>
      <c r="H133" s="530"/>
      <c r="I133" s="530"/>
      <c r="J133" s="530"/>
      <c r="K133" s="530"/>
      <c r="L133" s="530"/>
      <c r="M133" s="530"/>
      <c r="N133" s="530"/>
      <c r="O133" s="530"/>
      <c r="P133" s="530"/>
      <c r="Q133" s="530"/>
    </row>
    <row r="134" spans="2:28" ht="13.5" thickBot="1">
      <c r="B134" s="557" t="s">
        <v>2355</v>
      </c>
      <c r="C134" s="530"/>
      <c r="D134" s="530"/>
      <c r="E134" s="530"/>
      <c r="F134" s="530"/>
      <c r="G134" s="530"/>
      <c r="H134" s="530"/>
      <c r="I134" s="530"/>
      <c r="J134" s="530"/>
      <c r="K134" s="530"/>
      <c r="L134" s="530"/>
      <c r="M134" s="530"/>
      <c r="N134" s="530"/>
      <c r="O134" s="530"/>
      <c r="P134" s="530"/>
      <c r="Q134" s="530"/>
      <c r="R134" s="1240"/>
      <c r="S134" s="1240"/>
      <c r="T134" s="1240"/>
      <c r="U134" s="1240"/>
      <c r="V134" s="1240"/>
      <c r="W134" s="1240"/>
      <c r="X134" s="1240"/>
      <c r="Y134" s="1240"/>
      <c r="Z134" s="1240"/>
      <c r="AA134" s="1240"/>
      <c r="AB134" s="1240"/>
    </row>
    <row r="135" spans="2:28">
      <c r="B135" s="2526"/>
      <c r="C135" s="2529" t="s">
        <v>24</v>
      </c>
      <c r="D135" s="2530"/>
      <c r="E135" s="2531"/>
      <c r="F135" s="2530" t="s">
        <v>27</v>
      </c>
      <c r="G135" s="2530"/>
      <c r="H135" s="2530"/>
      <c r="I135" s="2529" t="s">
        <v>28</v>
      </c>
      <c r="J135" s="2530"/>
      <c r="K135" s="2531"/>
      <c r="L135" s="2530" t="s">
        <v>26</v>
      </c>
      <c r="M135" s="2530"/>
      <c r="N135" s="2530"/>
      <c r="O135" s="2529" t="s">
        <v>25</v>
      </c>
      <c r="P135" s="2530"/>
      <c r="Q135" s="2531"/>
      <c r="R135" s="1240"/>
      <c r="S135" s="1240"/>
      <c r="T135" s="1240"/>
      <c r="U135" s="1240"/>
      <c r="V135" s="1240"/>
      <c r="W135" s="1240"/>
      <c r="X135" s="1240"/>
      <c r="Y135" s="1240"/>
      <c r="Z135" s="1240"/>
      <c r="AA135" s="1240"/>
      <c r="AB135" s="1240"/>
    </row>
    <row r="136" spans="2:28" ht="24">
      <c r="B136" s="2527"/>
      <c r="C136" s="2533" t="s">
        <v>326</v>
      </c>
      <c r="D136" s="2534"/>
      <c r="E136" s="2183" t="s">
        <v>2349</v>
      </c>
      <c r="F136" s="2535" t="s">
        <v>3</v>
      </c>
      <c r="G136" s="2534"/>
      <c r="H136" s="2183" t="s">
        <v>2349</v>
      </c>
      <c r="I136" s="2533" t="s">
        <v>3</v>
      </c>
      <c r="J136" s="2534"/>
      <c r="K136" s="2183" t="s">
        <v>2349</v>
      </c>
      <c r="L136" s="2535" t="s">
        <v>3</v>
      </c>
      <c r="M136" s="2534"/>
      <c r="N136" s="2183" t="s">
        <v>2349</v>
      </c>
      <c r="O136" s="2533" t="s">
        <v>3</v>
      </c>
      <c r="P136" s="2534"/>
      <c r="Q136" s="2183" t="s">
        <v>2349</v>
      </c>
      <c r="R136" s="1240"/>
      <c r="S136" s="1240"/>
      <c r="T136" s="1240"/>
      <c r="U136" s="1240"/>
      <c r="V136" s="1240"/>
      <c r="W136" s="1240"/>
      <c r="X136" s="1240"/>
      <c r="Y136" s="1240"/>
      <c r="Z136" s="1240"/>
      <c r="AA136" s="1240"/>
      <c r="AB136" s="1240"/>
    </row>
    <row r="137" spans="2:28">
      <c r="B137" s="2527"/>
      <c r="C137" s="2524" t="s">
        <v>238</v>
      </c>
      <c r="D137" s="2525"/>
      <c r="E137" s="2184" t="s">
        <v>74</v>
      </c>
      <c r="F137" s="2532" t="s">
        <v>239</v>
      </c>
      <c r="G137" s="2525"/>
      <c r="H137" s="2185" t="s">
        <v>203</v>
      </c>
      <c r="I137" s="2524" t="s">
        <v>239</v>
      </c>
      <c r="J137" s="2525"/>
      <c r="K137" s="2184" t="s">
        <v>203</v>
      </c>
      <c r="L137" s="2532" t="s">
        <v>239</v>
      </c>
      <c r="M137" s="2525"/>
      <c r="N137" s="2185" t="s">
        <v>203</v>
      </c>
      <c r="O137" s="2524" t="s">
        <v>239</v>
      </c>
      <c r="P137" s="2525"/>
      <c r="Q137" s="2184" t="s">
        <v>203</v>
      </c>
      <c r="R137" s="1240"/>
      <c r="S137" s="1240"/>
      <c r="T137" s="1240"/>
      <c r="U137" s="1240"/>
      <c r="V137" s="1240"/>
      <c r="W137" s="1240"/>
      <c r="X137" s="1240"/>
      <c r="Y137" s="1240"/>
      <c r="Z137" s="1240"/>
      <c r="AA137" s="1240"/>
      <c r="AB137" s="1240"/>
    </row>
    <row r="138" spans="2:28" ht="13.5" thickBot="1">
      <c r="B138" s="2528"/>
      <c r="C138" s="2186" t="s">
        <v>2350</v>
      </c>
      <c r="D138" s="2187" t="s">
        <v>2351</v>
      </c>
      <c r="E138" s="2188" t="s">
        <v>2351</v>
      </c>
      <c r="F138" s="2189" t="s">
        <v>2350</v>
      </c>
      <c r="G138" s="2187" t="s">
        <v>2351</v>
      </c>
      <c r="H138" s="2190" t="s">
        <v>2351</v>
      </c>
      <c r="I138" s="2186" t="s">
        <v>2350</v>
      </c>
      <c r="J138" s="2187" t="s">
        <v>2351</v>
      </c>
      <c r="K138" s="2188" t="s">
        <v>2351</v>
      </c>
      <c r="L138" s="2189" t="s">
        <v>2350</v>
      </c>
      <c r="M138" s="2187" t="s">
        <v>2351</v>
      </c>
      <c r="N138" s="2190" t="s">
        <v>2351</v>
      </c>
      <c r="O138" s="2186" t="s">
        <v>2350</v>
      </c>
      <c r="P138" s="2187" t="s">
        <v>2351</v>
      </c>
      <c r="Q138" s="2188" t="s">
        <v>2351</v>
      </c>
      <c r="R138" s="1240"/>
      <c r="S138" s="1240"/>
      <c r="T138" s="1240"/>
      <c r="U138" s="1240"/>
      <c r="V138" s="1240"/>
      <c r="W138" s="1240"/>
      <c r="X138" s="1240"/>
      <c r="Y138" s="1240"/>
      <c r="Z138" s="1240"/>
      <c r="AA138" s="1240"/>
      <c r="AB138" s="1240"/>
    </row>
    <row r="139" spans="2:28">
      <c r="B139" s="2191">
        <v>2012</v>
      </c>
      <c r="C139" s="2192">
        <v>342.73075919555924</v>
      </c>
      <c r="D139" s="2193">
        <v>368.52769805974117</v>
      </c>
      <c r="E139" s="2194">
        <v>50.903496154278841</v>
      </c>
      <c r="F139" s="2195">
        <v>220.63114821869868</v>
      </c>
      <c r="G139" s="2193">
        <v>237.23779378354698</v>
      </c>
      <c r="H139" s="2196">
        <v>54.339913616833194</v>
      </c>
      <c r="I139" s="2197">
        <v>5.0428924276747784</v>
      </c>
      <c r="J139" s="2198">
        <v>5.4224649759943855</v>
      </c>
      <c r="K139" s="2194">
        <v>1.6558510297838316</v>
      </c>
      <c r="L139" s="2195">
        <v>197.15866417236163</v>
      </c>
      <c r="M139" s="2193">
        <v>211.99856362619531</v>
      </c>
      <c r="N139" s="2196">
        <v>75.498171293963665</v>
      </c>
      <c r="O139" s="2192">
        <v>429.94984537059207</v>
      </c>
      <c r="P139" s="2193">
        <v>462.31166168880873</v>
      </c>
      <c r="Q139" s="2194">
        <v>96.983514141233698</v>
      </c>
      <c r="R139" s="1240"/>
      <c r="S139" s="1240"/>
      <c r="T139" s="1240"/>
      <c r="U139" s="1240"/>
      <c r="V139" s="1240"/>
      <c r="W139" s="1240"/>
      <c r="X139" s="1240"/>
      <c r="Y139" s="1240"/>
      <c r="Z139" s="1240"/>
      <c r="AA139" s="1240"/>
      <c r="AB139" s="1240"/>
    </row>
    <row r="140" spans="2:28">
      <c r="B140" s="2191">
        <v>2013</v>
      </c>
      <c r="C140" s="2192">
        <v>317.50451598270911</v>
      </c>
      <c r="D140" s="2193">
        <v>341.40270535775176</v>
      </c>
      <c r="E140" s="2194">
        <v>45.346376077552129</v>
      </c>
      <c r="F140" s="2195">
        <v>136.22794362963563</v>
      </c>
      <c r="G140" s="2193">
        <v>146.48165981681251</v>
      </c>
      <c r="H140" s="2196">
        <v>38.133297323412734</v>
      </c>
      <c r="I140" s="2197">
        <v>4.7762715739235251</v>
      </c>
      <c r="J140" s="2198">
        <v>5.1357758859392746</v>
      </c>
      <c r="K140" s="2194">
        <v>1.6228573406509523</v>
      </c>
      <c r="L140" s="2195">
        <v>195.16707045110081</v>
      </c>
      <c r="M140" s="2193">
        <v>209.85706500118368</v>
      </c>
      <c r="N140" s="2196">
        <v>72.595354067908858</v>
      </c>
      <c r="O140" s="2192">
        <v>408.93366094931923</v>
      </c>
      <c r="P140" s="2193">
        <v>439.71361392399922</v>
      </c>
      <c r="Q140" s="2194">
        <v>94.37739765649583</v>
      </c>
      <c r="R140" s="1240"/>
      <c r="S140" s="1240"/>
      <c r="T140" s="1240"/>
      <c r="U140" s="1240"/>
      <c r="V140" s="1240"/>
      <c r="W140" s="1240"/>
      <c r="X140" s="1240"/>
      <c r="Y140" s="1240"/>
      <c r="Z140" s="1240"/>
      <c r="AA140" s="1240"/>
      <c r="AB140" s="1240"/>
    </row>
    <row r="141" spans="2:28">
      <c r="B141" s="2191">
        <v>2014</v>
      </c>
      <c r="C141" s="2192">
        <v>256.26618623545016</v>
      </c>
      <c r="D141" s="2193">
        <v>275.55503896284966</v>
      </c>
      <c r="E141" s="2194">
        <v>45.105906380688921</v>
      </c>
      <c r="F141" s="2195">
        <v>134.50250103678255</v>
      </c>
      <c r="G141" s="2193">
        <v>144.62634520084146</v>
      </c>
      <c r="H141" s="2196">
        <v>35.088050613855728</v>
      </c>
      <c r="I141" s="2197">
        <v>4.3603013354010907</v>
      </c>
      <c r="J141" s="2198">
        <v>4.6884960595710652</v>
      </c>
      <c r="K141" s="2194">
        <v>1.5613635328802549</v>
      </c>
      <c r="L141" s="2195">
        <v>204.01400487531569</v>
      </c>
      <c r="M141" s="2193">
        <v>219.36989771539322</v>
      </c>
      <c r="N141" s="2196">
        <v>75.816139854137717</v>
      </c>
      <c r="O141" s="2192">
        <v>391.27515620667009</v>
      </c>
      <c r="P141" s="2193">
        <v>420.72597441577432</v>
      </c>
      <c r="Q141" s="2194">
        <v>94.08803402280904</v>
      </c>
      <c r="R141" s="1240"/>
      <c r="S141" s="1240"/>
      <c r="T141" s="1240"/>
      <c r="U141" s="1240"/>
      <c r="V141" s="1240"/>
      <c r="W141" s="1240"/>
      <c r="X141" s="1240"/>
      <c r="Y141" s="1240"/>
      <c r="Z141" s="1240"/>
      <c r="AA141" s="1240"/>
      <c r="AB141" s="1240"/>
    </row>
    <row r="142" spans="2:28">
      <c r="B142" s="2191">
        <v>2015</v>
      </c>
      <c r="C142" s="2192">
        <v>241.99984926520852</v>
      </c>
      <c r="D142" s="2193">
        <v>260.21489168301991</v>
      </c>
      <c r="E142" s="2194">
        <v>44.843930692778585</v>
      </c>
      <c r="F142" s="2195">
        <v>126.78442087179626</v>
      </c>
      <c r="G142" s="2193">
        <v>136.32733427074868</v>
      </c>
      <c r="H142" s="2196">
        <v>33.763505392289225</v>
      </c>
      <c r="I142" s="2197">
        <v>4.1709628053366217</v>
      </c>
      <c r="J142" s="2198">
        <v>4.4849062422974431</v>
      </c>
      <c r="K142" s="2194">
        <v>1.550139643326099</v>
      </c>
      <c r="L142" s="2195">
        <v>208.10692562446161</v>
      </c>
      <c r="M142" s="2193">
        <v>223.77088776823831</v>
      </c>
      <c r="N142" s="2196">
        <v>77.094827368711947</v>
      </c>
      <c r="O142" s="2192">
        <v>387.32910401890098</v>
      </c>
      <c r="P142" s="2193">
        <v>416.4829075472054</v>
      </c>
      <c r="Q142" s="2194">
        <v>94.765117536434659</v>
      </c>
      <c r="R142" s="1240"/>
      <c r="S142" s="1240"/>
      <c r="T142" s="1240"/>
      <c r="U142" s="1240"/>
      <c r="V142" s="1240"/>
      <c r="W142" s="1240"/>
      <c r="X142" s="1240"/>
      <c r="Y142" s="1240"/>
      <c r="Z142" s="1240"/>
      <c r="AA142" s="1240"/>
      <c r="AB142" s="1240"/>
    </row>
    <row r="143" spans="2:28">
      <c r="B143" s="2191">
        <v>2016</v>
      </c>
      <c r="C143" s="2192">
        <v>249.726377437683</v>
      </c>
      <c r="D143" s="2193">
        <v>268.52298649213225</v>
      </c>
      <c r="E143" s="2194">
        <v>44.751867646675244</v>
      </c>
      <c r="F143" s="2195">
        <v>120.2780621714907</v>
      </c>
      <c r="G143" s="2193">
        <v>129.33124964676421</v>
      </c>
      <c r="H143" s="2196">
        <v>32.870704091847784</v>
      </c>
      <c r="I143" s="2197">
        <v>4.078939360784112</v>
      </c>
      <c r="J143" s="2198">
        <v>4.3859563019184007</v>
      </c>
      <c r="K143" s="2194">
        <v>1.5521964784397193</v>
      </c>
      <c r="L143" s="2195">
        <v>161.38645813694566</v>
      </c>
      <c r="M143" s="2193">
        <v>173.53382595370502</v>
      </c>
      <c r="N143" s="2196">
        <v>72.541861560642445</v>
      </c>
      <c r="O143" s="2192">
        <v>379.27343022350533</v>
      </c>
      <c r="P143" s="2193">
        <v>407.8208927134466</v>
      </c>
      <c r="Q143" s="2194">
        <v>93.845474380105102</v>
      </c>
      <c r="R143" s="1240"/>
      <c r="S143" s="1240"/>
      <c r="T143" s="1240"/>
      <c r="U143" s="1240"/>
      <c r="V143" s="1240"/>
      <c r="W143" s="1240"/>
      <c r="X143" s="1240"/>
      <c r="Y143" s="1240"/>
      <c r="Z143" s="1240"/>
      <c r="AA143" s="1240"/>
      <c r="AB143" s="1240"/>
    </row>
    <row r="144" spans="2:28">
      <c r="B144" s="2191">
        <v>2017</v>
      </c>
      <c r="C144" s="2192">
        <v>244.06873218352939</v>
      </c>
      <c r="D144" s="2193">
        <v>262.43949697153698</v>
      </c>
      <c r="E144" s="2194">
        <v>43.674590580541931</v>
      </c>
      <c r="F144" s="2195">
        <v>121.10334241388173</v>
      </c>
      <c r="G144" s="2193">
        <v>130.21864775686208</v>
      </c>
      <c r="H144" s="2196">
        <v>33.6994489250432</v>
      </c>
      <c r="I144" s="2197">
        <v>4.0074680338383901</v>
      </c>
      <c r="J144" s="2198">
        <v>4.3091054127294521</v>
      </c>
      <c r="K144" s="2194">
        <v>1.550642271740224</v>
      </c>
      <c r="L144" s="2195">
        <v>155.52896186800879</v>
      </c>
      <c r="M144" s="2193">
        <v>167.23544286882668</v>
      </c>
      <c r="N144" s="2196">
        <v>72.347690274806808</v>
      </c>
      <c r="O144" s="2192">
        <v>375.00852226902146</v>
      </c>
      <c r="P144" s="2193">
        <v>403.23497018174351</v>
      </c>
      <c r="Q144" s="2194">
        <v>94.003582254004641</v>
      </c>
      <c r="R144" s="1240"/>
      <c r="S144" s="1240"/>
      <c r="T144" s="1240"/>
      <c r="U144" s="1240"/>
      <c r="V144" s="1240"/>
      <c r="W144" s="1240"/>
      <c r="X144" s="1240"/>
      <c r="Y144" s="1240"/>
      <c r="Z144" s="1240"/>
      <c r="AA144" s="1240"/>
      <c r="AB144" s="1240"/>
    </row>
    <row r="145" spans="2:28">
      <c r="B145" s="2191">
        <v>2018</v>
      </c>
      <c r="C145" s="2192">
        <v>216.32490134317197</v>
      </c>
      <c r="D145" s="2193">
        <v>232.60742079910966</v>
      </c>
      <c r="E145" s="2194">
        <v>43.128654659342693</v>
      </c>
      <c r="F145" s="2195">
        <v>115.15672283673395</v>
      </c>
      <c r="G145" s="2193">
        <v>123.82443315777844</v>
      </c>
      <c r="H145" s="2196">
        <v>34.390462547358688</v>
      </c>
      <c r="I145" s="2197">
        <v>3.6463473951162206</v>
      </c>
      <c r="J145" s="2198">
        <v>3.9208036506626032</v>
      </c>
      <c r="K145" s="2194">
        <v>1.5132390942520306</v>
      </c>
      <c r="L145" s="2195">
        <v>145.2156138043282</v>
      </c>
      <c r="M145" s="2193">
        <v>156.14582129497657</v>
      </c>
      <c r="N145" s="2196">
        <v>70.666414568881819</v>
      </c>
      <c r="O145" s="2192">
        <v>344.23820331048955</v>
      </c>
      <c r="P145" s="2193">
        <v>370.14860571020387</v>
      </c>
      <c r="Q145" s="2194">
        <v>93.968689138879384</v>
      </c>
      <c r="R145" s="1240"/>
      <c r="S145" s="1240"/>
      <c r="T145" s="1240"/>
      <c r="U145" s="1240"/>
      <c r="V145" s="1240"/>
      <c r="W145" s="1240"/>
      <c r="X145" s="1240"/>
      <c r="Y145" s="1240"/>
      <c r="Z145" s="1240"/>
      <c r="AA145" s="1240"/>
      <c r="AB145" s="1240"/>
    </row>
    <row r="146" spans="2:28">
      <c r="B146" s="2191">
        <v>2019</v>
      </c>
      <c r="C146" s="2192">
        <v>197.87475179841314</v>
      </c>
      <c r="D146" s="2193">
        <v>212.76855032087437</v>
      </c>
      <c r="E146" s="2194">
        <v>42.113054134334654</v>
      </c>
      <c r="F146" s="2195">
        <v>109.28581621546294</v>
      </c>
      <c r="G146" s="2193">
        <v>117.51163033920747</v>
      </c>
      <c r="H146" s="2196">
        <v>35.258572339695078</v>
      </c>
      <c r="I146" s="2197">
        <v>3.3665904456302083</v>
      </c>
      <c r="J146" s="2198">
        <v>3.619989726484095</v>
      </c>
      <c r="K146" s="2194">
        <v>1.5001652589408954</v>
      </c>
      <c r="L146" s="2195">
        <v>132.47669610649297</v>
      </c>
      <c r="M146" s="2193">
        <v>142.44806032956234</v>
      </c>
      <c r="N146" s="2196">
        <v>68.279658504336183</v>
      </c>
      <c r="O146" s="2192">
        <v>318.99142457511221</v>
      </c>
      <c r="P146" s="2193">
        <v>343.00153180119594</v>
      </c>
      <c r="Q146" s="2194">
        <v>93.663202093328977</v>
      </c>
      <c r="R146" s="1240"/>
      <c r="S146" s="1240"/>
      <c r="T146" s="1240"/>
      <c r="U146" s="1240"/>
      <c r="V146" s="1240"/>
      <c r="W146" s="1240"/>
      <c r="X146" s="1240"/>
      <c r="Y146" s="1240"/>
      <c r="Z146" s="1240"/>
      <c r="AA146" s="1240"/>
      <c r="AB146" s="1240"/>
    </row>
    <row r="147" spans="2:28">
      <c r="B147" s="2191">
        <v>2020</v>
      </c>
      <c r="C147" s="2192">
        <v>187.41796705850055</v>
      </c>
      <c r="D147" s="2193">
        <v>201.52469576182855</v>
      </c>
      <c r="E147" s="2194">
        <v>42.273514515217954</v>
      </c>
      <c r="F147" s="2195">
        <v>84.460849893497993</v>
      </c>
      <c r="G147" s="2193">
        <v>90.818118165051615</v>
      </c>
      <c r="H147" s="2196">
        <v>29.093048932387077</v>
      </c>
      <c r="I147" s="2197">
        <v>3.2286939890888919</v>
      </c>
      <c r="J147" s="2198">
        <v>3.4717139667622496</v>
      </c>
      <c r="K147" s="2194">
        <v>1.4999674905847249</v>
      </c>
      <c r="L147" s="2195">
        <v>130.15145340491588</v>
      </c>
      <c r="M147" s="2193">
        <v>139.94779936012461</v>
      </c>
      <c r="N147" s="2196">
        <v>68.872187283862132</v>
      </c>
      <c r="O147" s="2192">
        <v>306.0086282969782</v>
      </c>
      <c r="P147" s="2193">
        <v>329.04153580320241</v>
      </c>
      <c r="Q147" s="2194">
        <v>92.733716298807323</v>
      </c>
      <c r="R147" s="1240"/>
      <c r="S147" s="1240"/>
      <c r="T147" s="1240"/>
      <c r="U147" s="1240"/>
      <c r="V147" s="1240"/>
      <c r="W147" s="1240"/>
      <c r="X147" s="1240"/>
      <c r="Y147" s="1240"/>
      <c r="Z147" s="1240"/>
      <c r="AA147" s="1240"/>
      <c r="AB147" s="1240"/>
    </row>
    <row r="148" spans="2:28">
      <c r="B148" s="2191">
        <v>2021</v>
      </c>
      <c r="C148" s="2192">
        <v>166.86065555892975</v>
      </c>
      <c r="D148" s="2193">
        <v>179.42005974078469</v>
      </c>
      <c r="E148" s="2194">
        <v>42.043281277580661</v>
      </c>
      <c r="F148" s="2195">
        <v>77.489109199881739</v>
      </c>
      <c r="G148" s="2193">
        <v>83.32162279557177</v>
      </c>
      <c r="H148" s="2196">
        <v>27.75300307554544</v>
      </c>
      <c r="I148" s="2197">
        <v>2.9432204180101054</v>
      </c>
      <c r="J148" s="2198">
        <v>3.1647531376452749</v>
      </c>
      <c r="K148" s="2194">
        <v>1.5055563400281682</v>
      </c>
      <c r="L148" s="2195">
        <v>119.58206324001709</v>
      </c>
      <c r="M148" s="2193">
        <v>128.58286369894313</v>
      </c>
      <c r="N148" s="2196">
        <v>68.807266096623948</v>
      </c>
      <c r="O148" s="2192">
        <v>283.36616000897072</v>
      </c>
      <c r="P148" s="2193">
        <v>304.69479570857067</v>
      </c>
      <c r="Q148" s="2194">
        <v>93.089506193523675</v>
      </c>
      <c r="R148" s="1240"/>
      <c r="S148" s="1240"/>
      <c r="T148" s="1240"/>
      <c r="U148" s="1240"/>
      <c r="V148" s="1240"/>
      <c r="W148" s="1240"/>
      <c r="X148" s="1240"/>
      <c r="Y148" s="1240"/>
      <c r="Z148" s="1240"/>
      <c r="AA148" s="1240"/>
      <c r="AB148" s="1240"/>
    </row>
    <row r="149" spans="2:28">
      <c r="B149" s="2191">
        <v>2022</v>
      </c>
      <c r="C149" s="2192">
        <v>171.54625401086244</v>
      </c>
      <c r="D149" s="2193">
        <v>184.45833764608867</v>
      </c>
      <c r="E149" s="2194">
        <v>41.75168626203908</v>
      </c>
      <c r="F149" s="2195">
        <v>82.763860651146999</v>
      </c>
      <c r="G149" s="2193">
        <v>88.993398549620437</v>
      </c>
      <c r="H149" s="2196">
        <v>29.218862744586737</v>
      </c>
      <c r="I149" s="2197">
        <v>2.9791713781105438</v>
      </c>
      <c r="J149" s="2198">
        <v>3.2034100839898323</v>
      </c>
      <c r="K149" s="2194">
        <v>1.4972287068000834</v>
      </c>
      <c r="L149" s="2195">
        <v>119.6366662644311</v>
      </c>
      <c r="M149" s="2193">
        <v>128.64157662842055</v>
      </c>
      <c r="N149" s="2196">
        <v>68.202290578282543</v>
      </c>
      <c r="O149" s="2192">
        <v>295.11890564939296</v>
      </c>
      <c r="P149" s="2193">
        <v>317.33215661225051</v>
      </c>
      <c r="Q149" s="2194">
        <v>95.45985282845156</v>
      </c>
      <c r="R149" s="1240"/>
      <c r="S149" s="1240"/>
      <c r="T149" s="1240"/>
      <c r="U149" s="1240"/>
      <c r="V149" s="1240"/>
      <c r="W149" s="1240"/>
      <c r="X149" s="1240"/>
      <c r="Y149" s="1240"/>
      <c r="Z149" s="1240"/>
      <c r="AA149" s="1240"/>
      <c r="AB149" s="1240"/>
    </row>
    <row r="150" spans="2:28">
      <c r="B150" s="2191">
        <v>2023</v>
      </c>
      <c r="C150" s="2192">
        <v>175.61730852110841</v>
      </c>
      <c r="D150" s="2193">
        <v>188.83581561409508</v>
      </c>
      <c r="E150" s="2194">
        <v>41.002872744472619</v>
      </c>
      <c r="F150" s="2195">
        <v>86.455823807438236</v>
      </c>
      <c r="G150" s="2193">
        <v>92.963251405847572</v>
      </c>
      <c r="H150" s="2196">
        <v>30.665443622729676</v>
      </c>
      <c r="I150" s="2197">
        <v>2.9884962745636541</v>
      </c>
      <c r="J150" s="2198">
        <v>3.2134368543695206</v>
      </c>
      <c r="K150" s="2194">
        <v>1.4784003837342434</v>
      </c>
      <c r="L150" s="2195">
        <v>122.99491102924391</v>
      </c>
      <c r="M150" s="2193">
        <v>132.25259250456335</v>
      </c>
      <c r="N150" s="2196">
        <v>69.153920705830572</v>
      </c>
      <c r="O150" s="2192">
        <v>289.76283305756846</v>
      </c>
      <c r="P150" s="2193">
        <v>311.572938771579</v>
      </c>
      <c r="Q150" s="2194">
        <v>95.409930247415332</v>
      </c>
      <c r="R150" s="1240"/>
      <c r="S150" s="1240"/>
      <c r="T150" s="1240"/>
      <c r="U150" s="1240"/>
      <c r="V150" s="1240"/>
      <c r="W150" s="1240"/>
      <c r="X150" s="1240"/>
      <c r="Y150" s="1240"/>
      <c r="Z150" s="1240"/>
      <c r="AA150" s="1240"/>
      <c r="AB150" s="1240"/>
    </row>
    <row r="151" spans="2:28">
      <c r="B151" s="2191">
        <v>2024</v>
      </c>
      <c r="C151" s="2192">
        <v>144.48747973861472</v>
      </c>
      <c r="D151" s="2193">
        <v>155.36288143937068</v>
      </c>
      <c r="E151" s="2194">
        <v>39.123592433489414</v>
      </c>
      <c r="F151" s="2195">
        <v>90.645078521675103</v>
      </c>
      <c r="G151" s="2193">
        <v>97.46782636739259</v>
      </c>
      <c r="H151" s="2196">
        <v>31.873295405944557</v>
      </c>
      <c r="I151" s="2197">
        <v>2.7106858860136898</v>
      </c>
      <c r="J151" s="2198">
        <v>2.9147160064663331</v>
      </c>
      <c r="K151" s="2194">
        <v>1.4923030720898682</v>
      </c>
      <c r="L151" s="2195">
        <v>106.94091565528768</v>
      </c>
      <c r="M151" s="2193">
        <v>114.99023188740611</v>
      </c>
      <c r="N151" s="2196">
        <v>66.45074833480561</v>
      </c>
      <c r="O151" s="2192">
        <v>271.72104179961559</v>
      </c>
      <c r="P151" s="2193">
        <v>292.17316322539313</v>
      </c>
      <c r="Q151" s="2194">
        <v>93.976545793256548</v>
      </c>
      <c r="R151" s="1240"/>
      <c r="S151" s="1240"/>
      <c r="T151" s="1240"/>
      <c r="U151" s="1240"/>
      <c r="V151" s="1240"/>
      <c r="W151" s="1240"/>
      <c r="X151" s="1240"/>
      <c r="Y151" s="1240"/>
      <c r="Z151" s="1240"/>
      <c r="AA151" s="1240"/>
      <c r="AB151" s="1240"/>
    </row>
    <row r="152" spans="2:28">
      <c r="B152" s="2191">
        <v>2025</v>
      </c>
      <c r="C152" s="2192">
        <v>145.91669989058212</v>
      </c>
      <c r="D152" s="2193">
        <v>156.89967730170122</v>
      </c>
      <c r="E152" s="2194">
        <v>39.279938364120568</v>
      </c>
      <c r="F152" s="2195">
        <v>96.643586090827668</v>
      </c>
      <c r="G152" s="2193">
        <v>103.91783450626632</v>
      </c>
      <c r="H152" s="2196">
        <v>33.42279748936663</v>
      </c>
      <c r="I152" s="2197">
        <v>2.7178110669592224</v>
      </c>
      <c r="J152" s="2198">
        <v>2.9223774913540028</v>
      </c>
      <c r="K152" s="2194">
        <v>1.4984263992250619</v>
      </c>
      <c r="L152" s="2195">
        <v>97.056669756988398</v>
      </c>
      <c r="M152" s="2193">
        <v>104.36201549138499</v>
      </c>
      <c r="N152" s="2196">
        <v>64.594495318422602</v>
      </c>
      <c r="O152" s="2192">
        <v>281.07662612514684</v>
      </c>
      <c r="P152" s="2193">
        <v>302.23293131736222</v>
      </c>
      <c r="Q152" s="2194">
        <v>96.279414887355102</v>
      </c>
      <c r="R152" s="1240"/>
      <c r="S152" s="1240"/>
      <c r="T152" s="1240"/>
      <c r="U152" s="1240"/>
      <c r="V152" s="1240"/>
      <c r="W152" s="1240"/>
      <c r="X152" s="1240"/>
      <c r="Y152" s="1240"/>
      <c r="Z152" s="1240"/>
      <c r="AA152" s="1240"/>
      <c r="AB152" s="1240"/>
    </row>
    <row r="153" spans="2:28">
      <c r="B153" s="2191">
        <v>2026</v>
      </c>
      <c r="C153" s="2192">
        <v>141.83550267955468</v>
      </c>
      <c r="D153" s="2193">
        <v>152.51129320382225</v>
      </c>
      <c r="E153" s="2194">
        <v>36.953163095825637</v>
      </c>
      <c r="F153" s="2195">
        <v>102.28869978757503</v>
      </c>
      <c r="G153" s="2193">
        <v>109.98784923395165</v>
      </c>
      <c r="H153" s="2196">
        <v>34.675295944841679</v>
      </c>
      <c r="I153" s="2197">
        <v>2.744788596846746</v>
      </c>
      <c r="J153" s="2198">
        <v>2.9513855880072541</v>
      </c>
      <c r="K153" s="2194">
        <v>1.4744326254006592</v>
      </c>
      <c r="L153" s="2195">
        <v>96.078861084511956</v>
      </c>
      <c r="M153" s="2193">
        <v>103.31060331667953</v>
      </c>
      <c r="N153" s="2196">
        <v>61.926213895935476</v>
      </c>
      <c r="O153" s="2192">
        <v>288.61511224426914</v>
      </c>
      <c r="P153" s="2193">
        <v>310.33883037018188</v>
      </c>
      <c r="Q153" s="2194">
        <v>97.247856033636936</v>
      </c>
      <c r="R153" s="1240"/>
      <c r="S153" s="1240"/>
      <c r="T153" s="1240"/>
      <c r="U153" s="1240"/>
      <c r="V153" s="1240"/>
      <c r="W153" s="1240"/>
      <c r="X153" s="1240"/>
      <c r="Y153" s="1240"/>
      <c r="Z153" s="1240"/>
      <c r="AA153" s="1240"/>
      <c r="AB153" s="1240"/>
    </row>
    <row r="154" spans="2:28">
      <c r="B154" s="2191">
        <v>2027</v>
      </c>
      <c r="C154" s="2192">
        <v>143.0081477439536</v>
      </c>
      <c r="D154" s="2193">
        <v>153.77220187521894</v>
      </c>
      <c r="E154" s="2194">
        <v>36.567678469935117</v>
      </c>
      <c r="F154" s="2195">
        <v>108.08388566155888</v>
      </c>
      <c r="G154" s="2193">
        <v>116.21923189414935</v>
      </c>
      <c r="H154" s="2196">
        <v>36.186189257375581</v>
      </c>
      <c r="I154" s="2197">
        <v>2.7648889562025483</v>
      </c>
      <c r="J154" s="2198">
        <v>2.9729988776371488</v>
      </c>
      <c r="K154" s="2194">
        <v>1.4678720415428286</v>
      </c>
      <c r="L154" s="2195">
        <v>96.273835126442464</v>
      </c>
      <c r="M154" s="2193">
        <v>103.52025282413169</v>
      </c>
      <c r="N154" s="2196">
        <v>61.616991811854945</v>
      </c>
      <c r="O154" s="2192">
        <v>299.99667433742059</v>
      </c>
      <c r="P154" s="2193">
        <v>322.57706918002214</v>
      </c>
      <c r="Q154" s="2194">
        <v>99.803415105607087</v>
      </c>
      <c r="R154" s="1240"/>
      <c r="S154" s="1240"/>
      <c r="T154" s="1240"/>
      <c r="U154" s="1240"/>
      <c r="V154" s="1240"/>
      <c r="W154" s="1240"/>
      <c r="X154" s="1240"/>
      <c r="Y154" s="1240"/>
      <c r="Z154" s="1240"/>
      <c r="AA154" s="1240"/>
      <c r="AB154" s="1240"/>
    </row>
    <row r="155" spans="2:28">
      <c r="B155" s="2191">
        <v>2028</v>
      </c>
      <c r="C155" s="2192">
        <v>142.04283001013374</v>
      </c>
      <c r="D155" s="2193">
        <v>152.73422581734812</v>
      </c>
      <c r="E155" s="2194">
        <v>35.98950948904502</v>
      </c>
      <c r="F155" s="2195">
        <v>113.1939447304987</v>
      </c>
      <c r="G155" s="2193">
        <v>121.71391906505238</v>
      </c>
      <c r="H155" s="2196">
        <v>37.572006521530113</v>
      </c>
      <c r="I155" s="2197">
        <v>2.7749391316920087</v>
      </c>
      <c r="J155" s="2198">
        <v>2.9838055179483964</v>
      </c>
      <c r="K155" s="2194">
        <v>1.4583141363708956</v>
      </c>
      <c r="L155" s="2195">
        <v>94.760136540629915</v>
      </c>
      <c r="M155" s="2193">
        <v>101.89261993616121</v>
      </c>
      <c r="N155" s="2196">
        <v>60.484034271528003</v>
      </c>
      <c r="O155" s="2192">
        <v>306.98437515976616</v>
      </c>
      <c r="P155" s="2193">
        <v>330.0907259782432</v>
      </c>
      <c r="Q155" s="2194">
        <v>101.42079047203205</v>
      </c>
      <c r="R155" s="1240"/>
      <c r="S155" s="1240"/>
      <c r="T155" s="1240"/>
      <c r="U155" s="1240"/>
      <c r="V155" s="1240"/>
      <c r="W155" s="1240"/>
      <c r="X155" s="1240"/>
      <c r="Y155" s="1240"/>
      <c r="Z155" s="1240"/>
      <c r="AA155" s="1240"/>
      <c r="AB155" s="1240"/>
    </row>
    <row r="156" spans="2:28">
      <c r="B156" s="2191">
        <v>2029</v>
      </c>
      <c r="C156" s="2192">
        <v>145.22147818114604</v>
      </c>
      <c r="D156" s="2193">
        <v>156.15212707650113</v>
      </c>
      <c r="E156" s="2194">
        <v>35.894833506863826</v>
      </c>
      <c r="F156" s="2195">
        <v>118.66597744915119</v>
      </c>
      <c r="G156" s="2193">
        <v>127.59782521414107</v>
      </c>
      <c r="H156" s="2196">
        <v>39.190421989477677</v>
      </c>
      <c r="I156" s="2197">
        <v>2.8133422088660356</v>
      </c>
      <c r="J156" s="2198">
        <v>3.0250991493183181</v>
      </c>
      <c r="K156" s="2194">
        <v>1.4601537690767969</v>
      </c>
      <c r="L156" s="2195">
        <v>96.062880794504053</v>
      </c>
      <c r="M156" s="2193">
        <v>103.29342020914414</v>
      </c>
      <c r="N156" s="2196">
        <v>61.08047146315986</v>
      </c>
      <c r="O156" s="2192">
        <v>319.13487638046075</v>
      </c>
      <c r="P156" s="2193">
        <v>343.15578105425891</v>
      </c>
      <c r="Q156" s="2194">
        <v>103.95187110649219</v>
      </c>
      <c r="R156" s="1240"/>
      <c r="S156" s="1240"/>
      <c r="T156" s="1240"/>
      <c r="U156" s="1240"/>
      <c r="V156" s="1240"/>
      <c r="W156" s="1240"/>
      <c r="X156" s="1240"/>
      <c r="Y156" s="1240"/>
      <c r="Z156" s="1240"/>
      <c r="AA156" s="1240"/>
      <c r="AB156" s="1240"/>
    </row>
    <row r="157" spans="2:28">
      <c r="B157" s="2191">
        <v>2030</v>
      </c>
      <c r="C157" s="2192">
        <v>149.71315120024431</v>
      </c>
      <c r="D157" s="2193">
        <v>160.98188301101541</v>
      </c>
      <c r="E157" s="2194">
        <v>36.38120587367473</v>
      </c>
      <c r="F157" s="2195">
        <v>124.86845592814993</v>
      </c>
      <c r="G157" s="2193">
        <v>134.26715691198919</v>
      </c>
      <c r="H157" s="2196">
        <v>41.04414390474242</v>
      </c>
      <c r="I157" s="2197">
        <v>2.8511234623376605</v>
      </c>
      <c r="J157" s="2198">
        <v>3.065724153051248</v>
      </c>
      <c r="K157" s="2194">
        <v>1.4636269680193572</v>
      </c>
      <c r="L157" s="2195">
        <v>94.280427955388035</v>
      </c>
      <c r="M157" s="2193">
        <v>101.37680425310542</v>
      </c>
      <c r="N157" s="2196">
        <v>60.706334911930107</v>
      </c>
      <c r="O157" s="2192">
        <v>324.49593202204875</v>
      </c>
      <c r="P157" s="2193">
        <v>348.92035701295566</v>
      </c>
      <c r="Q157" s="2194">
        <v>104.45648002668757</v>
      </c>
      <c r="R157" s="1240"/>
      <c r="S157" s="1240"/>
      <c r="T157" s="1240"/>
      <c r="U157" s="1240"/>
      <c r="V157" s="1240"/>
      <c r="W157" s="1240"/>
      <c r="X157" s="1240"/>
      <c r="Y157" s="1240"/>
      <c r="Z157" s="1240"/>
      <c r="AA157" s="1240"/>
      <c r="AB157" s="1240"/>
    </row>
    <row r="158" spans="2:28">
      <c r="B158" s="2191">
        <v>2031</v>
      </c>
      <c r="C158" s="2192">
        <v>146.57973291569633</v>
      </c>
      <c r="D158" s="2193">
        <v>157.61261603838315</v>
      </c>
      <c r="E158" s="2194">
        <v>37.726769724696652</v>
      </c>
      <c r="F158" s="2195">
        <v>130.69002381192905</v>
      </c>
      <c r="G158" s="2193">
        <v>140.5269073246549</v>
      </c>
      <c r="H158" s="2196">
        <v>41.722459302349137</v>
      </c>
      <c r="I158" s="2197">
        <v>2.8328241064639692</v>
      </c>
      <c r="J158" s="2198">
        <v>3.0460474263053436</v>
      </c>
      <c r="K158" s="2194">
        <v>1.5168787296313184</v>
      </c>
      <c r="L158" s="2195">
        <v>93.81297150143665</v>
      </c>
      <c r="M158" s="2193">
        <v>100.8741629047706</v>
      </c>
      <c r="N158" s="2196">
        <v>80.329589246015757</v>
      </c>
      <c r="O158" s="2192">
        <v>325.14213341315849</v>
      </c>
      <c r="P158" s="2193">
        <v>349.61519721845002</v>
      </c>
      <c r="Q158" s="2194">
        <v>103.26065061084222</v>
      </c>
      <c r="R158" s="1240"/>
      <c r="S158" s="1240"/>
      <c r="T158" s="1240"/>
      <c r="U158" s="1240"/>
      <c r="V158" s="1240"/>
      <c r="W158" s="1240"/>
      <c r="X158" s="1240"/>
      <c r="Y158" s="1240"/>
      <c r="Z158" s="1240"/>
      <c r="AA158" s="1240"/>
      <c r="AB158" s="1240"/>
    </row>
    <row r="159" spans="2:28">
      <c r="B159" s="2191">
        <v>2032</v>
      </c>
      <c r="C159" s="2192">
        <v>152.0410401185591</v>
      </c>
      <c r="D159" s="2193">
        <v>163.48498937479474</v>
      </c>
      <c r="E159" s="2194">
        <v>37.098562718452008</v>
      </c>
      <c r="F159" s="2195">
        <v>136.32858788530694</v>
      </c>
      <c r="G159" s="2193">
        <v>146.58987944656661</v>
      </c>
      <c r="H159" s="2196">
        <v>43.765320220125908</v>
      </c>
      <c r="I159" s="2197">
        <v>2.8818704762673382</v>
      </c>
      <c r="J159" s="2198">
        <v>3.0987854583519767</v>
      </c>
      <c r="K159" s="2194">
        <v>1.5059062268583789</v>
      </c>
      <c r="L159" s="2195">
        <v>95.941356992601428</v>
      </c>
      <c r="M159" s="2193">
        <v>103.16274945441015</v>
      </c>
      <c r="N159" s="2196">
        <v>79.751128831593874</v>
      </c>
      <c r="O159" s="2192">
        <v>338.67044430144472</v>
      </c>
      <c r="P159" s="2193">
        <v>364.16176806606961</v>
      </c>
      <c r="Q159" s="2194">
        <v>105.59939355938228</v>
      </c>
      <c r="R159" s="1240"/>
      <c r="S159" s="1240"/>
      <c r="T159" s="1240"/>
      <c r="U159" s="1240"/>
      <c r="V159" s="1240"/>
      <c r="W159" s="1240"/>
      <c r="X159" s="1240"/>
      <c r="Y159" s="1240"/>
      <c r="Z159" s="1240"/>
      <c r="AA159" s="1240"/>
      <c r="AB159" s="1240"/>
    </row>
    <row r="160" spans="2:28">
      <c r="B160" s="2191">
        <v>2033</v>
      </c>
      <c r="C160" s="2192">
        <v>148.17016163880919</v>
      </c>
      <c r="D160" s="2193">
        <v>159.32275445033247</v>
      </c>
      <c r="E160" s="2194">
        <v>37.068821777451625</v>
      </c>
      <c r="F160" s="2195">
        <v>136.03148664949725</v>
      </c>
      <c r="G160" s="2193">
        <v>146.27041575214758</v>
      </c>
      <c r="H160" s="2196">
        <v>43.653837862706965</v>
      </c>
      <c r="I160" s="2197">
        <v>2.8487284628663327</v>
      </c>
      <c r="J160" s="2198">
        <v>3.0631488848025086</v>
      </c>
      <c r="K160" s="2194">
        <v>1.5045347474757336</v>
      </c>
      <c r="L160" s="2195">
        <v>95.799238649348652</v>
      </c>
      <c r="M160" s="2193">
        <v>103.00993403155769</v>
      </c>
      <c r="N160" s="2196">
        <v>79.939162935295727</v>
      </c>
      <c r="O160" s="2192">
        <v>340.96547077365801</v>
      </c>
      <c r="P160" s="2193">
        <v>366.62953846629898</v>
      </c>
      <c r="Q160" s="2194">
        <v>105.85160249549469</v>
      </c>
      <c r="R160" s="1240"/>
      <c r="S160" s="1240"/>
      <c r="T160" s="1240"/>
      <c r="U160" s="1240"/>
      <c r="V160" s="1240"/>
      <c r="W160" s="1240"/>
      <c r="X160" s="1240"/>
      <c r="Y160" s="1240"/>
      <c r="Z160" s="1240"/>
      <c r="AA160" s="1240"/>
      <c r="AB160" s="1240"/>
    </row>
    <row r="161" spans="1:28">
      <c r="B161" s="2191">
        <v>2034</v>
      </c>
      <c r="C161" s="2192">
        <v>147.95580189371208</v>
      </c>
      <c r="D161" s="2193">
        <v>159.09226010076569</v>
      </c>
      <c r="E161" s="2194">
        <v>38.075080317723142</v>
      </c>
      <c r="F161" s="2195">
        <v>138.59655888402452</v>
      </c>
      <c r="G161" s="2193">
        <v>149.02855793981132</v>
      </c>
      <c r="H161" s="2196">
        <v>44.346342916543158</v>
      </c>
      <c r="I161" s="2197">
        <v>2.8143605189736771</v>
      </c>
      <c r="J161" s="2198">
        <v>3.0261941064233091</v>
      </c>
      <c r="K161" s="2194">
        <v>1.5041428383253808</v>
      </c>
      <c r="L161" s="2195">
        <v>82.85953860305203</v>
      </c>
      <c r="M161" s="2193">
        <v>89.096278067797883</v>
      </c>
      <c r="N161" s="2196">
        <v>75.489840203792411</v>
      </c>
      <c r="O161" s="2192">
        <v>340.1393010360664</v>
      </c>
      <c r="P161" s="2193">
        <v>365.74118390974883</v>
      </c>
      <c r="Q161" s="2194">
        <v>104.98533006484887</v>
      </c>
      <c r="R161" s="1240"/>
      <c r="S161" s="1240"/>
      <c r="T161" s="1240"/>
      <c r="U161" s="1240"/>
      <c r="V161" s="1240"/>
      <c r="W161" s="1240"/>
      <c r="X161" s="1240"/>
      <c r="Y161" s="1240"/>
      <c r="Z161" s="1240"/>
      <c r="AA161" s="1240"/>
      <c r="AB161" s="1240"/>
    </row>
    <row r="162" spans="1:28" ht="13.5" thickBot="1">
      <c r="B162" s="2199">
        <v>2035</v>
      </c>
      <c r="C162" s="2200">
        <v>147.00182018023426</v>
      </c>
      <c r="D162" s="2201">
        <v>158.06647331207986</v>
      </c>
      <c r="E162" s="2202">
        <v>38.157051193318786</v>
      </c>
      <c r="F162" s="2203">
        <v>137.95420158248504</v>
      </c>
      <c r="G162" s="2201">
        <v>148.33785116396243</v>
      </c>
      <c r="H162" s="2204">
        <v>44.120312216836339</v>
      </c>
      <c r="I162" s="2205">
        <v>2.8022990584298317</v>
      </c>
      <c r="J162" s="2206">
        <v>3.0132247940105721</v>
      </c>
      <c r="K162" s="2202">
        <v>1.5061579698046041</v>
      </c>
      <c r="L162" s="2203">
        <v>82.560991097411915</v>
      </c>
      <c r="M162" s="2201">
        <v>88.775259244528939</v>
      </c>
      <c r="N162" s="2204">
        <v>75.792719364636625</v>
      </c>
      <c r="O162" s="2200">
        <v>338.61430287776494</v>
      </c>
      <c r="P162" s="2201">
        <v>364.10140094383331</v>
      </c>
      <c r="Q162" s="2202">
        <v>104.76193835588229</v>
      </c>
      <c r="R162" s="1240"/>
      <c r="S162" s="1240"/>
      <c r="T162" s="1240"/>
      <c r="U162" s="1240"/>
      <c r="V162" s="1240"/>
      <c r="W162" s="1240"/>
      <c r="X162" s="1240"/>
      <c r="Y162" s="1240"/>
      <c r="Z162" s="1240"/>
      <c r="AA162" s="1240"/>
      <c r="AB162" s="1240"/>
    </row>
    <row r="163" spans="1:28">
      <c r="B163" s="530" t="s">
        <v>2352</v>
      </c>
      <c r="C163" s="530"/>
      <c r="D163" s="530"/>
      <c r="E163" s="530"/>
      <c r="F163" s="530"/>
      <c r="G163" s="530"/>
      <c r="H163" s="530"/>
      <c r="I163" s="530"/>
      <c r="J163" s="530"/>
      <c r="K163" s="530"/>
      <c r="L163" s="530"/>
      <c r="M163" s="530"/>
      <c r="N163" s="530"/>
      <c r="O163" s="530"/>
      <c r="P163" s="530"/>
      <c r="Q163" s="530"/>
      <c r="R163" s="1240"/>
      <c r="S163" s="1240"/>
      <c r="T163" s="1240"/>
      <c r="U163" s="1240"/>
      <c r="V163" s="1240"/>
      <c r="W163" s="1240"/>
      <c r="X163" s="1240"/>
      <c r="Y163" s="1240"/>
      <c r="Z163" s="1240"/>
      <c r="AA163" s="1240"/>
      <c r="AB163" s="1240"/>
    </row>
    <row r="164" spans="1:28">
      <c r="B164" s="530" t="s">
        <v>2353</v>
      </c>
      <c r="C164" s="530"/>
      <c r="D164" s="530"/>
      <c r="E164" s="530"/>
      <c r="F164" s="530"/>
      <c r="G164" s="530"/>
      <c r="H164" s="530"/>
      <c r="I164" s="530"/>
      <c r="J164" s="530"/>
      <c r="K164" s="530"/>
      <c r="L164" s="530"/>
      <c r="M164" s="530"/>
      <c r="N164" s="530"/>
      <c r="O164" s="530"/>
      <c r="P164" s="530"/>
      <c r="Q164" s="530"/>
      <c r="R164" s="1240"/>
      <c r="S164" s="1240"/>
      <c r="T164" s="1240"/>
      <c r="U164" s="1240"/>
      <c r="V164" s="1240"/>
      <c r="W164" s="1240"/>
      <c r="X164" s="1240"/>
      <c r="Y164" s="1240"/>
      <c r="Z164" s="1240"/>
      <c r="AA164" s="1240"/>
      <c r="AB164" s="1240"/>
    </row>
    <row r="165" spans="1:28">
      <c r="B165" s="530" t="s">
        <v>2354</v>
      </c>
      <c r="C165" s="530"/>
      <c r="D165" s="530"/>
      <c r="E165" s="530"/>
      <c r="F165" s="530"/>
      <c r="G165" s="530"/>
      <c r="H165" s="530"/>
      <c r="I165" s="530"/>
      <c r="J165" s="530"/>
      <c r="K165" s="530"/>
      <c r="L165" s="530"/>
      <c r="M165" s="530"/>
      <c r="N165" s="530"/>
      <c r="O165" s="530"/>
      <c r="P165" s="530"/>
      <c r="Q165" s="530"/>
      <c r="R165" s="1240"/>
      <c r="S165" s="1240"/>
      <c r="T165" s="1240"/>
      <c r="U165" s="1240"/>
      <c r="V165" s="1240"/>
      <c r="W165" s="1240"/>
      <c r="X165" s="1240"/>
      <c r="Y165" s="1240"/>
      <c r="Z165" s="1240"/>
      <c r="AA165" s="1240"/>
      <c r="AB165" s="1240"/>
    </row>
    <row r="166" spans="1:28">
      <c r="B166" s="1240"/>
      <c r="C166" s="1240"/>
      <c r="D166" s="1240"/>
      <c r="E166" s="1240"/>
      <c r="F166" s="1240"/>
      <c r="G166" s="1240"/>
      <c r="H166" s="1240"/>
      <c r="I166" s="1240"/>
      <c r="J166" s="1240"/>
      <c r="K166" s="1240"/>
      <c r="L166" s="1240"/>
      <c r="M166" s="1240"/>
      <c r="N166" s="1240"/>
      <c r="O166" s="1240"/>
      <c r="P166" s="1240"/>
      <c r="Q166" s="1240"/>
      <c r="R166" s="1240"/>
      <c r="S166" s="1240"/>
      <c r="T166" s="1240"/>
      <c r="U166" s="1240"/>
      <c r="V166" s="1240"/>
      <c r="W166" s="1240"/>
      <c r="X166" s="1240"/>
      <c r="Y166" s="1240"/>
      <c r="Z166" s="1240"/>
      <c r="AA166" s="1240"/>
      <c r="AB166" s="1240"/>
    </row>
    <row r="167" spans="1:28" s="14" customFormat="1" ht="18">
      <c r="A167" s="14" t="s">
        <v>2533</v>
      </c>
    </row>
    <row r="168" spans="1:28">
      <c r="R168" s="1240"/>
      <c r="S168" s="1240"/>
      <c r="T168" s="1240"/>
      <c r="U168" s="1240"/>
      <c r="V168" s="1240"/>
      <c r="W168" s="1240"/>
      <c r="X168" s="1240"/>
      <c r="Y168" s="1240"/>
      <c r="Z168" s="1240"/>
      <c r="AA168" s="1240"/>
      <c r="AB168" s="1240"/>
    </row>
    <row r="169" spans="1:28" s="1240" customFormat="1" ht="13.5" thickBot="1">
      <c r="B169" s="1240" t="s">
        <v>2534</v>
      </c>
    </row>
    <row r="170" spans="1:28">
      <c r="B170" s="1455"/>
      <c r="C170" s="2159" t="s">
        <v>886</v>
      </c>
      <c r="D170" s="2159" t="s">
        <v>27</v>
      </c>
      <c r="E170" s="2159" t="s">
        <v>28</v>
      </c>
      <c r="F170" s="2159" t="s">
        <v>885</v>
      </c>
      <c r="G170" s="2159" t="s">
        <v>25</v>
      </c>
      <c r="H170" s="2160" t="s">
        <v>2356</v>
      </c>
      <c r="R170" s="1240"/>
      <c r="S170" s="1240"/>
      <c r="T170" s="1240"/>
      <c r="U170" s="1240"/>
      <c r="V170" s="1240"/>
      <c r="W170" s="1240"/>
      <c r="X170" s="1240"/>
      <c r="Y170" s="1240"/>
      <c r="Z170" s="1240"/>
      <c r="AA170" s="1240"/>
      <c r="AB170" s="1240"/>
    </row>
    <row r="171" spans="1:28" s="1240" customFormat="1">
      <c r="B171" s="1460"/>
      <c r="C171" s="99" t="s">
        <v>238</v>
      </c>
      <c r="D171" s="99" t="s">
        <v>239</v>
      </c>
      <c r="E171" s="99" t="s">
        <v>239</v>
      </c>
      <c r="F171" s="99" t="s">
        <v>239</v>
      </c>
      <c r="G171" s="99" t="s">
        <v>239</v>
      </c>
      <c r="H171" s="2161" t="s">
        <v>239</v>
      </c>
    </row>
    <row r="172" spans="1:28">
      <c r="B172" s="70">
        <v>2015</v>
      </c>
      <c r="C172" s="70">
        <v>-66200</v>
      </c>
      <c r="I172" s="70" t="s">
        <v>2535</v>
      </c>
    </row>
    <row r="173" spans="1:28">
      <c r="B173" s="70">
        <v>2020</v>
      </c>
      <c r="C173" s="1240">
        <v>-66200</v>
      </c>
    </row>
    <row r="174" spans="1:28">
      <c r="B174" s="70">
        <v>2035</v>
      </c>
      <c r="C174" s="1240">
        <v>-66200</v>
      </c>
    </row>
    <row r="175" spans="1:28">
      <c r="B175" s="70">
        <v>2050</v>
      </c>
      <c r="C175" s="70">
        <v>0</v>
      </c>
    </row>
  </sheetData>
  <mergeCells count="16">
    <mergeCell ref="O137:P137"/>
    <mergeCell ref="B135:B138"/>
    <mergeCell ref="C135:E135"/>
    <mergeCell ref="F135:H135"/>
    <mergeCell ref="I135:K135"/>
    <mergeCell ref="L135:N135"/>
    <mergeCell ref="C137:D137"/>
    <mergeCell ref="F137:G137"/>
    <mergeCell ref="I137:J137"/>
    <mergeCell ref="L137:M137"/>
    <mergeCell ref="O135:Q135"/>
    <mergeCell ref="C136:D136"/>
    <mergeCell ref="F136:G136"/>
    <mergeCell ref="I136:J136"/>
    <mergeCell ref="L136:M136"/>
    <mergeCell ref="O136:P136"/>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8" tint="0.39997558519241921"/>
  </sheetPr>
  <dimension ref="A1:T52"/>
  <sheetViews>
    <sheetView zoomScale="80" zoomScaleNormal="80" workbookViewId="0">
      <selection activeCell="C37" sqref="C37"/>
    </sheetView>
  </sheetViews>
  <sheetFormatPr defaultRowHeight="12.75"/>
  <cols>
    <col min="1" max="1" width="5.85546875" style="523" customWidth="1"/>
    <col min="2" max="2" width="34.7109375" style="523" customWidth="1"/>
    <col min="3" max="3" width="22.85546875" style="523" customWidth="1"/>
    <col min="4" max="4" width="6.42578125" style="523" customWidth="1"/>
    <col min="5" max="5" width="6.85546875" style="523" customWidth="1"/>
    <col min="6" max="10" width="6.7109375" style="523" customWidth="1"/>
    <col min="11" max="11" width="6.85546875" style="523" customWidth="1"/>
    <col min="12" max="12" width="9.7109375" style="523" customWidth="1"/>
    <col min="13" max="13" width="6.7109375" style="523" customWidth="1"/>
    <col min="14" max="14" width="6.42578125" style="523" customWidth="1"/>
    <col min="15" max="15" width="6.85546875" style="523" customWidth="1"/>
    <col min="16" max="16" width="6" style="523" bestFit="1" customWidth="1"/>
    <col min="17" max="17" width="13.28515625" style="523" customWidth="1"/>
    <col min="18" max="18" width="96.140625" style="523" customWidth="1"/>
    <col min="19" max="19" width="12.5703125" style="523" customWidth="1"/>
    <col min="20" max="16384" width="9.140625" style="523"/>
  </cols>
  <sheetData>
    <row r="1" spans="1:20" s="465" customFormat="1" ht="21">
      <c r="A1" s="465" t="s">
        <v>2184</v>
      </c>
      <c r="Q1" s="465">
        <f ca="1">'Log2015'!M1</f>
        <v>-8.0112614142160741</v>
      </c>
      <c r="R1" s="465">
        <f ca="1">'Log2015'!N1</f>
        <v>-160807.124977848</v>
      </c>
    </row>
    <row r="2" spans="1:20">
      <c r="A2" s="523" t="s">
        <v>2185</v>
      </c>
    </row>
    <row r="3" spans="1:20" ht="13.5" thickBot="1">
      <c r="D3" s="523" t="s">
        <v>936</v>
      </c>
      <c r="K3" s="523" t="s">
        <v>937</v>
      </c>
    </row>
    <row r="4" spans="1:20">
      <c r="B4" s="821" t="s">
        <v>493</v>
      </c>
      <c r="C4" s="822" t="s">
        <v>70</v>
      </c>
      <c r="D4" s="822">
        <v>2015</v>
      </c>
      <c r="E4" s="822">
        <v>2020</v>
      </c>
      <c r="F4" s="822">
        <v>2035</v>
      </c>
      <c r="G4" s="822">
        <v>2050</v>
      </c>
      <c r="H4" s="822" t="s">
        <v>494</v>
      </c>
      <c r="I4" s="822" t="s">
        <v>977</v>
      </c>
      <c r="J4" s="822" t="s">
        <v>978</v>
      </c>
      <c r="K4" s="822" t="s">
        <v>979</v>
      </c>
      <c r="L4" s="822" t="s">
        <v>1705</v>
      </c>
      <c r="M4" s="822">
        <v>2015</v>
      </c>
      <c r="N4" s="822">
        <v>2020</v>
      </c>
      <c r="O4" s="822">
        <v>2035</v>
      </c>
      <c r="P4" s="822">
        <v>2050</v>
      </c>
      <c r="Q4" s="822" t="s">
        <v>1707</v>
      </c>
      <c r="R4" s="823" t="s">
        <v>496</v>
      </c>
    </row>
    <row r="5" spans="1:20">
      <c r="B5" s="230" t="s">
        <v>495</v>
      </c>
      <c r="C5" s="455" t="s">
        <v>352</v>
      </c>
      <c r="D5" s="1948">
        <v>46.802115357037714</v>
      </c>
      <c r="E5" s="1948">
        <v>162.25058055893788</v>
      </c>
      <c r="F5" s="1948">
        <v>243.37587083840683</v>
      </c>
      <c r="G5" s="1714">
        <f>F5</f>
        <v>243.37587083840683</v>
      </c>
      <c r="H5" s="464">
        <v>2011</v>
      </c>
      <c r="I5" s="818">
        <f>HLOOKUP(H5,Supplementary!$C$44:$AF$46,3,FALSE)</f>
        <v>1.0644619289167017</v>
      </c>
      <c r="J5" s="818">
        <f>HLOOKUP(H5,Supplementary!$C$44:$AF$46,3,FALSE)</f>
        <v>1.0644619289167017</v>
      </c>
      <c r="K5" s="456">
        <f>I5/J5</f>
        <v>1</v>
      </c>
      <c r="L5" s="1267">
        <f ca="1">Sensitivity!$P$7</f>
        <v>0</v>
      </c>
      <c r="M5" s="279">
        <f ca="1">D5*$J5*(1+$L5)</f>
        <v>49.819069990334349</v>
      </c>
      <c r="N5" s="1505">
        <f t="shared" ref="N5:N27" ca="1" si="0">E5*$J5*(1+$L5)</f>
        <v>172.70956594962172</v>
      </c>
      <c r="O5" s="1505">
        <f t="shared" ref="O5:O27" ca="1" si="1">F5*$J5*(1+$L5)</f>
        <v>259.06434892443258</v>
      </c>
      <c r="P5" s="1505">
        <f t="shared" ref="P5:P27" ca="1" si="2">G5*$J5*(1+$L5)</f>
        <v>259.06434892443258</v>
      </c>
      <c r="Q5" s="279">
        <f t="shared" ref="Q5:Q27" ca="1" si="3">OFFSET($L5,0,chosenYear)</f>
        <v>49.819069990334349</v>
      </c>
      <c r="R5" s="229" t="s">
        <v>2180</v>
      </c>
    </row>
    <row r="6" spans="1:20">
      <c r="B6" s="230" t="s">
        <v>501</v>
      </c>
      <c r="C6" s="455" t="s">
        <v>629</v>
      </c>
      <c r="D6" s="1948">
        <v>353.50648492884318</v>
      </c>
      <c r="E6" s="1949">
        <f>402.385304822225+100</f>
        <v>502.38530482222501</v>
      </c>
      <c r="F6" s="1949">
        <f>581.554955556281+100</f>
        <v>681.55495555628102</v>
      </c>
      <c r="G6" s="1714">
        <f t="shared" ref="G6:G27" si="4">F6</f>
        <v>681.55495555628102</v>
      </c>
      <c r="H6" s="464">
        <v>2011</v>
      </c>
      <c r="I6" s="818">
        <f>HLOOKUP(Supplementary!$C$40,Supplementary!$C$44:$AF$46,3,FALSE)</f>
        <v>1</v>
      </c>
      <c r="J6" s="818">
        <f>HLOOKUP(H6,Supplementary!$C$44:$AF$46,3,FALSE)</f>
        <v>1.0644619289167017</v>
      </c>
      <c r="K6" s="456">
        <f t="shared" ref="K6:K28" si="5">I6/J6</f>
        <v>0.93944177131604478</v>
      </c>
      <c r="L6" s="1267">
        <f ca="1">Sensitivity!$H$7</f>
        <v>0</v>
      </c>
      <c r="M6" s="1505">
        <f t="shared" ref="M6:M27" ca="1" si="6">D6*$J6*(1+$L6)</f>
        <v>376.29419483191936</v>
      </c>
      <c r="N6" s="1505">
        <f t="shared" ca="1" si="0"/>
        <v>534.77003063047073</v>
      </c>
      <c r="O6" s="1505">
        <f t="shared" ca="1" si="1"/>
        <v>725.48930265417573</v>
      </c>
      <c r="P6" s="1505">
        <f t="shared" ca="1" si="2"/>
        <v>725.48930265417573</v>
      </c>
      <c r="Q6" s="279">
        <f t="shared" ca="1" si="3"/>
        <v>376.29419483191936</v>
      </c>
      <c r="R6" s="453" t="s">
        <v>2316</v>
      </c>
    </row>
    <row r="7" spans="1:20">
      <c r="B7" s="230" t="s">
        <v>507</v>
      </c>
      <c r="C7" s="455" t="s">
        <v>629</v>
      </c>
      <c r="D7" s="1948">
        <v>543.2370993361418</v>
      </c>
      <c r="E7" s="1949">
        <f>566.764540860026+100</f>
        <v>666.76454086002605</v>
      </c>
      <c r="F7" s="1949">
        <f>759.420079283742+100</f>
        <v>859.42007928374198</v>
      </c>
      <c r="G7" s="1714">
        <f t="shared" si="4"/>
        <v>859.42007928374198</v>
      </c>
      <c r="H7" s="464">
        <v>2011</v>
      </c>
      <c r="I7" s="818">
        <f>HLOOKUP(Supplementary!$C$40,Supplementary!$C$44:$AF$46,3,FALSE)</f>
        <v>1</v>
      </c>
      <c r="J7" s="818">
        <f>HLOOKUP(H7,Supplementary!$C$44:$AF$46,3,FALSE)</f>
        <v>1.0644619289167017</v>
      </c>
      <c r="K7" s="456">
        <f t="shared" si="5"/>
        <v>0.93944177131604478</v>
      </c>
      <c r="L7" s="1267">
        <f ca="1">Sensitivity!$H$7</f>
        <v>0</v>
      </c>
      <c r="M7" s="1505">
        <f t="shared" ca="1" si="6"/>
        <v>578.25521061846337</v>
      </c>
      <c r="N7" s="1505">
        <f t="shared" ca="1" si="0"/>
        <v>709.74546929712221</v>
      </c>
      <c r="O7" s="1505">
        <f t="shared" ca="1" si="1"/>
        <v>914.81995534411669</v>
      </c>
      <c r="P7" s="1505">
        <f t="shared" ca="1" si="2"/>
        <v>914.81995534411669</v>
      </c>
      <c r="Q7" s="279">
        <f t="shared" ca="1" si="3"/>
        <v>578.25521061846337</v>
      </c>
      <c r="R7" s="453" t="s">
        <v>2316</v>
      </c>
      <c r="S7" s="455"/>
      <c r="T7" s="455"/>
    </row>
    <row r="8" spans="1:20">
      <c r="B8" s="230" t="s">
        <v>975</v>
      </c>
      <c r="C8" s="455" t="s">
        <v>159</v>
      </c>
      <c r="D8" s="1948">
        <v>37.310790168598722</v>
      </c>
      <c r="E8" s="1948">
        <v>39.613116147989587</v>
      </c>
      <c r="F8" s="1948">
        <v>44.489695438909983</v>
      </c>
      <c r="G8" s="1714">
        <f t="shared" si="4"/>
        <v>44.489695438909983</v>
      </c>
      <c r="H8" s="464">
        <v>2011</v>
      </c>
      <c r="I8" s="818">
        <f>HLOOKUP(Supplementary!$C$40,Supplementary!$C$44:$AF$46,3,FALSE)</f>
        <v>1</v>
      </c>
      <c r="J8" s="818">
        <f>HLOOKUP(H8,Supplementary!$C$44:$AF$46,3,FALSE)</f>
        <v>1.0644619289167017</v>
      </c>
      <c r="K8" s="456">
        <f t="shared" si="5"/>
        <v>0.93944177131604478</v>
      </c>
      <c r="L8" s="1267">
        <f ca="1">Sensitivity!$J$7</f>
        <v>0</v>
      </c>
      <c r="M8" s="1505">
        <f t="shared" ca="1" si="6"/>
        <v>39.715915672272907</v>
      </c>
      <c r="N8" s="1505">
        <f t="shared" ca="1" si="0"/>
        <v>42.166654025290335</v>
      </c>
      <c r="O8" s="1505">
        <f t="shared" ca="1" si="1"/>
        <v>47.357587023818702</v>
      </c>
      <c r="P8" s="1505">
        <f t="shared" ca="1" si="2"/>
        <v>47.357587023818702</v>
      </c>
      <c r="Q8" s="279">
        <f t="shared" ca="1" si="3"/>
        <v>39.715915672272907</v>
      </c>
      <c r="R8" s="229" t="s">
        <v>630</v>
      </c>
    </row>
    <row r="9" spans="1:20">
      <c r="B9" s="230" t="s">
        <v>538</v>
      </c>
      <c r="C9" s="455" t="s">
        <v>159</v>
      </c>
      <c r="D9" s="1948">
        <v>63.103818637291766</v>
      </c>
      <c r="E9" s="1948">
        <v>65.624292437371551</v>
      </c>
      <c r="F9" s="1948">
        <v>75.253323353239395</v>
      </c>
      <c r="G9" s="1714">
        <f t="shared" si="4"/>
        <v>75.253323353239395</v>
      </c>
      <c r="H9" s="464">
        <v>2011</v>
      </c>
      <c r="I9" s="818">
        <f>HLOOKUP(Supplementary!$C$40,Supplementary!$C$44:$AF$46,3,FALSE)</f>
        <v>1</v>
      </c>
      <c r="J9" s="818">
        <f>HLOOKUP(H9,Supplementary!$C$44:$AF$46,3,FALSE)</f>
        <v>1.0644619289167017</v>
      </c>
      <c r="K9" s="456">
        <f t="shared" si="5"/>
        <v>0.93944177131604478</v>
      </c>
      <c r="L9" s="1267">
        <f ca="1">Sensitivity!$G$7</f>
        <v>0</v>
      </c>
      <c r="M9" s="1505">
        <f t="shared" ca="1" si="6"/>
        <v>67.171612508661298</v>
      </c>
      <c r="N9" s="1505">
        <f t="shared" ca="1" si="0"/>
        <v>69.854560911678234</v>
      </c>
      <c r="O9" s="1505">
        <f t="shared" ca="1" si="1"/>
        <v>80.104297733981483</v>
      </c>
      <c r="P9" s="1505">
        <f t="shared" ca="1" si="2"/>
        <v>80.104297733981483</v>
      </c>
      <c r="Q9" s="279">
        <f t="shared" ca="1" si="3"/>
        <v>67.171612508661298</v>
      </c>
      <c r="R9" s="229" t="s">
        <v>2179</v>
      </c>
    </row>
    <row r="10" spans="1:20">
      <c r="B10" s="230" t="s">
        <v>2181</v>
      </c>
      <c r="C10" s="455" t="s">
        <v>159</v>
      </c>
      <c r="D10" s="1948">
        <v>47.313564072406948</v>
      </c>
      <c r="E10" s="1948">
        <v>51.818959696860802</v>
      </c>
      <c r="F10" s="1948">
        <v>61.924614509372887</v>
      </c>
      <c r="G10" s="1714">
        <f t="shared" si="4"/>
        <v>61.924614509372887</v>
      </c>
      <c r="H10" s="464">
        <v>2011</v>
      </c>
      <c r="I10" s="818">
        <f>HLOOKUP(Supplementary!$C$40,Supplementary!$C$44:$AF$46,3,FALSE)</f>
        <v>1</v>
      </c>
      <c r="J10" s="818">
        <f>HLOOKUP(H10,Supplementary!$C$44:$AF$46,3,FALSE)</f>
        <v>1.0644619289167017</v>
      </c>
      <c r="K10" s="456">
        <f t="shared" si="5"/>
        <v>0.93944177131604478</v>
      </c>
      <c r="L10" s="1267">
        <f ca="1">Sensitivity!K7</f>
        <v>0</v>
      </c>
      <c r="M10" s="1505">
        <f t="shared" ca="1" si="6"/>
        <v>50.363487676438254</v>
      </c>
      <c r="N10" s="1505">
        <f t="shared" ca="1" si="0"/>
        <v>55.159309793377268</v>
      </c>
      <c r="O10" s="1505">
        <f t="shared" ca="1" si="1"/>
        <v>65.916394608070235</v>
      </c>
      <c r="P10" s="1505">
        <f t="shared" ca="1" si="2"/>
        <v>65.916394608070235</v>
      </c>
      <c r="Q10" s="279">
        <f t="shared" ca="1" si="3"/>
        <v>50.363487676438254</v>
      </c>
      <c r="R10" s="1488" t="s">
        <v>2179</v>
      </c>
    </row>
    <row r="11" spans="1:20">
      <c r="B11" s="230" t="s">
        <v>535</v>
      </c>
      <c r="C11" s="455" t="s">
        <v>629</v>
      </c>
      <c r="D11" s="1948">
        <v>564.53530987525494</v>
      </c>
      <c r="E11" s="1949">
        <f>588.062751399139+100</f>
        <v>688.06275139913896</v>
      </c>
      <c r="F11" s="1949">
        <f>780.718289822855+100</f>
        <v>880.71828982285501</v>
      </c>
      <c r="G11" s="1714">
        <f t="shared" si="4"/>
        <v>880.71828982285501</v>
      </c>
      <c r="H11" s="464">
        <v>2011</v>
      </c>
      <c r="I11" s="818">
        <f>HLOOKUP(Supplementary!$C$40,Supplementary!$C$44:$AF$46,3,FALSE)</f>
        <v>1</v>
      </c>
      <c r="J11" s="818">
        <f>HLOOKUP(H11,Supplementary!$C$44:$AF$46,3,FALSE)</f>
        <v>1.0644619289167017</v>
      </c>
      <c r="K11" s="456">
        <f t="shared" si="5"/>
        <v>0.93944177131604478</v>
      </c>
      <c r="L11" s="1267">
        <f ca="1">Sensitivity!H7</f>
        <v>0</v>
      </c>
      <c r="M11" s="1505">
        <f t="shared" ca="1" si="6"/>
        <v>600.92634489140175</v>
      </c>
      <c r="N11" s="1505">
        <f t="shared" ca="1" si="0"/>
        <v>732.41660357006037</v>
      </c>
      <c r="O11" s="1505">
        <f t="shared" ca="1" si="1"/>
        <v>937.49108961705497</v>
      </c>
      <c r="P11" s="1505">
        <f t="shared" ca="1" si="2"/>
        <v>937.49108961705497</v>
      </c>
      <c r="Q11" s="279">
        <f t="shared" ca="1" si="3"/>
        <v>600.92634489140175</v>
      </c>
      <c r="R11" s="453" t="s">
        <v>2316</v>
      </c>
    </row>
    <row r="12" spans="1:20">
      <c r="B12" s="2516" t="s">
        <v>976</v>
      </c>
      <c r="C12" s="455" t="s">
        <v>159</v>
      </c>
      <c r="D12" s="1948">
        <v>101.3</v>
      </c>
      <c r="E12" s="1948">
        <v>104.22006388937844</v>
      </c>
      <c r="F12" s="1948">
        <v>114.77746467917235</v>
      </c>
      <c r="G12" s="1714">
        <f t="shared" si="4"/>
        <v>114.77746467917235</v>
      </c>
      <c r="H12" s="464">
        <v>2011</v>
      </c>
      <c r="I12" s="818">
        <f>HLOOKUP(Supplementary!$C$40,Supplementary!$C$44:$AF$46,3,FALSE)</f>
        <v>1</v>
      </c>
      <c r="J12" s="818">
        <f>HLOOKUP(H12,Supplementary!$C$44:$AF$46,3,FALSE)</f>
        <v>1.0644619289167017</v>
      </c>
      <c r="K12" s="456">
        <f t="shared" si="5"/>
        <v>0.93944177131604478</v>
      </c>
      <c r="L12" s="1267">
        <f ca="1">Sensitivity!$F$7</f>
        <v>0</v>
      </c>
      <c r="M12" s="1505">
        <f t="shared" ca="1" si="6"/>
        <v>107.82999339926188</v>
      </c>
      <c r="N12" s="1505">
        <f t="shared" ca="1" si="0"/>
        <v>110.93829023950966</v>
      </c>
      <c r="O12" s="1505">
        <f t="shared" ca="1" si="1"/>
        <v>122.1762414485604</v>
      </c>
      <c r="P12" s="1505">
        <f t="shared" ca="1" si="2"/>
        <v>122.1762414485604</v>
      </c>
      <c r="Q12" s="279">
        <f t="shared" ca="1" si="3"/>
        <v>107.82999339926188</v>
      </c>
      <c r="R12" s="1488" t="s">
        <v>1446</v>
      </c>
    </row>
    <row r="13" spans="1:20">
      <c r="B13" s="230" t="s">
        <v>536</v>
      </c>
      <c r="C13" s="455" t="s">
        <v>159</v>
      </c>
      <c r="D13" s="1948">
        <v>26.719086427318047</v>
      </c>
      <c r="E13" s="1948">
        <v>23.188930513121395</v>
      </c>
      <c r="F13" s="1948">
        <v>23.98936671054549</v>
      </c>
      <c r="G13" s="1714">
        <f t="shared" si="4"/>
        <v>23.98936671054549</v>
      </c>
      <c r="H13" s="464">
        <v>2011</v>
      </c>
      <c r="I13" s="818">
        <f>HLOOKUP(Supplementary!$C$40,Supplementary!$C$44:$AF$46,3,FALSE)</f>
        <v>1</v>
      </c>
      <c r="J13" s="818">
        <f>HLOOKUP(H13,Supplementary!$C$44:$AF$46,3,FALSE)</f>
        <v>1.0644619289167017</v>
      </c>
      <c r="K13" s="456">
        <f t="shared" si="5"/>
        <v>0.93944177131604478</v>
      </c>
      <c r="L13" s="1959">
        <v>0</v>
      </c>
      <c r="M13" s="1505">
        <f t="shared" si="6"/>
        <v>28.441450277315031</v>
      </c>
      <c r="N13" s="1505">
        <f t="shared" si="0"/>
        <v>24.683733703512562</v>
      </c>
      <c r="O13" s="1505">
        <f t="shared" si="1"/>
        <v>25.535767562197361</v>
      </c>
      <c r="P13" s="1505">
        <f t="shared" si="2"/>
        <v>25.535767562197361</v>
      </c>
      <c r="Q13" s="279">
        <f t="shared" ca="1" si="3"/>
        <v>28.441450277315031</v>
      </c>
      <c r="R13" s="1488" t="s">
        <v>1446</v>
      </c>
    </row>
    <row r="14" spans="1:20">
      <c r="B14" s="230" t="s">
        <v>539</v>
      </c>
      <c r="C14" s="455" t="s">
        <v>159</v>
      </c>
      <c r="D14" s="1948">
        <v>56.4</v>
      </c>
      <c r="E14" s="1948">
        <v>58.907012661779753</v>
      </c>
      <c r="F14" s="1948">
        <v>68.53604357764759</v>
      </c>
      <c r="G14" s="1714">
        <f t="shared" si="4"/>
        <v>68.53604357764759</v>
      </c>
      <c r="H14" s="464">
        <v>2011</v>
      </c>
      <c r="I14" s="818">
        <f>HLOOKUP(Supplementary!$C$40,Supplementary!$C$44:$AF$46,3,FALSE)</f>
        <v>1</v>
      </c>
      <c r="J14" s="818">
        <f>HLOOKUP(H14,Supplementary!$C$44:$AF$46,3,FALSE)</f>
        <v>1.0644619289167017</v>
      </c>
      <c r="K14" s="456">
        <f t="shared" si="5"/>
        <v>0.93944177131604478</v>
      </c>
      <c r="L14" s="1267">
        <f ca="1">Sensitivity!$F$7</f>
        <v>0</v>
      </c>
      <c r="M14" s="1505">
        <f t="shared" ca="1" si="6"/>
        <v>60.03565279090197</v>
      </c>
      <c r="N14" s="1505">
        <f t="shared" ca="1" si="0"/>
        <v>62.704272324678641</v>
      </c>
      <c r="O14" s="1505">
        <f t="shared" ca="1" si="1"/>
        <v>72.954009146981875</v>
      </c>
      <c r="P14" s="1505">
        <f t="shared" ca="1" si="2"/>
        <v>72.954009146981875</v>
      </c>
      <c r="Q14" s="279">
        <f t="shared" ca="1" si="3"/>
        <v>60.03565279090197</v>
      </c>
      <c r="R14" s="1488" t="s">
        <v>1446</v>
      </c>
    </row>
    <row r="15" spans="1:20">
      <c r="B15" s="2516" t="s">
        <v>2293</v>
      </c>
      <c r="C15" s="455" t="s">
        <v>159</v>
      </c>
      <c r="D15" s="1948">
        <v>116.6</v>
      </c>
      <c r="E15" s="1948">
        <v>119.9</v>
      </c>
      <c r="F15" s="1950">
        <v>128.6</v>
      </c>
      <c r="G15" s="1714">
        <f t="shared" si="4"/>
        <v>128.6</v>
      </c>
      <c r="H15" s="464">
        <v>2011</v>
      </c>
      <c r="I15" s="818">
        <f>HLOOKUP(Supplementary!$C$40,Supplementary!$C$44:$AF$46,3,FALSE)</f>
        <v>1</v>
      </c>
      <c r="J15" s="818">
        <f>HLOOKUP(H15,Supplementary!$C$44:$AF$46,3,FALSE)</f>
        <v>1.0644619289167017</v>
      </c>
      <c r="K15" s="456">
        <f t="shared" si="5"/>
        <v>0.93944177131604478</v>
      </c>
      <c r="L15" s="1267">
        <f ca="1">Sensitivity!$F$7</f>
        <v>0</v>
      </c>
      <c r="M15" s="1505">
        <f t="shared" ca="1" si="6"/>
        <v>124.11626091168741</v>
      </c>
      <c r="N15" s="1505">
        <f t="shared" ca="1" si="0"/>
        <v>127.62898527711253</v>
      </c>
      <c r="O15" s="1505">
        <f t="shared" ca="1" si="1"/>
        <v>136.88980405868782</v>
      </c>
      <c r="P15" s="1505">
        <f t="shared" ca="1" si="2"/>
        <v>136.88980405868782</v>
      </c>
      <c r="Q15" s="1505">
        <f t="shared" ca="1" si="3"/>
        <v>124.11626091168741</v>
      </c>
      <c r="R15" s="1488" t="s">
        <v>2179</v>
      </c>
    </row>
    <row r="16" spans="1:20">
      <c r="B16" s="2516" t="s">
        <v>2294</v>
      </c>
      <c r="C16" s="455" t="s">
        <v>159</v>
      </c>
      <c r="D16" s="1948">
        <v>115.4</v>
      </c>
      <c r="E16" s="1948">
        <v>118.7</v>
      </c>
      <c r="F16" s="1950">
        <v>127.4</v>
      </c>
      <c r="G16" s="1714">
        <f t="shared" si="4"/>
        <v>127.4</v>
      </c>
      <c r="H16" s="464">
        <v>2011</v>
      </c>
      <c r="I16" s="818">
        <f>HLOOKUP(Supplementary!$C$40,Supplementary!$C$44:$AF$46,3,FALSE)</f>
        <v>1</v>
      </c>
      <c r="J16" s="818">
        <f>HLOOKUP(H16,Supplementary!$C$44:$AF$46,3,FALSE)</f>
        <v>1.0644619289167017</v>
      </c>
      <c r="K16" s="456">
        <f t="shared" si="5"/>
        <v>0.93944177131604478</v>
      </c>
      <c r="L16" s="1267">
        <f ca="1">Sensitivity!$F$7</f>
        <v>0</v>
      </c>
      <c r="M16" s="1505">
        <f t="shared" ca="1" si="6"/>
        <v>122.83890659698737</v>
      </c>
      <c r="N16" s="1505">
        <f t="shared" ca="1" si="0"/>
        <v>126.35163096241249</v>
      </c>
      <c r="O16" s="1505">
        <f t="shared" ca="1" si="1"/>
        <v>135.61244974398781</v>
      </c>
      <c r="P16" s="1505">
        <f t="shared" ca="1" si="2"/>
        <v>135.61244974398781</v>
      </c>
      <c r="Q16" s="1505">
        <f t="shared" ca="1" si="3"/>
        <v>122.83890659698737</v>
      </c>
      <c r="R16" s="1488" t="s">
        <v>2179</v>
      </c>
    </row>
    <row r="17" spans="2:18" s="1240" customFormat="1">
      <c r="B17" s="2516" t="s">
        <v>2295</v>
      </c>
      <c r="C17" s="1471" t="s">
        <v>159</v>
      </c>
      <c r="D17" s="1948">
        <v>123.6</v>
      </c>
      <c r="E17" s="1948">
        <v>126.9</v>
      </c>
      <c r="F17" s="1948">
        <v>135.5</v>
      </c>
      <c r="G17" s="1714">
        <f t="shared" si="4"/>
        <v>135.5</v>
      </c>
      <c r="H17" s="464">
        <v>2011</v>
      </c>
      <c r="I17" s="818">
        <f>HLOOKUP(Supplementary!$C$40,Supplementary!$C$44:$AF$46,3,FALSE)</f>
        <v>1</v>
      </c>
      <c r="J17" s="818">
        <f>HLOOKUP(H17,Supplementary!$C$44:$AF$46,3,FALSE)</f>
        <v>1.0644619289167017</v>
      </c>
      <c r="K17" s="1508">
        <f>I17/J17</f>
        <v>0.93944177131604478</v>
      </c>
      <c r="L17" s="1267">
        <f ca="1">Sensitivity!$F$7</f>
        <v>0</v>
      </c>
      <c r="M17" s="1505">
        <f t="shared" ca="1" si="6"/>
        <v>131.56749441410432</v>
      </c>
      <c r="N17" s="1505">
        <f t="shared" ca="1" si="0"/>
        <v>135.08021877952945</v>
      </c>
      <c r="O17" s="1505">
        <f t="shared" ca="1" si="1"/>
        <v>144.23459136821307</v>
      </c>
      <c r="P17" s="1505">
        <f t="shared" ca="1" si="2"/>
        <v>144.23459136821307</v>
      </c>
      <c r="Q17" s="1505">
        <f t="shared" ca="1" si="3"/>
        <v>131.56749441410432</v>
      </c>
      <c r="R17" s="1488" t="s">
        <v>2179</v>
      </c>
    </row>
    <row r="18" spans="2:18" s="1240" customFormat="1">
      <c r="B18" s="2516" t="s">
        <v>2296</v>
      </c>
      <c r="C18" s="1471" t="s">
        <v>159</v>
      </c>
      <c r="D18" s="1948">
        <v>91.3</v>
      </c>
      <c r="E18" s="1948">
        <v>94</v>
      </c>
      <c r="F18" s="1948">
        <v>101.9</v>
      </c>
      <c r="G18" s="1714">
        <f t="shared" si="4"/>
        <v>101.9</v>
      </c>
      <c r="H18" s="464">
        <v>2011</v>
      </c>
      <c r="I18" s="818">
        <f>HLOOKUP(Supplementary!$C$40,Supplementary!$C$44:$AF$46,3,FALSE)</f>
        <v>1</v>
      </c>
      <c r="J18" s="818">
        <f>HLOOKUP(H18,Supplementary!$C$44:$AF$46,3,FALSE)</f>
        <v>1.0644619289167017</v>
      </c>
      <c r="K18" s="1508">
        <f>I18/J18</f>
        <v>0.93944177131604478</v>
      </c>
      <c r="L18" s="1267">
        <f ca="1">Sensitivity!$F$7</f>
        <v>0</v>
      </c>
      <c r="M18" s="1505">
        <f t="shared" ca="1" si="6"/>
        <v>97.185374110094855</v>
      </c>
      <c r="N18" s="1505">
        <f t="shared" ca="1" si="0"/>
        <v>100.05942131816995</v>
      </c>
      <c r="O18" s="1505">
        <f t="shared" ca="1" si="1"/>
        <v>108.46867055661191</v>
      </c>
      <c r="P18" s="1505">
        <f t="shared" ca="1" si="2"/>
        <v>108.46867055661191</v>
      </c>
      <c r="Q18" s="1505">
        <f t="shared" ca="1" si="3"/>
        <v>97.185374110094855</v>
      </c>
      <c r="R18" s="1488" t="s">
        <v>2179</v>
      </c>
    </row>
    <row r="19" spans="2:18" s="1240" customFormat="1">
      <c r="B19" s="1487" t="s">
        <v>2176</v>
      </c>
      <c r="C19" s="1471" t="s">
        <v>159</v>
      </c>
      <c r="D19" s="1948">
        <v>29.6</v>
      </c>
      <c r="E19" s="1948">
        <v>29.6</v>
      </c>
      <c r="F19" s="1948">
        <v>29.6</v>
      </c>
      <c r="G19" s="1714">
        <f t="shared" si="4"/>
        <v>29.6</v>
      </c>
      <c r="H19" s="464">
        <v>2011</v>
      </c>
      <c r="I19" s="818">
        <f>HLOOKUP(Supplementary!$C$40,Supplementary!$C$44:$AF$46,3,FALSE)</f>
        <v>1</v>
      </c>
      <c r="J19" s="818">
        <f>HLOOKUP(H19,Supplementary!$C$44:$AF$46,3,FALSE)</f>
        <v>1.0644619289167017</v>
      </c>
      <c r="K19" s="1508">
        <f t="shared" ref="K19:K24" si="7">I19/J19</f>
        <v>0.93944177131604478</v>
      </c>
      <c r="L19" s="1959">
        <v>0</v>
      </c>
      <c r="M19" s="1505">
        <f t="shared" si="6"/>
        <v>31.508073095934371</v>
      </c>
      <c r="N19" s="1505">
        <f t="shared" si="0"/>
        <v>31.508073095934371</v>
      </c>
      <c r="O19" s="1505">
        <f t="shared" si="1"/>
        <v>31.508073095934371</v>
      </c>
      <c r="P19" s="1505">
        <f t="shared" si="2"/>
        <v>31.508073095934371</v>
      </c>
      <c r="Q19" s="820">
        <f t="shared" ca="1" si="3"/>
        <v>31.508073095934371</v>
      </c>
      <c r="R19" s="1488" t="s">
        <v>2182</v>
      </c>
    </row>
    <row r="20" spans="2:18" s="1240" customFormat="1">
      <c r="B20" s="1487" t="s">
        <v>2177</v>
      </c>
      <c r="C20" s="1471" t="s">
        <v>159</v>
      </c>
      <c r="D20" s="1948">
        <v>21.2</v>
      </c>
      <c r="E20" s="1948">
        <v>21.2</v>
      </c>
      <c r="F20" s="1948">
        <v>21.2</v>
      </c>
      <c r="G20" s="1714">
        <f t="shared" si="4"/>
        <v>21.2</v>
      </c>
      <c r="H20" s="464">
        <v>2011</v>
      </c>
      <c r="I20" s="818">
        <f>HLOOKUP(Supplementary!$C$40,Supplementary!$C$44:$AF$46,3,FALSE)</f>
        <v>1</v>
      </c>
      <c r="J20" s="818">
        <f>HLOOKUP(H20,Supplementary!$C$44:$AF$46,3,FALSE)</f>
        <v>1.0644619289167017</v>
      </c>
      <c r="K20" s="1508">
        <f t="shared" si="7"/>
        <v>0.93944177131604478</v>
      </c>
      <c r="L20" s="1959">
        <v>0</v>
      </c>
      <c r="M20" s="1505">
        <f t="shared" si="6"/>
        <v>22.566592893034073</v>
      </c>
      <c r="N20" s="1505">
        <f t="shared" si="0"/>
        <v>22.566592893034073</v>
      </c>
      <c r="O20" s="1505">
        <f t="shared" si="1"/>
        <v>22.566592893034073</v>
      </c>
      <c r="P20" s="1505">
        <f t="shared" si="2"/>
        <v>22.566592893034073</v>
      </c>
      <c r="Q20" s="820">
        <f t="shared" ca="1" si="3"/>
        <v>22.566592893034073</v>
      </c>
      <c r="R20" s="1488" t="s">
        <v>2182</v>
      </c>
    </row>
    <row r="21" spans="2:18" s="1240" customFormat="1">
      <c r="B21" s="1487" t="s">
        <v>2178</v>
      </c>
      <c r="C21" s="1471" t="s">
        <v>159</v>
      </c>
      <c r="D21" s="1948">
        <v>3.8</v>
      </c>
      <c r="E21" s="1948">
        <v>3.8</v>
      </c>
      <c r="F21" s="1948">
        <v>3.8</v>
      </c>
      <c r="G21" s="1714">
        <f t="shared" si="4"/>
        <v>3.8</v>
      </c>
      <c r="H21" s="464">
        <v>2011</v>
      </c>
      <c r="I21" s="818">
        <f>HLOOKUP(Supplementary!$C$40,Supplementary!$C$44:$AF$46,3,FALSE)</f>
        <v>1</v>
      </c>
      <c r="J21" s="818">
        <f>HLOOKUP(H21,Supplementary!$C$44:$AF$46,3,FALSE)</f>
        <v>1.0644619289167017</v>
      </c>
      <c r="K21" s="1508">
        <f t="shared" si="7"/>
        <v>0.93944177131604478</v>
      </c>
      <c r="L21" s="1959">
        <v>0</v>
      </c>
      <c r="M21" s="1505">
        <f t="shared" si="6"/>
        <v>4.0449553298834662</v>
      </c>
      <c r="N21" s="1505">
        <f t="shared" si="0"/>
        <v>4.0449553298834662</v>
      </c>
      <c r="O21" s="1505">
        <f t="shared" si="1"/>
        <v>4.0449553298834662</v>
      </c>
      <c r="P21" s="1505">
        <f t="shared" si="2"/>
        <v>4.0449553298834662</v>
      </c>
      <c r="Q21" s="820">
        <f t="shared" ca="1" si="3"/>
        <v>4.0449553298834662</v>
      </c>
      <c r="R21" s="1488" t="s">
        <v>2182</v>
      </c>
    </row>
    <row r="22" spans="2:18" s="1240" customFormat="1">
      <c r="B22" s="1487" t="s">
        <v>2195</v>
      </c>
      <c r="C22" s="1471" t="s">
        <v>159</v>
      </c>
      <c r="D22" s="1971">
        <f>(D11-D6)/3.6</f>
        <v>58.619118040669932</v>
      </c>
      <c r="E22" s="1971">
        <f>(E11-E6)/3.6</f>
        <v>51.577068493587205</v>
      </c>
      <c r="F22" s="1971">
        <f>(F11-F6)/3.6</f>
        <v>55.323148407381666</v>
      </c>
      <c r="G22" s="1714">
        <f>F22</f>
        <v>55.323148407381666</v>
      </c>
      <c r="H22" s="464">
        <v>2011</v>
      </c>
      <c r="I22" s="818">
        <f>HLOOKUP(Supplementary!$C$40,Supplementary!$C$44:$AF$46,3,FALSE)</f>
        <v>1</v>
      </c>
      <c r="J22" s="818">
        <f>HLOOKUP(H22,Supplementary!$C$44:$AF$46,3,FALSE)</f>
        <v>1.0644619289167017</v>
      </c>
      <c r="K22" s="1508">
        <f>I22/J22</f>
        <v>0.93944177131604478</v>
      </c>
      <c r="L22" s="1267">
        <f ca="1">Sensitivity!$H$7</f>
        <v>0</v>
      </c>
      <c r="M22" s="1505">
        <f t="shared" ca="1" si="6"/>
        <v>62.397819460967341</v>
      </c>
      <c r="N22" s="1505">
        <f t="shared" ca="1" si="0"/>
        <v>54.90182581655268</v>
      </c>
      <c r="O22" s="1505">
        <f t="shared" ca="1" si="1"/>
        <v>58.889385267466437</v>
      </c>
      <c r="P22" s="1505">
        <f t="shared" ca="1" si="2"/>
        <v>58.889385267466437</v>
      </c>
      <c r="Q22" s="1505">
        <f t="shared" ca="1" si="3"/>
        <v>62.397819460967341</v>
      </c>
      <c r="R22" s="1488" t="s">
        <v>2197</v>
      </c>
    </row>
    <row r="23" spans="2:18" s="1240" customFormat="1">
      <c r="B23" s="1487" t="s">
        <v>2196</v>
      </c>
      <c r="C23" s="1471" t="s">
        <v>159</v>
      </c>
      <c r="D23" s="1971">
        <f>(D7-D6)/3.6</f>
        <v>52.702948446471837</v>
      </c>
      <c r="E23" s="1971">
        <f>(E7-E6)/3.6</f>
        <v>45.660898899389174</v>
      </c>
      <c r="F23" s="1971">
        <f>(F7-F6)/3.6</f>
        <v>49.406978813183599</v>
      </c>
      <c r="G23" s="1714">
        <f>F23</f>
        <v>49.406978813183599</v>
      </c>
      <c r="H23" s="464">
        <v>2011</v>
      </c>
      <c r="I23" s="818">
        <f>HLOOKUP(Supplementary!$C$40,Supplementary!$C$44:$AF$46,3,FALSE)</f>
        <v>1</v>
      </c>
      <c r="J23" s="818">
        <f>HLOOKUP(H23,Supplementary!$C$44:$AF$46,3,FALSE)</f>
        <v>1.0644619289167017</v>
      </c>
      <c r="K23" s="1508">
        <f>I23/J23</f>
        <v>0.93944177131604478</v>
      </c>
      <c r="L23" s="1267">
        <f ca="1">Sensitivity!$H$7</f>
        <v>0</v>
      </c>
      <c r="M23" s="1505">
        <f t="shared" ca="1" si="6"/>
        <v>56.100282162928899</v>
      </c>
      <c r="N23" s="1505">
        <f t="shared" ca="1" si="0"/>
        <v>48.604288518514302</v>
      </c>
      <c r="O23" s="1505">
        <f t="shared" ca="1" si="1"/>
        <v>52.591847969428024</v>
      </c>
      <c r="P23" s="1505">
        <f t="shared" ca="1" si="2"/>
        <v>52.591847969428024</v>
      </c>
      <c r="Q23" s="1505">
        <f t="shared" ca="1" si="3"/>
        <v>56.100282162928899</v>
      </c>
      <c r="R23" s="1488" t="s">
        <v>2197</v>
      </c>
    </row>
    <row r="24" spans="2:18" s="1240" customFormat="1">
      <c r="B24" s="1487" t="s">
        <v>2190</v>
      </c>
      <c r="C24" s="1471" t="s">
        <v>159</v>
      </c>
      <c r="D24" s="1948">
        <v>6.7172797755918019</v>
      </c>
      <c r="E24" s="1948">
        <v>6.7172797755918019</v>
      </c>
      <c r="F24" s="1948">
        <v>6.7172797755918019</v>
      </c>
      <c r="G24" s="1714">
        <f t="shared" si="4"/>
        <v>6.7172797755918019</v>
      </c>
      <c r="H24" s="464">
        <v>2011</v>
      </c>
      <c r="I24" s="818">
        <f>HLOOKUP(Supplementary!$C$40,Supplementary!$C$44:$AF$46,3,FALSE)</f>
        <v>1</v>
      </c>
      <c r="J24" s="818">
        <f>HLOOKUP(H24,Supplementary!$C$44:$AF$46,3,FALSE)</f>
        <v>1.0644619289167017</v>
      </c>
      <c r="K24" s="1508">
        <f t="shared" si="7"/>
        <v>0.93944177131604478</v>
      </c>
      <c r="L24" s="1959">
        <v>0</v>
      </c>
      <c r="M24" s="1505">
        <f t="shared" si="6"/>
        <v>7.150288586999598</v>
      </c>
      <c r="N24" s="1505">
        <f t="shared" si="0"/>
        <v>7.150288586999598</v>
      </c>
      <c r="O24" s="1505">
        <f t="shared" si="1"/>
        <v>7.150288586999598</v>
      </c>
      <c r="P24" s="1505">
        <f t="shared" si="2"/>
        <v>7.150288586999598</v>
      </c>
      <c r="Q24" s="820">
        <f t="shared" ca="1" si="3"/>
        <v>7.150288586999598</v>
      </c>
      <c r="R24" s="1488" t="s">
        <v>2182</v>
      </c>
    </row>
    <row r="25" spans="2:18" s="1240" customFormat="1">
      <c r="B25" s="1487" t="s">
        <v>2191</v>
      </c>
      <c r="C25" s="1471" t="s">
        <v>159</v>
      </c>
      <c r="D25" s="1948">
        <v>24.571615051739542</v>
      </c>
      <c r="E25" s="1948">
        <v>24.571615051739542</v>
      </c>
      <c r="F25" s="1948">
        <v>24.571615051739542</v>
      </c>
      <c r="G25" s="1714">
        <f t="shared" si="4"/>
        <v>24.571615051739542</v>
      </c>
      <c r="H25" s="464">
        <v>2011</v>
      </c>
      <c r="I25" s="818">
        <f>HLOOKUP(Supplementary!$C$40,Supplementary!$C$44:$AF$46,3,FALSE)</f>
        <v>1</v>
      </c>
      <c r="J25" s="818">
        <f>HLOOKUP(H25,Supplementary!$C$44:$AF$46,3,FALSE)</f>
        <v>1.0644619289167017</v>
      </c>
      <c r="K25" s="1508">
        <f>I25/J25</f>
        <v>0.93944177131604478</v>
      </c>
      <c r="L25" s="1959">
        <v>0</v>
      </c>
      <c r="M25" s="1505">
        <f t="shared" si="6"/>
        <v>26.155548754573331</v>
      </c>
      <c r="N25" s="1505">
        <f t="shared" si="0"/>
        <v>26.155548754573331</v>
      </c>
      <c r="O25" s="1505">
        <f t="shared" si="1"/>
        <v>26.155548754573331</v>
      </c>
      <c r="P25" s="1505">
        <f t="shared" si="2"/>
        <v>26.155548754573331</v>
      </c>
      <c r="Q25" s="820">
        <f t="shared" ca="1" si="3"/>
        <v>26.155548754573331</v>
      </c>
      <c r="R25" s="1488" t="s">
        <v>2182</v>
      </c>
    </row>
    <row r="26" spans="2:18" s="1240" customFormat="1">
      <c r="B26" s="1487" t="s">
        <v>2536</v>
      </c>
      <c r="C26" s="1471" t="s">
        <v>159</v>
      </c>
      <c r="D26" s="1948">
        <f>D14*2.06</f>
        <v>116.184</v>
      </c>
      <c r="E26" s="1948">
        <f>E14*2.06</f>
        <v>121.3484460832663</v>
      </c>
      <c r="F26" s="1948">
        <f>F14*2.06</f>
        <v>141.18424976995405</v>
      </c>
      <c r="G26" s="1948">
        <f>G14*2.06</f>
        <v>141.18424976995405</v>
      </c>
      <c r="H26" s="464">
        <v>2011</v>
      </c>
      <c r="I26" s="818">
        <f>HLOOKUP(Supplementary!$C$40,Supplementary!$C$44:$AF$46,3,FALSE)</f>
        <v>1</v>
      </c>
      <c r="J26" s="818">
        <f>HLOOKUP(H14,Supplementary!$C$44:$AF$46,3,FALSE)</f>
        <v>1.0644619289167017</v>
      </c>
      <c r="K26" s="1508">
        <f t="shared" si="5"/>
        <v>0.93944177131604478</v>
      </c>
      <c r="L26" s="1267">
        <f ca="1">Sensitivity!$F$7</f>
        <v>0</v>
      </c>
      <c r="M26" s="1505">
        <f t="shared" ca="1" si="6"/>
        <v>123.67344474925807</v>
      </c>
      <c r="N26" s="1505">
        <f t="shared" ca="1" si="0"/>
        <v>129.17080098883801</v>
      </c>
      <c r="O26" s="1505">
        <f t="shared" ca="1" si="1"/>
        <v>150.28525884278267</v>
      </c>
      <c r="P26" s="1505">
        <f t="shared" ca="1" si="2"/>
        <v>150.28525884278267</v>
      </c>
      <c r="Q26" s="1505">
        <f ca="1">OFFSET($L26,0,chosenYear)</f>
        <v>123.67344474925807</v>
      </c>
      <c r="R26" s="1488" t="s">
        <v>2537</v>
      </c>
    </row>
    <row r="27" spans="2:18" ht="13.5" thickBot="1">
      <c r="B27" s="242" t="s">
        <v>1568</v>
      </c>
      <c r="C27" s="244" t="s">
        <v>159</v>
      </c>
      <c r="D27" s="1951">
        <v>66.970440615278733</v>
      </c>
      <c r="E27" s="1951">
        <v>66.183247594031229</v>
      </c>
      <c r="F27" s="1951">
        <v>73.265113818623703</v>
      </c>
      <c r="G27" s="1952">
        <f t="shared" si="4"/>
        <v>73.265113818623703</v>
      </c>
      <c r="H27" s="824">
        <v>2011</v>
      </c>
      <c r="I27" s="825">
        <f>HLOOKUP(Supplementary!$C$40,Supplementary!$C$44:$AF$46,3,FALSE)</f>
        <v>1</v>
      </c>
      <c r="J27" s="825">
        <f>HLOOKUP(H27,Supplementary!$C$44:$AF$46,3,FALSE)</f>
        <v>1.0644619289167017</v>
      </c>
      <c r="K27" s="336">
        <f>I27/J27</f>
        <v>0.93944177131604478</v>
      </c>
      <c r="L27" s="1268">
        <f ca="1">Sensitivity!$I$7</f>
        <v>0</v>
      </c>
      <c r="M27" s="1505">
        <f t="shared" ca="1" si="6"/>
        <v>71.287484397741025</v>
      </c>
      <c r="N27" s="1505">
        <f t="shared" ca="1" si="0"/>
        <v>70.449547395914138</v>
      </c>
      <c r="O27" s="1505">
        <f t="shared" ca="1" si="1"/>
        <v>77.987924377673878</v>
      </c>
      <c r="P27" s="1505">
        <f t="shared" ca="1" si="2"/>
        <v>77.987924377673878</v>
      </c>
      <c r="Q27" s="826">
        <f t="shared" ca="1" si="3"/>
        <v>71.287484397741025</v>
      </c>
      <c r="R27" s="240" t="s">
        <v>2183</v>
      </c>
    </row>
    <row r="28" spans="2:18" ht="13.5" thickBot="1">
      <c r="B28" s="88" t="s">
        <v>560</v>
      </c>
      <c r="C28" s="117"/>
      <c r="D28" s="117">
        <v>1</v>
      </c>
      <c r="E28" s="117"/>
      <c r="F28" s="117"/>
      <c r="G28" s="117"/>
      <c r="H28" s="117">
        <v>2005</v>
      </c>
      <c r="I28" s="1206">
        <f>HLOOKUP(Supplementary!$C$40,Supplementary!$C$44:$AF$46,3,FALSE)</f>
        <v>1</v>
      </c>
      <c r="J28" s="1206">
        <f>HLOOKUP(H28,Supplementary!$C$44:$AF$46,3,FALSE)</f>
        <v>1.2688684415921645</v>
      </c>
      <c r="K28" s="1207">
        <f t="shared" si="5"/>
        <v>0.7881037680669315</v>
      </c>
      <c r="L28" s="1207"/>
      <c r="M28" s="117"/>
      <c r="N28" s="117"/>
      <c r="O28" s="117"/>
      <c r="P28" s="117"/>
      <c r="Q28" s="117"/>
      <c r="R28" s="89" t="s">
        <v>980</v>
      </c>
    </row>
    <row r="29" spans="2:18">
      <c r="B29" s="523" t="s">
        <v>2661</v>
      </c>
    </row>
    <row r="30" spans="2:18">
      <c r="B30" s="1700" t="str">
        <f>"Source: "&amp;Referencer!$B$37</f>
        <v>Source: 31, Forudsætninger for samfundsøkonomiske analyser på energiområdet. Energistyrelsen. April 2011, opdateret dataark oktober 2012</v>
      </c>
    </row>
    <row r="45" spans="2:2">
      <c r="B45" s="1471"/>
    </row>
    <row r="46" spans="2:2">
      <c r="B46" s="1471"/>
    </row>
    <row r="47" spans="2:2">
      <c r="B47" s="1471"/>
    </row>
    <row r="48" spans="2:2">
      <c r="B48" s="1471"/>
    </row>
    <row r="49" spans="2:2">
      <c r="B49" s="1471"/>
    </row>
    <row r="50" spans="2:2">
      <c r="B50" s="1471"/>
    </row>
    <row r="51" spans="2:2">
      <c r="B51" s="1471"/>
    </row>
    <row r="52" spans="2:2">
      <c r="B52" s="147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8" tint="0.39997558519241921"/>
  </sheetPr>
  <dimension ref="A1:AI223"/>
  <sheetViews>
    <sheetView zoomScale="80" zoomScaleNormal="80" workbookViewId="0">
      <pane ySplit="1" topLeftCell="A2" activePane="bottomLeft" state="frozen"/>
      <selection activeCell="L45" sqref="L45"/>
      <selection pane="bottomLeft" activeCell="I89" sqref="I89"/>
    </sheetView>
  </sheetViews>
  <sheetFormatPr defaultRowHeight="11.25"/>
  <cols>
    <col min="1" max="1" width="2" style="664" customWidth="1"/>
    <col min="2" max="2" width="32.28515625" style="664" customWidth="1"/>
    <col min="3" max="3" width="16.28515625" style="667" customWidth="1"/>
    <col min="4" max="6" width="8.42578125" style="664" customWidth="1"/>
    <col min="7" max="7" width="8.5703125" style="664" customWidth="1"/>
    <col min="8" max="8" width="9.7109375" style="664" customWidth="1"/>
    <col min="9" max="10" width="8.42578125" style="664" customWidth="1"/>
    <col min="11" max="11" width="14.85546875" style="664" customWidth="1"/>
    <col min="12" max="12" width="13.85546875" style="664" customWidth="1"/>
    <col min="13" max="13" width="9.140625" style="664" customWidth="1"/>
    <col min="14" max="14" width="12.5703125" style="664" customWidth="1"/>
    <col min="15" max="15" width="9.140625" style="664" customWidth="1"/>
    <col min="16" max="19" width="8.42578125" style="664" customWidth="1"/>
    <col min="20" max="20" width="13.28515625" style="664" customWidth="1"/>
    <col min="21" max="22" width="8.42578125" style="664" customWidth="1"/>
    <col min="23" max="23" width="9.140625" style="664"/>
    <col min="24" max="24" width="9.5703125" style="664" customWidth="1"/>
    <col min="25" max="28" width="9.140625" style="664"/>
    <col min="29" max="29" width="11.140625" style="664" customWidth="1"/>
    <col min="30" max="30" width="11" style="664" bestFit="1" customWidth="1"/>
    <col min="31" max="16384" width="9.140625" style="664"/>
  </cols>
  <sheetData>
    <row r="1" spans="1:20" s="465" customFormat="1" ht="21">
      <c r="A1" s="465" t="s">
        <v>2207</v>
      </c>
      <c r="C1" s="466"/>
      <c r="P1" s="2397">
        <f ca="1">'Log2015'!M1</f>
        <v>-8.0112614142160741</v>
      </c>
      <c r="Q1" s="468">
        <f ca="1">'Log2015'!M1</f>
        <v>-8.0112614142160741</v>
      </c>
      <c r="R1" s="465">
        <f ca="1">'Log2015'!N1</f>
        <v>-160807.124977848</v>
      </c>
    </row>
    <row r="2" spans="1:20" ht="12" customHeight="1"/>
    <row r="3" spans="1:20" ht="12" customHeight="1"/>
    <row r="4" spans="1:20" ht="12" customHeight="1"/>
    <row r="5" spans="1:20" ht="12" customHeight="1"/>
    <row r="6" spans="1:20" ht="12" customHeight="1"/>
    <row r="7" spans="1:20" ht="12" customHeight="1">
      <c r="B7" s="1856" t="s">
        <v>892</v>
      </c>
    </row>
    <row r="8" spans="1:20" ht="89.25">
      <c r="B8" s="1754"/>
      <c r="C8" s="753"/>
      <c r="D8" s="2020" t="s">
        <v>719</v>
      </c>
      <c r="E8" s="2021" t="s">
        <v>720</v>
      </c>
      <c r="F8" s="2021"/>
      <c r="G8" s="2022" t="s">
        <v>721</v>
      </c>
      <c r="H8" s="2023" t="s">
        <v>738</v>
      </c>
      <c r="I8" s="2023" t="s">
        <v>722</v>
      </c>
      <c r="J8" s="2024" t="s">
        <v>737</v>
      </c>
      <c r="K8" s="2024" t="s">
        <v>740</v>
      </c>
      <c r="L8" s="2024" t="s">
        <v>739</v>
      </c>
      <c r="M8" s="2024" t="s">
        <v>741</v>
      </c>
      <c r="N8" s="2024" t="s">
        <v>801</v>
      </c>
      <c r="O8" s="2024" t="s">
        <v>889</v>
      </c>
      <c r="P8" s="2024" t="s">
        <v>2292</v>
      </c>
      <c r="Q8" s="2024" t="s">
        <v>890</v>
      </c>
    </row>
    <row r="9" spans="1:20" ht="12" customHeight="1">
      <c r="B9" s="1778" t="s">
        <v>487</v>
      </c>
      <c r="C9" s="774"/>
      <c r="D9" s="2025" t="s">
        <v>2431</v>
      </c>
      <c r="E9" s="493" t="s">
        <v>2432</v>
      </c>
      <c r="F9" s="493" t="s">
        <v>23</v>
      </c>
      <c r="G9" s="493" t="s">
        <v>2431</v>
      </c>
      <c r="H9" s="774" t="s">
        <v>723</v>
      </c>
      <c r="I9" s="2026" t="s">
        <v>29</v>
      </c>
      <c r="J9" s="2027" t="s">
        <v>74</v>
      </c>
      <c r="K9" s="2027" t="s">
        <v>74</v>
      </c>
      <c r="L9" s="2027" t="s">
        <v>74</v>
      </c>
      <c r="M9" s="2027"/>
      <c r="N9" s="2027" t="s">
        <v>74</v>
      </c>
      <c r="O9" s="2027" t="s">
        <v>74</v>
      </c>
      <c r="P9" s="2027" t="s">
        <v>29</v>
      </c>
      <c r="Q9" s="2027" t="s">
        <v>74</v>
      </c>
    </row>
    <row r="10" spans="1:20" ht="12" customHeight="1">
      <c r="B10" s="1754" t="s">
        <v>183</v>
      </c>
      <c r="C10" s="2028"/>
      <c r="D10" s="2029">
        <f>D28</f>
        <v>17</v>
      </c>
      <c r="E10" s="2030">
        <f ca="1">D127</f>
        <v>87.241828280407844</v>
      </c>
      <c r="F10" s="2030">
        <f ca="1">D127</f>
        <v>87.241828280407844</v>
      </c>
      <c r="G10" s="2031">
        <f>D66</f>
        <v>1.7981028189405632</v>
      </c>
      <c r="H10" s="2032"/>
      <c r="I10" s="2033">
        <f>D10/(D10+G10)</f>
        <v>0.90434658027676951</v>
      </c>
      <c r="J10" s="2034">
        <f>D84</f>
        <v>16.739999999999998</v>
      </c>
      <c r="K10" s="2035">
        <f t="shared" ref="K10:L13" si="0">D48</f>
        <v>5.2885377027663626E-5</v>
      </c>
      <c r="L10" s="2036">
        <f t="shared" si="0"/>
        <v>7.3796255104401826E-2</v>
      </c>
      <c r="M10" s="2037"/>
      <c r="N10" s="2038"/>
      <c r="O10" s="2034">
        <f>D102</f>
        <v>329.36371146761741</v>
      </c>
      <c r="P10" s="2139">
        <f ca="1">Sensitivity!$Q$7</f>
        <v>0</v>
      </c>
      <c r="Q10" s="2039">
        <f ca="1">J10+O10*(1+P10)</f>
        <v>346.10371146761742</v>
      </c>
    </row>
    <row r="11" spans="1:20" ht="12" customHeight="1">
      <c r="B11" s="1765" t="s">
        <v>2082</v>
      </c>
      <c r="C11" s="2040"/>
      <c r="D11" s="2041">
        <f>D29</f>
        <v>19</v>
      </c>
      <c r="E11" s="2041">
        <f ca="1">D128</f>
        <v>10.560966948186536</v>
      </c>
      <c r="F11" s="2041">
        <f ca="1">D128</f>
        <v>10.560966948186536</v>
      </c>
      <c r="G11" s="2042">
        <f>D67</f>
        <v>1.7981028189405632</v>
      </c>
      <c r="H11" s="2043"/>
      <c r="I11" s="2044">
        <f t="shared" ref="I11:I23" si="1">D11/(D11+G11)</f>
        <v>0.91354486346211083</v>
      </c>
      <c r="J11" s="2045">
        <f>D85</f>
        <v>9.26</v>
      </c>
      <c r="K11" s="2046">
        <f t="shared" si="0"/>
        <v>4.7318495235277981E-5</v>
      </c>
      <c r="L11" s="2047">
        <f t="shared" si="0"/>
        <v>6.60282282513069E-2</v>
      </c>
      <c r="M11" s="2048"/>
      <c r="N11" s="2049"/>
      <c r="O11" s="2045">
        <f>D103</f>
        <v>329.36371146761741</v>
      </c>
      <c r="P11" s="2140">
        <f ca="1">Sensitivity!$Q$7</f>
        <v>0</v>
      </c>
      <c r="Q11" s="2050">
        <f t="shared" ref="Q11:Q23" ca="1" si="2">J11+O11*(1+P11)</f>
        <v>338.6237114676174</v>
      </c>
    </row>
    <row r="12" spans="1:20" ht="12" customHeight="1">
      <c r="B12" s="1765" t="s">
        <v>186</v>
      </c>
      <c r="C12" s="2040"/>
      <c r="D12" s="2041">
        <f>D30</f>
        <v>14.5</v>
      </c>
      <c r="E12" s="2041">
        <f>D129</f>
        <v>40.902743399463397</v>
      </c>
      <c r="F12" s="2041">
        <f>D129</f>
        <v>40.902743399463397</v>
      </c>
      <c r="G12" s="2042">
        <f>D68</f>
        <v>0.57752813207538234</v>
      </c>
      <c r="H12" s="2051"/>
      <c r="I12" s="2044">
        <f t="shared" si="1"/>
        <v>0.96169609985029503</v>
      </c>
      <c r="J12" s="2045">
        <f>D86</f>
        <v>5.6381776698104922</v>
      </c>
      <c r="K12" s="2046">
        <f t="shared" si="0"/>
        <v>1.9914763175013182E-5</v>
      </c>
      <c r="L12" s="2047">
        <f t="shared" si="0"/>
        <v>2.77890605344134E-2</v>
      </c>
      <c r="M12" s="2048"/>
      <c r="N12" s="2049"/>
      <c r="O12" s="2045">
        <f>D104</f>
        <v>-4.0112379834181873</v>
      </c>
      <c r="P12" s="2140">
        <f ca="1">Sensitivity!$Q$7</f>
        <v>0</v>
      </c>
      <c r="Q12" s="2052">
        <f t="shared" ca="1" si="2"/>
        <v>1.6269396863923049</v>
      </c>
    </row>
    <row r="13" spans="1:20" ht="12" customHeight="1">
      <c r="B13" s="1765" t="s">
        <v>139</v>
      </c>
      <c r="C13" s="2040"/>
      <c r="D13" s="2041">
        <f>D31</f>
        <v>27</v>
      </c>
      <c r="E13" s="2041">
        <f>D130</f>
        <v>100.68148148148148</v>
      </c>
      <c r="F13" s="2041">
        <f>D130</f>
        <v>100.68148148148148</v>
      </c>
      <c r="G13" s="2042">
        <f>D69</f>
        <v>4.1425999999999998</v>
      </c>
      <c r="H13" s="2051"/>
      <c r="I13" s="2044">
        <f t="shared" si="1"/>
        <v>0.86697963561167013</v>
      </c>
      <c r="J13" s="2045">
        <f>D87</f>
        <v>28.96</v>
      </c>
      <c r="K13" s="2046">
        <f t="shared" si="0"/>
        <v>7.6714814814814807E-5</v>
      </c>
      <c r="L13" s="2047">
        <f t="shared" si="0"/>
        <v>0.10704785259259259</v>
      </c>
      <c r="M13" s="2048"/>
      <c r="N13" s="2049"/>
      <c r="O13" s="2045">
        <f>D105</f>
        <v>339.25777397504459</v>
      </c>
      <c r="P13" s="2140">
        <f ca="1">Sensitivity!$Q$7</f>
        <v>0</v>
      </c>
      <c r="Q13" s="2050">
        <f t="shared" ca="1" si="2"/>
        <v>368.21777397504457</v>
      </c>
    </row>
    <row r="14" spans="1:20" ht="12" customHeight="1">
      <c r="B14" s="1765" t="s">
        <v>5</v>
      </c>
      <c r="C14" s="2040"/>
      <c r="D14" s="2041">
        <f t="shared" ref="D14:D23" si="3">D33</f>
        <v>39.46</v>
      </c>
      <c r="E14" s="2041">
        <f>D132</f>
        <v>56.4</v>
      </c>
      <c r="F14" s="2041">
        <f t="shared" ref="F14:F23" si="4">D132</f>
        <v>56.4</v>
      </c>
      <c r="G14" s="2042">
        <f t="shared" ref="G14:G23" si="5">D71</f>
        <v>1.827</v>
      </c>
      <c r="H14" s="2051"/>
      <c r="I14" s="2044">
        <f t="shared" si="1"/>
        <v>0.95574878290987486</v>
      </c>
      <c r="J14" s="2045">
        <f t="shared" ref="J14:J23" si="6">D89</f>
        <v>5.56</v>
      </c>
      <c r="K14" s="2046">
        <f t="shared" ref="K14:K23" si="7">D53</f>
        <v>1.3890015205271157E-5</v>
      </c>
      <c r="L14" s="2047">
        <f t="shared" ref="L14:L23" si="8">E53</f>
        <v>2.5465027876330456E-3</v>
      </c>
      <c r="M14" s="2048"/>
      <c r="N14" s="2049"/>
      <c r="O14" s="2045">
        <f t="shared" ref="O14:O23" si="9">D107</f>
        <v>0</v>
      </c>
      <c r="P14" s="2140">
        <f ca="1">Sensitivity!$Q$7</f>
        <v>0</v>
      </c>
      <c r="Q14" s="2050">
        <f t="shared" ca="1" si="2"/>
        <v>5.56</v>
      </c>
      <c r="T14" s="2308">
        <f>G14/D14</f>
        <v>4.6300050684237197E-2</v>
      </c>
    </row>
    <row r="15" spans="1:20" ht="12" customHeight="1">
      <c r="B15" s="2053" t="s">
        <v>218</v>
      </c>
      <c r="C15" s="2040"/>
      <c r="D15" s="2041">
        <f t="shared" si="3"/>
        <v>17.417677642980937</v>
      </c>
      <c r="E15" s="2041">
        <f>D133</f>
        <v>48.120874587603993</v>
      </c>
      <c r="F15" s="2041">
        <f t="shared" si="4"/>
        <v>48.120874587603993</v>
      </c>
      <c r="G15" s="2042">
        <f t="shared" si="5"/>
        <v>0.66779999999999995</v>
      </c>
      <c r="H15" s="2051"/>
      <c r="I15" s="2044">
        <f t="shared" si="1"/>
        <v>0.96307534624283608</v>
      </c>
      <c r="J15" s="2045">
        <f t="shared" si="6"/>
        <v>5.4</v>
      </c>
      <c r="K15" s="2046">
        <f t="shared" si="7"/>
        <v>1.9170179104477608E-5</v>
      </c>
      <c r="L15" s="2047">
        <f t="shared" si="8"/>
        <v>2.6750067922388057E-2</v>
      </c>
      <c r="M15" s="2048"/>
      <c r="N15" s="2049"/>
      <c r="O15" s="2045">
        <f t="shared" si="9"/>
        <v>-16.641974602766481</v>
      </c>
      <c r="P15" s="2140">
        <f ca="1">Sensitivity!$Q$7</f>
        <v>0</v>
      </c>
      <c r="Q15" s="2050">
        <f t="shared" ca="1" si="2"/>
        <v>-11.241974602766481</v>
      </c>
    </row>
    <row r="16" spans="1:20" ht="12" customHeight="1">
      <c r="B16" s="1765" t="s">
        <v>219</v>
      </c>
      <c r="C16" s="2040"/>
      <c r="D16" s="2041">
        <f t="shared" si="3"/>
        <v>17.417677642980937</v>
      </c>
      <c r="E16" s="2041">
        <f>D134</f>
        <v>65.475944111002164</v>
      </c>
      <c r="F16" s="2041">
        <f t="shared" si="4"/>
        <v>65.475944111002164</v>
      </c>
      <c r="G16" s="2042">
        <f t="shared" si="5"/>
        <v>0.66779999999999995</v>
      </c>
      <c r="H16" s="2051"/>
      <c r="I16" s="2044">
        <f t="shared" si="1"/>
        <v>0.96307534624283608</v>
      </c>
      <c r="J16" s="2045">
        <f t="shared" si="6"/>
        <v>5.4</v>
      </c>
      <c r="K16" s="2046">
        <f t="shared" si="7"/>
        <v>1.9170179104477608E-5</v>
      </c>
      <c r="L16" s="2047">
        <f t="shared" si="8"/>
        <v>2.6750067922388057E-2</v>
      </c>
      <c r="M16" s="2048"/>
      <c r="N16" s="2049"/>
      <c r="O16" s="2045">
        <f t="shared" si="9"/>
        <v>-16.641974602766481</v>
      </c>
      <c r="P16" s="2140">
        <f ca="1">Sensitivity!$Q$7</f>
        <v>0</v>
      </c>
      <c r="Q16" s="2050">
        <f t="shared" ca="1" si="2"/>
        <v>-11.241974602766481</v>
      </c>
    </row>
    <row r="17" spans="2:17" ht="12" customHeight="1">
      <c r="B17" s="1765" t="s">
        <v>1466</v>
      </c>
      <c r="C17" s="2040"/>
      <c r="D17" s="2041">
        <f t="shared" si="3"/>
        <v>1</v>
      </c>
      <c r="E17" s="2041">
        <f ca="1">D135</f>
        <v>98.750902660004783</v>
      </c>
      <c r="F17" s="2041">
        <f t="shared" ca="1" si="4"/>
        <v>98.750902660004783</v>
      </c>
      <c r="G17" s="2042">
        <f t="shared" si="5"/>
        <v>5.372222222222222E-2</v>
      </c>
      <c r="H17" s="2051"/>
      <c r="I17" s="2044">
        <f t="shared" si="1"/>
        <v>0.94901671323878312</v>
      </c>
      <c r="J17" s="2045">
        <f t="shared" si="6"/>
        <v>0.26136510967038823</v>
      </c>
      <c r="K17" s="2046">
        <f t="shared" si="7"/>
        <v>2.6861111111111108E-5</v>
      </c>
      <c r="L17" s="2047">
        <f t="shared" si="8"/>
        <v>3.7481994444444444E-2</v>
      </c>
      <c r="M17" s="2048"/>
      <c r="N17" s="2054"/>
      <c r="O17" s="2045">
        <f t="shared" si="9"/>
        <v>0</v>
      </c>
      <c r="P17" s="2140">
        <f ca="1">Sensitivity!$Q$7</f>
        <v>0</v>
      </c>
      <c r="Q17" s="2050">
        <f t="shared" ca="1" si="2"/>
        <v>0.26136510967038823</v>
      </c>
    </row>
    <row r="18" spans="2:17" ht="12" customHeight="1">
      <c r="B18" s="1765" t="s">
        <v>918</v>
      </c>
      <c r="C18" s="2040"/>
      <c r="D18" s="2041">
        <f t="shared" si="3"/>
        <v>1</v>
      </c>
      <c r="E18" s="2041"/>
      <c r="F18" s="2041">
        <f t="shared" ca="1" si="4"/>
        <v>98.750902660004783</v>
      </c>
      <c r="G18" s="2042">
        <f t="shared" si="5"/>
        <v>5.372222222222222E-2</v>
      </c>
      <c r="H18" s="2051"/>
      <c r="I18" s="2044">
        <f t="shared" si="1"/>
        <v>0.94901671323878312</v>
      </c>
      <c r="J18" s="2045">
        <f t="shared" si="6"/>
        <v>0.26136510967038823</v>
      </c>
      <c r="K18" s="2046">
        <f t="shared" si="7"/>
        <v>2.6861111111111108E-5</v>
      </c>
      <c r="L18" s="2047">
        <f t="shared" si="8"/>
        <v>3.7481994444444444E-2</v>
      </c>
      <c r="M18" s="2048"/>
      <c r="N18" s="2054"/>
      <c r="O18" s="2045">
        <f t="shared" si="9"/>
        <v>0</v>
      </c>
      <c r="P18" s="2140">
        <f ca="1">Sensitivity!$Q$7</f>
        <v>0</v>
      </c>
      <c r="Q18" s="2050">
        <f t="shared" ca="1" si="2"/>
        <v>0.26136510967038823</v>
      </c>
    </row>
    <row r="19" spans="2:17" ht="12" customHeight="1">
      <c r="B19" s="1765" t="s">
        <v>191</v>
      </c>
      <c r="C19" s="2040"/>
      <c r="D19" s="2041">
        <f t="shared" si="3"/>
        <v>26.5</v>
      </c>
      <c r="E19" s="2041">
        <f>D137</f>
        <v>28.441450277315031</v>
      </c>
      <c r="F19" s="2041">
        <f t="shared" si="4"/>
        <v>28.441450277315031</v>
      </c>
      <c r="G19" s="2042">
        <f t="shared" si="5"/>
        <v>2.36</v>
      </c>
      <c r="H19" s="2051"/>
      <c r="I19" s="2044">
        <f t="shared" si="1"/>
        <v>0.91822591822591826</v>
      </c>
      <c r="J19" s="2045">
        <f t="shared" si="6"/>
        <v>15.32</v>
      </c>
      <c r="K19" s="2046">
        <f t="shared" si="7"/>
        <v>4.4528301886792451E-5</v>
      </c>
      <c r="L19" s="2047">
        <f t="shared" si="8"/>
        <v>6.2134792452830191E-2</v>
      </c>
      <c r="M19" s="2048"/>
      <c r="N19" s="2049"/>
      <c r="O19" s="2045">
        <f t="shared" si="9"/>
        <v>0</v>
      </c>
      <c r="P19" s="2140">
        <f ca="1">Sensitivity!$Q$7</f>
        <v>0</v>
      </c>
      <c r="Q19" s="2050">
        <f t="shared" ca="1" si="2"/>
        <v>15.32</v>
      </c>
    </row>
    <row r="20" spans="2:17" ht="12" customHeight="1">
      <c r="B20" s="1765" t="s">
        <v>192</v>
      </c>
      <c r="C20" s="2040"/>
      <c r="D20" s="2041">
        <f t="shared" si="3"/>
        <v>43</v>
      </c>
      <c r="E20" s="2041">
        <f ca="1">D138</f>
        <v>107.82999339926188</v>
      </c>
      <c r="F20" s="2041">
        <f t="shared" ca="1" si="4"/>
        <v>107.82999339926188</v>
      </c>
      <c r="G20" s="2042">
        <f t="shared" si="5"/>
        <v>2.96</v>
      </c>
      <c r="H20" s="2051"/>
      <c r="I20" s="2044">
        <f t="shared" si="1"/>
        <v>0.93559617058311573</v>
      </c>
      <c r="J20" s="2045">
        <f t="shared" si="6"/>
        <v>5.71</v>
      </c>
      <c r="K20" s="2046">
        <f t="shared" si="7"/>
        <v>3.4418604651162786E-5</v>
      </c>
      <c r="L20" s="2047">
        <f t="shared" si="8"/>
        <v>4.8027720930232561E-2</v>
      </c>
      <c r="M20" s="2048"/>
      <c r="N20" s="2049"/>
      <c r="O20" s="2045">
        <f t="shared" si="9"/>
        <v>0</v>
      </c>
      <c r="P20" s="2140">
        <f ca="1">Sensitivity!$Q$7</f>
        <v>0</v>
      </c>
      <c r="Q20" s="2050">
        <f t="shared" ca="1" si="2"/>
        <v>5.71</v>
      </c>
    </row>
    <row r="21" spans="2:17" ht="12" customHeight="1">
      <c r="B21" s="1765" t="s">
        <v>467</v>
      </c>
      <c r="C21" s="2040"/>
      <c r="D21" s="2041">
        <f t="shared" si="3"/>
        <v>0.648796555798688</v>
      </c>
      <c r="E21" s="2041">
        <f>D139</f>
        <v>44.312812303092279</v>
      </c>
      <c r="F21" s="2041">
        <f t="shared" si="4"/>
        <v>44.312812303092279</v>
      </c>
      <c r="G21" s="2042">
        <f t="shared" si="5"/>
        <v>2.8000000000000001E-2</v>
      </c>
      <c r="H21" s="2051"/>
      <c r="I21" s="2044">
        <f t="shared" si="1"/>
        <v>0.95862863107074003</v>
      </c>
      <c r="J21" s="2045">
        <f t="shared" si="6"/>
        <v>3.1936051162437287</v>
      </c>
      <c r="K21" s="2046">
        <f t="shared" si="7"/>
        <v>2.1578412947592763E-5</v>
      </c>
      <c r="L21" s="2047">
        <f t="shared" si="8"/>
        <v>3.0110517427070941E-2</v>
      </c>
      <c r="M21" s="2048"/>
      <c r="N21" s="2049"/>
      <c r="O21" s="2045">
        <f t="shared" si="9"/>
        <v>0</v>
      </c>
      <c r="P21" s="2140">
        <f ca="1">Sensitivity!$Q$7</f>
        <v>0</v>
      </c>
      <c r="Q21" s="2050">
        <f t="shared" ca="1" si="2"/>
        <v>3.1936051162437287</v>
      </c>
    </row>
    <row r="22" spans="2:17" ht="12" customHeight="1">
      <c r="B22" s="1765" t="s">
        <v>541</v>
      </c>
      <c r="C22" s="2040"/>
      <c r="D22" s="2041">
        <f t="shared" si="3"/>
        <v>26.8</v>
      </c>
      <c r="E22" s="2041">
        <f>D140</f>
        <v>207.572264818147</v>
      </c>
      <c r="F22" s="2041">
        <f t="shared" si="4"/>
        <v>207.572264818147</v>
      </c>
      <c r="G22" s="2042">
        <f t="shared" si="5"/>
        <v>4.7699999999999996</v>
      </c>
      <c r="H22" s="2051"/>
      <c r="I22" s="2044">
        <f t="shared" si="1"/>
        <v>0.84890719037060502</v>
      </c>
      <c r="J22" s="2045">
        <f t="shared" si="6"/>
        <v>24.16</v>
      </c>
      <c r="K22" s="2046">
        <f t="shared" si="7"/>
        <v>5.3395522388059696E-5</v>
      </c>
      <c r="L22" s="2047">
        <f t="shared" si="8"/>
        <v>9.7891791044776109E-3</v>
      </c>
      <c r="M22" s="2048"/>
      <c r="N22" s="2054"/>
      <c r="O22" s="2045">
        <f t="shared" si="9"/>
        <v>71</v>
      </c>
      <c r="P22" s="2140">
        <f ca="1">Sensitivity!$Q$7</f>
        <v>0</v>
      </c>
      <c r="Q22" s="2050">
        <f t="shared" ca="1" si="2"/>
        <v>95.16</v>
      </c>
    </row>
    <row r="23" spans="2:17" ht="12" customHeight="1">
      <c r="B23" s="1778" t="s">
        <v>545</v>
      </c>
      <c r="C23" s="2055"/>
      <c r="D23" s="2056">
        <f t="shared" si="3"/>
        <v>37.200000000000003</v>
      </c>
      <c r="E23" s="2056">
        <f>D141</f>
        <v>162.94977794280206</v>
      </c>
      <c r="F23" s="2056">
        <f t="shared" si="4"/>
        <v>162.94977794280206</v>
      </c>
      <c r="G23" s="2057">
        <f t="shared" si="5"/>
        <v>11.14</v>
      </c>
      <c r="H23" s="2058"/>
      <c r="I23" s="2059">
        <f t="shared" si="1"/>
        <v>0.76954902772031442</v>
      </c>
      <c r="J23" s="2060">
        <f t="shared" si="6"/>
        <v>67.930000000000007</v>
      </c>
      <c r="K23" s="2061">
        <f t="shared" si="7"/>
        <v>1.4973118279569891E-4</v>
      </c>
      <c r="L23" s="2062">
        <f t="shared" si="8"/>
        <v>0.20893489247311828</v>
      </c>
      <c r="M23" s="2063"/>
      <c r="N23" s="2064"/>
      <c r="O23" s="2060">
        <f t="shared" si="9"/>
        <v>160</v>
      </c>
      <c r="P23" s="2141">
        <f ca="1">Sensitivity!$Q$7</f>
        <v>0</v>
      </c>
      <c r="Q23" s="2065">
        <f t="shared" ca="1" si="2"/>
        <v>227.93</v>
      </c>
    </row>
    <row r="24" spans="2:17" ht="12" customHeight="1"/>
    <row r="25" spans="2:17" ht="12" customHeight="1"/>
    <row r="26" spans="2:17" ht="12" customHeight="1">
      <c r="B26" s="1856" t="s">
        <v>2160</v>
      </c>
    </row>
    <row r="27" spans="2:17" s="469" customFormat="1" ht="12" customHeight="1">
      <c r="B27" s="1989" t="s">
        <v>2212</v>
      </c>
      <c r="C27" s="1989" t="s">
        <v>2217</v>
      </c>
      <c r="D27" s="1989" t="s">
        <v>2216</v>
      </c>
      <c r="E27" s="1989"/>
      <c r="F27" s="1989"/>
      <c r="G27" s="1989"/>
      <c r="H27" s="1989" t="s">
        <v>146</v>
      </c>
      <c r="I27" s="1989" t="s">
        <v>2205</v>
      </c>
    </row>
    <row r="28" spans="2:17" s="469" customFormat="1" ht="12" customHeight="1">
      <c r="B28" s="509" t="s">
        <v>183</v>
      </c>
      <c r="C28" s="509" t="s">
        <v>321</v>
      </c>
      <c r="D28" s="2300">
        <v>17</v>
      </c>
      <c r="E28" s="1992"/>
      <c r="F28" s="1992"/>
      <c r="G28" s="1992"/>
      <c r="H28" s="509" t="s">
        <v>529</v>
      </c>
      <c r="I28" s="2066" t="str">
        <f>+Referencer!$B$11</f>
        <v>5, Concawe (2011): Well-to-wheels analysis of future automotive fuels and power-trains in the European Context. November 2011.</v>
      </c>
    </row>
    <row r="29" spans="2:17" s="469" customFormat="1" ht="12" customHeight="1">
      <c r="B29" s="509" t="s">
        <v>2082</v>
      </c>
      <c r="C29" s="509" t="s">
        <v>321</v>
      </c>
      <c r="D29" s="2300">
        <v>19</v>
      </c>
      <c r="E29" s="1992"/>
      <c r="F29" s="1992"/>
      <c r="G29" s="1992"/>
      <c r="H29" s="509"/>
      <c r="I29" s="2007" t="str">
        <f>Referencer!$B$48</f>
        <v>42, FORCE, Danish Energy Agency, 2013, Technology data for advanced bioenergy fuels.</v>
      </c>
    </row>
    <row r="30" spans="2:17" s="469" customFormat="1" ht="12" customHeight="1">
      <c r="B30" s="509" t="s">
        <v>186</v>
      </c>
      <c r="C30" s="509" t="s">
        <v>321</v>
      </c>
      <c r="D30" s="2301">
        <v>14.5</v>
      </c>
      <c r="E30" s="1996"/>
      <c r="F30" s="1996"/>
      <c r="G30" s="1996"/>
      <c r="H30" s="509" t="s">
        <v>2215</v>
      </c>
      <c r="I30" s="2066" t="str">
        <f>+Referencer!$B$7</f>
        <v>1, Forudsætninger for samfundsøkonomiske analyser på energiområdet. Energistyrelsen. April 2011.</v>
      </c>
    </row>
    <row r="31" spans="2:17" s="469" customFormat="1" ht="12" customHeight="1">
      <c r="B31" s="509" t="s">
        <v>139</v>
      </c>
      <c r="C31" s="509" t="s">
        <v>321</v>
      </c>
      <c r="D31" s="2300">
        <v>27</v>
      </c>
      <c r="E31" s="1992"/>
      <c r="F31" s="1992"/>
      <c r="G31" s="1992"/>
      <c r="H31" s="509"/>
      <c r="I31" s="2005" t="str">
        <f>+Referencer!$B$19</f>
        <v>13, http://www.biofuelsb2b.com/useful_info.php?page=Typic</v>
      </c>
    </row>
    <row r="32" spans="2:17" s="469" customFormat="1" ht="12" customHeight="1">
      <c r="B32" s="509" t="s">
        <v>2400</v>
      </c>
      <c r="C32" s="509" t="s">
        <v>321</v>
      </c>
      <c r="D32" s="2298">
        <v>18.399999999999999</v>
      </c>
      <c r="E32" s="2297"/>
      <c r="F32" s="2297"/>
      <c r="G32" s="2297"/>
      <c r="H32" s="476"/>
      <c r="I32" s="2066" t="s">
        <v>2444</v>
      </c>
    </row>
    <row r="33" spans="2:12" s="469" customFormat="1" ht="12" customHeight="1">
      <c r="B33" s="509" t="s">
        <v>5</v>
      </c>
      <c r="C33" s="509" t="s">
        <v>2219</v>
      </c>
      <c r="D33" s="2302">
        <f>Supplementary!$G$169</f>
        <v>39.46</v>
      </c>
      <c r="E33" s="1995"/>
      <c r="F33" s="1995"/>
      <c r="G33" s="1995"/>
      <c r="H33" s="477" t="s">
        <v>531</v>
      </c>
      <c r="I33" s="2067" t="str">
        <f>Referencer!$B$7</f>
        <v>1, Forudsætninger for samfundsøkonomiske analyser på energiområdet. Energistyrelsen. April 2011.</v>
      </c>
    </row>
    <row r="34" spans="2:12" s="469" customFormat="1" ht="12" customHeight="1">
      <c r="B34" s="509" t="s">
        <v>218</v>
      </c>
      <c r="C34" s="509" t="s">
        <v>321</v>
      </c>
      <c r="D34" s="2300">
        <v>17.417677642980937</v>
      </c>
      <c r="E34" s="1992"/>
      <c r="F34" s="1992"/>
      <c r="G34" s="1992"/>
      <c r="H34" s="509" t="s">
        <v>2214</v>
      </c>
      <c r="I34" s="2005" t="str">
        <f>+Referencer!$B$7</f>
        <v>1, Forudsætninger for samfundsøkonomiske analyser på energiområdet. Energistyrelsen. April 2011.</v>
      </c>
    </row>
    <row r="35" spans="2:12" s="469" customFormat="1" ht="12" customHeight="1">
      <c r="B35" s="509" t="s">
        <v>219</v>
      </c>
      <c r="C35" s="509" t="s">
        <v>321</v>
      </c>
      <c r="D35" s="2068">
        <f>D34</f>
        <v>17.417677642980937</v>
      </c>
      <c r="E35" s="1992"/>
      <c r="F35" s="1992"/>
      <c r="G35" s="1992"/>
      <c r="H35" s="509" t="s">
        <v>2279</v>
      </c>
      <c r="I35" s="1990"/>
    </row>
    <row r="36" spans="2:12" s="469" customFormat="1" ht="12" customHeight="1">
      <c r="B36" s="509" t="s">
        <v>1466</v>
      </c>
      <c r="C36" s="509" t="s">
        <v>334</v>
      </c>
      <c r="D36" s="1993">
        <v>1</v>
      </c>
      <c r="E36" s="1992"/>
      <c r="F36" s="1992"/>
      <c r="G36" s="1992"/>
      <c r="H36" s="509"/>
      <c r="I36" s="509" t="s">
        <v>2244</v>
      </c>
    </row>
    <row r="37" spans="2:12" s="469" customFormat="1" ht="12" customHeight="1">
      <c r="B37" s="509" t="s">
        <v>918</v>
      </c>
      <c r="C37" s="509" t="s">
        <v>334</v>
      </c>
      <c r="D37" s="1993">
        <v>1</v>
      </c>
      <c r="E37" s="1992"/>
      <c r="F37" s="1992"/>
      <c r="G37" s="1992"/>
      <c r="H37" s="509"/>
      <c r="I37" s="509" t="s">
        <v>2244</v>
      </c>
    </row>
    <row r="38" spans="2:12" s="469" customFormat="1" ht="12" customHeight="1">
      <c r="B38" s="509" t="s">
        <v>191</v>
      </c>
      <c r="C38" s="509" t="s">
        <v>321</v>
      </c>
      <c r="D38" s="2300">
        <v>26.5</v>
      </c>
      <c r="E38" s="1992"/>
      <c r="F38" s="1992"/>
      <c r="G38" s="1992"/>
      <c r="H38" s="509"/>
      <c r="I38" s="2005" t="str">
        <f>+Referencer!$B$11</f>
        <v>5, Concawe (2011): Well-to-wheels analysis of future automotive fuels and power-trains in the European Context. November 2011.</v>
      </c>
    </row>
    <row r="39" spans="2:12" s="469" customFormat="1" ht="12" customHeight="1">
      <c r="B39" s="509" t="s">
        <v>192</v>
      </c>
      <c r="C39" s="509" t="s">
        <v>321</v>
      </c>
      <c r="D39" s="2301">
        <v>43</v>
      </c>
      <c r="E39" s="1994"/>
      <c r="F39" s="1994"/>
      <c r="G39" s="1994"/>
      <c r="H39" s="509" t="s">
        <v>620</v>
      </c>
      <c r="I39" s="2007" t="str">
        <f>Referencer!$B$7</f>
        <v>1, Forudsætninger for samfundsøkonomiske analyser på energiområdet. Energistyrelsen. April 2011.</v>
      </c>
    </row>
    <row r="40" spans="2:12" s="469" customFormat="1" ht="12" customHeight="1">
      <c r="B40" s="509" t="s">
        <v>467</v>
      </c>
      <c r="C40" s="509" t="s">
        <v>321</v>
      </c>
      <c r="D40" s="2300">
        <v>0.648796555798688</v>
      </c>
      <c r="E40" s="1992"/>
      <c r="F40" s="1992"/>
      <c r="G40" s="1992"/>
      <c r="H40" s="509"/>
      <c r="I40" s="2066" t="str">
        <f>+Referencer!$B$21</f>
        <v>15, Energistyrelsen. Biogasanlæg business case: Model 1000 m3/dag med salg af gas til decentral KV-værk og halmprocesvarme. Rev. 2009.05.25</v>
      </c>
    </row>
    <row r="41" spans="2:12" s="469" customFormat="1" ht="12" customHeight="1">
      <c r="B41" s="509" t="s">
        <v>541</v>
      </c>
      <c r="C41" s="509" t="s">
        <v>321</v>
      </c>
      <c r="D41" s="2303">
        <f>Supplementary!$D$161</f>
        <v>26.8</v>
      </c>
      <c r="E41" s="1991"/>
      <c r="F41" s="1991"/>
      <c r="G41" s="1991"/>
      <c r="H41" s="509" t="s">
        <v>546</v>
      </c>
      <c r="I41" s="2067" t="str">
        <f>+Referencer!$B$11</f>
        <v>5, Concawe (2011): Well-to-wheels analysis of future automotive fuels and power-trains in the European Context. November 2011.</v>
      </c>
    </row>
    <row r="42" spans="2:12" s="469" customFormat="1" ht="12" customHeight="1">
      <c r="B42" s="509" t="s">
        <v>545</v>
      </c>
      <c r="C42" s="509" t="s">
        <v>321</v>
      </c>
      <c r="D42" s="2299">
        <f>Supplementary!$D$167</f>
        <v>37.200000000000003</v>
      </c>
      <c r="E42" s="1991"/>
      <c r="F42" s="1991"/>
      <c r="G42" s="1991"/>
      <c r="H42" s="509"/>
      <c r="I42" s="509"/>
    </row>
    <row r="43" spans="2:12" s="469" customFormat="1" ht="12" customHeight="1">
      <c r="B43" s="509" t="s">
        <v>1018</v>
      </c>
      <c r="C43" s="509" t="s">
        <v>321</v>
      </c>
      <c r="D43" s="2300">
        <v>18</v>
      </c>
      <c r="E43" s="1991"/>
      <c r="F43" s="1991"/>
      <c r="G43" s="1991"/>
      <c r="H43" s="509"/>
      <c r="I43" s="509" t="s">
        <v>2422</v>
      </c>
    </row>
    <row r="44" spans="2:12" s="469" customFormat="1" ht="12" customHeight="1"/>
    <row r="45" spans="2:12" s="469" customFormat="1" ht="12" customHeight="1"/>
    <row r="46" spans="2:12" s="469" customFormat="1" ht="12" customHeight="1">
      <c r="B46" s="2069" t="s">
        <v>2228</v>
      </c>
      <c r="H46" s="2069" t="s">
        <v>2232</v>
      </c>
    </row>
    <row r="47" spans="2:12" s="469" customFormat="1" ht="12" customHeight="1">
      <c r="B47" s="1989" t="s">
        <v>2212</v>
      </c>
      <c r="C47" s="1989" t="s">
        <v>2217</v>
      </c>
      <c r="D47" s="2013" t="s">
        <v>885</v>
      </c>
      <c r="E47" s="2013" t="s">
        <v>25</v>
      </c>
      <c r="F47" s="2013" t="s">
        <v>2170</v>
      </c>
      <c r="H47" s="509"/>
      <c r="I47" s="2070" t="s">
        <v>743</v>
      </c>
      <c r="J47" s="2071" t="s">
        <v>744</v>
      </c>
    </row>
    <row r="48" spans="2:12" s="469" customFormat="1" ht="12" customHeight="1">
      <c r="B48" s="509" t="s">
        <v>183</v>
      </c>
      <c r="C48" s="509" t="s">
        <v>74</v>
      </c>
      <c r="D48" s="2072">
        <f>D66/$D28*VLOOKUP($F48,$H$48:$I$50,2,0)/1000</f>
        <v>5.2885377027663626E-5</v>
      </c>
      <c r="E48" s="2004">
        <f>E66/$D28*VLOOKUP($F48,$H$48:$J$50,3,0)/1000</f>
        <v>7.3796255104401826E-2</v>
      </c>
      <c r="F48" s="1999" t="s">
        <v>742</v>
      </c>
      <c r="H48" s="2014" t="s">
        <v>742</v>
      </c>
      <c r="I48" s="2073">
        <f>Supplementary!$H$82</f>
        <v>0.5</v>
      </c>
      <c r="J48" s="2034">
        <f>Supplementary!$I$82</f>
        <v>697.7</v>
      </c>
      <c r="L48" s="621"/>
    </row>
    <row r="49" spans="2:12" s="469" customFormat="1" ht="12" customHeight="1">
      <c r="B49" s="509" t="s">
        <v>2082</v>
      </c>
      <c r="C49" s="509" t="s">
        <v>74</v>
      </c>
      <c r="D49" s="2072">
        <f>D67/$D29*VLOOKUP($F49,$H$48:$I$50,2,0)/1000</f>
        <v>4.7318495235277981E-5</v>
      </c>
      <c r="E49" s="2004">
        <f>E67/$D29*VLOOKUP($F49,$H$48:$J$50,3,0)/1000</f>
        <v>6.60282282513069E-2</v>
      </c>
      <c r="F49" s="1999" t="s">
        <v>742</v>
      </c>
      <c r="H49" s="2015" t="s">
        <v>5</v>
      </c>
      <c r="I49" s="2074">
        <f>Supplementary!$H$76</f>
        <v>0.3</v>
      </c>
      <c r="J49" s="2045">
        <f>Supplementary!$I$67</f>
        <v>55</v>
      </c>
      <c r="L49" s="621"/>
    </row>
    <row r="50" spans="2:12" s="469" customFormat="1" ht="12" customHeight="1">
      <c r="B50" s="509" t="s">
        <v>186</v>
      </c>
      <c r="C50" s="509" t="s">
        <v>74</v>
      </c>
      <c r="D50" s="2072">
        <f>D68/$D30*VLOOKUP($F50,$H$48:$I$50,2,0)/1000</f>
        <v>1.9914763175013182E-5</v>
      </c>
      <c r="E50" s="2004">
        <f>E68/$D30*VLOOKUP($F50,$H$48:$J$50,3,0)/1000</f>
        <v>2.77890605344134E-2</v>
      </c>
      <c r="F50" s="1999" t="s">
        <v>742</v>
      </c>
      <c r="H50" s="1997" t="s">
        <v>532</v>
      </c>
      <c r="I50" s="2075">
        <f>Supplementary!$H$82</f>
        <v>0.5</v>
      </c>
      <c r="J50" s="2060">
        <f>Supplementary!$I$82</f>
        <v>697.7</v>
      </c>
      <c r="L50" s="621"/>
    </row>
    <row r="51" spans="2:12" s="469" customFormat="1" ht="12" customHeight="1">
      <c r="B51" s="509" t="s">
        <v>139</v>
      </c>
      <c r="C51" s="509" t="s">
        <v>74</v>
      </c>
      <c r="D51" s="2072">
        <f>D69/$D31*VLOOKUP($F51,$H$48:$I$50,2,0)/1000</f>
        <v>7.6714814814814807E-5</v>
      </c>
      <c r="E51" s="2004">
        <f>E69/$D31*VLOOKUP($F51,$H$48:$J$50,3,0)/1000</f>
        <v>0.10704785259259259</v>
      </c>
      <c r="F51" s="1999" t="s">
        <v>742</v>
      </c>
      <c r="L51" s="621"/>
    </row>
    <row r="52" spans="2:12" s="469" customFormat="1" ht="12" customHeight="1">
      <c r="B52" s="509" t="s">
        <v>2400</v>
      </c>
      <c r="C52" s="509" t="s">
        <v>74</v>
      </c>
      <c r="D52" s="2072"/>
      <c r="E52" s="2004"/>
      <c r="F52" s="1999"/>
      <c r="L52" s="621"/>
    </row>
    <row r="53" spans="2:12" s="469" customFormat="1" ht="12" customHeight="1">
      <c r="B53" s="509" t="s">
        <v>5</v>
      </c>
      <c r="C53" s="509" t="s">
        <v>74</v>
      </c>
      <c r="D53" s="2072">
        <f t="shared" ref="D53:D62" si="10">D71/$D33*VLOOKUP($F53,$H$48:$I$50,2,0)/1000</f>
        <v>1.3890015205271157E-5</v>
      </c>
      <c r="E53" s="2004">
        <f t="shared" ref="E53:E62" si="11">E71/$D33*VLOOKUP($F53,$H$48:$J$50,3,0)/1000</f>
        <v>2.5465027876330456E-3</v>
      </c>
      <c r="F53" s="1999" t="s">
        <v>5</v>
      </c>
      <c r="L53" s="621"/>
    </row>
    <row r="54" spans="2:12" s="469" customFormat="1" ht="12" customHeight="1">
      <c r="B54" s="509" t="s">
        <v>218</v>
      </c>
      <c r="C54" s="509" t="s">
        <v>74</v>
      </c>
      <c r="D54" s="2072">
        <f t="shared" si="10"/>
        <v>1.9170179104477608E-5</v>
      </c>
      <c r="E54" s="2004">
        <f t="shared" si="11"/>
        <v>2.6750067922388057E-2</v>
      </c>
      <c r="F54" s="1999" t="s">
        <v>742</v>
      </c>
      <c r="L54" s="621"/>
    </row>
    <row r="55" spans="2:12" s="469" customFormat="1" ht="12" customHeight="1">
      <c r="B55" s="509" t="s">
        <v>219</v>
      </c>
      <c r="C55" s="509" t="s">
        <v>74</v>
      </c>
      <c r="D55" s="2072">
        <f t="shared" si="10"/>
        <v>1.9170179104477608E-5</v>
      </c>
      <c r="E55" s="2004">
        <f t="shared" si="11"/>
        <v>2.6750067922388057E-2</v>
      </c>
      <c r="F55" s="1999" t="s">
        <v>742</v>
      </c>
      <c r="L55" s="621"/>
    </row>
    <row r="56" spans="2:12" s="469" customFormat="1" ht="12" customHeight="1">
      <c r="B56" s="509" t="s">
        <v>1466</v>
      </c>
      <c r="C56" s="509" t="s">
        <v>74</v>
      </c>
      <c r="D56" s="2072">
        <f t="shared" si="10"/>
        <v>2.6861111111111108E-5</v>
      </c>
      <c r="E56" s="2004">
        <f t="shared" si="11"/>
        <v>3.7481994444444444E-2</v>
      </c>
      <c r="F56" s="1999" t="s">
        <v>742</v>
      </c>
      <c r="L56" s="621"/>
    </row>
    <row r="57" spans="2:12" s="469" customFormat="1" ht="12" customHeight="1">
      <c r="B57" s="509" t="s">
        <v>918</v>
      </c>
      <c r="C57" s="509" t="s">
        <v>74</v>
      </c>
      <c r="D57" s="2072">
        <f t="shared" si="10"/>
        <v>2.6861111111111108E-5</v>
      </c>
      <c r="E57" s="2004">
        <f t="shared" si="11"/>
        <v>3.7481994444444444E-2</v>
      </c>
      <c r="F57" s="1999" t="s">
        <v>742</v>
      </c>
      <c r="L57" s="621"/>
    </row>
    <row r="58" spans="2:12" s="469" customFormat="1" ht="12" customHeight="1">
      <c r="B58" s="509" t="s">
        <v>191</v>
      </c>
      <c r="C58" s="509" t="s">
        <v>74</v>
      </c>
      <c r="D58" s="2072">
        <f t="shared" si="10"/>
        <v>4.4528301886792451E-5</v>
      </c>
      <c r="E58" s="2004">
        <f t="shared" si="11"/>
        <v>6.2134792452830191E-2</v>
      </c>
      <c r="F58" s="1999" t="s">
        <v>742</v>
      </c>
      <c r="L58" s="621"/>
    </row>
    <row r="59" spans="2:12" s="469" customFormat="1" ht="12" customHeight="1">
      <c r="B59" s="509" t="s">
        <v>192</v>
      </c>
      <c r="C59" s="509" t="s">
        <v>74</v>
      </c>
      <c r="D59" s="2072">
        <f t="shared" si="10"/>
        <v>3.4418604651162786E-5</v>
      </c>
      <c r="E59" s="2004">
        <f t="shared" si="11"/>
        <v>4.8027720930232561E-2</v>
      </c>
      <c r="F59" s="1999" t="s">
        <v>532</v>
      </c>
      <c r="L59" s="621"/>
    </row>
    <row r="60" spans="2:12" s="469" customFormat="1" ht="12" customHeight="1">
      <c r="B60" s="509" t="s">
        <v>467</v>
      </c>
      <c r="C60" s="509" t="s">
        <v>74</v>
      </c>
      <c r="D60" s="2072">
        <f t="shared" si="10"/>
        <v>2.1578412947592763E-5</v>
      </c>
      <c r="E60" s="2004">
        <f t="shared" si="11"/>
        <v>3.0110517427070941E-2</v>
      </c>
      <c r="F60" s="1999" t="s">
        <v>742</v>
      </c>
      <c r="L60" s="621"/>
    </row>
    <row r="61" spans="2:12" s="469" customFormat="1" ht="12" customHeight="1">
      <c r="B61" s="509" t="s">
        <v>541</v>
      </c>
      <c r="C61" s="509" t="s">
        <v>74</v>
      </c>
      <c r="D61" s="2072">
        <f t="shared" si="10"/>
        <v>5.3395522388059696E-5</v>
      </c>
      <c r="E61" s="2004">
        <f t="shared" si="11"/>
        <v>9.7891791044776109E-3</v>
      </c>
      <c r="F61" s="1999" t="s">
        <v>5</v>
      </c>
      <c r="L61" s="621"/>
    </row>
    <row r="62" spans="2:12" s="469" customFormat="1" ht="12" customHeight="1">
      <c r="B62" s="509" t="s">
        <v>545</v>
      </c>
      <c r="C62" s="509" t="s">
        <v>74</v>
      </c>
      <c r="D62" s="2072">
        <f t="shared" si="10"/>
        <v>1.4973118279569891E-4</v>
      </c>
      <c r="E62" s="2004">
        <f t="shared" si="11"/>
        <v>0.20893489247311828</v>
      </c>
      <c r="F62" s="1999" t="s">
        <v>742</v>
      </c>
      <c r="L62" s="621"/>
    </row>
    <row r="63" spans="2:12" s="469" customFormat="1" ht="12" customHeight="1"/>
    <row r="64" spans="2:12" s="469" customFormat="1" ht="12" customHeight="1">
      <c r="B64" s="2069" t="s">
        <v>2218</v>
      </c>
    </row>
    <row r="65" spans="2:10" s="469" customFormat="1" ht="12" customHeight="1">
      <c r="B65" s="1989" t="s">
        <v>2212</v>
      </c>
      <c r="C65" s="1989" t="s">
        <v>2217</v>
      </c>
      <c r="D65" s="1989" t="s">
        <v>1707</v>
      </c>
      <c r="E65" s="1989">
        <v>2012</v>
      </c>
      <c r="F65" s="1989">
        <v>2020</v>
      </c>
      <c r="G65" s="1989">
        <v>2035</v>
      </c>
      <c r="H65" s="1989">
        <v>2050</v>
      </c>
      <c r="I65" s="1989" t="s">
        <v>146</v>
      </c>
      <c r="J65" s="1989" t="s">
        <v>2205</v>
      </c>
    </row>
    <row r="66" spans="2:10" s="469" customFormat="1" ht="12" customHeight="1">
      <c r="B66" s="509" t="s">
        <v>183</v>
      </c>
      <c r="C66" s="509" t="s">
        <v>321</v>
      </c>
      <c r="D66" s="2004">
        <f t="shared" ref="D66:D80" si="12">CHOOSE(chosenYear,E66,F66,G66,H66)</f>
        <v>1.7981028189405632</v>
      </c>
      <c r="E66" s="1999">
        <v>1.7981028189405632</v>
      </c>
      <c r="F66" s="1999">
        <v>1.7981028189405632</v>
      </c>
      <c r="G66" s="1999">
        <v>1.7981028189405632</v>
      </c>
      <c r="H66" s="1999">
        <v>1.7981028189405632</v>
      </c>
      <c r="I66" s="509"/>
      <c r="J66" s="2005" t="str">
        <f>+Referencer!$B$11</f>
        <v>5, Concawe (2011): Well-to-wheels analysis of future automotive fuels and power-trains in the European Context. November 2011.</v>
      </c>
    </row>
    <row r="67" spans="2:10" s="469" customFormat="1" ht="12" customHeight="1">
      <c r="B67" s="509" t="s">
        <v>2082</v>
      </c>
      <c r="C67" s="509" t="s">
        <v>321</v>
      </c>
      <c r="D67" s="2004">
        <f t="shared" si="12"/>
        <v>1.7981028189405632</v>
      </c>
      <c r="E67" s="2076">
        <v>1.7981028189405632</v>
      </c>
      <c r="F67" s="2076">
        <v>1.7981028189405632</v>
      </c>
      <c r="G67" s="2076">
        <v>1.7981028189405632</v>
      </c>
      <c r="H67" s="2076">
        <v>1.7981028189405632</v>
      </c>
      <c r="I67" s="2077" t="s">
        <v>2231</v>
      </c>
      <c r="J67" s="2078" t="s">
        <v>2230</v>
      </c>
    </row>
    <row r="68" spans="2:10" s="469" customFormat="1" ht="12" customHeight="1">
      <c r="B68" s="509" t="s">
        <v>186</v>
      </c>
      <c r="C68" s="509" t="s">
        <v>321</v>
      </c>
      <c r="D68" s="2004">
        <f t="shared" si="12"/>
        <v>0.57752813207538234</v>
      </c>
      <c r="E68" s="1999">
        <v>0.57752813207538234</v>
      </c>
      <c r="F68" s="1999">
        <v>0.57752813207538234</v>
      </c>
      <c r="G68" s="1999">
        <v>0.57752813207538234</v>
      </c>
      <c r="H68" s="1999">
        <v>0.57752813207538234</v>
      </c>
      <c r="I68" s="509" t="s">
        <v>529</v>
      </c>
      <c r="J68" s="2005" t="str">
        <f>+Referencer!$B$11</f>
        <v>5, Concawe (2011): Well-to-wheels analysis of future automotive fuels and power-trains in the European Context. November 2011.</v>
      </c>
    </row>
    <row r="69" spans="2:10" s="469" customFormat="1" ht="12" customHeight="1">
      <c r="B69" s="509" t="s">
        <v>139</v>
      </c>
      <c r="C69" s="509" t="s">
        <v>321</v>
      </c>
      <c r="D69" s="2004">
        <f t="shared" si="12"/>
        <v>4.1425999999999998</v>
      </c>
      <c r="E69" s="2000">
        <v>4.1425999999999998</v>
      </c>
      <c r="F69" s="2000">
        <v>4.1425999999999998</v>
      </c>
      <c r="G69" s="2000">
        <v>4.1425999999999998</v>
      </c>
      <c r="H69" s="2000">
        <v>4.1425999999999998</v>
      </c>
      <c r="I69" s="509"/>
      <c r="J69" s="2005" t="str">
        <f>+Referencer!$B$11</f>
        <v>5, Concawe (2011): Well-to-wheels analysis of future automotive fuels and power-trains in the European Context. November 2011.</v>
      </c>
    </row>
    <row r="70" spans="2:10" s="469" customFormat="1" ht="12" customHeight="1">
      <c r="B70" s="509" t="s">
        <v>2400</v>
      </c>
      <c r="C70" s="509"/>
      <c r="D70" s="2004"/>
      <c r="E70" s="2000"/>
      <c r="F70" s="2000"/>
      <c r="G70" s="2000"/>
      <c r="H70" s="2000"/>
      <c r="I70" s="509"/>
      <c r="J70" s="2005"/>
    </row>
    <row r="71" spans="2:10" s="469" customFormat="1" ht="12" customHeight="1">
      <c r="B71" s="509" t="s">
        <v>5</v>
      </c>
      <c r="C71" s="509" t="s">
        <v>2219</v>
      </c>
      <c r="D71" s="2004">
        <f t="shared" si="12"/>
        <v>1.827</v>
      </c>
      <c r="E71" s="1999">
        <v>1.827</v>
      </c>
      <c r="F71" s="1999">
        <v>1.827</v>
      </c>
      <c r="G71" s="1999">
        <v>4.6289999999999996</v>
      </c>
      <c r="H71" s="1999">
        <v>4.6289999999999996</v>
      </c>
      <c r="I71" s="509" t="s">
        <v>2662</v>
      </c>
      <c r="J71" s="2005" t="str">
        <f>+Referencer!$B$11</f>
        <v>5, Concawe (2011): Well-to-wheels analysis of future automotive fuels and power-trains in the European Context. November 2011.</v>
      </c>
    </row>
    <row r="72" spans="2:10" s="469" customFormat="1" ht="12" customHeight="1">
      <c r="B72" s="509" t="s">
        <v>218</v>
      </c>
      <c r="C72" s="509" t="s">
        <v>321</v>
      </c>
      <c r="D72" s="2004">
        <f t="shared" si="12"/>
        <v>0.66779999999999995</v>
      </c>
      <c r="E72" s="2000">
        <v>0.66779999999999995</v>
      </c>
      <c r="F72" s="2000">
        <v>0.66779999999999995</v>
      </c>
      <c r="G72" s="2000">
        <v>0.66779999999999995</v>
      </c>
      <c r="H72" s="2000">
        <v>0.66779999999999995</v>
      </c>
      <c r="I72" s="509" t="s">
        <v>528</v>
      </c>
      <c r="J72" s="2005" t="str">
        <f>+Referencer!$B$11</f>
        <v>5, Concawe (2011): Well-to-wheels analysis of future automotive fuels and power-trains in the European Context. November 2011.</v>
      </c>
    </row>
    <row r="73" spans="2:10" s="469" customFormat="1" ht="12" customHeight="1">
      <c r="B73" s="509" t="s">
        <v>219</v>
      </c>
      <c r="C73" s="509" t="s">
        <v>321</v>
      </c>
      <c r="D73" s="2004">
        <f t="shared" si="12"/>
        <v>0.66779999999999995</v>
      </c>
      <c r="E73" s="2079">
        <f>E72</f>
        <v>0.66779999999999995</v>
      </c>
      <c r="F73" s="2079">
        <f>F72</f>
        <v>0.66779999999999995</v>
      </c>
      <c r="G73" s="2079">
        <f>G72</f>
        <v>0.66779999999999995</v>
      </c>
      <c r="H73" s="2079">
        <f>H72</f>
        <v>0.66779999999999995</v>
      </c>
      <c r="I73" s="2080" t="s">
        <v>2220</v>
      </c>
      <c r="J73" s="2001"/>
    </row>
    <row r="74" spans="2:10" s="469" customFormat="1" ht="12" customHeight="1">
      <c r="B74" s="509" t="s">
        <v>1466</v>
      </c>
      <c r="C74" s="509" t="s">
        <v>334</v>
      </c>
      <c r="D74" s="2004">
        <f t="shared" si="12"/>
        <v>5.372222222222222E-2</v>
      </c>
      <c r="E74" s="1999">
        <f>0.1934/3.6</f>
        <v>5.372222222222222E-2</v>
      </c>
      <c r="F74" s="1999">
        <v>5.372222222222222E-2</v>
      </c>
      <c r="G74" s="1999">
        <v>5.372222222222222E-2</v>
      </c>
      <c r="H74" s="1999">
        <v>5.372222222222222E-2</v>
      </c>
      <c r="I74" s="2081"/>
      <c r="J74" s="2007" t="str">
        <f>CONCATENATE(Referencer!$B$22)</f>
        <v>16, Energistyrelsen. Energistatistik 2011.</v>
      </c>
    </row>
    <row r="75" spans="2:10" s="469" customFormat="1" ht="12" customHeight="1">
      <c r="B75" s="509" t="s">
        <v>918</v>
      </c>
      <c r="C75" s="509" t="s">
        <v>334</v>
      </c>
      <c r="D75" s="2004">
        <f t="shared" si="12"/>
        <v>5.372222222222222E-2</v>
      </c>
      <c r="E75" s="1999">
        <f>0.1934/3.6</f>
        <v>5.372222222222222E-2</v>
      </c>
      <c r="F75" s="1999">
        <v>5.372222222222222E-2</v>
      </c>
      <c r="G75" s="1999">
        <v>5.372222222222222E-2</v>
      </c>
      <c r="H75" s="1999">
        <v>5.372222222222222E-2</v>
      </c>
      <c r="I75" s="2081"/>
      <c r="J75" s="2007" t="str">
        <f>CONCATENATE(Referencer!$B$22)</f>
        <v>16, Energistyrelsen. Energistatistik 2011.</v>
      </c>
    </row>
    <row r="76" spans="2:10" s="469" customFormat="1" ht="12" customHeight="1">
      <c r="B76" s="509" t="s">
        <v>191</v>
      </c>
      <c r="C76" s="509" t="s">
        <v>321</v>
      </c>
      <c r="D76" s="2004">
        <f t="shared" si="12"/>
        <v>2.36</v>
      </c>
      <c r="E76" s="2000">
        <v>2.36</v>
      </c>
      <c r="F76" s="2000">
        <v>2.36</v>
      </c>
      <c r="G76" s="2000">
        <v>2.36</v>
      </c>
      <c r="H76" s="2000">
        <v>2.36</v>
      </c>
      <c r="I76" s="509"/>
      <c r="J76" s="2007" t="str">
        <f>CONCATENATE(Referencer!$B$20)</f>
        <v>14, Concawe (2006): Well-to-wheels analysis of future automotive fuels and power-trains in the European Context. May 2006.</v>
      </c>
    </row>
    <row r="77" spans="2:10" s="469" customFormat="1" ht="12" customHeight="1">
      <c r="B77" s="509" t="s">
        <v>192</v>
      </c>
      <c r="C77" s="509" t="s">
        <v>321</v>
      </c>
      <c r="D77" s="2004">
        <f t="shared" si="12"/>
        <v>2.96</v>
      </c>
      <c r="E77" s="2000">
        <v>2.96</v>
      </c>
      <c r="F77" s="2000">
        <v>2.96</v>
      </c>
      <c r="G77" s="2000">
        <v>2.96</v>
      </c>
      <c r="H77" s="2000">
        <v>2.96</v>
      </c>
      <c r="I77" s="509" t="s">
        <v>533</v>
      </c>
      <c r="J77" s="2005" t="str">
        <f>+Referencer!$B$11</f>
        <v>5, Concawe (2011): Well-to-wheels analysis of future automotive fuels and power-trains in the European Context. November 2011.</v>
      </c>
    </row>
    <row r="78" spans="2:10" s="469" customFormat="1" ht="12" customHeight="1">
      <c r="B78" s="509" t="s">
        <v>467</v>
      </c>
      <c r="C78" s="509" t="s">
        <v>321</v>
      </c>
      <c r="D78" s="2004">
        <f t="shared" si="12"/>
        <v>2.8000000000000001E-2</v>
      </c>
      <c r="E78" s="2000">
        <v>2.8000000000000001E-2</v>
      </c>
      <c r="F78" s="2000">
        <v>2.8000000000000001E-2</v>
      </c>
      <c r="G78" s="2000">
        <v>2.8000000000000001E-2</v>
      </c>
      <c r="H78" s="2000">
        <v>2.8000000000000001E-2</v>
      </c>
      <c r="I78" s="509"/>
      <c r="J78" s="2005" t="str">
        <f>+Referencer!$B$21</f>
        <v>15, Energistyrelsen. Biogasanlæg business case: Model 1000 m3/dag med salg af gas til decentral KV-værk og halmprocesvarme. Rev. 2009.05.25</v>
      </c>
    </row>
    <row r="79" spans="2:10" s="469" customFormat="1" ht="12" customHeight="1">
      <c r="B79" s="509" t="s">
        <v>541</v>
      </c>
      <c r="C79" s="509" t="s">
        <v>321</v>
      </c>
      <c r="D79" s="2004">
        <f t="shared" si="12"/>
        <v>4.7699999999999996</v>
      </c>
      <c r="E79" s="1999">
        <v>4.7699999999999996</v>
      </c>
      <c r="F79" s="1999">
        <v>4.7699999999999996</v>
      </c>
      <c r="G79" s="1999">
        <v>4.7699999999999996</v>
      </c>
      <c r="H79" s="1999">
        <v>4.7699999999999996</v>
      </c>
      <c r="I79" s="509" t="s">
        <v>543</v>
      </c>
      <c r="J79" s="2007" t="str">
        <f>+Referencer!$B$11</f>
        <v>5, Concawe (2011): Well-to-wheels analysis of future automotive fuels and power-trains in the European Context. November 2011.</v>
      </c>
    </row>
    <row r="80" spans="2:10" s="469" customFormat="1" ht="12" customHeight="1">
      <c r="B80" s="509" t="s">
        <v>545</v>
      </c>
      <c r="C80" s="509" t="s">
        <v>321</v>
      </c>
      <c r="D80" s="2004">
        <f t="shared" si="12"/>
        <v>11.14</v>
      </c>
      <c r="E80" s="1999">
        <v>11.14</v>
      </c>
      <c r="F80" s="1999">
        <v>11.14</v>
      </c>
      <c r="G80" s="1999">
        <v>11.14</v>
      </c>
      <c r="H80" s="1999">
        <v>11.14</v>
      </c>
      <c r="I80" s="509" t="s">
        <v>547</v>
      </c>
      <c r="J80" s="2007" t="str">
        <f>+Referencer!$B$11</f>
        <v>5, Concawe (2011): Well-to-wheels analysis of future automotive fuels and power-trains in the European Context. November 2011.</v>
      </c>
    </row>
    <row r="81" spans="2:22" s="469" customFormat="1" ht="12" customHeight="1"/>
    <row r="82" spans="2:22" s="469" customFormat="1" ht="12" customHeight="1">
      <c r="B82" s="2069" t="s">
        <v>2229</v>
      </c>
    </row>
    <row r="83" spans="2:22" s="469" customFormat="1" ht="12" customHeight="1">
      <c r="B83" s="1989" t="s">
        <v>2212</v>
      </c>
      <c r="C83" s="1989" t="s">
        <v>2217</v>
      </c>
      <c r="D83" s="1989" t="s">
        <v>1707</v>
      </c>
      <c r="E83" s="1989">
        <v>2012</v>
      </c>
      <c r="F83" s="1989">
        <v>2020</v>
      </c>
      <c r="G83" s="1989">
        <v>2035</v>
      </c>
      <c r="H83" s="1989">
        <v>2050</v>
      </c>
      <c r="I83" s="1989" t="s">
        <v>146</v>
      </c>
      <c r="J83" s="1989" t="s">
        <v>2205</v>
      </c>
    </row>
    <row r="84" spans="2:22" s="469" customFormat="1" ht="12" customHeight="1">
      <c r="B84" s="509" t="s">
        <v>183</v>
      </c>
      <c r="C84" s="509" t="s">
        <v>74</v>
      </c>
      <c r="D84" s="2004">
        <f t="shared" ref="D84:D98" si="13">CHOOSE(chosenYear,E84,F84,G84,H84)</f>
        <v>16.739999999999998</v>
      </c>
      <c r="E84" s="1998">
        <v>16.739999999999998</v>
      </c>
      <c r="F84" s="1998">
        <v>16.739999999999998</v>
      </c>
      <c r="G84" s="1998">
        <v>16.739999999999998</v>
      </c>
      <c r="H84" s="1998">
        <v>16.739999999999998</v>
      </c>
      <c r="I84" s="509" t="s">
        <v>529</v>
      </c>
      <c r="J84" s="2005" t="str">
        <f>+Referencer!$B$11</f>
        <v>5, Concawe (2011): Well-to-wheels analysis of future automotive fuels and power-trains in the European Context. November 2011.</v>
      </c>
      <c r="V84" s="2017"/>
    </row>
    <row r="85" spans="2:22" s="469" customFormat="1" ht="12" customHeight="1">
      <c r="B85" s="509" t="s">
        <v>2082</v>
      </c>
      <c r="C85" s="509" t="s">
        <v>74</v>
      </c>
      <c r="D85" s="2004">
        <f t="shared" si="13"/>
        <v>9.26</v>
      </c>
      <c r="E85" s="2016">
        <v>9.26</v>
      </c>
      <c r="F85" s="2016">
        <v>9.26</v>
      </c>
      <c r="G85" s="2016">
        <v>9.26</v>
      </c>
      <c r="H85" s="2016">
        <v>9.26</v>
      </c>
      <c r="I85" s="2077"/>
      <c r="J85" s="2005" t="str">
        <f>+Referencer!$B$11</f>
        <v>5, Concawe (2011): Well-to-wheels analysis of future automotive fuels and power-trains in the European Context. November 2011.</v>
      </c>
      <c r="V85" s="2017"/>
    </row>
    <row r="86" spans="2:22" s="469" customFormat="1" ht="12" customHeight="1">
      <c r="B86" s="509" t="s">
        <v>186</v>
      </c>
      <c r="C86" s="509" t="s">
        <v>74</v>
      </c>
      <c r="D86" s="2004">
        <f t="shared" si="13"/>
        <v>5.6381776698104922</v>
      </c>
      <c r="E86" s="1999">
        <v>5.6381776698104922</v>
      </c>
      <c r="F86" s="1999">
        <v>5.6381776698104922</v>
      </c>
      <c r="G86" s="1999">
        <v>5.6381776698104922</v>
      </c>
      <c r="H86" s="1999">
        <v>5.6381776698104922</v>
      </c>
      <c r="I86" s="509" t="s">
        <v>529</v>
      </c>
      <c r="J86" s="2005" t="str">
        <f>+Referencer!$B$11</f>
        <v>5, Concawe (2011): Well-to-wheels analysis of future automotive fuels and power-trains in the European Context. November 2011.</v>
      </c>
      <c r="V86" s="2017"/>
    </row>
    <row r="87" spans="2:22" s="469" customFormat="1" ht="12" customHeight="1">
      <c r="B87" s="509" t="s">
        <v>139</v>
      </c>
      <c r="C87" s="509" t="s">
        <v>74</v>
      </c>
      <c r="D87" s="2004">
        <f t="shared" si="13"/>
        <v>28.96</v>
      </c>
      <c r="E87" s="2000">
        <v>28.96</v>
      </c>
      <c r="F87" s="2000">
        <v>28.96</v>
      </c>
      <c r="G87" s="2000">
        <v>28.96</v>
      </c>
      <c r="H87" s="2000">
        <v>28.96</v>
      </c>
      <c r="I87" s="509" t="s">
        <v>528</v>
      </c>
      <c r="J87" s="2005" t="str">
        <f>+Referencer!$B$11</f>
        <v>5, Concawe (2011): Well-to-wheels analysis of future automotive fuels and power-trains in the European Context. November 2011.</v>
      </c>
      <c r="V87" s="2017"/>
    </row>
    <row r="88" spans="2:22" s="469" customFormat="1" ht="12" customHeight="1">
      <c r="B88" s="509" t="s">
        <v>2400</v>
      </c>
      <c r="C88" s="509"/>
      <c r="D88" s="2004"/>
      <c r="E88" s="2000"/>
      <c r="F88" s="2000"/>
      <c r="G88" s="2000"/>
      <c r="H88" s="2000"/>
      <c r="I88" s="509"/>
      <c r="J88" s="2005"/>
      <c r="V88" s="2017"/>
    </row>
    <row r="89" spans="2:22" s="469" customFormat="1" ht="12" customHeight="1">
      <c r="B89" s="509" t="s">
        <v>5</v>
      </c>
      <c r="C89" s="509" t="s">
        <v>74</v>
      </c>
      <c r="D89" s="2004">
        <f t="shared" si="13"/>
        <v>5.56</v>
      </c>
      <c r="E89" s="2000">
        <v>5.56</v>
      </c>
      <c r="F89" s="2000">
        <v>5.56</v>
      </c>
      <c r="G89" s="2000">
        <v>11.23</v>
      </c>
      <c r="H89" s="2000">
        <v>11.23</v>
      </c>
      <c r="I89" s="509" t="s">
        <v>2663</v>
      </c>
      <c r="J89" s="2005" t="str">
        <f>+Referencer!$B$11</f>
        <v>5, Concawe (2011): Well-to-wheels analysis of future automotive fuels and power-trains in the European Context. November 2011.</v>
      </c>
      <c r="V89" s="2017"/>
    </row>
    <row r="90" spans="2:22" s="469" customFormat="1" ht="12" customHeight="1">
      <c r="B90" s="509" t="s">
        <v>218</v>
      </c>
      <c r="C90" s="509" t="s">
        <v>74</v>
      </c>
      <c r="D90" s="2004">
        <f t="shared" si="13"/>
        <v>5.4</v>
      </c>
      <c r="E90" s="2000">
        <v>5.4</v>
      </c>
      <c r="F90" s="2000">
        <v>5.4</v>
      </c>
      <c r="G90" s="2000">
        <v>5.4</v>
      </c>
      <c r="H90" s="2000">
        <v>5.4</v>
      </c>
      <c r="I90" s="509" t="s">
        <v>528</v>
      </c>
      <c r="J90" s="2005" t="str">
        <f>+Referencer!$B$11</f>
        <v>5, Concawe (2011): Well-to-wheels analysis of future automotive fuels and power-trains in the European Context. November 2011.</v>
      </c>
      <c r="V90" s="2017"/>
    </row>
    <row r="91" spans="2:22" s="469" customFormat="1" ht="12" customHeight="1">
      <c r="B91" s="509" t="s">
        <v>219</v>
      </c>
      <c r="C91" s="509" t="s">
        <v>74</v>
      </c>
      <c r="D91" s="2004">
        <f t="shared" si="13"/>
        <v>5.4</v>
      </c>
      <c r="E91" s="2079">
        <f>E90</f>
        <v>5.4</v>
      </c>
      <c r="F91" s="2079">
        <f>F90</f>
        <v>5.4</v>
      </c>
      <c r="G91" s="2079">
        <f>G90</f>
        <v>5.4</v>
      </c>
      <c r="H91" s="2079">
        <f>H90</f>
        <v>5.4</v>
      </c>
      <c r="I91" s="2080" t="s">
        <v>2270</v>
      </c>
      <c r="J91" s="2001"/>
      <c r="V91" s="2017"/>
    </row>
    <row r="92" spans="2:22" s="469" customFormat="1" ht="12" customHeight="1">
      <c r="B92" s="509" t="s">
        <v>1466</v>
      </c>
      <c r="C92" s="509" t="s">
        <v>74</v>
      </c>
      <c r="D92" s="2004">
        <f t="shared" si="13"/>
        <v>0.26136510967038823</v>
      </c>
      <c r="E92" s="2004">
        <f>E74*ProcessEnergy!$I$89</f>
        <v>0.26136510967038823</v>
      </c>
      <c r="F92" s="2004">
        <f>F74*ProcessEnergy!$I$90</f>
        <v>0.22859298823232319</v>
      </c>
      <c r="G92" s="2004">
        <f>G74*ProcessEnergy!$I$91</f>
        <v>0.22859298823232319</v>
      </c>
      <c r="H92" s="2004">
        <f>H74*ProcessEnergy!$I$92</f>
        <v>0</v>
      </c>
      <c r="I92" s="2081" t="s">
        <v>2271</v>
      </c>
      <c r="J92" s="2007" t="str">
        <f>CONCATENATE(Referencer!$B$22)</f>
        <v>16, Energistyrelsen. Energistatistik 2011.</v>
      </c>
      <c r="V92" s="2017"/>
    </row>
    <row r="93" spans="2:22" s="469" customFormat="1" ht="12" customHeight="1">
      <c r="B93" s="509" t="s">
        <v>918</v>
      </c>
      <c r="C93" s="509" t="s">
        <v>74</v>
      </c>
      <c r="D93" s="2004">
        <f t="shared" si="13"/>
        <v>0.26136510967038823</v>
      </c>
      <c r="E93" s="2004">
        <f>E75*ProcessEnergy!$I$89</f>
        <v>0.26136510967038823</v>
      </c>
      <c r="F93" s="2004">
        <f>F75*ProcessEnergy!$I$90</f>
        <v>0.22859298823232319</v>
      </c>
      <c r="G93" s="2004">
        <f>G75*ProcessEnergy!$I$91</f>
        <v>0.22859298823232319</v>
      </c>
      <c r="H93" s="2004">
        <f>H75*ProcessEnergy!$I$92</f>
        <v>0</v>
      </c>
      <c r="I93" s="2081" t="s">
        <v>2271</v>
      </c>
      <c r="J93" s="2007" t="str">
        <f>CONCATENATE(Referencer!$B$22)</f>
        <v>16, Energistyrelsen. Energistatistik 2011.</v>
      </c>
      <c r="V93" s="2017"/>
    </row>
    <row r="94" spans="2:22" s="469" customFormat="1" ht="12" customHeight="1">
      <c r="B94" s="509" t="s">
        <v>191</v>
      </c>
      <c r="C94" s="509" t="s">
        <v>74</v>
      </c>
      <c r="D94" s="2004">
        <f t="shared" si="13"/>
        <v>15.32</v>
      </c>
      <c r="E94" s="2000">
        <v>15.32</v>
      </c>
      <c r="F94" s="2000">
        <v>15.32</v>
      </c>
      <c r="G94" s="2000">
        <v>15.32</v>
      </c>
      <c r="H94" s="2000">
        <v>15.32</v>
      </c>
      <c r="I94" s="509"/>
      <c r="J94" s="2007" t="str">
        <f>CONCATENATE(Referencer!$B$20)</f>
        <v>14, Concawe (2006): Well-to-wheels analysis of future automotive fuels and power-trains in the European Context. May 2006.</v>
      </c>
      <c r="V94" s="2017"/>
    </row>
    <row r="95" spans="2:22" s="469" customFormat="1" ht="12" customHeight="1">
      <c r="B95" s="509" t="s">
        <v>192</v>
      </c>
      <c r="C95" s="509" t="s">
        <v>74</v>
      </c>
      <c r="D95" s="2004">
        <f t="shared" si="13"/>
        <v>5.71</v>
      </c>
      <c r="E95" s="2000">
        <v>5.71</v>
      </c>
      <c r="F95" s="2000">
        <v>5.71</v>
      </c>
      <c r="G95" s="2000">
        <v>5.71</v>
      </c>
      <c r="H95" s="2000">
        <v>5.71</v>
      </c>
      <c r="I95" s="509" t="s">
        <v>620</v>
      </c>
      <c r="J95" s="2005" t="str">
        <f>+Referencer!$B$11</f>
        <v>5, Concawe (2011): Well-to-wheels analysis of future automotive fuels and power-trains in the European Context. November 2011.</v>
      </c>
      <c r="V95" s="2017"/>
    </row>
    <row r="96" spans="2:22" s="469" customFormat="1" ht="12" customHeight="1">
      <c r="B96" s="509" t="s">
        <v>467</v>
      </c>
      <c r="C96" s="509" t="s">
        <v>74</v>
      </c>
      <c r="D96" s="2004">
        <f t="shared" si="13"/>
        <v>3.1936051162437287</v>
      </c>
      <c r="E96" s="2082">
        <f>Supplementary!$E$82*E78/$D$40/1000</f>
        <v>3.1936051162437287</v>
      </c>
      <c r="F96" s="2082">
        <f>Supplementary!$E$82*F78/$D$40/1000</f>
        <v>3.1936051162437287</v>
      </c>
      <c r="G96" s="2082">
        <f>Supplementary!$E$82*G78/$D$40/1000</f>
        <v>3.1936051162437287</v>
      </c>
      <c r="H96" s="2082">
        <f>Supplementary!$E$82*H78/$D$40/1000</f>
        <v>3.1936051162437287</v>
      </c>
      <c r="I96" s="2081" t="s">
        <v>2240</v>
      </c>
      <c r="J96" s="2083" t="str">
        <f>+Referencer!$B$21</f>
        <v>15, Energistyrelsen. Biogasanlæg business case: Model 1000 m3/dag med salg af gas til decentral KV-værk og halmprocesvarme. Rev. 2009.05.25</v>
      </c>
      <c r="V96" s="2017"/>
    </row>
    <row r="97" spans="2:35" s="469" customFormat="1" ht="12" customHeight="1">
      <c r="B97" s="509" t="s">
        <v>541</v>
      </c>
      <c r="C97" s="509" t="s">
        <v>74</v>
      </c>
      <c r="D97" s="2004">
        <f t="shared" si="13"/>
        <v>24.16</v>
      </c>
      <c r="E97" s="1999">
        <f>24.16</f>
        <v>24.16</v>
      </c>
      <c r="F97" s="1999">
        <f>24.16</f>
        <v>24.16</v>
      </c>
      <c r="G97" s="1999">
        <f>24.16</f>
        <v>24.16</v>
      </c>
      <c r="H97" s="1999">
        <f>24.16</f>
        <v>24.16</v>
      </c>
      <c r="I97" s="2081" t="s">
        <v>2213</v>
      </c>
      <c r="J97" s="2007" t="str">
        <f>+Referencer!$B$11</f>
        <v>5, Concawe (2011): Well-to-wheels analysis of future automotive fuels and power-trains in the European Context. November 2011.</v>
      </c>
      <c r="V97" s="621"/>
    </row>
    <row r="98" spans="2:35" s="469" customFormat="1" ht="12" customHeight="1">
      <c r="B98" s="509" t="s">
        <v>545</v>
      </c>
      <c r="C98" s="509" t="s">
        <v>74</v>
      </c>
      <c r="D98" s="2004">
        <f t="shared" si="13"/>
        <v>67.930000000000007</v>
      </c>
      <c r="E98" s="1999">
        <v>67.930000000000007</v>
      </c>
      <c r="F98" s="1999">
        <v>67.930000000000007</v>
      </c>
      <c r="G98" s="1999">
        <v>67.930000000000007</v>
      </c>
      <c r="H98" s="1999">
        <v>67.930000000000007</v>
      </c>
      <c r="I98" s="509" t="s">
        <v>547</v>
      </c>
      <c r="J98" s="2007" t="str">
        <f>+Referencer!$B$11</f>
        <v>5, Concawe (2011): Well-to-wheels analysis of future automotive fuels and power-trains in the European Context. November 2011.</v>
      </c>
      <c r="V98" s="2017"/>
    </row>
    <row r="99" spans="2:35" s="469" customFormat="1" ht="12" customHeight="1"/>
    <row r="100" spans="2:35" s="469" customFormat="1" ht="12" customHeight="1">
      <c r="B100" s="2069" t="s">
        <v>1700</v>
      </c>
      <c r="F100" s="469" t="s">
        <v>2236</v>
      </c>
      <c r="G100" s="469" t="s">
        <v>2236</v>
      </c>
      <c r="H100" s="469" t="s">
        <v>2237</v>
      </c>
      <c r="I100" s="469" t="s">
        <v>2237</v>
      </c>
      <c r="J100" s="469" t="s">
        <v>2238</v>
      </c>
    </row>
    <row r="101" spans="2:35" s="469" customFormat="1" ht="12" customHeight="1">
      <c r="B101" s="1989" t="s">
        <v>2212</v>
      </c>
      <c r="C101" s="1989" t="s">
        <v>2217</v>
      </c>
      <c r="D101" s="1989" t="s">
        <v>1707</v>
      </c>
      <c r="E101" s="1989" t="s">
        <v>2127</v>
      </c>
      <c r="F101" s="2013" t="s">
        <v>2233</v>
      </c>
      <c r="G101" s="2013" t="s">
        <v>2234</v>
      </c>
      <c r="H101" s="1989" t="s">
        <v>2233</v>
      </c>
      <c r="I101" s="1989" t="s">
        <v>2234</v>
      </c>
      <c r="J101" s="1989" t="s">
        <v>2233</v>
      </c>
      <c r="K101" s="1989" t="s">
        <v>2234</v>
      </c>
      <c r="L101" s="1989" t="s">
        <v>146</v>
      </c>
      <c r="M101" s="1989" t="s">
        <v>2205</v>
      </c>
      <c r="Z101" s="2069" t="s">
        <v>2269</v>
      </c>
    </row>
    <row r="102" spans="2:35" s="469" customFormat="1" ht="12" customHeight="1">
      <c r="B102" s="509" t="s">
        <v>183</v>
      </c>
      <c r="C102" s="509" t="s">
        <v>2235</v>
      </c>
      <c r="D102" s="2004">
        <f t="shared" ref="D102:D116" si="14">CHOOSE(chosenLUC,E102,F102,G102,H102,I102,J102,K102)</f>
        <v>329.36371146761741</v>
      </c>
      <c r="E102" s="1998">
        <v>0</v>
      </c>
      <c r="F102" s="1998">
        <v>21</v>
      </c>
      <c r="G102" s="1998">
        <v>154</v>
      </c>
      <c r="H102" s="2007">
        <f>E191-E84</f>
        <v>86.939469043374942</v>
      </c>
      <c r="I102" s="2007">
        <f>D191-E84</f>
        <v>329.36371146761741</v>
      </c>
      <c r="J102" s="2007">
        <f>AD108*AG108</f>
        <v>12.183387978142077</v>
      </c>
      <c r="K102" s="2007">
        <f>AB108*AG108</f>
        <v>28.301311475409836</v>
      </c>
      <c r="L102" s="509"/>
      <c r="M102" s="2005" t="str">
        <f>Referencer!$B$25</f>
        <v>19, Lorie Hamelin, 2011. Modeling land use changes in consequential LCA, presentation, meta study</v>
      </c>
      <c r="Z102" s="1737"/>
      <c r="AA102" s="1737"/>
      <c r="AB102" s="1737" t="s">
        <v>2259</v>
      </c>
      <c r="AC102" s="1737"/>
      <c r="AD102" s="1737" t="s">
        <v>2260</v>
      </c>
      <c r="AE102" s="1737"/>
    </row>
    <row r="103" spans="2:35" s="469" customFormat="1" ht="12" customHeight="1">
      <c r="B103" s="509" t="s">
        <v>2082</v>
      </c>
      <c r="C103" s="509" t="s">
        <v>2235</v>
      </c>
      <c r="D103" s="2004">
        <f t="shared" si="14"/>
        <v>329.36371146761741</v>
      </c>
      <c r="E103" s="1998">
        <v>0</v>
      </c>
      <c r="F103" s="2080">
        <v>21</v>
      </c>
      <c r="G103" s="2080">
        <v>154</v>
      </c>
      <c r="H103" s="2080">
        <f>H102</f>
        <v>86.939469043374942</v>
      </c>
      <c r="I103" s="2080">
        <f>I102</f>
        <v>329.36371146761741</v>
      </c>
      <c r="J103" s="2007">
        <f>AC105*AG105</f>
        <v>15.0255737704918</v>
      </c>
      <c r="K103" s="2007">
        <f>AE105*AG105</f>
        <v>61.17688524590163</v>
      </c>
      <c r="L103" s="509"/>
      <c r="M103" s="2001" t="s">
        <v>2696</v>
      </c>
      <c r="Z103" s="1737"/>
      <c r="AA103" s="1737"/>
      <c r="AB103" s="1737" t="s">
        <v>2247</v>
      </c>
      <c r="AC103" s="1737"/>
      <c r="AD103" s="1737" t="s">
        <v>2247</v>
      </c>
      <c r="AE103" s="1737"/>
      <c r="AG103" s="469" t="s">
        <v>2266</v>
      </c>
    </row>
    <row r="104" spans="2:35" s="469" customFormat="1" ht="12" customHeight="1">
      <c r="B104" s="509" t="s">
        <v>186</v>
      </c>
      <c r="C104" s="509" t="s">
        <v>2235</v>
      </c>
      <c r="D104" s="2004">
        <f t="shared" si="14"/>
        <v>-4.0112379834181873</v>
      </c>
      <c r="E104" s="1998">
        <v>0</v>
      </c>
      <c r="F104" s="1998">
        <v>5.6381776698104922</v>
      </c>
      <c r="G104" s="1998">
        <v>5.6381776698104922</v>
      </c>
      <c r="H104" s="2007">
        <f>E195-E86</f>
        <v>-4.0112379834181873</v>
      </c>
      <c r="I104" s="2007">
        <f>D195-E86</f>
        <v>-4.0112379834181873</v>
      </c>
      <c r="J104" s="2080">
        <v>0</v>
      </c>
      <c r="K104" s="2080">
        <v>0</v>
      </c>
      <c r="L104" s="509"/>
      <c r="M104" s="2005" t="str">
        <f>+Referencer!$B$64</f>
        <v>58, COWI/SDU 2013: Life Cycle Assessment of bioenergy pathways for the future Danish energy system</v>
      </c>
      <c r="Z104" s="1737"/>
      <c r="AA104" s="1737"/>
      <c r="AB104" s="1737" t="s">
        <v>2246</v>
      </c>
      <c r="AC104" s="1737" t="s">
        <v>2258</v>
      </c>
      <c r="AD104" s="1737" t="s">
        <v>2246</v>
      </c>
      <c r="AE104" s="1737" t="s">
        <v>2258</v>
      </c>
      <c r="AH104" s="469" t="s">
        <v>926</v>
      </c>
      <c r="AI104" s="469" t="s">
        <v>2413</v>
      </c>
    </row>
    <row r="105" spans="2:35" s="469" customFormat="1" ht="12" customHeight="1">
      <c r="B105" s="509" t="s">
        <v>139</v>
      </c>
      <c r="C105" s="509" t="s">
        <v>2235</v>
      </c>
      <c r="D105" s="2004">
        <f t="shared" si="14"/>
        <v>339.25777397504459</v>
      </c>
      <c r="E105" s="1998">
        <v>0</v>
      </c>
      <c r="F105" s="1998">
        <v>22</v>
      </c>
      <c r="G105" s="1998">
        <v>180</v>
      </c>
      <c r="H105" s="2007">
        <f>E194-E87</f>
        <v>96.833531550802149</v>
      </c>
      <c r="I105" s="2007">
        <f>D194-E87</f>
        <v>339.25777397504459</v>
      </c>
      <c r="J105" s="2007">
        <f>AE110*AG110</f>
        <v>51.24</v>
      </c>
      <c r="K105" s="2007">
        <f>AC110*AG110</f>
        <v>53.68</v>
      </c>
      <c r="L105" s="509"/>
      <c r="M105" s="2005" t="str">
        <f>Referencer!$B$25</f>
        <v>19, Lorie Hamelin, 2011. Modeling land use changes in consequential LCA, presentation, meta study</v>
      </c>
      <c r="Z105" s="1737" t="s">
        <v>2254</v>
      </c>
      <c r="AA105" s="1737"/>
      <c r="AB105" s="2006">
        <v>16.07</v>
      </c>
      <c r="AC105" s="2006">
        <v>16.079999999999998</v>
      </c>
      <c r="AD105" s="2006">
        <v>65.48</v>
      </c>
      <c r="AE105" s="2006">
        <v>65.47</v>
      </c>
      <c r="AG105" s="2274">
        <f>AH105/(1-AI105)</f>
        <v>0.93442622950819665</v>
      </c>
      <c r="AH105" s="2272">
        <v>0.56999999999999995</v>
      </c>
      <c r="AI105" s="2272">
        <v>0.39</v>
      </c>
    </row>
    <row r="106" spans="2:35" s="469" customFormat="1" ht="12" customHeight="1">
      <c r="B106" s="509" t="s">
        <v>2400</v>
      </c>
      <c r="C106" s="509"/>
      <c r="D106" s="2004">
        <f t="shared" si="14"/>
        <v>0</v>
      </c>
      <c r="E106" s="1998"/>
      <c r="F106" s="1998"/>
      <c r="G106" s="1998"/>
      <c r="H106" s="2007"/>
      <c r="I106" s="2007"/>
      <c r="J106" s="2007"/>
      <c r="K106" s="2007"/>
      <c r="L106" s="509"/>
      <c r="M106" s="2005"/>
      <c r="Z106" s="1737" t="s">
        <v>2255</v>
      </c>
      <c r="AA106" s="1737"/>
      <c r="AB106" s="2006">
        <v>17.78</v>
      </c>
      <c r="AC106" s="2006">
        <v>17.78</v>
      </c>
      <c r="AD106" s="2006">
        <v>18.86</v>
      </c>
      <c r="AE106" s="2006">
        <v>18.86</v>
      </c>
      <c r="AH106" s="2273"/>
      <c r="AI106" s="2273"/>
    </row>
    <row r="107" spans="2:35" s="469" customFormat="1" ht="12" customHeight="1">
      <c r="B107" s="509" t="s">
        <v>5</v>
      </c>
      <c r="C107" s="509" t="s">
        <v>2235</v>
      </c>
      <c r="D107" s="2004">
        <f t="shared" si="14"/>
        <v>0</v>
      </c>
      <c r="E107" s="1998">
        <v>0</v>
      </c>
      <c r="F107" s="2018"/>
      <c r="G107" s="2018"/>
      <c r="H107" s="2018"/>
      <c r="I107" s="2018"/>
      <c r="J107" s="2018"/>
      <c r="K107" s="2018"/>
      <c r="L107" s="2018" t="s">
        <v>2241</v>
      </c>
      <c r="M107" s="2085"/>
      <c r="Z107" s="1737" t="s">
        <v>2256</v>
      </c>
      <c r="AA107" s="1737"/>
      <c r="AB107" s="2006">
        <v>54.11</v>
      </c>
      <c r="AC107" s="2006">
        <v>54.12</v>
      </c>
      <c r="AD107" s="2006">
        <v>79.099999999999994</v>
      </c>
      <c r="AE107" s="2006">
        <v>79.150000000000006</v>
      </c>
      <c r="AH107" s="2273"/>
      <c r="AI107" s="2273"/>
    </row>
    <row r="108" spans="2:35" s="469" customFormat="1" ht="12" customHeight="1">
      <c r="B108" s="509" t="s">
        <v>218</v>
      </c>
      <c r="C108" s="509" t="s">
        <v>2235</v>
      </c>
      <c r="D108" s="2004">
        <f t="shared" si="14"/>
        <v>-16.641974602766481</v>
      </c>
      <c r="E108" s="1998">
        <v>0</v>
      </c>
      <c r="F108" s="2080">
        <f>H108</f>
        <v>-16.641974602766481</v>
      </c>
      <c r="G108" s="2080">
        <f>I108</f>
        <v>-16.641974602766481</v>
      </c>
      <c r="H108" s="2007">
        <f>$D$173-E90</f>
        <v>-16.641974602766481</v>
      </c>
      <c r="I108" s="2007">
        <f>$D$173-E90</f>
        <v>-16.641974602766481</v>
      </c>
      <c r="J108" s="2080">
        <v>0</v>
      </c>
      <c r="K108" s="2080">
        <v>0</v>
      </c>
      <c r="L108" s="509"/>
      <c r="M108" s="2005" t="str">
        <f>+Referencer!$B$64</f>
        <v>58, COWI/SDU 2013: Life Cycle Assessment of bioenergy pathways for the future Danish energy system</v>
      </c>
      <c r="Z108" s="1737" t="s">
        <v>2257</v>
      </c>
      <c r="AA108" s="1737"/>
      <c r="AB108" s="2006">
        <v>37.26</v>
      </c>
      <c r="AC108" s="2006">
        <v>37.270000000000003</v>
      </c>
      <c r="AD108" s="2006">
        <v>16.04</v>
      </c>
      <c r="AE108" s="2006">
        <v>16.12</v>
      </c>
      <c r="AG108" s="2274">
        <f>AH108/(1-AI108)</f>
        <v>0.75956284153005471</v>
      </c>
      <c r="AH108" s="2272">
        <v>0.55600000000000005</v>
      </c>
      <c r="AI108" s="2272">
        <v>0.26800000000000002</v>
      </c>
    </row>
    <row r="109" spans="2:35" s="469" customFormat="1" ht="12" customHeight="1">
      <c r="B109" s="509" t="s">
        <v>219</v>
      </c>
      <c r="C109" s="509" t="s">
        <v>2235</v>
      </c>
      <c r="D109" s="2004">
        <f t="shared" si="14"/>
        <v>-16.641974602766481</v>
      </c>
      <c r="E109" s="1998">
        <v>0</v>
      </c>
      <c r="F109" s="2080">
        <f>F108</f>
        <v>-16.641974602766481</v>
      </c>
      <c r="G109" s="2080">
        <f>G108</f>
        <v>-16.641974602766481</v>
      </c>
      <c r="H109" s="2080">
        <f>H108</f>
        <v>-16.641974602766481</v>
      </c>
      <c r="I109" s="2080">
        <f>I108</f>
        <v>-16.641974602766481</v>
      </c>
      <c r="J109" s="2080">
        <f>J108</f>
        <v>0</v>
      </c>
      <c r="K109" s="2080">
        <v>0</v>
      </c>
      <c r="L109" s="509"/>
      <c r="M109" s="2005" t="s">
        <v>2346</v>
      </c>
      <c r="Z109" s="1737" t="s">
        <v>2250</v>
      </c>
      <c r="AA109" s="1737"/>
      <c r="AB109" s="2006">
        <v>46.4</v>
      </c>
      <c r="AC109" s="2006">
        <v>50.13</v>
      </c>
      <c r="AD109" s="2006">
        <v>44.63</v>
      </c>
      <c r="AE109" s="2006">
        <v>48.31</v>
      </c>
      <c r="AH109" s="2273"/>
      <c r="AI109" s="2273"/>
    </row>
    <row r="110" spans="2:35" s="469" customFormat="1" ht="12" customHeight="1">
      <c r="B110" s="509" t="s">
        <v>1466</v>
      </c>
      <c r="C110" s="509" t="s">
        <v>2235</v>
      </c>
      <c r="D110" s="2004">
        <f t="shared" si="14"/>
        <v>0</v>
      </c>
      <c r="E110" s="1998">
        <v>0</v>
      </c>
      <c r="F110" s="2018"/>
      <c r="G110" s="2018"/>
      <c r="H110" s="2018"/>
      <c r="I110" s="2018"/>
      <c r="J110" s="2018"/>
      <c r="K110" s="2018"/>
      <c r="L110" s="2018" t="s">
        <v>2241</v>
      </c>
      <c r="M110" s="2085"/>
      <c r="Z110" s="1737" t="s">
        <v>2251</v>
      </c>
      <c r="AA110" s="1737"/>
      <c r="AB110" s="2006">
        <v>53.01</v>
      </c>
      <c r="AC110" s="2006">
        <v>53.68</v>
      </c>
      <c r="AD110" s="2006">
        <v>50.6</v>
      </c>
      <c r="AE110" s="2006">
        <v>51.24</v>
      </c>
      <c r="AG110" s="2274">
        <f>AH110/(1-AI110)</f>
        <v>1</v>
      </c>
      <c r="AH110" s="2272">
        <v>0.77200000000000002</v>
      </c>
      <c r="AI110" s="2272">
        <v>0.22800000000000001</v>
      </c>
    </row>
    <row r="111" spans="2:35" s="469" customFormat="1" ht="12" customHeight="1">
      <c r="B111" s="509" t="s">
        <v>918</v>
      </c>
      <c r="C111" s="509" t="s">
        <v>2235</v>
      </c>
      <c r="D111" s="2004">
        <f t="shared" si="14"/>
        <v>0</v>
      </c>
      <c r="E111" s="1998">
        <v>0</v>
      </c>
      <c r="F111" s="2018"/>
      <c r="G111" s="2018"/>
      <c r="H111" s="2018"/>
      <c r="I111" s="2018"/>
      <c r="J111" s="2018"/>
      <c r="K111" s="2018"/>
      <c r="L111" s="2018" t="s">
        <v>2241</v>
      </c>
      <c r="M111" s="2085"/>
      <c r="Z111" s="1737" t="s">
        <v>2252</v>
      </c>
      <c r="AA111" s="1737"/>
      <c r="AB111" s="2006">
        <v>74.510000000000005</v>
      </c>
      <c r="AC111" s="2006">
        <v>75.400000000000006</v>
      </c>
      <c r="AD111" s="2006">
        <v>67.010000000000005</v>
      </c>
      <c r="AE111" s="2006">
        <v>67.86</v>
      </c>
    </row>
    <row r="112" spans="2:35" s="469" customFormat="1" ht="12" customHeight="1">
      <c r="B112" s="509" t="s">
        <v>191</v>
      </c>
      <c r="C112" s="509" t="s">
        <v>2235</v>
      </c>
      <c r="D112" s="2004">
        <f t="shared" si="14"/>
        <v>0</v>
      </c>
      <c r="E112" s="1998">
        <v>0</v>
      </c>
      <c r="F112" s="2018"/>
      <c r="G112" s="2018"/>
      <c r="H112" s="2018"/>
      <c r="I112" s="2018"/>
      <c r="J112" s="2018"/>
      <c r="K112" s="2018"/>
      <c r="L112" s="2018" t="s">
        <v>2241</v>
      </c>
      <c r="M112" s="2085"/>
      <c r="Z112" s="1737" t="s">
        <v>2253</v>
      </c>
      <c r="AA112" s="1737"/>
      <c r="AB112" s="2006">
        <v>59.87</v>
      </c>
      <c r="AC112" s="2006">
        <v>60.53</v>
      </c>
      <c r="AD112" s="2006">
        <v>56.27</v>
      </c>
      <c r="AE112" s="2006">
        <v>56.89</v>
      </c>
    </row>
    <row r="113" spans="2:31" s="469" customFormat="1" ht="12" customHeight="1">
      <c r="B113" s="509" t="s">
        <v>192</v>
      </c>
      <c r="C113" s="509" t="s">
        <v>2235</v>
      </c>
      <c r="D113" s="2004">
        <f t="shared" si="14"/>
        <v>0</v>
      </c>
      <c r="E113" s="1998">
        <v>0</v>
      </c>
      <c r="F113" s="2018"/>
      <c r="G113" s="2018"/>
      <c r="H113" s="2018"/>
      <c r="I113" s="2018"/>
      <c r="J113" s="2018"/>
      <c r="K113" s="2018"/>
      <c r="L113" s="2018" t="s">
        <v>2241</v>
      </c>
      <c r="M113" s="2085"/>
      <c r="Z113" s="664" t="s">
        <v>2245</v>
      </c>
      <c r="AA113" s="664"/>
      <c r="AB113" s="664"/>
      <c r="AC113" s="664"/>
      <c r="AD113" s="664"/>
      <c r="AE113" s="664"/>
    </row>
    <row r="114" spans="2:31" s="469" customFormat="1" ht="12" customHeight="1">
      <c r="B114" s="509" t="s">
        <v>467</v>
      </c>
      <c r="C114" s="509" t="s">
        <v>2235</v>
      </c>
      <c r="D114" s="2004">
        <f t="shared" si="14"/>
        <v>0</v>
      </c>
      <c r="E114" s="1998">
        <v>0</v>
      </c>
      <c r="F114" s="2018"/>
      <c r="G114" s="2018"/>
      <c r="H114" s="2018"/>
      <c r="I114" s="2018"/>
      <c r="J114" s="2018"/>
      <c r="K114" s="2018"/>
      <c r="L114" s="509" t="s">
        <v>2280</v>
      </c>
      <c r="M114" s="509"/>
      <c r="Z114" s="664" t="str">
        <f>"Source: "&amp;Referencer!$B$65</f>
        <v>Source: 59, IFPRI (2015): Global Trade and Environmental Impact Study of the EU Biofuels Mandate</v>
      </c>
      <c r="AA114" s="664"/>
      <c r="AB114" s="664"/>
      <c r="AC114" s="664"/>
      <c r="AD114" s="664"/>
      <c r="AE114" s="664"/>
    </row>
    <row r="115" spans="2:31" s="469" customFormat="1" ht="12" customHeight="1">
      <c r="B115" s="509" t="s">
        <v>541</v>
      </c>
      <c r="C115" s="509" t="s">
        <v>2235</v>
      </c>
      <c r="D115" s="2004">
        <f t="shared" si="14"/>
        <v>71</v>
      </c>
      <c r="E115" s="1998">
        <v>0</v>
      </c>
      <c r="F115" s="1998">
        <v>18</v>
      </c>
      <c r="G115" s="1998">
        <v>71</v>
      </c>
      <c r="H115" s="2158">
        <f>F115</f>
        <v>18</v>
      </c>
      <c r="I115" s="2158">
        <f>G115</f>
        <v>71</v>
      </c>
      <c r="J115" s="2007">
        <f>AB106</f>
        <v>17.78</v>
      </c>
      <c r="K115" s="2007">
        <f>AE106</f>
        <v>18.86</v>
      </c>
      <c r="L115" s="509"/>
      <c r="M115" s="2005" t="str">
        <f>Referencer!$B$25</f>
        <v>19, Lorie Hamelin, 2011. Modeling land use changes in consequential LCA, presentation, meta study</v>
      </c>
    </row>
    <row r="116" spans="2:31" s="469" customFormat="1" ht="12" customHeight="1">
      <c r="B116" s="509" t="s">
        <v>545</v>
      </c>
      <c r="C116" s="509" t="s">
        <v>2235</v>
      </c>
      <c r="D116" s="2004">
        <f t="shared" si="14"/>
        <v>160</v>
      </c>
      <c r="E116" s="1998">
        <v>0</v>
      </c>
      <c r="F116" s="1998">
        <v>19</v>
      </c>
      <c r="G116" s="1998">
        <v>160</v>
      </c>
      <c r="H116" s="2158">
        <f>F116</f>
        <v>19</v>
      </c>
      <c r="I116" s="2158">
        <f>G116</f>
        <v>160</v>
      </c>
      <c r="J116" s="2007">
        <f>AD109</f>
        <v>44.63</v>
      </c>
      <c r="K116" s="2007">
        <f>AC109</f>
        <v>50.13</v>
      </c>
      <c r="L116" s="509"/>
      <c r="M116" s="2005" t="str">
        <f>Referencer!$B$25</f>
        <v>19, Lorie Hamelin, 2011. Modeling land use changes in consequential LCA, presentation, meta study</v>
      </c>
    </row>
    <row r="117" spans="2:31" s="469" customFormat="1" ht="12" customHeight="1">
      <c r="B117" s="469" t="s">
        <v>2345</v>
      </c>
    </row>
    <row r="118" spans="2:31" s="469" customFormat="1" ht="12" customHeight="1"/>
    <row r="119" spans="2:31" s="469" customFormat="1" ht="12" customHeight="1">
      <c r="B119" s="471" t="s">
        <v>2377</v>
      </c>
    </row>
    <row r="120" spans="2:31" s="469" customFormat="1" ht="12" customHeight="1">
      <c r="B120" s="509" t="s">
        <v>1017</v>
      </c>
      <c r="C120" s="509" t="s">
        <v>2235</v>
      </c>
      <c r="D120" s="2216">
        <f>D105+D87</f>
        <v>368.21777397504457</v>
      </c>
      <c r="E120" s="2086" t="s">
        <v>2267</v>
      </c>
    </row>
    <row r="121" spans="2:31" s="469" customFormat="1" ht="12" customHeight="1">
      <c r="B121" s="509" t="s">
        <v>1018</v>
      </c>
      <c r="C121" s="509" t="s">
        <v>2235</v>
      </c>
      <c r="D121" s="2216">
        <f>D105+D87</f>
        <v>368.21777397504457</v>
      </c>
      <c r="E121" s="2086" t="s">
        <v>2267</v>
      </c>
    </row>
    <row r="122" spans="2:31" s="469" customFormat="1" ht="12" customHeight="1">
      <c r="B122" s="509" t="s">
        <v>1006</v>
      </c>
      <c r="C122" s="509" t="s">
        <v>2235</v>
      </c>
      <c r="D122" s="2216">
        <f>D102+D84</f>
        <v>346.10371146761742</v>
      </c>
      <c r="E122" s="2086" t="s">
        <v>2268</v>
      </c>
    </row>
    <row r="123" spans="2:31" s="469" customFormat="1" ht="12" customHeight="1"/>
    <row r="124" spans="2:31" s="469" customFormat="1" ht="12" customHeight="1"/>
    <row r="125" spans="2:31" s="469" customFormat="1" ht="12" customHeight="1">
      <c r="B125" s="2069" t="s">
        <v>2222</v>
      </c>
    </row>
    <row r="126" spans="2:31" s="469" customFormat="1" ht="12" customHeight="1">
      <c r="B126" s="1989" t="s">
        <v>2212</v>
      </c>
      <c r="C126" s="1989" t="s">
        <v>2217</v>
      </c>
      <c r="D126" s="1989" t="s">
        <v>1707</v>
      </c>
      <c r="E126" s="1989" t="s">
        <v>2291</v>
      </c>
      <c r="F126" s="1989">
        <v>2012</v>
      </c>
      <c r="G126" s="1989">
        <v>2020</v>
      </c>
      <c r="H126" s="1989">
        <v>2035</v>
      </c>
      <c r="I126" s="1989">
        <v>2050</v>
      </c>
      <c r="J126" s="1989" t="s">
        <v>2223</v>
      </c>
      <c r="K126" s="1989" t="s">
        <v>146</v>
      </c>
      <c r="L126" s="1989" t="s">
        <v>2205</v>
      </c>
    </row>
    <row r="127" spans="2:31" s="469" customFormat="1" ht="12" customHeight="1">
      <c r="B127" s="509" t="s">
        <v>183</v>
      </c>
      <c r="C127" s="509" t="s">
        <v>23</v>
      </c>
      <c r="D127" s="2012">
        <f ca="1">CHOOSE(chosenYear,F127,G127,H127,I127)*HLOOKUP($J127,Supplementary!$C$44:$AF$46,3,FALSE)*(1+E127)</f>
        <v>87.241828280407844</v>
      </c>
      <c r="E127" s="2136">
        <f ca="1">Sensitivity!$L$7</f>
        <v>0</v>
      </c>
      <c r="F127" s="2012">
        <f>E146/$D$28</f>
        <v>84.011764705882356</v>
      </c>
      <c r="G127" s="2012">
        <f>F146/$D$28</f>
        <v>84.011764705882356</v>
      </c>
      <c r="H127" s="2012">
        <f>G146/$D$28</f>
        <v>84.011764705882356</v>
      </c>
      <c r="I127" s="2012">
        <f>H146/$D$28</f>
        <v>84.011764705882356</v>
      </c>
      <c r="J127" s="2007">
        <f>I146</f>
        <v>2013</v>
      </c>
      <c r="K127" s="509" t="s">
        <v>973</v>
      </c>
      <c r="L127" s="2005" t="str">
        <f>+Referencer!$B$10</f>
        <v>4, http://www.dlg.dk/Afgroeder/Noteringer/Boersnotering.htm</v>
      </c>
    </row>
    <row r="128" spans="2:31" s="469" customFormat="1" ht="12" customHeight="1">
      <c r="B128" s="509" t="s">
        <v>2082</v>
      </c>
      <c r="C128" s="509" t="s">
        <v>23</v>
      </c>
      <c r="D128" s="2012">
        <f ca="1">CHOOSE(chosenYear,F128,G128,H128,I128)*HLOOKUP($J128,Supplementary!$C$44:$AF$46,3,FALSE)*(1+E127)</f>
        <v>10.560966948186536</v>
      </c>
      <c r="E128" s="2136">
        <f ca="1">Sensitivity!$L$7</f>
        <v>0</v>
      </c>
      <c r="F128" s="2006">
        <v>10.3</v>
      </c>
      <c r="G128" s="2006">
        <v>10.3</v>
      </c>
      <c r="H128" s="2006">
        <v>10.3</v>
      </c>
      <c r="I128" s="2006">
        <v>10.3</v>
      </c>
      <c r="J128" s="1998">
        <v>2014</v>
      </c>
      <c r="K128" s="509"/>
      <c r="L128" s="2005" t="s">
        <v>2084</v>
      </c>
    </row>
    <row r="129" spans="1:16" s="469" customFormat="1" ht="12" customHeight="1">
      <c r="B129" s="509" t="s">
        <v>186</v>
      </c>
      <c r="C129" s="509" t="s">
        <v>23</v>
      </c>
      <c r="D129" s="2012">
        <f>CHOOSE(chosenYear,F129,G129,H129,I129)*HLOOKUP($J129,Supplementary!$C$44:$AF$46,3,FALSE)</f>
        <v>40.902743399463397</v>
      </c>
      <c r="E129" s="2012"/>
      <c r="F129" s="2376">
        <f>D203*dkkPerEUR</f>
        <v>38.628250000000001</v>
      </c>
      <c r="G129" s="2376">
        <f>E203*dkkPerEUR</f>
        <v>41.161249999999995</v>
      </c>
      <c r="H129" s="2376">
        <f>F203*dkkPerEUR</f>
        <v>46.860500000000002</v>
      </c>
      <c r="I129" s="2376">
        <f>G203*dkkPerEUR</f>
        <v>51.92649999999999</v>
      </c>
      <c r="J129" s="1998">
        <v>2012</v>
      </c>
      <c r="K129" s="509"/>
      <c r="L129" s="2005" t="str">
        <f>Referencer!$B$63</f>
        <v xml:space="preserve">57, Ea Enerrgy Analyses (2013)  "Analysis of biomass prices, future Danish prices for straw, wood chips and wood pellets (draft 21-03-2013)", </v>
      </c>
    </row>
    <row r="130" spans="1:16" s="469" customFormat="1" ht="12" customHeight="1">
      <c r="B130" s="509" t="s">
        <v>139</v>
      </c>
      <c r="C130" s="509" t="s">
        <v>23</v>
      </c>
      <c r="D130" s="2012">
        <f>CHOOSE(chosenYear,F130,G130,H130,I130)*HLOOKUP($J130,Supplementary!$C$44:$AF$46,3,FALSE)</f>
        <v>100.68148148148148</v>
      </c>
      <c r="E130" s="2012"/>
      <c r="F130" s="2087">
        <f>E147/$D$31</f>
        <v>100.68148148148148</v>
      </c>
      <c r="G130" s="2087">
        <f>F147/$D$31</f>
        <v>100.68148148148148</v>
      </c>
      <c r="H130" s="2087">
        <f>G147/$D$31</f>
        <v>100.68148148148148</v>
      </c>
      <c r="I130" s="2087">
        <f>H147/$D$31</f>
        <v>100.68148148148148</v>
      </c>
      <c r="J130" s="509">
        <f>priceYear</f>
        <v>2015</v>
      </c>
      <c r="K130" s="509" t="s">
        <v>972</v>
      </c>
      <c r="L130" s="2005" t="str">
        <f>+Referencer!$B$10</f>
        <v>4, http://www.dlg.dk/Afgroeder/Noteringer/Boersnotering.htm</v>
      </c>
    </row>
    <row r="131" spans="1:16" s="469" customFormat="1" ht="12" customHeight="1">
      <c r="B131" s="509" t="s">
        <v>2400</v>
      </c>
      <c r="C131" s="509" t="s">
        <v>23</v>
      </c>
      <c r="D131" s="2012">
        <f>CHOOSE(chosenYear,F131,G131,H131,I131)*HLOOKUP($J131,Supplementary!$C$44:$AF$46,3,FALSE)</f>
        <v>103.41739130434783</v>
      </c>
      <c r="E131" s="2012"/>
      <c r="F131" s="2087">
        <f>E148/$D$32</f>
        <v>103.41739130434783</v>
      </c>
      <c r="G131" s="2087">
        <f>F148/$D$32</f>
        <v>103.41739130434783</v>
      </c>
      <c r="H131" s="2087">
        <f>G148/$D$32</f>
        <v>103.41739130434783</v>
      </c>
      <c r="I131" s="2087">
        <f>H148/$D$32</f>
        <v>103.41739130434783</v>
      </c>
      <c r="J131" s="509">
        <f>J130</f>
        <v>2015</v>
      </c>
      <c r="K131" s="509"/>
      <c r="L131" s="2005"/>
    </row>
    <row r="132" spans="1:16" s="469" customFormat="1" ht="12" customHeight="1">
      <c r="B132" s="509" t="s">
        <v>5</v>
      </c>
      <c r="C132" s="509" t="s">
        <v>23</v>
      </c>
      <c r="D132" s="2012">
        <f>CHOOSE(chosenYear,F132,G132,H132,I132)*HLOOKUP($J132,Supplementary!$C$44:$AF$46,3,FALSE)</f>
        <v>56.4</v>
      </c>
      <c r="E132" s="2012"/>
      <c r="F132" s="2088">
        <f>Prices!D$14</f>
        <v>56.4</v>
      </c>
      <c r="G132" s="2088">
        <f>Prices!E$14</f>
        <v>58.907012661779753</v>
      </c>
      <c r="H132" s="2088">
        <f>Prices!F$14</f>
        <v>68.53604357764759</v>
      </c>
      <c r="I132" s="2088">
        <f>Prices!G$14</f>
        <v>68.53604357764759</v>
      </c>
      <c r="J132" s="509">
        <f>priceYear</f>
        <v>2015</v>
      </c>
      <c r="K132" s="509" t="s">
        <v>2226</v>
      </c>
      <c r="L132" s="2005" t="str">
        <f>Referencer!$B$37</f>
        <v>31, Forudsætninger for samfundsøkonomiske analyser på energiområdet. Energistyrelsen. April 2011, opdateret dataark oktober 2012</v>
      </c>
    </row>
    <row r="133" spans="1:16" s="469" customFormat="1" ht="12" customHeight="1">
      <c r="B133" s="509" t="s">
        <v>218</v>
      </c>
      <c r="C133" s="509" t="s">
        <v>23</v>
      </c>
      <c r="D133" s="2012">
        <f>CHOOSE(chosenYear,F133,G133,H133,I133)*HLOOKUP($J133,Supplementary!$C$44:$AF$46,3,FALSE)</f>
        <v>48.120874587603993</v>
      </c>
      <c r="E133" s="2012"/>
      <c r="F133" s="2376">
        <f>D206*dkkPerEUR</f>
        <v>45.445</v>
      </c>
      <c r="G133" s="2376">
        <f>E206*dkkPerEUR</f>
        <v>48.425000000000004</v>
      </c>
      <c r="H133" s="2376">
        <f>F206*dkkPerEUR</f>
        <v>55.13</v>
      </c>
      <c r="I133" s="2376">
        <f>G206*dkkPerEUR</f>
        <v>61.089999999999996</v>
      </c>
      <c r="J133" s="1998">
        <v>2012</v>
      </c>
      <c r="K133" s="509" t="s">
        <v>2225</v>
      </c>
      <c r="L133" s="2005" t="str">
        <f>Referencer!$B$63</f>
        <v xml:space="preserve">57, Ea Enerrgy Analyses (2013)  "Analysis of biomass prices, future Danish prices for straw, wood chips and wood pellets (draft 21-03-2013)", </v>
      </c>
    </row>
    <row r="134" spans="1:16" s="469" customFormat="1" ht="12" customHeight="1">
      <c r="B134" s="509" t="s">
        <v>219</v>
      </c>
      <c r="C134" s="509" t="s">
        <v>23</v>
      </c>
      <c r="D134" s="2012">
        <f>CHOOSE(chosenYear,F134,G134,H134,I134)*HLOOKUP($J134,Supplementary!$C$44:$AF$46,3,FALSE)</f>
        <v>65.475944111002164</v>
      </c>
      <c r="E134" s="2012"/>
      <c r="F134" s="2377">
        <f>D209*dkkPerEUR</f>
        <v>61.835000000000008</v>
      </c>
      <c r="G134" s="2377">
        <f>E209*dkkPerEUR</f>
        <v>63.325000000000003</v>
      </c>
      <c r="H134" s="2377">
        <f>F209*dkkPerEUR</f>
        <v>67.795000000000002</v>
      </c>
      <c r="I134" s="2377">
        <f>G209*dkkPerEUR</f>
        <v>71.52</v>
      </c>
      <c r="J134" s="1998">
        <v>2012</v>
      </c>
      <c r="K134" s="509" t="s">
        <v>2225</v>
      </c>
      <c r="L134" s="2005" t="str">
        <f>Referencer!$B$63</f>
        <v xml:space="preserve">57, Ea Enerrgy Analyses (2013)  "Analysis of biomass prices, future Danish prices for straw, wood chips and wood pellets (draft 21-03-2013)", </v>
      </c>
    </row>
    <row r="135" spans="1:16" s="469" customFormat="1" ht="12" customHeight="1">
      <c r="B135" s="509" t="s">
        <v>1466</v>
      </c>
      <c r="C135" s="509" t="s">
        <v>23</v>
      </c>
      <c r="D135" s="2012">
        <f ca="1">CHOOSE(chosenYear,F135,G135,H135,I135)*HLOOKUP($J135,Supplementary!$C$44:$AF$46,3,FALSE)</f>
        <v>98.750902660004783</v>
      </c>
      <c r="E135" s="2012"/>
      <c r="F135" s="2089">
        <f t="shared" ref="F135:I136" ca="1" si="15">E$156</f>
        <v>98.750902660004783</v>
      </c>
      <c r="G135" s="2089">
        <f t="shared" ca="1" si="15"/>
        <v>146.28161268381271</v>
      </c>
      <c r="H135" s="2089">
        <f t="shared" ca="1" si="15"/>
        <v>198.45118293556925</v>
      </c>
      <c r="I135" s="2089">
        <f t="shared" ca="1" si="15"/>
        <v>198.45118293556925</v>
      </c>
      <c r="J135" s="509">
        <f>priceYear</f>
        <v>2015</v>
      </c>
      <c r="K135" s="509"/>
      <c r="L135" s="2005" t="str">
        <f>Referencer!$B$37</f>
        <v>31, Forudsætninger for samfundsøkonomiske analyser på energiområdet. Energistyrelsen. April 2011, opdateret dataark oktober 2012</v>
      </c>
    </row>
    <row r="136" spans="1:16" s="469" customFormat="1" ht="12" customHeight="1">
      <c r="B136" s="509" t="s">
        <v>918</v>
      </c>
      <c r="C136" s="509" t="s">
        <v>23</v>
      </c>
      <c r="D136" s="2012">
        <f ca="1">CHOOSE(chosenYear,F136,G136,H136,I136)*HLOOKUP($J136,Supplementary!$C$44:$AF$46,3,FALSE)</f>
        <v>98.750902660004783</v>
      </c>
      <c r="E136" s="2012"/>
      <c r="F136" s="2089">
        <f t="shared" ca="1" si="15"/>
        <v>98.750902660004783</v>
      </c>
      <c r="G136" s="2089">
        <f t="shared" ca="1" si="15"/>
        <v>146.28161268381271</v>
      </c>
      <c r="H136" s="2089">
        <f t="shared" ca="1" si="15"/>
        <v>198.45118293556925</v>
      </c>
      <c r="I136" s="2089">
        <f t="shared" ca="1" si="15"/>
        <v>198.45118293556925</v>
      </c>
      <c r="J136" s="509">
        <f>priceYear</f>
        <v>2015</v>
      </c>
      <c r="K136" s="509" t="s">
        <v>2227</v>
      </c>
      <c r="L136" s="2005" t="str">
        <f>Referencer!$B$37</f>
        <v>31, Forudsætninger for samfundsøkonomiske analyser på energiområdet. Energistyrelsen. April 2011, opdateret dataark oktober 2012</v>
      </c>
    </row>
    <row r="137" spans="1:16" s="469" customFormat="1" ht="12" customHeight="1">
      <c r="B137" s="509" t="s">
        <v>191</v>
      </c>
      <c r="C137" s="509" t="s">
        <v>23</v>
      </c>
      <c r="D137" s="2012">
        <f>CHOOSE(chosenYear,F137,G137,H137,I137)*HLOOKUP($J137,Supplementary!$C$44:$AF$46,3,FALSE)</f>
        <v>28.441450277315031</v>
      </c>
      <c r="E137" s="2012"/>
      <c r="F137" s="2090">
        <f>Prices!M13</f>
        <v>28.441450277315031</v>
      </c>
      <c r="G137" s="2090">
        <f>Prices!N13</f>
        <v>24.683733703512562</v>
      </c>
      <c r="H137" s="2090">
        <f>Prices!O13</f>
        <v>25.535767562197361</v>
      </c>
      <c r="I137" s="2090">
        <f>Prices!P13</f>
        <v>25.535767562197361</v>
      </c>
      <c r="J137" s="509">
        <f>priceYear</f>
        <v>2015</v>
      </c>
      <c r="K137" s="509"/>
      <c r="L137" s="2005" t="str">
        <f>Referencer!$B$37</f>
        <v>31, Forudsætninger for samfundsøkonomiske analyser på energiområdet. Energistyrelsen. April 2011, opdateret dataark oktober 2012</v>
      </c>
    </row>
    <row r="138" spans="1:16" s="469" customFormat="1" ht="12" customHeight="1">
      <c r="B138" s="509" t="s">
        <v>192</v>
      </c>
      <c r="C138" s="509" t="s">
        <v>23</v>
      </c>
      <c r="D138" s="2012">
        <f ca="1">CHOOSE(chosenYear,F138,G138,H138,I138)*HLOOKUP($J138,Supplementary!$C$44:$AF$46,3,FALSE)</f>
        <v>107.82999339926188</v>
      </c>
      <c r="E138" s="2012"/>
      <c r="F138" s="2090">
        <f ca="1">Prices!M12</f>
        <v>107.82999339926188</v>
      </c>
      <c r="G138" s="2090">
        <f ca="1">Prices!N12</f>
        <v>110.93829023950966</v>
      </c>
      <c r="H138" s="2090">
        <f ca="1">Prices!O12</f>
        <v>122.1762414485604</v>
      </c>
      <c r="I138" s="2090">
        <f ca="1">Prices!P12</f>
        <v>122.1762414485604</v>
      </c>
      <c r="J138" s="509">
        <f>priceYear</f>
        <v>2015</v>
      </c>
      <c r="K138" s="509"/>
      <c r="L138" s="2005" t="str">
        <f>Referencer!$B$37</f>
        <v>31, Forudsætninger for samfundsøkonomiske analyser på energiområdet. Energistyrelsen. April 2011, opdateret dataark oktober 2012</v>
      </c>
    </row>
    <row r="139" spans="1:16" s="469" customFormat="1" ht="12" customHeight="1">
      <c r="B139" s="509" t="s">
        <v>467</v>
      </c>
      <c r="C139" s="509" t="s">
        <v>23</v>
      </c>
      <c r="D139" s="2004">
        <f>CHOOSE(chosenYear,F139,G139,H139,I139)*HLOOKUP($J139,Supplementary!$C$44:$AF$46,3,FALSE)</f>
        <v>44.312812303092279</v>
      </c>
      <c r="E139" s="2004"/>
      <c r="F139" s="2082">
        <f>E149/$D$40</f>
        <v>44.312812303092279</v>
      </c>
      <c r="G139" s="2082">
        <f>F149/$D$40</f>
        <v>44.312812303092279</v>
      </c>
      <c r="H139" s="2082">
        <f>G149/$D$40</f>
        <v>44.312812303092279</v>
      </c>
      <c r="I139" s="2082">
        <f>H149/$D$40</f>
        <v>44.312812303092279</v>
      </c>
      <c r="J139" s="509">
        <f>priceYear</f>
        <v>2015</v>
      </c>
      <c r="K139" s="509"/>
      <c r="L139" s="2091" t="str">
        <f>CONCATENATE("Source: ",Referencer!$B$44)</f>
        <v>Source: 38, Biogas i Danmark - status, barrierer og perspektiver, Biogas Taskforce, November 2013, Kap 8, Biogasøkonomi. Ea-energianalyser har leveret den bagvedliggende data.</v>
      </c>
    </row>
    <row r="140" spans="1:16" s="469" customFormat="1" ht="12" customHeight="1">
      <c r="B140" s="509" t="s">
        <v>541</v>
      </c>
      <c r="C140" s="509" t="s">
        <v>23</v>
      </c>
      <c r="D140" s="2012">
        <f>CHOOSE(chosenYear,F140,G140,H140,I140)*HLOOKUP($J140,Supplementary!$C$44:$AF$46,3,FALSE)</f>
        <v>207.572264818147</v>
      </c>
      <c r="E140" s="2012"/>
      <c r="F140" s="2006">
        <v>187</v>
      </c>
      <c r="G140" s="2006">
        <v>186.15066554612974</v>
      </c>
      <c r="H140" s="2006">
        <v>205.00756420955173</v>
      </c>
      <c r="I140" s="2006">
        <v>205.00756420955173</v>
      </c>
      <c r="J140" s="2092">
        <v>2010</v>
      </c>
      <c r="K140" s="509" t="s">
        <v>2697</v>
      </c>
      <c r="L140" s="2007" t="str">
        <f>Referencer!$B$27</f>
        <v>21, www.eof.dk</v>
      </c>
    </row>
    <row r="141" spans="1:16" s="469" customFormat="1" ht="12" customHeight="1">
      <c r="B141" s="509" t="s">
        <v>545</v>
      </c>
      <c r="C141" s="509" t="s">
        <v>23</v>
      </c>
      <c r="D141" s="2012">
        <f>CHOOSE(chosenYear,F141,G141,H141,I141)*HLOOKUP($J141,Supplementary!$C$44:$AF$46,3,FALSE)</f>
        <v>162.94977794280206</v>
      </c>
      <c r="E141" s="2012"/>
      <c r="F141" s="2006">
        <v>146.80000000000001</v>
      </c>
      <c r="G141" s="2006">
        <v>146.13324974423449</v>
      </c>
      <c r="H141" s="2006">
        <v>160.93641939017218</v>
      </c>
      <c r="I141" s="2006">
        <v>160.93641939017218</v>
      </c>
      <c r="J141" s="2092">
        <v>2010</v>
      </c>
      <c r="K141" s="509" t="s">
        <v>2697</v>
      </c>
      <c r="L141" s="2007" t="str">
        <f>Referencer!$B$27</f>
        <v>21, www.eof.dk</v>
      </c>
    </row>
    <row r="142" spans="1:16" s="469" customFormat="1" ht="12" customHeight="1">
      <c r="B142" s="509" t="s">
        <v>1018</v>
      </c>
      <c r="C142" s="509" t="s">
        <v>23</v>
      </c>
      <c r="D142" s="2012">
        <f>CHOOSE(chosenYear,F142,G142,H142,I142)*HLOOKUP($J142,Supplementary!$C$44:$AF$46,3,FALSE)</f>
        <v>346.14925098420701</v>
      </c>
      <c r="E142" s="2012"/>
      <c r="F142" s="2087">
        <f>E150/$D$43</f>
        <v>333.33333333333331</v>
      </c>
      <c r="G142" s="2087">
        <f>F150/$D$43</f>
        <v>333.33333333333331</v>
      </c>
      <c r="H142" s="2087">
        <f>G150/$D$43</f>
        <v>333.33333333333331</v>
      </c>
      <c r="I142" s="2087">
        <f>H150/$D$43</f>
        <v>333.33333333333331</v>
      </c>
      <c r="J142" s="509">
        <f>I150</f>
        <v>2013</v>
      </c>
    </row>
    <row r="143" spans="1:16" ht="12" customHeight="1">
      <c r="A143" s="469"/>
      <c r="B143" s="469"/>
      <c r="C143" s="469"/>
      <c r="D143" s="469"/>
      <c r="E143" s="620"/>
      <c r="F143" s="620"/>
      <c r="G143" s="620"/>
      <c r="H143" s="620"/>
      <c r="I143" s="469"/>
      <c r="J143" s="469"/>
      <c r="K143" s="469"/>
      <c r="L143" s="469"/>
      <c r="M143" s="469"/>
      <c r="N143" s="469"/>
      <c r="O143" s="469"/>
      <c r="P143" s="469"/>
    </row>
    <row r="144" spans="1:16" ht="12" customHeight="1">
      <c r="B144" s="1856" t="s">
        <v>2221</v>
      </c>
    </row>
    <row r="145" spans="1:23" ht="12" customHeight="1">
      <c r="B145" s="1989" t="s">
        <v>2212</v>
      </c>
      <c r="C145" s="1989" t="s">
        <v>2217</v>
      </c>
      <c r="D145" s="1989"/>
      <c r="E145" s="1989">
        <v>2012</v>
      </c>
      <c r="F145" s="1989">
        <v>2020</v>
      </c>
      <c r="G145" s="1989">
        <v>2035</v>
      </c>
      <c r="H145" s="1989">
        <v>2050</v>
      </c>
      <c r="I145" s="1989" t="s">
        <v>2223</v>
      </c>
      <c r="J145" s="1989" t="s">
        <v>146</v>
      </c>
      <c r="K145" s="1989" t="s">
        <v>2205</v>
      </c>
    </row>
    <row r="146" spans="1:23" ht="12" customHeight="1">
      <c r="B146" s="509" t="s">
        <v>2248</v>
      </c>
      <c r="C146" s="509" t="s">
        <v>193</v>
      </c>
      <c r="D146" s="2009"/>
      <c r="E146" s="2010">
        <v>1428.2</v>
      </c>
      <c r="F146" s="2010">
        <v>1428.2</v>
      </c>
      <c r="G146" s="2010">
        <v>1428.2</v>
      </c>
      <c r="H146" s="2010">
        <v>1428.2</v>
      </c>
      <c r="I146" s="2008">
        <v>2013</v>
      </c>
      <c r="J146" s="2003" t="s">
        <v>973</v>
      </c>
      <c r="K146" s="2005" t="str">
        <f>+Referencer!$B$10</f>
        <v>4, http://www.dlg.dk/Afgroeder/Noteringer/Boersnotering.htm</v>
      </c>
    </row>
    <row r="147" spans="1:23" ht="12" customHeight="1">
      <c r="B147" s="509" t="s">
        <v>2249</v>
      </c>
      <c r="C147" s="509" t="s">
        <v>193</v>
      </c>
      <c r="D147" s="2009"/>
      <c r="E147" s="2011">
        <v>2718.4</v>
      </c>
      <c r="F147" s="2011">
        <v>2718.4</v>
      </c>
      <c r="G147" s="2011">
        <v>2718.4</v>
      </c>
      <c r="H147" s="2011">
        <v>2718.4</v>
      </c>
      <c r="I147" s="2008">
        <v>2013</v>
      </c>
      <c r="J147" s="2003" t="s">
        <v>972</v>
      </c>
      <c r="K147" s="2005" t="str">
        <f>+Referencer!$B$10</f>
        <v>4, http://www.dlg.dk/Afgroeder/Noteringer/Boersnotering.htm</v>
      </c>
    </row>
    <row r="148" spans="1:23" ht="12" customHeight="1">
      <c r="B148" s="509" t="s">
        <v>2400</v>
      </c>
      <c r="C148" s="509" t="s">
        <v>193</v>
      </c>
      <c r="D148" s="2009"/>
      <c r="E148" s="2011">
        <f>70%*E147</f>
        <v>1902.8799999999999</v>
      </c>
      <c r="F148" s="2011">
        <f>70%*F147</f>
        <v>1902.8799999999999</v>
      </c>
      <c r="G148" s="2011">
        <f>70%*G147</f>
        <v>1902.8799999999999</v>
      </c>
      <c r="H148" s="2011">
        <f>70%*H147</f>
        <v>1902.8799999999999</v>
      </c>
      <c r="I148" s="2008">
        <f>I147</f>
        <v>2013</v>
      </c>
      <c r="J148" s="2003" t="s">
        <v>2421</v>
      </c>
      <c r="K148" s="2005" t="s">
        <v>2420</v>
      </c>
    </row>
    <row r="149" spans="1:23" ht="12" customHeight="1">
      <c r="B149" s="509" t="s">
        <v>2277</v>
      </c>
      <c r="C149" s="509" t="s">
        <v>193</v>
      </c>
      <c r="D149" s="2009"/>
      <c r="E149" s="2088">
        <f>'Biogas ENS'!$K$219</f>
        <v>28.75</v>
      </c>
      <c r="F149" s="2088">
        <f>'Biogas ENS'!$K$219</f>
        <v>28.75</v>
      </c>
      <c r="G149" s="2088">
        <f>'Biogas ENS'!$K$219</f>
        <v>28.75</v>
      </c>
      <c r="H149" s="2088">
        <f>'Biogas ENS'!$K$219</f>
        <v>28.75</v>
      </c>
      <c r="I149" s="2008">
        <v>2011</v>
      </c>
      <c r="J149" s="1737"/>
      <c r="K149" s="2091" t="str">
        <f>CONCATENATE("Source: ",Referencer!$B$44)</f>
        <v>Source: 38, Biogas i Danmark - status, barrierer og perspektiver, Biogas Taskforce, November 2013, Kap 8, Biogasøkonomi. Ea-energianalyser har leveret den bagvedliggende data.</v>
      </c>
    </row>
    <row r="150" spans="1:23" ht="12" customHeight="1">
      <c r="B150" s="509" t="s">
        <v>1018</v>
      </c>
      <c r="C150" s="509" t="s">
        <v>193</v>
      </c>
      <c r="D150" s="2009"/>
      <c r="E150" s="2304">
        <v>6000</v>
      </c>
      <c r="F150" s="2304">
        <v>6000</v>
      </c>
      <c r="G150" s="2304">
        <v>6000</v>
      </c>
      <c r="H150" s="2304">
        <v>6000</v>
      </c>
      <c r="I150" s="1998">
        <v>2013</v>
      </c>
      <c r="J150" s="1737"/>
      <c r="K150" s="2091" t="s">
        <v>2422</v>
      </c>
    </row>
    <row r="151" spans="1:23" ht="12" customHeight="1">
      <c r="C151" s="664"/>
    </row>
    <row r="152" spans="1:23" ht="12" customHeight="1">
      <c r="B152" s="1856" t="s">
        <v>2273</v>
      </c>
      <c r="C152" s="664"/>
    </row>
    <row r="153" spans="1:23" ht="12" customHeight="1">
      <c r="B153" s="1989" t="s">
        <v>2212</v>
      </c>
      <c r="C153" s="1989" t="s">
        <v>2217</v>
      </c>
      <c r="D153" s="1989"/>
      <c r="E153" s="1989">
        <v>2012</v>
      </c>
      <c r="F153" s="1989">
        <v>2020</v>
      </c>
      <c r="G153" s="1989">
        <v>2035</v>
      </c>
      <c r="H153" s="1989">
        <v>2050</v>
      </c>
      <c r="I153" s="1989" t="s">
        <v>2223</v>
      </c>
      <c r="J153" s="1989" t="s">
        <v>146</v>
      </c>
      <c r="K153" s="1989" t="s">
        <v>2205</v>
      </c>
    </row>
    <row r="154" spans="1:23" ht="12" customHeight="1">
      <c r="B154" s="509" t="s">
        <v>2274</v>
      </c>
      <c r="C154" s="509" t="s">
        <v>170</v>
      </c>
      <c r="D154" s="2009"/>
      <c r="E154" s="2093">
        <f ca="1">Prices!M6</f>
        <v>376.29419483191936</v>
      </c>
      <c r="F154" s="2093">
        <f ca="1">Prices!N6</f>
        <v>534.77003063047073</v>
      </c>
      <c r="G154" s="2093">
        <f ca="1">Prices!O6</f>
        <v>725.48930265417573</v>
      </c>
      <c r="H154" s="2093">
        <f ca="1">Prices!P6</f>
        <v>725.48930265417573</v>
      </c>
      <c r="I154" s="509">
        <f>priceYear</f>
        <v>2015</v>
      </c>
      <c r="J154" s="2003" t="s">
        <v>2183</v>
      </c>
      <c r="K154" s="2005" t="str">
        <f>Referencer!$B$37</f>
        <v>31, Forudsætninger for samfundsøkonomiske analyser på energiområdet. Energistyrelsen. April 2011, opdateret dataark oktober 2012</v>
      </c>
    </row>
    <row r="155" spans="1:23" ht="12" customHeight="1">
      <c r="B155" s="509" t="s">
        <v>2275</v>
      </c>
      <c r="C155" s="2094" t="s">
        <v>29</v>
      </c>
      <c r="D155" s="2009"/>
      <c r="E155" s="2095">
        <f>C163</f>
        <v>0.94474816369359926</v>
      </c>
      <c r="F155" s="2095">
        <f>D163</f>
        <v>0.98474816369359919</v>
      </c>
      <c r="G155" s="2095">
        <f>E163</f>
        <v>0.98474816369359919</v>
      </c>
      <c r="H155" s="2095">
        <f>F163</f>
        <v>0.98474816369359919</v>
      </c>
      <c r="I155" s="2096"/>
      <c r="J155" s="1737"/>
      <c r="K155" s="1737"/>
    </row>
    <row r="156" spans="1:23" ht="12" customHeight="1">
      <c r="B156" s="509" t="s">
        <v>2276</v>
      </c>
      <c r="C156" s="2098" t="s">
        <v>23</v>
      </c>
      <c r="D156" s="2099"/>
      <c r="E156" s="2004">
        <f ca="1">E154*E155/3.6</f>
        <v>98.750902660004783</v>
      </c>
      <c r="F156" s="2004">
        <f ca="1">F154*F155/3.6</f>
        <v>146.28161268381271</v>
      </c>
      <c r="G156" s="2004">
        <f ca="1">G154*G155/3.6</f>
        <v>198.45118293556925</v>
      </c>
      <c r="H156" s="2004">
        <f ca="1">H154*H155/3.6</f>
        <v>198.45118293556925</v>
      </c>
      <c r="I156" s="2099"/>
      <c r="J156" s="2099"/>
      <c r="K156" s="1737"/>
    </row>
    <row r="157" spans="1:23" s="669" customFormat="1" ht="12" customHeight="1">
      <c r="A157" s="664"/>
      <c r="B157" s="664"/>
      <c r="C157" s="667"/>
      <c r="D157" s="664"/>
      <c r="E157" s="664"/>
      <c r="F157" s="664"/>
      <c r="G157" s="664"/>
      <c r="H157" s="664"/>
      <c r="I157" s="664"/>
      <c r="J157" s="664"/>
      <c r="K157" s="664"/>
      <c r="L157" s="664"/>
      <c r="M157" s="664"/>
      <c r="N157" s="664"/>
      <c r="O157" s="664"/>
      <c r="P157" s="664"/>
      <c r="Q157" s="664"/>
      <c r="R157" s="664"/>
      <c r="S157" s="664"/>
      <c r="T157" s="664"/>
      <c r="U157" s="664"/>
      <c r="V157" s="664"/>
      <c r="W157" s="664"/>
    </row>
    <row r="158" spans="1:23" ht="12" customHeight="1">
      <c r="A158" s="669"/>
      <c r="C158" s="664"/>
    </row>
    <row r="159" spans="1:23" ht="12" customHeight="1" thickBot="1">
      <c r="B159" s="454" t="s">
        <v>537</v>
      </c>
      <c r="C159" s="469"/>
      <c r="D159" s="469"/>
      <c r="E159" s="469"/>
    </row>
    <row r="160" spans="1:23" ht="12" customHeight="1">
      <c r="B160" s="472" t="s">
        <v>504</v>
      </c>
      <c r="C160" s="473">
        <v>2015</v>
      </c>
      <c r="D160" s="473">
        <v>2020</v>
      </c>
      <c r="E160" s="473">
        <v>2035</v>
      </c>
      <c r="F160" s="474">
        <v>2050</v>
      </c>
    </row>
    <row r="161" spans="2:23" ht="12" customHeight="1">
      <c r="B161" s="475" t="s">
        <v>502</v>
      </c>
      <c r="C161" s="2097">
        <v>283994</v>
      </c>
      <c r="D161" s="476"/>
      <c r="E161" s="476"/>
      <c r="F161" s="477"/>
    </row>
    <row r="162" spans="2:23" ht="12" customHeight="1">
      <c r="B162" s="475" t="s">
        <v>503</v>
      </c>
      <c r="C162" s="2097">
        <v>139613</v>
      </c>
      <c r="D162" s="507"/>
      <c r="E162" s="507"/>
      <c r="F162" s="477"/>
    </row>
    <row r="163" spans="2:23" ht="12" customHeight="1">
      <c r="B163" s="475" t="s">
        <v>48</v>
      </c>
      <c r="C163" s="2100">
        <f>(1-D164)*$C$165+C164*1</f>
        <v>0.94474816369359926</v>
      </c>
      <c r="D163" s="2100">
        <f>(1-D164)*$C$165+D164*1</f>
        <v>0.98474816369359919</v>
      </c>
      <c r="E163" s="2100">
        <f>(1-E164)*$C$165+E164*1</f>
        <v>0.98474816369359919</v>
      </c>
      <c r="F163" s="2422">
        <f>(1-F164)*$C$165+F164*1</f>
        <v>0.98474816369359919</v>
      </c>
    </row>
    <row r="164" spans="2:23" ht="12" customHeight="1">
      <c r="B164" s="475" t="s">
        <v>505</v>
      </c>
      <c r="C164" s="2084">
        <f>IF(Cockpit!$B$14=1,C168,C167)</f>
        <v>0.93</v>
      </c>
      <c r="D164" s="2084">
        <f>IF(Cockpit!$B$14=1,D168,D167)</f>
        <v>0.97</v>
      </c>
      <c r="E164" s="2084">
        <f>IF(Cockpit!$B$14=1,E168,E167)</f>
        <v>0.97</v>
      </c>
      <c r="F164" s="2102">
        <f>IF(Cockpit!$B$14=1,F168,F167)</f>
        <v>0.97</v>
      </c>
    </row>
    <row r="165" spans="2:23" ht="12" customHeight="1" thickBot="1">
      <c r="B165" s="481" t="s">
        <v>506</v>
      </c>
      <c r="C165" s="2103">
        <f>C162/C161</f>
        <v>0.49160545645330533</v>
      </c>
      <c r="D165" s="482"/>
      <c r="E165" s="482"/>
      <c r="F165" s="483"/>
    </row>
    <row r="166" spans="2:23" ht="12" customHeight="1" thickBot="1">
      <c r="C166" s="664"/>
    </row>
    <row r="167" spans="2:23" ht="12" customHeight="1">
      <c r="B167" s="472" t="s">
        <v>680</v>
      </c>
      <c r="C167" s="2106">
        <v>0.2</v>
      </c>
      <c r="D167" s="2106">
        <v>0.5</v>
      </c>
      <c r="E167" s="2106">
        <v>0.7</v>
      </c>
      <c r="F167" s="2107">
        <v>0.7</v>
      </c>
    </row>
    <row r="168" spans="2:23" ht="12" customHeight="1" thickBot="1">
      <c r="B168" s="481" t="s">
        <v>681</v>
      </c>
      <c r="C168" s="2109">
        <v>0.93</v>
      </c>
      <c r="D168" s="2109">
        <v>0.97</v>
      </c>
      <c r="E168" s="2109">
        <v>0.97</v>
      </c>
      <c r="F168" s="2110">
        <v>0.97</v>
      </c>
    </row>
    <row r="169" spans="2:23" ht="12" customHeight="1">
      <c r="Q169" s="669"/>
      <c r="R169" s="669"/>
      <c r="S169" s="669"/>
      <c r="T169" s="669"/>
      <c r="U169" s="669"/>
      <c r="V169" s="669"/>
      <c r="W169" s="669"/>
    </row>
    <row r="170" spans="2:23" ht="12" customHeight="1">
      <c r="B170" s="669"/>
      <c r="C170" s="2101"/>
      <c r="D170" s="669"/>
      <c r="E170" s="669"/>
      <c r="F170" s="669"/>
      <c r="G170" s="669"/>
      <c r="H170" s="669"/>
      <c r="I170" s="669"/>
      <c r="J170" s="669"/>
      <c r="K170" s="669"/>
      <c r="L170" s="669"/>
      <c r="M170" s="669"/>
      <c r="N170" s="669"/>
      <c r="O170" s="669"/>
      <c r="P170" s="669"/>
    </row>
    <row r="171" spans="2:23" ht="12" customHeight="1">
      <c r="B171" s="1856" t="s">
        <v>985</v>
      </c>
    </row>
    <row r="172" spans="2:23" ht="12" customHeight="1">
      <c r="B172" s="509"/>
      <c r="C172" s="509" t="s">
        <v>965</v>
      </c>
      <c r="D172" s="509" t="s">
        <v>1707</v>
      </c>
      <c r="E172" s="509">
        <v>2012</v>
      </c>
      <c r="F172" s="509">
        <v>2020</v>
      </c>
      <c r="G172" s="509">
        <v>2035</v>
      </c>
      <c r="H172" s="509">
        <v>2050</v>
      </c>
    </row>
    <row r="173" spans="2:23" ht="12" customHeight="1">
      <c r="B173" s="2104" t="s">
        <v>984</v>
      </c>
      <c r="C173" s="2104" t="s">
        <v>23</v>
      </c>
      <c r="D173" s="2104">
        <f>CHOOSE(chosenYear,E173,F173,G173,H173)</f>
        <v>-11.241974602766481</v>
      </c>
      <c r="E173" s="2105">
        <f>$C$181</f>
        <v>-11.241974602766481</v>
      </c>
      <c r="F173" s="2105">
        <f>C181</f>
        <v>-11.241974602766481</v>
      </c>
      <c r="G173" s="2105">
        <f>E179</f>
        <v>16.162941541669287</v>
      </c>
      <c r="H173" s="2105">
        <f>$F$178</f>
        <v>13.418307699947574</v>
      </c>
    </row>
    <row r="174" spans="2:23" ht="12" customHeight="1">
      <c r="B174" s="2104" t="s">
        <v>935</v>
      </c>
      <c r="C174" s="2104" t="s">
        <v>23</v>
      </c>
      <c r="D174" s="2104">
        <f>CHOOSE(chosenYear,E174,F174,G174,H174)</f>
        <v>-11.241974602766481</v>
      </c>
      <c r="E174" s="2108">
        <f>E173</f>
        <v>-11.241974602766481</v>
      </c>
      <c r="F174" s="2108">
        <f>F173</f>
        <v>-11.241974602766481</v>
      </c>
      <c r="G174" s="2108">
        <f>G173</f>
        <v>16.162941541669287</v>
      </c>
      <c r="H174" s="2108">
        <f>H173</f>
        <v>13.418307699947574</v>
      </c>
      <c r="I174" s="664" t="s">
        <v>1012</v>
      </c>
    </row>
    <row r="175" spans="2:23" ht="12" customHeight="1"/>
    <row r="176" spans="2:23" ht="12" customHeight="1">
      <c r="B176" s="1856" t="s">
        <v>957</v>
      </c>
    </row>
    <row r="177" spans="2:7" ht="12" customHeight="1">
      <c r="B177" s="509"/>
      <c r="C177" s="496">
        <v>2020</v>
      </c>
      <c r="D177" s="496">
        <v>2035</v>
      </c>
      <c r="E177" s="496">
        <v>2040</v>
      </c>
      <c r="F177" s="496">
        <v>2050</v>
      </c>
    </row>
    <row r="178" spans="2:7" ht="12" customHeight="1">
      <c r="B178" s="509" t="s">
        <v>953</v>
      </c>
      <c r="C178" s="2002">
        <v>8.9936092191084658</v>
      </c>
      <c r="D178" s="2002">
        <v>30.751908232142824</v>
      </c>
      <c r="E178" s="2002">
        <v>26.89999777161286</v>
      </c>
      <c r="F178" s="2111">
        <v>13.418307699947574</v>
      </c>
    </row>
    <row r="179" spans="2:7" ht="12" customHeight="1">
      <c r="B179" s="509" t="s">
        <v>954</v>
      </c>
      <c r="C179" s="2002">
        <v>13.784140576046054</v>
      </c>
      <c r="D179" s="2002">
        <v>30.691301304616069</v>
      </c>
      <c r="E179" s="2111">
        <v>16.162941541669287</v>
      </c>
      <c r="F179" s="2002">
        <v>0.32934453916269657</v>
      </c>
    </row>
    <row r="180" spans="2:7" ht="12" customHeight="1">
      <c r="B180" s="509" t="s">
        <v>955</v>
      </c>
      <c r="C180" s="2002">
        <v>-15.417061030518806</v>
      </c>
      <c r="D180" s="2002">
        <v>-2.3542551579828235</v>
      </c>
      <c r="E180" s="2002">
        <v>4.6330806967889817</v>
      </c>
      <c r="F180" s="2002">
        <v>5.8361864555178791</v>
      </c>
    </row>
    <row r="181" spans="2:7" ht="12" customHeight="1">
      <c r="B181" s="509" t="s">
        <v>956</v>
      </c>
      <c r="C181" s="2111">
        <v>-11.241974602766481</v>
      </c>
      <c r="D181" s="2002">
        <v>-3.5154798236661922</v>
      </c>
      <c r="E181" s="2002">
        <v>-3.652773311628418</v>
      </c>
      <c r="F181" s="2002">
        <v>-1.7863926140131574</v>
      </c>
    </row>
    <row r="182" spans="2:7" ht="12" customHeight="1">
      <c r="B182" s="664" t="s">
        <v>1013</v>
      </c>
    </row>
    <row r="183" spans="2:7" ht="12" customHeight="1"/>
    <row r="184" spans="2:7" ht="12" customHeight="1">
      <c r="B184" s="489"/>
      <c r="C184" s="489"/>
      <c r="D184" s="489"/>
      <c r="E184" s="489"/>
      <c r="F184" s="489"/>
      <c r="G184" s="489"/>
    </row>
    <row r="185" spans="2:7" ht="12" customHeight="1">
      <c r="B185" s="1856" t="s">
        <v>1010</v>
      </c>
      <c r="C185" s="489"/>
      <c r="D185" s="489"/>
      <c r="E185" s="489"/>
      <c r="F185" s="489"/>
      <c r="G185" s="489"/>
    </row>
    <row r="186" spans="2:7" ht="12" customHeight="1">
      <c r="B186" s="2104"/>
      <c r="C186" s="2104"/>
      <c r="D186" s="2104"/>
      <c r="E186" s="2104"/>
      <c r="F186" s="2104"/>
      <c r="G186" s="2104"/>
    </row>
    <row r="187" spans="2:7" ht="12" customHeight="1">
      <c r="B187" s="2104"/>
      <c r="C187" s="2104"/>
      <c r="D187" s="2112" t="s">
        <v>995</v>
      </c>
      <c r="E187" s="2112"/>
      <c r="F187" s="2104" t="s">
        <v>167</v>
      </c>
      <c r="G187" s="2104" t="s">
        <v>26</v>
      </c>
    </row>
    <row r="188" spans="2:7" ht="12" customHeight="1">
      <c r="B188" s="2104"/>
      <c r="C188" s="2104" t="s">
        <v>994</v>
      </c>
      <c r="D188" s="2104" t="s">
        <v>996</v>
      </c>
      <c r="E188" s="2104" t="s">
        <v>997</v>
      </c>
      <c r="F188" s="2104" t="s">
        <v>1009</v>
      </c>
      <c r="G188" s="2104" t="s">
        <v>1009</v>
      </c>
    </row>
    <row r="189" spans="2:7" ht="12" customHeight="1">
      <c r="B189" s="2104" t="s">
        <v>998</v>
      </c>
      <c r="C189" s="2104" t="s">
        <v>999</v>
      </c>
      <c r="D189" s="1998">
        <v>209.97491241830065</v>
      </c>
      <c r="E189" s="1998">
        <v>-32.449330005941775</v>
      </c>
      <c r="F189" s="2113">
        <v>-4.6855105678635179E-3</v>
      </c>
      <c r="G189" s="2113">
        <v>4.5195887086216268E-4</v>
      </c>
    </row>
    <row r="190" spans="2:7" ht="12" customHeight="1">
      <c r="B190" s="2104" t="s">
        <v>1000</v>
      </c>
      <c r="C190" s="2104" t="s">
        <v>999</v>
      </c>
      <c r="D190" s="1998">
        <v>342.24598930481289</v>
      </c>
      <c r="E190" s="1998">
        <v>99.821746880570416</v>
      </c>
      <c r="F190" s="2113">
        <v>0</v>
      </c>
      <c r="G190" s="2113">
        <v>0</v>
      </c>
    </row>
    <row r="191" spans="2:7" ht="12" customHeight="1">
      <c r="B191" s="2104" t="s">
        <v>1001</v>
      </c>
      <c r="C191" s="2104" t="s">
        <v>999</v>
      </c>
      <c r="D191" s="1998">
        <v>346.10371146761742</v>
      </c>
      <c r="E191" s="1998">
        <v>103.67946904337494</v>
      </c>
      <c r="F191" s="2113">
        <v>2.1553348612172132E-2</v>
      </c>
      <c r="G191" s="2113">
        <v>6.5209712277309526E-3</v>
      </c>
    </row>
    <row r="192" spans="2:7" ht="12" customHeight="1">
      <c r="B192" s="2104" t="s">
        <v>1002</v>
      </c>
      <c r="C192" s="2104" t="s">
        <v>999</v>
      </c>
      <c r="D192" s="1998">
        <v>333.22186714200831</v>
      </c>
      <c r="E192" s="1998">
        <v>90.797624717765899</v>
      </c>
      <c r="F192" s="2113">
        <v>2.6707410236821987E-2</v>
      </c>
      <c r="G192" s="2113">
        <v>5.730322567650591E-3</v>
      </c>
    </row>
    <row r="193" spans="2:12" ht="12" customHeight="1">
      <c r="B193" s="2104" t="s">
        <v>1011</v>
      </c>
      <c r="C193" s="2104" t="s">
        <v>999</v>
      </c>
      <c r="D193" s="1998">
        <v>322.55814854426626</v>
      </c>
      <c r="E193" s="1998">
        <v>80.133906120023767</v>
      </c>
      <c r="F193" s="2113">
        <v>9.3710211357270097E-3</v>
      </c>
      <c r="G193" s="2113">
        <v>-4.3424554618971364E-2</v>
      </c>
    </row>
    <row r="194" spans="2:12" ht="12" customHeight="1">
      <c r="B194" s="2104" t="s">
        <v>1003</v>
      </c>
      <c r="C194" s="2104" t="s">
        <v>999</v>
      </c>
      <c r="D194" s="1998">
        <v>368.21777397504457</v>
      </c>
      <c r="E194" s="1998">
        <v>125.79353155080214</v>
      </c>
      <c r="F194" s="2113">
        <v>5.9913952762923335E-2</v>
      </c>
      <c r="G194" s="2113">
        <v>-6.1010705257963432E-3</v>
      </c>
    </row>
    <row r="195" spans="2:12" ht="12" customHeight="1">
      <c r="B195" s="2104" t="s">
        <v>1004</v>
      </c>
      <c r="C195" s="2104" t="s">
        <v>1005</v>
      </c>
      <c r="D195" s="2374">
        <f>99.8215825435352-0.0981946428571429*1000</f>
        <v>1.6269396863923049</v>
      </c>
      <c r="E195" s="2374">
        <f>99.8215825435352-0.0981946428571429*1000</f>
        <v>1.6269396863923049</v>
      </c>
      <c r="F195" s="2375">
        <v>1.1880064259387682E-2</v>
      </c>
      <c r="G195" s="2375">
        <v>2.5066170651245529E-3</v>
      </c>
    </row>
    <row r="196" spans="2:12" ht="12" customHeight="1">
      <c r="B196" s="2104" t="s">
        <v>1006</v>
      </c>
      <c r="C196" s="2104" t="s">
        <v>1007</v>
      </c>
      <c r="D196" s="2114">
        <f>D191</f>
        <v>346.10371146761742</v>
      </c>
      <c r="E196" s="2114">
        <f>E191</f>
        <v>103.67946904337494</v>
      </c>
      <c r="F196" s="2115">
        <f>F191</f>
        <v>2.1553348612172132E-2</v>
      </c>
      <c r="G196" s="2115">
        <f>G191</f>
        <v>6.5209712277309526E-3</v>
      </c>
      <c r="H196" s="664" t="s">
        <v>1020</v>
      </c>
    </row>
    <row r="197" spans="2:12" ht="12" customHeight="1">
      <c r="B197" s="2104" t="s">
        <v>1008</v>
      </c>
      <c r="C197" s="2104" t="s">
        <v>1007</v>
      </c>
      <c r="D197" s="2114">
        <f>D194</f>
        <v>368.21777397504457</v>
      </c>
      <c r="E197" s="2114">
        <f>E194</f>
        <v>125.79353155080214</v>
      </c>
      <c r="F197" s="2115">
        <f>F194</f>
        <v>5.9913952762923335E-2</v>
      </c>
      <c r="G197" s="2115">
        <f>G194</f>
        <v>-6.1010705257963432E-3</v>
      </c>
      <c r="H197" s="664" t="s">
        <v>1021</v>
      </c>
    </row>
    <row r="198" spans="2:12" ht="12" customHeight="1">
      <c r="B198" s="664" t="s">
        <v>1014</v>
      </c>
    </row>
    <row r="199" spans="2:12" ht="12" customHeight="1"/>
    <row r="200" spans="2:12" ht="12" customHeight="1">
      <c r="B200" s="1856" t="s">
        <v>970</v>
      </c>
    </row>
    <row r="201" spans="2:12" ht="12" customHeight="1">
      <c r="B201" s="509"/>
      <c r="C201" s="509" t="s">
        <v>965</v>
      </c>
      <c r="D201" s="509">
        <v>2012</v>
      </c>
      <c r="E201" s="509">
        <v>2020</v>
      </c>
      <c r="F201" s="509">
        <v>2035</v>
      </c>
      <c r="G201" s="509">
        <v>2050</v>
      </c>
    </row>
    <row r="202" spans="2:12" ht="12" customHeight="1">
      <c r="B202" s="509" t="s">
        <v>969</v>
      </c>
      <c r="C202" s="509" t="s">
        <v>966</v>
      </c>
      <c r="D202" s="2004">
        <f t="shared" ref="D202:G204" si="16">$L$202*D205</f>
        <v>4.76</v>
      </c>
      <c r="E202" s="2004">
        <f t="shared" si="16"/>
        <v>4.8449999999999998</v>
      </c>
      <c r="F202" s="2004">
        <f t="shared" si="16"/>
        <v>5.0150000000000006</v>
      </c>
      <c r="G202" s="2004">
        <f t="shared" si="16"/>
        <v>5.0150000000000006</v>
      </c>
      <c r="I202" s="2116" t="s">
        <v>2242</v>
      </c>
      <c r="J202" s="1603"/>
      <c r="K202" s="1603"/>
      <c r="L202" s="2117">
        <v>0.85</v>
      </c>
    </row>
    <row r="203" spans="2:12" ht="12" customHeight="1">
      <c r="B203" s="509"/>
      <c r="C203" s="509" t="s">
        <v>967</v>
      </c>
      <c r="D203" s="2004">
        <f t="shared" si="16"/>
        <v>5.1849999999999996</v>
      </c>
      <c r="E203" s="2004">
        <f t="shared" si="16"/>
        <v>5.5249999999999995</v>
      </c>
      <c r="F203" s="2004">
        <f t="shared" si="16"/>
        <v>6.29</v>
      </c>
      <c r="G203" s="2004">
        <f t="shared" si="16"/>
        <v>6.9699999999999989</v>
      </c>
      <c r="I203" s="664" t="str">
        <f>"See page 82-83 of "&amp;Referencer!$B$63</f>
        <v xml:space="preserve">See page 82-83 of 57, Ea Enerrgy Analyses (2013)  "Analysis of biomass prices, future Danish prices for straw, wood chips and wood pellets (draft 21-03-2013)", </v>
      </c>
    </row>
    <row r="204" spans="2:12" ht="12" customHeight="1">
      <c r="B204" s="509"/>
      <c r="C204" s="509" t="s">
        <v>968</v>
      </c>
      <c r="D204" s="2004">
        <f t="shared" si="16"/>
        <v>5.6099999999999994</v>
      </c>
      <c r="E204" s="2004">
        <f t="shared" si="16"/>
        <v>6.0349999999999993</v>
      </c>
      <c r="F204" s="2004">
        <f t="shared" si="16"/>
        <v>7.2249999999999996</v>
      </c>
      <c r="G204" s="2004">
        <f t="shared" si="16"/>
        <v>8.67</v>
      </c>
      <c r="I204" s="801"/>
    </row>
    <row r="205" spans="2:12" ht="12" customHeight="1">
      <c r="B205" s="509" t="s">
        <v>971</v>
      </c>
      <c r="C205" s="509" t="s">
        <v>966</v>
      </c>
      <c r="D205" s="1999">
        <v>5.6</v>
      </c>
      <c r="E205" s="1999">
        <v>5.7</v>
      </c>
      <c r="F205" s="1999">
        <v>5.9</v>
      </c>
      <c r="G205" s="1999">
        <v>5.9</v>
      </c>
      <c r="I205" s="801"/>
    </row>
    <row r="206" spans="2:12" ht="12" customHeight="1">
      <c r="B206" s="509"/>
      <c r="C206" s="509" t="s">
        <v>967</v>
      </c>
      <c r="D206" s="1999">
        <v>6.1</v>
      </c>
      <c r="E206" s="1999">
        <v>6.5</v>
      </c>
      <c r="F206" s="1999">
        <v>7.4</v>
      </c>
      <c r="G206" s="1999">
        <v>8.1999999999999993</v>
      </c>
    </row>
    <row r="207" spans="2:12" ht="12" customHeight="1">
      <c r="B207" s="509"/>
      <c r="C207" s="509" t="s">
        <v>968</v>
      </c>
      <c r="D207" s="1999">
        <v>6.6</v>
      </c>
      <c r="E207" s="1999">
        <v>7.1</v>
      </c>
      <c r="F207" s="1999">
        <v>8.5</v>
      </c>
      <c r="G207" s="1999">
        <v>10.199999999999999</v>
      </c>
      <c r="I207" s="801"/>
    </row>
    <row r="208" spans="2:12" ht="12" customHeight="1">
      <c r="B208" s="509" t="s">
        <v>935</v>
      </c>
      <c r="C208" s="509" t="s">
        <v>966</v>
      </c>
      <c r="D208" s="1999">
        <v>7.6</v>
      </c>
      <c r="E208" s="1999">
        <v>7.7</v>
      </c>
      <c r="F208" s="1999">
        <v>7.7</v>
      </c>
      <c r="G208" s="1999">
        <v>7.7</v>
      </c>
      <c r="I208" s="801"/>
    </row>
    <row r="209" spans="2:9" ht="12" customHeight="1">
      <c r="B209" s="509"/>
      <c r="C209" s="509" t="s">
        <v>967</v>
      </c>
      <c r="D209" s="1999">
        <v>8.3000000000000007</v>
      </c>
      <c r="E209" s="1999">
        <v>8.5</v>
      </c>
      <c r="F209" s="1999">
        <v>9.1</v>
      </c>
      <c r="G209" s="1999">
        <v>9.6</v>
      </c>
    </row>
    <row r="210" spans="2:9" ht="12" customHeight="1">
      <c r="B210" s="509"/>
      <c r="C210" s="509" t="s">
        <v>968</v>
      </c>
      <c r="D210" s="1999">
        <v>8.8000000000000007</v>
      </c>
      <c r="E210" s="1999">
        <v>9</v>
      </c>
      <c r="F210" s="1999">
        <v>9.9</v>
      </c>
      <c r="G210" s="1999">
        <v>11</v>
      </c>
      <c r="I210" s="801"/>
    </row>
    <row r="211" spans="2:9" ht="12" customHeight="1">
      <c r="B211" s="489" t="str">
        <f>Referencer!$B$63&amp;", table 27"</f>
        <v>57, Ea Enerrgy Analyses (2013)  "Analysis of biomass prices, future Danish prices for straw, wood chips and wood pellets (draft 21-03-2013)", , table 27</v>
      </c>
      <c r="C211" s="664"/>
      <c r="I211" s="801"/>
    </row>
    <row r="212" spans="2:9" ht="12" customHeight="1">
      <c r="C212" s="664"/>
      <c r="I212" s="801"/>
    </row>
    <row r="213" spans="2:9" ht="12" customHeight="1">
      <c r="I213" s="801"/>
    </row>
    <row r="214" spans="2:9" ht="12" customHeight="1"/>
    <row r="215" spans="2:9" ht="12" customHeight="1">
      <c r="I215" s="801"/>
    </row>
    <row r="216" spans="2:9" ht="12" customHeight="1"/>
    <row r="217" spans="2:9" ht="12" customHeight="1">
      <c r="I217" s="801"/>
    </row>
    <row r="218" spans="2:9" ht="12" customHeight="1">
      <c r="I218" s="801"/>
    </row>
    <row r="219" spans="2:9" ht="12" customHeight="1"/>
    <row r="220" spans="2:9" ht="11.25" customHeight="1">
      <c r="I220" s="801"/>
    </row>
    <row r="221" spans="2:9">
      <c r="I221" s="801"/>
    </row>
    <row r="223" spans="2:9">
      <c r="I223" s="801"/>
    </row>
  </sheetData>
  <dataConsolidate link="1"/>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529" r:id="rId4" name="Button 25">
              <controlPr defaultSize="0" print="0" autoFill="0" autoPict="0" macro="[0]!GtOver">
                <anchor>
                  <from>
                    <xdr:col>7</xdr:col>
                    <xdr:colOff>514350</xdr:colOff>
                    <xdr:row>0</xdr:row>
                    <xdr:rowOff>38100</xdr:rowOff>
                  </from>
                  <to>
                    <xdr:col>9</xdr:col>
                    <xdr:colOff>381000</xdr:colOff>
                    <xdr:row>0</xdr:row>
                    <xdr:rowOff>238125</xdr:rowOff>
                  </to>
                </anchor>
              </controlPr>
            </control>
          </mc:Choice>
        </mc:AlternateContent>
        <mc:AlternateContent xmlns:mc="http://schemas.openxmlformats.org/markup-compatibility/2006">
          <mc:Choice Requires="x14">
            <control shapeId="21530" r:id="rId5" name="Button 26">
              <controlPr defaultSize="0" print="0" autoFill="0" autoPict="0" macro="[0]!GtRes">
                <anchor>
                  <from>
                    <xdr:col>9</xdr:col>
                    <xdr:colOff>552450</xdr:colOff>
                    <xdr:row>0</xdr:row>
                    <xdr:rowOff>38100</xdr:rowOff>
                  </from>
                  <to>
                    <xdr:col>11</xdr:col>
                    <xdr:colOff>66675</xdr:colOff>
                    <xdr:row>0</xdr:row>
                    <xdr:rowOff>238125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tabColor theme="8" tint="0.39997558519241921"/>
  </sheetPr>
  <dimension ref="A1:Z52"/>
  <sheetViews>
    <sheetView zoomScale="80" zoomScaleNormal="80" workbookViewId="0">
      <selection activeCell="R1" sqref="R1"/>
    </sheetView>
  </sheetViews>
  <sheetFormatPr defaultRowHeight="11.25"/>
  <cols>
    <col min="1" max="1" width="6.85546875" style="664" customWidth="1"/>
    <col min="2" max="2" width="22.28515625" style="664" customWidth="1"/>
    <col min="3" max="3" width="12.28515625" style="667" customWidth="1"/>
    <col min="4" max="4" width="9.140625" style="664" customWidth="1"/>
    <col min="5" max="5" width="11.28515625" style="664" customWidth="1"/>
    <col min="6" max="6" width="10.7109375" style="664" customWidth="1"/>
    <col min="7" max="7" width="8" style="664" customWidth="1"/>
    <col min="8" max="8" width="9.7109375" style="664" customWidth="1"/>
    <col min="9" max="11" width="8.42578125" style="664" customWidth="1"/>
    <col min="12" max="12" width="12.85546875" style="664" customWidth="1"/>
    <col min="13" max="13" width="25.85546875" style="664" customWidth="1"/>
    <col min="14" max="14" width="12.42578125" style="664" customWidth="1"/>
    <col min="15" max="17" width="8.42578125" style="664" customWidth="1"/>
    <col min="18" max="19" width="9.140625" style="664"/>
    <col min="20" max="20" width="8.85546875" style="664" customWidth="1"/>
    <col min="21" max="24" width="9.140625" style="664"/>
    <col min="25" max="25" width="77.85546875" style="664" customWidth="1"/>
    <col min="26" max="26" width="81.140625" style="664" customWidth="1"/>
    <col min="27" max="16384" width="9.140625" style="664"/>
  </cols>
  <sheetData>
    <row r="1" spans="1:26" s="465" customFormat="1" ht="21">
      <c r="A1" s="465" t="s">
        <v>717</v>
      </c>
      <c r="C1" s="466"/>
      <c r="P1" s="467">
        <f ca="1">'Log2015'!M1</f>
        <v>-8.0112614142160741</v>
      </c>
      <c r="Q1" s="468">
        <f ca="1">'Log2015'!M1</f>
        <v>-8.0112614142160741</v>
      </c>
      <c r="R1" s="465">
        <f ca="1">'Log2015'!N1</f>
        <v>-160807.124977848</v>
      </c>
    </row>
    <row r="2" spans="1:26" s="489" customFormat="1" ht="13.5" customHeight="1">
      <c r="A2" s="489" t="s">
        <v>718</v>
      </c>
      <c r="C2" s="488"/>
    </row>
    <row r="3" spans="1:26" s="489" customFormat="1" ht="13.5" customHeight="1">
      <c r="A3" s="489" t="s">
        <v>748</v>
      </c>
      <c r="C3" s="488"/>
    </row>
    <row r="4" spans="1:26" s="489" customFormat="1" ht="13.5" customHeight="1"/>
    <row r="5" spans="1:26" s="489" customFormat="1" ht="13.5" customHeight="1">
      <c r="B5" s="1713" t="s">
        <v>751</v>
      </c>
      <c r="M5" s="1754"/>
      <c r="N5" s="1755"/>
      <c r="O5" s="1756"/>
      <c r="P5" s="1757" t="s">
        <v>2161</v>
      </c>
      <c r="Q5" s="1758"/>
      <c r="R5" s="1758"/>
      <c r="S5" s="1757" t="s">
        <v>2162</v>
      </c>
      <c r="T5" s="1758"/>
      <c r="U5" s="1758"/>
      <c r="V5" s="1759"/>
      <c r="W5" s="1757" t="s">
        <v>2169</v>
      </c>
      <c r="X5" s="1759"/>
      <c r="Y5" s="1977" t="s">
        <v>2204</v>
      </c>
      <c r="Z5" s="1977" t="s">
        <v>2205</v>
      </c>
    </row>
    <row r="6" spans="1:26" s="489" customFormat="1" ht="13.5" customHeight="1">
      <c r="B6" s="1754" t="s">
        <v>723</v>
      </c>
      <c r="C6" s="753" t="s">
        <v>2168</v>
      </c>
      <c r="D6" s="753" t="s">
        <v>2166</v>
      </c>
      <c r="E6" s="1771" t="s">
        <v>2189</v>
      </c>
      <c r="F6" s="1960" t="s">
        <v>24</v>
      </c>
      <c r="G6" s="1771" t="s">
        <v>27</v>
      </c>
      <c r="H6" s="1771" t="s">
        <v>28</v>
      </c>
      <c r="I6" s="1771" t="s">
        <v>26</v>
      </c>
      <c r="J6" s="1771" t="s">
        <v>25</v>
      </c>
      <c r="K6" s="1772" t="s">
        <v>45</v>
      </c>
      <c r="M6" s="1765"/>
      <c r="N6" s="1766"/>
      <c r="O6" s="1777" t="s">
        <v>2160</v>
      </c>
      <c r="P6" s="1768" t="s">
        <v>723</v>
      </c>
      <c r="Q6" s="715" t="s">
        <v>963</v>
      </c>
      <c r="R6" s="715" t="s">
        <v>2168</v>
      </c>
      <c r="S6" s="1765" t="s">
        <v>723</v>
      </c>
      <c r="T6" s="773" t="s">
        <v>2166</v>
      </c>
      <c r="U6" s="773" t="s">
        <v>963</v>
      </c>
      <c r="V6" s="1766" t="s">
        <v>2168</v>
      </c>
      <c r="W6" s="1765" t="s">
        <v>2170</v>
      </c>
      <c r="X6" s="1766" t="s">
        <v>2166</v>
      </c>
      <c r="Y6" s="1766"/>
      <c r="Z6" s="1766"/>
    </row>
    <row r="7" spans="1:26" s="489" customFormat="1" ht="13.5" customHeight="1">
      <c r="B7" s="1778"/>
      <c r="C7" s="774" t="s">
        <v>23</v>
      </c>
      <c r="D7" s="774" t="s">
        <v>334</v>
      </c>
      <c r="E7" s="774" t="s">
        <v>334</v>
      </c>
      <c r="F7" s="1778" t="s">
        <v>74</v>
      </c>
      <c r="G7" s="774" t="s">
        <v>74</v>
      </c>
      <c r="H7" s="774" t="s">
        <v>74</v>
      </c>
      <c r="I7" s="774" t="s">
        <v>74</v>
      </c>
      <c r="J7" s="774" t="s">
        <v>74</v>
      </c>
      <c r="K7" s="1779" t="s">
        <v>74</v>
      </c>
      <c r="M7" s="1761"/>
      <c r="N7" s="1762" t="s">
        <v>70</v>
      </c>
      <c r="O7" s="1781" t="s">
        <v>2157</v>
      </c>
      <c r="P7" s="1936" t="s">
        <v>2159</v>
      </c>
      <c r="Q7" s="1937" t="s">
        <v>334</v>
      </c>
      <c r="R7" s="1937" t="s">
        <v>23</v>
      </c>
      <c r="S7" s="850" t="s">
        <v>2127</v>
      </c>
      <c r="T7" s="556"/>
      <c r="U7" s="556"/>
      <c r="V7" s="851"/>
      <c r="W7" s="1782"/>
      <c r="X7" s="1783"/>
      <c r="Y7" s="1783"/>
      <c r="Z7" s="1783"/>
    </row>
    <row r="8" spans="1:26" s="489" customFormat="1" ht="13.5" customHeight="1">
      <c r="B8" s="1938" t="str">
        <f t="shared" ref="B8:B27" si="0">M8</f>
        <v>Ingen</v>
      </c>
      <c r="C8" s="1966">
        <f t="shared" ref="C8:C27" ca="1" si="1">R8</f>
        <v>0</v>
      </c>
      <c r="D8" s="1957">
        <f t="shared" ref="D8:D27" si="2">T8</f>
        <v>0</v>
      </c>
      <c r="E8" s="1955">
        <f t="shared" ref="E8:E27" si="3">Q8</f>
        <v>0</v>
      </c>
      <c r="F8" s="1939">
        <f t="shared" ref="F8:K17" si="4">($Q8*F$30+$U8*F$31)/1000</f>
        <v>0</v>
      </c>
      <c r="G8" s="1939">
        <f t="shared" si="4"/>
        <v>0</v>
      </c>
      <c r="H8" s="1939">
        <f t="shared" si="4"/>
        <v>0</v>
      </c>
      <c r="I8" s="1939">
        <f t="shared" si="4"/>
        <v>0</v>
      </c>
      <c r="J8" s="1939">
        <f t="shared" si="4"/>
        <v>0</v>
      </c>
      <c r="K8" s="1940">
        <f t="shared" si="4"/>
        <v>0</v>
      </c>
      <c r="M8" s="1765" t="s">
        <v>747</v>
      </c>
      <c r="N8" s="1766" t="s">
        <v>18</v>
      </c>
      <c r="O8" s="1775">
        <v>0</v>
      </c>
      <c r="P8" s="1734" t="s">
        <v>2127</v>
      </c>
      <c r="Q8" s="1767">
        <f t="shared" ref="Q8:Q27" si="5">IF(O8&gt;0,HLOOKUP(P8,$O$39:$R$44,6,0)/O8,0)</f>
        <v>0</v>
      </c>
      <c r="R8" s="1944">
        <f ca="1">$O$31*IF(O8&gt;0,$O$30/O8,0)</f>
        <v>0</v>
      </c>
      <c r="S8" s="1765" t="s">
        <v>2127</v>
      </c>
      <c r="T8" s="1978"/>
      <c r="U8" s="1978"/>
      <c r="V8" s="1979"/>
      <c r="W8" s="1946">
        <f t="shared" ref="W8:W27" si="6">Q8+U8</f>
        <v>0</v>
      </c>
      <c r="X8" s="1953">
        <f>T8</f>
        <v>0</v>
      </c>
      <c r="Y8" s="1953"/>
      <c r="Z8" s="1953"/>
    </row>
    <row r="9" spans="1:26" s="489" customFormat="1" ht="13.5" customHeight="1">
      <c r="B9" s="1938" t="str">
        <f t="shared" si="0"/>
        <v>1. g. ethanol E85</v>
      </c>
      <c r="C9" s="1966">
        <f t="shared" ca="1" si="1"/>
        <v>45.169700608586538</v>
      </c>
      <c r="D9" s="1957">
        <f t="shared" si="2"/>
        <v>0</v>
      </c>
      <c r="E9" s="1955">
        <f t="shared" si="3"/>
        <v>1.7392204987123139E-3</v>
      </c>
      <c r="F9" s="1939">
        <f t="shared" si="4"/>
        <v>0.12870231690471123</v>
      </c>
      <c r="G9" s="1939">
        <f t="shared" si="4"/>
        <v>9.0439465933040339E-6</v>
      </c>
      <c r="H9" s="1939">
        <f t="shared" si="4"/>
        <v>5.3915835460081734E-6</v>
      </c>
      <c r="I9" s="1939">
        <f t="shared" si="4"/>
        <v>8.6961024935615694E-7</v>
      </c>
      <c r="J9" s="1939">
        <f t="shared" si="4"/>
        <v>1.161973215189697E-3</v>
      </c>
      <c r="K9" s="1940">
        <f t="shared" si="4"/>
        <v>2.1609665106877572E-5</v>
      </c>
      <c r="M9" s="1765" t="s">
        <v>339</v>
      </c>
      <c r="N9" s="1766" t="s">
        <v>2140</v>
      </c>
      <c r="O9" s="1775">
        <f>Supplementary!$E$187</f>
        <v>22.914479999999998</v>
      </c>
      <c r="P9" s="1734" t="s">
        <v>2164</v>
      </c>
      <c r="Q9" s="1767">
        <f t="shared" si="5"/>
        <v>1.7392204987123139E-3</v>
      </c>
      <c r="R9" s="1944">
        <f t="shared" ref="R9:R27" ca="1" si="7">$O$31*IF(O9&gt;0,$O$30/O9,0)</f>
        <v>45.169700608586538</v>
      </c>
      <c r="S9" s="1765" t="s">
        <v>2127</v>
      </c>
      <c r="T9" s="1978"/>
      <c r="U9" s="1978"/>
      <c r="V9" s="1979"/>
      <c r="W9" s="1946">
        <f t="shared" si="6"/>
        <v>1.7392204987123139E-3</v>
      </c>
      <c r="X9" s="1953">
        <f t="shared" ref="X9:X27" si="8">T9</f>
        <v>0</v>
      </c>
      <c r="Y9" s="1953"/>
      <c r="Z9" s="1953"/>
    </row>
    <row r="10" spans="1:26" s="489" customFormat="1" ht="13.5" customHeight="1">
      <c r="B10" s="1938" t="str">
        <f t="shared" si="0"/>
        <v>2. g. ethanol E85</v>
      </c>
      <c r="C10" s="1966">
        <f t="shared" ca="1" si="1"/>
        <v>45.169700608586538</v>
      </c>
      <c r="D10" s="1957">
        <f t="shared" si="2"/>
        <v>0</v>
      </c>
      <c r="E10" s="1955">
        <f t="shared" si="3"/>
        <v>1.7392204987123139E-3</v>
      </c>
      <c r="F10" s="1939">
        <f t="shared" si="4"/>
        <v>0.12870231690471123</v>
      </c>
      <c r="G10" s="1939">
        <f t="shared" si="4"/>
        <v>9.0439465933040339E-6</v>
      </c>
      <c r="H10" s="1939">
        <f t="shared" si="4"/>
        <v>5.3915835460081734E-6</v>
      </c>
      <c r="I10" s="1939">
        <f t="shared" si="4"/>
        <v>8.6961024935615694E-7</v>
      </c>
      <c r="J10" s="1939">
        <f t="shared" si="4"/>
        <v>1.161973215189697E-3</v>
      </c>
      <c r="K10" s="1940">
        <f t="shared" si="4"/>
        <v>2.1609665106877572E-5</v>
      </c>
      <c r="M10" s="1765" t="s">
        <v>340</v>
      </c>
      <c r="N10" s="1766" t="s">
        <v>2140</v>
      </c>
      <c r="O10" s="1775">
        <f>Supplementary!$E$187</f>
        <v>22.914479999999998</v>
      </c>
      <c r="P10" s="1734" t="s">
        <v>2164</v>
      </c>
      <c r="Q10" s="1767">
        <f t="shared" si="5"/>
        <v>1.7392204987123139E-3</v>
      </c>
      <c r="R10" s="1944">
        <f t="shared" ca="1" si="7"/>
        <v>45.169700608586538</v>
      </c>
      <c r="S10" s="1765" t="s">
        <v>2127</v>
      </c>
      <c r="T10" s="1978"/>
      <c r="U10" s="1978"/>
      <c r="V10" s="1979"/>
      <c r="W10" s="1946">
        <f t="shared" si="6"/>
        <v>1.7392204987123139E-3</v>
      </c>
      <c r="X10" s="1953">
        <f t="shared" si="8"/>
        <v>0</v>
      </c>
      <c r="Y10" s="1953"/>
      <c r="Z10" s="1953"/>
    </row>
    <row r="11" spans="1:26" s="489" customFormat="1" ht="13.5" customHeight="1">
      <c r="B11" s="1938" t="str">
        <f t="shared" si="0"/>
        <v>Ethanol</v>
      </c>
      <c r="C11" s="1966">
        <f t="shared" ca="1" si="1"/>
        <v>48.64093580592521</v>
      </c>
      <c r="D11" s="1957">
        <f t="shared" si="2"/>
        <v>0</v>
      </c>
      <c r="E11" s="1955">
        <f t="shared" si="3"/>
        <v>1.8728774264696667E-3</v>
      </c>
      <c r="F11" s="1939">
        <f t="shared" si="4"/>
        <v>0.13859292955875535</v>
      </c>
      <c r="G11" s="1939">
        <f t="shared" si="4"/>
        <v>9.7389626176422683E-6</v>
      </c>
      <c r="H11" s="1939">
        <f t="shared" si="4"/>
        <v>5.8059200220559666E-6</v>
      </c>
      <c r="I11" s="1939">
        <f t="shared" si="4"/>
        <v>9.364387132348333E-7</v>
      </c>
      <c r="J11" s="1939">
        <f t="shared" si="4"/>
        <v>1.2512694086243843E-3</v>
      </c>
      <c r="K11" s="1940">
        <f t="shared" si="4"/>
        <v>2.3270340938486592E-5</v>
      </c>
      <c r="M11" s="1765" t="s">
        <v>88</v>
      </c>
      <c r="N11" s="1766" t="s">
        <v>18</v>
      </c>
      <c r="O11" s="1775">
        <f>Supplementary!G161</f>
        <v>21.279200000000003</v>
      </c>
      <c r="P11" s="1734" t="s">
        <v>2164</v>
      </c>
      <c r="Q11" s="1767">
        <f t="shared" si="5"/>
        <v>1.8728774264696667E-3</v>
      </c>
      <c r="R11" s="1944">
        <f t="shared" ca="1" si="7"/>
        <v>48.64093580592521</v>
      </c>
      <c r="S11" s="1765" t="s">
        <v>2127</v>
      </c>
      <c r="T11" s="1978"/>
      <c r="U11" s="1978"/>
      <c r="V11" s="1979"/>
      <c r="W11" s="1946">
        <f t="shared" si="6"/>
        <v>1.8728774264696667E-3</v>
      </c>
      <c r="X11" s="1953">
        <f t="shared" si="8"/>
        <v>0</v>
      </c>
      <c r="Y11" s="1953"/>
      <c r="Z11" s="1953"/>
    </row>
    <row r="12" spans="1:26" s="489" customFormat="1" ht="13.5" customHeight="1">
      <c r="B12" s="1938" t="str">
        <f t="shared" si="0"/>
        <v>RME</v>
      </c>
      <c r="C12" s="1966">
        <f t="shared" ca="1" si="1"/>
        <v>34.291021773172673</v>
      </c>
      <c r="D12" s="1957">
        <f t="shared" si="2"/>
        <v>0</v>
      </c>
      <c r="E12" s="1955">
        <f t="shared" si="3"/>
        <v>1.3203463203463207E-3</v>
      </c>
      <c r="F12" s="1939">
        <f t="shared" si="4"/>
        <v>9.770562770562774E-2</v>
      </c>
      <c r="G12" s="1939">
        <f t="shared" si="4"/>
        <v>6.8658008658008676E-6</v>
      </c>
      <c r="H12" s="1939">
        <f t="shared" si="4"/>
        <v>4.0930735930735945E-6</v>
      </c>
      <c r="I12" s="1939">
        <f t="shared" si="4"/>
        <v>6.6017316017316031E-7</v>
      </c>
      <c r="J12" s="1939">
        <f t="shared" si="4"/>
        <v>8.8212337662337697E-4</v>
      </c>
      <c r="K12" s="1940">
        <f t="shared" si="4"/>
        <v>1.6405189467871852E-5</v>
      </c>
      <c r="M12" s="1765" t="s">
        <v>10</v>
      </c>
      <c r="N12" s="1766" t="s">
        <v>2141</v>
      </c>
      <c r="O12" s="1775">
        <f>Supplementary!$G$166</f>
        <v>30.183999999999997</v>
      </c>
      <c r="P12" s="1734" t="s">
        <v>2164</v>
      </c>
      <c r="Q12" s="1767">
        <f t="shared" si="5"/>
        <v>1.3203463203463207E-3</v>
      </c>
      <c r="R12" s="1944">
        <f t="shared" ca="1" si="7"/>
        <v>34.291021773172673</v>
      </c>
      <c r="S12" s="1765" t="s">
        <v>2127</v>
      </c>
      <c r="T12" s="1978"/>
      <c r="U12" s="1978"/>
      <c r="V12" s="1979"/>
      <c r="W12" s="1946">
        <f t="shared" si="6"/>
        <v>1.3203463203463207E-3</v>
      </c>
      <c r="X12" s="1953">
        <f t="shared" si="8"/>
        <v>0</v>
      </c>
      <c r="Y12" s="1953"/>
      <c r="Z12" s="1953"/>
    </row>
    <row r="13" spans="1:26" s="489" customFormat="1" ht="13.5" customHeight="1">
      <c r="B13" s="1938" t="str">
        <f t="shared" si="0"/>
        <v>Bio-olie</v>
      </c>
      <c r="C13" s="1966">
        <f t="shared" ca="1" si="1"/>
        <v>34.291021773172673</v>
      </c>
      <c r="D13" s="1957">
        <f t="shared" si="2"/>
        <v>0</v>
      </c>
      <c r="E13" s="1955">
        <f t="shared" si="3"/>
        <v>1.3203463203463207E-3</v>
      </c>
      <c r="F13" s="1939">
        <f t="shared" si="4"/>
        <v>9.770562770562774E-2</v>
      </c>
      <c r="G13" s="1939">
        <f t="shared" si="4"/>
        <v>6.8658008658008676E-6</v>
      </c>
      <c r="H13" s="1939">
        <f t="shared" si="4"/>
        <v>4.0930735930735945E-6</v>
      </c>
      <c r="I13" s="1939">
        <f t="shared" si="4"/>
        <v>6.6017316017316031E-7</v>
      </c>
      <c r="J13" s="1939">
        <f t="shared" si="4"/>
        <v>8.8212337662337697E-4</v>
      </c>
      <c r="K13" s="1940">
        <f t="shared" si="4"/>
        <v>1.6405189467871852E-5</v>
      </c>
      <c r="M13" s="1765" t="s">
        <v>54</v>
      </c>
      <c r="N13" s="1766" t="s">
        <v>2142</v>
      </c>
      <c r="O13" s="1775">
        <f>Supplementary!$G$166</f>
        <v>30.183999999999997</v>
      </c>
      <c r="P13" s="1734" t="s">
        <v>2164</v>
      </c>
      <c r="Q13" s="1767">
        <f t="shared" si="5"/>
        <v>1.3203463203463207E-3</v>
      </c>
      <c r="R13" s="1944">
        <f t="shared" ca="1" si="7"/>
        <v>34.291021773172673</v>
      </c>
      <c r="S13" s="1765" t="s">
        <v>2127</v>
      </c>
      <c r="T13" s="1978"/>
      <c r="U13" s="1978"/>
      <c r="V13" s="1979"/>
      <c r="W13" s="1946">
        <f t="shared" si="6"/>
        <v>1.3203463203463207E-3</v>
      </c>
      <c r="X13" s="1953">
        <f t="shared" si="8"/>
        <v>0</v>
      </c>
      <c r="Y13" s="1953"/>
      <c r="Z13" s="1953"/>
    </row>
    <row r="14" spans="1:26" s="489" customFormat="1" ht="13.5" customHeight="1">
      <c r="B14" s="1938" t="str">
        <f t="shared" si="0"/>
        <v>Naturgas raffinering</v>
      </c>
      <c r="C14" s="1966">
        <f t="shared" ca="1" si="1"/>
        <v>0</v>
      </c>
      <c r="D14" s="1957">
        <f t="shared" si="2"/>
        <v>0</v>
      </c>
      <c r="E14" s="1955">
        <f t="shared" si="3"/>
        <v>0</v>
      </c>
      <c r="F14" s="1939">
        <f t="shared" si="4"/>
        <v>0</v>
      </c>
      <c r="G14" s="1939">
        <f t="shared" si="4"/>
        <v>0</v>
      </c>
      <c r="H14" s="1939">
        <f t="shared" si="4"/>
        <v>0</v>
      </c>
      <c r="I14" s="1939">
        <f t="shared" si="4"/>
        <v>0</v>
      </c>
      <c r="J14" s="1939">
        <f t="shared" si="4"/>
        <v>0</v>
      </c>
      <c r="K14" s="1940">
        <f t="shared" si="4"/>
        <v>0</v>
      </c>
      <c r="M14" s="1765" t="s">
        <v>353</v>
      </c>
      <c r="N14" s="1766" t="s">
        <v>2143</v>
      </c>
      <c r="O14" s="1775"/>
      <c r="P14" s="1734" t="s">
        <v>2127</v>
      </c>
      <c r="Q14" s="1767">
        <f t="shared" si="5"/>
        <v>0</v>
      </c>
      <c r="R14" s="1944">
        <f t="shared" ca="1" si="7"/>
        <v>0</v>
      </c>
      <c r="S14" s="1765" t="s">
        <v>2127</v>
      </c>
      <c r="T14" s="1978"/>
      <c r="U14" s="1978"/>
      <c r="V14" s="1979"/>
      <c r="W14" s="1946">
        <f t="shared" si="6"/>
        <v>0</v>
      </c>
      <c r="X14" s="1953">
        <f t="shared" si="8"/>
        <v>0</v>
      </c>
      <c r="Y14" s="1953"/>
      <c r="Z14" s="1953"/>
    </row>
    <row r="15" spans="1:26" s="489" customFormat="1" ht="13.5" customHeight="1">
      <c r="B15" s="1938" t="str">
        <f t="shared" si="0"/>
        <v>MeOH</v>
      </c>
      <c r="C15" s="1966">
        <f t="shared" ca="1" si="1"/>
        <v>65.588991692475233</v>
      </c>
      <c r="D15" s="1957">
        <f t="shared" si="2"/>
        <v>0</v>
      </c>
      <c r="E15" s="1955">
        <f t="shared" si="3"/>
        <v>2.5254477515784051E-3</v>
      </c>
      <c r="F15" s="1939">
        <f t="shared" si="4"/>
        <v>0.18688313361680198</v>
      </c>
      <c r="G15" s="1939">
        <f t="shared" si="4"/>
        <v>1.3132328308207706E-5</v>
      </c>
      <c r="H15" s="1939">
        <f t="shared" si="4"/>
        <v>7.8288880298930559E-6</v>
      </c>
      <c r="I15" s="1939">
        <f t="shared" si="4"/>
        <v>1.2627238757892025E-6</v>
      </c>
      <c r="J15" s="1939">
        <f t="shared" si="4"/>
        <v>1.6872516428295325E-3</v>
      </c>
      <c r="K15" s="1940">
        <f t="shared" si="4"/>
        <v>3.1378471100663718E-5</v>
      </c>
      <c r="M15" s="1765" t="s">
        <v>82</v>
      </c>
      <c r="N15" s="1766" t="s">
        <v>2144</v>
      </c>
      <c r="O15" s="1775">
        <f>Supplementary!G174</f>
        <v>15.7807</v>
      </c>
      <c r="P15" s="1734" t="s">
        <v>2164</v>
      </c>
      <c r="Q15" s="1767">
        <f t="shared" si="5"/>
        <v>2.5254477515784051E-3</v>
      </c>
      <c r="R15" s="1944">
        <f t="shared" ca="1" si="7"/>
        <v>65.588991692475233</v>
      </c>
      <c r="S15" s="1765" t="s">
        <v>2127</v>
      </c>
      <c r="T15" s="1978"/>
      <c r="U15" s="1978"/>
      <c r="V15" s="1979"/>
      <c r="W15" s="1946">
        <f t="shared" si="6"/>
        <v>2.5254477515784051E-3</v>
      </c>
      <c r="X15" s="1953">
        <f t="shared" si="8"/>
        <v>0</v>
      </c>
      <c r="Y15" s="1953"/>
      <c r="Z15" s="1953"/>
    </row>
    <row r="16" spans="1:26" s="489" customFormat="1" ht="13.5" customHeight="1">
      <c r="B16" s="1938" t="str">
        <f t="shared" si="0"/>
        <v>Brint</v>
      </c>
      <c r="C16" s="1966">
        <f t="shared" ca="1" si="1"/>
        <v>0</v>
      </c>
      <c r="D16" s="1957">
        <f t="shared" si="2"/>
        <v>0</v>
      </c>
      <c r="E16" s="1955">
        <f t="shared" si="3"/>
        <v>0</v>
      </c>
      <c r="F16" s="1939">
        <f t="shared" si="4"/>
        <v>0</v>
      </c>
      <c r="G16" s="1939">
        <f t="shared" si="4"/>
        <v>0</v>
      </c>
      <c r="H16" s="1939">
        <f t="shared" si="4"/>
        <v>0</v>
      </c>
      <c r="I16" s="1939">
        <f t="shared" si="4"/>
        <v>0</v>
      </c>
      <c r="J16" s="1939">
        <f t="shared" si="4"/>
        <v>0</v>
      </c>
      <c r="K16" s="1940">
        <f t="shared" si="4"/>
        <v>0</v>
      </c>
      <c r="M16" s="1765" t="s">
        <v>12</v>
      </c>
      <c r="N16" s="1766" t="s">
        <v>2145</v>
      </c>
      <c r="O16" s="1775"/>
      <c r="P16" s="1734" t="s">
        <v>2127</v>
      </c>
      <c r="Q16" s="1767">
        <f t="shared" si="5"/>
        <v>0</v>
      </c>
      <c r="R16" s="1944">
        <f t="shared" ca="1" si="7"/>
        <v>0</v>
      </c>
      <c r="S16" s="1765" t="s">
        <v>2167</v>
      </c>
      <c r="T16" s="1978"/>
      <c r="U16" s="1978"/>
      <c r="V16" s="1979"/>
      <c r="W16" s="1946">
        <f t="shared" si="6"/>
        <v>0</v>
      </c>
      <c r="X16" s="1953">
        <f t="shared" si="8"/>
        <v>0</v>
      </c>
      <c r="Y16" s="1953"/>
      <c r="Z16" s="1953"/>
    </row>
    <row r="17" spans="2:26" s="489" customFormat="1" ht="13.5" customHeight="1">
      <c r="B17" s="1938" t="str">
        <f t="shared" si="0"/>
        <v>El i batteri</v>
      </c>
      <c r="C17" s="1966">
        <f t="shared" ca="1" si="1"/>
        <v>0</v>
      </c>
      <c r="D17" s="1957">
        <f t="shared" si="2"/>
        <v>0</v>
      </c>
      <c r="E17" s="1955">
        <f t="shared" si="3"/>
        <v>0</v>
      </c>
      <c r="F17" s="1939">
        <f t="shared" si="4"/>
        <v>0</v>
      </c>
      <c r="G17" s="1939">
        <f t="shared" si="4"/>
        <v>0</v>
      </c>
      <c r="H17" s="1939">
        <f t="shared" si="4"/>
        <v>0</v>
      </c>
      <c r="I17" s="1939">
        <f t="shared" si="4"/>
        <v>0</v>
      </c>
      <c r="J17" s="1939">
        <f t="shared" si="4"/>
        <v>0</v>
      </c>
      <c r="K17" s="1940">
        <f t="shared" si="4"/>
        <v>0</v>
      </c>
      <c r="M17" s="1765" t="s">
        <v>244</v>
      </c>
      <c r="N17" s="1766" t="s">
        <v>2149</v>
      </c>
      <c r="O17" s="1775"/>
      <c r="P17" s="1734" t="s">
        <v>2127</v>
      </c>
      <c r="Q17" s="1767">
        <f t="shared" si="5"/>
        <v>0</v>
      </c>
      <c r="R17" s="1944">
        <f t="shared" ca="1" si="7"/>
        <v>0</v>
      </c>
      <c r="S17" s="1765" t="s">
        <v>2167</v>
      </c>
      <c r="T17" s="1978"/>
      <c r="U17" s="1978"/>
      <c r="V17" s="1979"/>
      <c r="W17" s="1946">
        <f t="shared" si="6"/>
        <v>0</v>
      </c>
      <c r="X17" s="1953">
        <f t="shared" si="8"/>
        <v>0</v>
      </c>
      <c r="Y17" s="1953"/>
      <c r="Z17" s="1953"/>
    </row>
    <row r="18" spans="2:26" s="489" customFormat="1" ht="13.5" customHeight="1">
      <c r="B18" s="1938" t="str">
        <f t="shared" si="0"/>
        <v>DME</v>
      </c>
      <c r="C18" s="1966">
        <f t="shared" ca="1" si="1"/>
        <v>54.3956380702882</v>
      </c>
      <c r="D18" s="1957">
        <f t="shared" si="2"/>
        <v>0</v>
      </c>
      <c r="E18" s="1955">
        <f t="shared" si="3"/>
        <v>2.0944572910097403E-3</v>
      </c>
      <c r="F18" s="1939">
        <f t="shared" ref="F18:K27" si="9">($Q18*F$30+$U18*F$31)/1000</f>
        <v>0.15498983953472079</v>
      </c>
      <c r="G18" s="1939">
        <f t="shared" si="9"/>
        <v>1.0891177913250651E-5</v>
      </c>
      <c r="H18" s="1939">
        <f t="shared" si="9"/>
        <v>6.4928176021301949E-6</v>
      </c>
      <c r="I18" s="1939">
        <f t="shared" si="9"/>
        <v>1.0472286455048701E-6</v>
      </c>
      <c r="J18" s="1939">
        <f t="shared" si="9"/>
        <v>1.3993069161236076E-3</v>
      </c>
      <c r="K18" s="1940">
        <f t="shared" si="9"/>
        <v>2.6023451697406137E-5</v>
      </c>
      <c r="M18" s="1765" t="s">
        <v>11</v>
      </c>
      <c r="N18" s="1766" t="s">
        <v>2146</v>
      </c>
      <c r="O18" s="1775">
        <f>Supplementary!G168</f>
        <v>19.027999999999999</v>
      </c>
      <c r="P18" s="1734" t="s">
        <v>2164</v>
      </c>
      <c r="Q18" s="1767">
        <f t="shared" si="5"/>
        <v>2.0944572910097403E-3</v>
      </c>
      <c r="R18" s="1944">
        <f t="shared" ca="1" si="7"/>
        <v>54.3956380702882</v>
      </c>
      <c r="S18" s="1765" t="s">
        <v>2127</v>
      </c>
      <c r="T18" s="1978"/>
      <c r="U18" s="1978"/>
      <c r="V18" s="1979"/>
      <c r="W18" s="1946">
        <f t="shared" si="6"/>
        <v>2.0944572910097403E-3</v>
      </c>
      <c r="X18" s="1953">
        <f t="shared" si="8"/>
        <v>0</v>
      </c>
      <c r="Y18" s="1953"/>
      <c r="Z18" s="1953"/>
    </row>
    <row r="19" spans="2:26" s="489" customFormat="1" ht="13.5" customHeight="1">
      <c r="B19" s="1938" t="str">
        <f t="shared" si="0"/>
        <v>Diesel</v>
      </c>
      <c r="C19" s="1966">
        <f t="shared" ca="1" si="1"/>
        <v>22.566592893034073</v>
      </c>
      <c r="D19" s="1957">
        <f t="shared" si="2"/>
        <v>0</v>
      </c>
      <c r="E19" s="1955">
        <f t="shared" si="3"/>
        <v>1.1111111111111111E-3</v>
      </c>
      <c r="F19" s="1939">
        <f t="shared" si="9"/>
        <v>8.2222222222222224E-2</v>
      </c>
      <c r="G19" s="1939">
        <f t="shared" si="9"/>
        <v>5.777777777777778E-6</v>
      </c>
      <c r="H19" s="1939">
        <f t="shared" si="9"/>
        <v>3.4444444444444444E-6</v>
      </c>
      <c r="I19" s="1939">
        <f t="shared" si="9"/>
        <v>5.5555555555555552E-7</v>
      </c>
      <c r="J19" s="1939">
        <f t="shared" si="9"/>
        <v>7.4233333333333345E-4</v>
      </c>
      <c r="K19" s="1940">
        <f t="shared" si="9"/>
        <v>1.3805459989356637E-5</v>
      </c>
      <c r="M19" s="1765" t="s">
        <v>2</v>
      </c>
      <c r="N19" s="1766" t="s">
        <v>2147</v>
      </c>
      <c r="O19" s="1775">
        <f>Supplementary!G164</f>
        <v>35.868000000000002</v>
      </c>
      <c r="P19" s="1734" t="s">
        <v>2164</v>
      </c>
      <c r="Q19" s="1767">
        <f t="shared" si="5"/>
        <v>1.1111111111111111E-3</v>
      </c>
      <c r="R19" s="1976">
        <f ca="1">Prices!$Q$20</f>
        <v>22.566592893034073</v>
      </c>
      <c r="S19" s="1765" t="s">
        <v>2127</v>
      </c>
      <c r="T19" s="1978"/>
      <c r="U19" s="1978"/>
      <c r="V19" s="1979"/>
      <c r="W19" s="1946">
        <f t="shared" si="6"/>
        <v>1.1111111111111111E-3</v>
      </c>
      <c r="X19" s="1953">
        <f t="shared" si="8"/>
        <v>0</v>
      </c>
      <c r="Y19" s="1953"/>
      <c r="Z19" s="1953"/>
    </row>
    <row r="20" spans="2:26" s="489" customFormat="1" ht="13.5" customHeight="1">
      <c r="B20" s="1938" t="str">
        <f t="shared" si="0"/>
        <v>Benzin</v>
      </c>
      <c r="C20" s="1966">
        <f t="shared" ca="1" si="1"/>
        <v>31.508073095934371</v>
      </c>
      <c r="D20" s="1957">
        <f t="shared" si="2"/>
        <v>0</v>
      </c>
      <c r="E20" s="1955">
        <f t="shared" si="3"/>
        <v>1.2131912734652465E-3</v>
      </c>
      <c r="F20" s="1939">
        <f t="shared" si="9"/>
        <v>8.9776154236428235E-2</v>
      </c>
      <c r="G20" s="1939">
        <f t="shared" si="9"/>
        <v>6.3085946220192821E-6</v>
      </c>
      <c r="H20" s="1939">
        <f t="shared" si="9"/>
        <v>3.7608929477422641E-6</v>
      </c>
      <c r="I20" s="1939">
        <f t="shared" si="9"/>
        <v>6.0659563673262324E-7</v>
      </c>
      <c r="J20" s="1939">
        <f t="shared" si="9"/>
        <v>8.1053308980213123E-4</v>
      </c>
      <c r="K20" s="1940">
        <f t="shared" si="9"/>
        <v>1.507379722673498E-5</v>
      </c>
      <c r="M20" s="1765" t="s">
        <v>1</v>
      </c>
      <c r="N20" s="1766" t="s">
        <v>2148</v>
      </c>
      <c r="O20" s="1775">
        <f>Supplementary!G158</f>
        <v>32.849999999999994</v>
      </c>
      <c r="P20" s="1734" t="s">
        <v>2164</v>
      </c>
      <c r="Q20" s="1767">
        <f t="shared" si="5"/>
        <v>1.2131912734652465E-3</v>
      </c>
      <c r="R20" s="1944">
        <f t="shared" ca="1" si="7"/>
        <v>31.508073095934371</v>
      </c>
      <c r="S20" s="1765" t="s">
        <v>2127</v>
      </c>
      <c r="T20" s="1978"/>
      <c r="U20" s="1978"/>
      <c r="V20" s="1979"/>
      <c r="W20" s="1946">
        <f t="shared" si="6"/>
        <v>1.2131912734652465E-3</v>
      </c>
      <c r="X20" s="1953">
        <f t="shared" si="8"/>
        <v>0</v>
      </c>
      <c r="Y20" s="1953"/>
      <c r="Z20" s="1953"/>
    </row>
    <row r="21" spans="2:26" s="489" customFormat="1" ht="13.5" customHeight="1">
      <c r="B21" s="1938" t="str">
        <f t="shared" si="0"/>
        <v>HFO</v>
      </c>
      <c r="C21" s="1966">
        <f t="shared" ca="1" si="1"/>
        <v>4.0449553298834662</v>
      </c>
      <c r="D21" s="1957">
        <f t="shared" si="2"/>
        <v>0</v>
      </c>
      <c r="E21" s="1955">
        <f t="shared" si="3"/>
        <v>1.0004100041000412E-3</v>
      </c>
      <c r="F21" s="1939">
        <f t="shared" si="9"/>
        <v>7.4030340303403053E-2</v>
      </c>
      <c r="G21" s="1939">
        <f t="shared" si="9"/>
        <v>5.2021320213202146E-6</v>
      </c>
      <c r="H21" s="1939">
        <f t="shared" si="9"/>
        <v>3.101271012710128E-6</v>
      </c>
      <c r="I21" s="1939">
        <f t="shared" si="9"/>
        <v>5.0020500205002061E-7</v>
      </c>
      <c r="J21" s="1939">
        <f t="shared" si="9"/>
        <v>6.6837392373923755E-4</v>
      </c>
      <c r="K21" s="1940">
        <f t="shared" si="9"/>
        <v>1.2430008256099707E-5</v>
      </c>
      <c r="M21" s="1765" t="s">
        <v>1437</v>
      </c>
      <c r="N21" s="1766" t="s">
        <v>2142</v>
      </c>
      <c r="O21" s="1775">
        <f>Supplementary!G160</f>
        <v>39.836999999999996</v>
      </c>
      <c r="P21" s="1734" t="s">
        <v>2164</v>
      </c>
      <c r="Q21" s="1767">
        <f t="shared" si="5"/>
        <v>1.0004100041000412E-3</v>
      </c>
      <c r="R21" s="1976">
        <f ca="1">Prices!$Q$21</f>
        <v>4.0449553298834662</v>
      </c>
      <c r="S21" s="1765" t="s">
        <v>2127</v>
      </c>
      <c r="T21" s="1978"/>
      <c r="U21" s="1978"/>
      <c r="V21" s="1979"/>
      <c r="W21" s="1946">
        <f t="shared" si="6"/>
        <v>1.0004100041000412E-3</v>
      </c>
      <c r="X21" s="1953">
        <f t="shared" si="8"/>
        <v>0</v>
      </c>
      <c r="Y21" s="1953"/>
      <c r="Z21" s="1953"/>
    </row>
    <row r="22" spans="2:26" s="489" customFormat="1" ht="13.5" customHeight="1">
      <c r="B22" s="1938" t="str">
        <f t="shared" si="0"/>
        <v>JP1</v>
      </c>
      <c r="C22" s="1966">
        <f t="shared" ca="1" si="1"/>
        <v>4.0449553298834662</v>
      </c>
      <c r="D22" s="1957">
        <f t="shared" si="2"/>
        <v>0</v>
      </c>
      <c r="E22" s="1955">
        <f t="shared" si="3"/>
        <v>1.1531302142106228E-3</v>
      </c>
      <c r="F22" s="1939">
        <f t="shared" si="9"/>
        <v>8.5331635851586082E-2</v>
      </c>
      <c r="G22" s="1939">
        <f t="shared" si="9"/>
        <v>5.9962771138952393E-6</v>
      </c>
      <c r="H22" s="1939">
        <f t="shared" si="9"/>
        <v>3.5747036640529311E-6</v>
      </c>
      <c r="I22" s="1939">
        <f t="shared" si="9"/>
        <v>5.7656510710531136E-7</v>
      </c>
      <c r="J22" s="1939">
        <f t="shared" si="9"/>
        <v>7.7040629611411712E-4</v>
      </c>
      <c r="K22" s="1940">
        <f t="shared" si="9"/>
        <v>1.4327543731322703E-5</v>
      </c>
      <c r="M22" s="1765" t="s">
        <v>1436</v>
      </c>
      <c r="N22" s="1766" t="s">
        <v>2150</v>
      </c>
      <c r="O22" s="1775">
        <f>Supplementary!G159</f>
        <v>34.561</v>
      </c>
      <c r="P22" s="1734" t="s">
        <v>2164</v>
      </c>
      <c r="Q22" s="1767">
        <f t="shared" si="5"/>
        <v>1.1531302142106228E-3</v>
      </c>
      <c r="R22" s="1976">
        <f ca="1">Prices!$Q$21</f>
        <v>4.0449553298834662</v>
      </c>
      <c r="S22" s="1765" t="s">
        <v>2127</v>
      </c>
      <c r="T22" s="1978"/>
      <c r="U22" s="1978"/>
      <c r="V22" s="1979"/>
      <c r="W22" s="1946">
        <f t="shared" si="6"/>
        <v>1.1531302142106228E-3</v>
      </c>
      <c r="X22" s="1953">
        <f t="shared" si="8"/>
        <v>0</v>
      </c>
      <c r="Y22" s="1953"/>
      <c r="Z22" s="1953"/>
    </row>
    <row r="23" spans="2:26" s="489" customFormat="1" ht="13.5" customHeight="1">
      <c r="B23" s="1938" t="str">
        <f t="shared" si="0"/>
        <v>El (AC-net) til elektrolyse</v>
      </c>
      <c r="C23" s="1966">
        <f t="shared" ca="1" si="1"/>
        <v>0</v>
      </c>
      <c r="D23" s="1957">
        <f t="shared" si="2"/>
        <v>7.0000000000000007E-2</v>
      </c>
      <c r="E23" s="1955">
        <f t="shared" si="3"/>
        <v>0</v>
      </c>
      <c r="F23" s="1939">
        <f t="shared" si="9"/>
        <v>0</v>
      </c>
      <c r="G23" s="1939">
        <f t="shared" si="9"/>
        <v>0</v>
      </c>
      <c r="H23" s="1939">
        <f t="shared" si="9"/>
        <v>0</v>
      </c>
      <c r="I23" s="1939">
        <f t="shared" si="9"/>
        <v>0</v>
      </c>
      <c r="J23" s="1939">
        <f t="shared" si="9"/>
        <v>0</v>
      </c>
      <c r="K23" s="1940">
        <f t="shared" si="9"/>
        <v>0</v>
      </c>
      <c r="M23" s="1765" t="s">
        <v>332</v>
      </c>
      <c r="N23" s="1766" t="s">
        <v>2149</v>
      </c>
      <c r="O23" s="1775"/>
      <c r="P23" s="1734" t="s">
        <v>2127</v>
      </c>
      <c r="Q23" s="1767">
        <f t="shared" si="5"/>
        <v>0</v>
      </c>
      <c r="R23" s="1944">
        <f t="shared" ca="1" si="7"/>
        <v>0</v>
      </c>
      <c r="S23" s="1765" t="s">
        <v>2167</v>
      </c>
      <c r="T23" s="1735">
        <v>7.0000000000000007E-2</v>
      </c>
      <c r="U23" s="1978"/>
      <c r="V23" s="1972">
        <f ca="1">Prices!$Q$23</f>
        <v>56.100282162928899</v>
      </c>
      <c r="W23" s="1946">
        <f t="shared" si="6"/>
        <v>0</v>
      </c>
      <c r="X23" s="1953">
        <f t="shared" si="8"/>
        <v>7.0000000000000007E-2</v>
      </c>
      <c r="Y23" s="1953" t="s">
        <v>2206</v>
      </c>
      <c r="Z23" s="1953" t="str">
        <f>Referencer!$B$7</f>
        <v>1, Forudsætninger for samfundsøkonomiske analyser på energiområdet. Energistyrelsen. April 2011.</v>
      </c>
    </row>
    <row r="24" spans="2:26" s="489" customFormat="1" ht="13.5" customHeight="1">
      <c r="B24" s="1938" t="str">
        <f t="shared" si="0"/>
        <v>El (AC-net) til ladestation</v>
      </c>
      <c r="C24" s="1966">
        <f t="shared" ca="1" si="1"/>
        <v>0</v>
      </c>
      <c r="D24" s="1957">
        <f t="shared" si="2"/>
        <v>7.0000000000000007E-2</v>
      </c>
      <c r="E24" s="1955">
        <f t="shared" si="3"/>
        <v>0</v>
      </c>
      <c r="F24" s="1939">
        <f t="shared" si="9"/>
        <v>0</v>
      </c>
      <c r="G24" s="1939">
        <f t="shared" si="9"/>
        <v>0</v>
      </c>
      <c r="H24" s="1939">
        <f t="shared" si="9"/>
        <v>0</v>
      </c>
      <c r="I24" s="1939">
        <f t="shared" si="9"/>
        <v>0</v>
      </c>
      <c r="J24" s="1939">
        <f t="shared" si="9"/>
        <v>0</v>
      </c>
      <c r="K24" s="1940">
        <f t="shared" si="9"/>
        <v>0</v>
      </c>
      <c r="M24" s="1765" t="s">
        <v>333</v>
      </c>
      <c r="N24" s="1766" t="s">
        <v>2149</v>
      </c>
      <c r="O24" s="1775"/>
      <c r="P24" s="1734" t="s">
        <v>2127</v>
      </c>
      <c r="Q24" s="1767">
        <f t="shared" si="5"/>
        <v>0</v>
      </c>
      <c r="R24" s="1944">
        <f t="shared" ca="1" si="7"/>
        <v>0</v>
      </c>
      <c r="S24" s="1765" t="s">
        <v>2167</v>
      </c>
      <c r="T24" s="1735">
        <v>7.0000000000000007E-2</v>
      </c>
      <c r="U24" s="1978"/>
      <c r="V24" s="1972">
        <f ca="1">Prices!$Q$22</f>
        <v>62.397819460967341</v>
      </c>
      <c r="W24" s="1946">
        <f t="shared" si="6"/>
        <v>0</v>
      </c>
      <c r="X24" s="1953">
        <f t="shared" si="8"/>
        <v>7.0000000000000007E-2</v>
      </c>
      <c r="Y24" s="1953" t="s">
        <v>2206</v>
      </c>
      <c r="Z24" s="1953" t="str">
        <f>Referencer!$B$7</f>
        <v>1, Forudsætninger for samfundsøkonomiske analyser på energiområdet. Energistyrelsen. April 2011.</v>
      </c>
    </row>
    <row r="25" spans="2:26" s="489" customFormat="1" ht="13.5" customHeight="1">
      <c r="B25" s="1938" t="str">
        <f t="shared" si="0"/>
        <v>Naturgas komprimering</v>
      </c>
      <c r="C25" s="1966">
        <f t="shared" ca="1" si="1"/>
        <v>0</v>
      </c>
      <c r="D25" s="1957">
        <f t="shared" si="2"/>
        <v>0</v>
      </c>
      <c r="E25" s="1955">
        <f t="shared" si="3"/>
        <v>0</v>
      </c>
      <c r="F25" s="1939">
        <f t="shared" si="9"/>
        <v>0.56740000000000002</v>
      </c>
      <c r="G25" s="1939">
        <f t="shared" si="9"/>
        <v>9.9999999999999995E-7</v>
      </c>
      <c r="H25" s="1939">
        <f t="shared" si="9"/>
        <v>9.9999999999999995E-7</v>
      </c>
      <c r="I25" s="1939">
        <f t="shared" si="9"/>
        <v>3.0000000000000001E-6</v>
      </c>
      <c r="J25" s="1939">
        <f t="shared" si="9"/>
        <v>5.5000000000000003E-4</v>
      </c>
      <c r="K25" s="1940">
        <f t="shared" si="9"/>
        <v>9.9999999999999995E-7</v>
      </c>
      <c r="M25" s="1765" t="s">
        <v>361</v>
      </c>
      <c r="N25" s="1766" t="s">
        <v>2151</v>
      </c>
      <c r="O25" s="1775"/>
      <c r="P25" s="1734" t="s">
        <v>2127</v>
      </c>
      <c r="Q25" s="1767">
        <f t="shared" si="5"/>
        <v>0</v>
      </c>
      <c r="R25" s="1944">
        <f t="shared" ca="1" si="7"/>
        <v>0</v>
      </c>
      <c r="S25" s="1765" t="s">
        <v>169</v>
      </c>
      <c r="T25" s="1978"/>
      <c r="U25" s="1735">
        <v>0.01</v>
      </c>
      <c r="V25" s="1972">
        <f ca="1">Prices!Q25</f>
        <v>26.155548754573331</v>
      </c>
      <c r="W25" s="1946">
        <f t="shared" si="6"/>
        <v>0.01</v>
      </c>
      <c r="X25" s="1953">
        <f t="shared" si="8"/>
        <v>0</v>
      </c>
      <c r="Y25" s="1953" t="s">
        <v>540</v>
      </c>
      <c r="Z25" s="1953" t="str">
        <f>Referencer!$B$11</f>
        <v>5, Concawe (2011): Well-to-wheels analysis of future automotive fuels and power-trains in the European Context. November 2011.</v>
      </c>
    </row>
    <row r="26" spans="2:26" s="489" customFormat="1" ht="13.5" customHeight="1">
      <c r="B26" s="1938" t="str">
        <f t="shared" si="0"/>
        <v>Syntesegas til katalysator</v>
      </c>
      <c r="C26" s="1966">
        <f t="shared" ca="1" si="1"/>
        <v>0</v>
      </c>
      <c r="D26" s="1957">
        <f t="shared" si="2"/>
        <v>0</v>
      </c>
      <c r="E26" s="1955">
        <f t="shared" si="3"/>
        <v>0</v>
      </c>
      <c r="F26" s="1939">
        <f t="shared" si="9"/>
        <v>0</v>
      </c>
      <c r="G26" s="1939">
        <f t="shared" si="9"/>
        <v>0</v>
      </c>
      <c r="H26" s="1939">
        <f t="shared" si="9"/>
        <v>0</v>
      </c>
      <c r="I26" s="1939">
        <f t="shared" si="9"/>
        <v>0</v>
      </c>
      <c r="J26" s="1939">
        <f t="shared" si="9"/>
        <v>0</v>
      </c>
      <c r="K26" s="1940">
        <f t="shared" si="9"/>
        <v>0</v>
      </c>
      <c r="M26" s="1765" t="s">
        <v>335</v>
      </c>
      <c r="N26" s="1766" t="s">
        <v>2152</v>
      </c>
      <c r="O26" s="1775"/>
      <c r="P26" s="1734" t="s">
        <v>2127</v>
      </c>
      <c r="Q26" s="1767">
        <f t="shared" si="5"/>
        <v>0</v>
      </c>
      <c r="R26" s="1944">
        <f t="shared" ca="1" si="7"/>
        <v>0</v>
      </c>
      <c r="S26" s="1765" t="s">
        <v>2127</v>
      </c>
      <c r="T26" s="1978"/>
      <c r="U26" s="1978"/>
      <c r="V26" s="1979"/>
      <c r="W26" s="1946">
        <f t="shared" si="6"/>
        <v>0</v>
      </c>
      <c r="X26" s="1953">
        <f t="shared" si="8"/>
        <v>0</v>
      </c>
      <c r="Y26" s="1953"/>
      <c r="Z26" s="1953"/>
    </row>
    <row r="27" spans="2:26" s="489" customFormat="1" ht="13.5" customHeight="1">
      <c r="B27" s="1780" t="str">
        <f t="shared" si="0"/>
        <v>LNG</v>
      </c>
      <c r="C27" s="1967">
        <f t="shared" ca="1" si="1"/>
        <v>0</v>
      </c>
      <c r="D27" s="1958">
        <f t="shared" si="2"/>
        <v>0</v>
      </c>
      <c r="E27" s="1956">
        <f t="shared" si="3"/>
        <v>0</v>
      </c>
      <c r="F27" s="1941">
        <f t="shared" si="9"/>
        <v>5.6740000000000004</v>
      </c>
      <c r="G27" s="1941">
        <f t="shared" si="9"/>
        <v>1.0000000000000003E-5</v>
      </c>
      <c r="H27" s="1941">
        <f t="shared" si="9"/>
        <v>1.0000000000000003E-5</v>
      </c>
      <c r="I27" s="1941">
        <f t="shared" si="9"/>
        <v>2.9999999999999997E-5</v>
      </c>
      <c r="J27" s="1941">
        <f t="shared" si="9"/>
        <v>5.4999999999999997E-3</v>
      </c>
      <c r="K27" s="1942">
        <f t="shared" si="9"/>
        <v>1.0000000000000003E-5</v>
      </c>
      <c r="M27" s="1761" t="s">
        <v>1913</v>
      </c>
      <c r="N27" s="1762" t="s">
        <v>2153</v>
      </c>
      <c r="O27" s="1776"/>
      <c r="P27" s="1752" t="s">
        <v>2127</v>
      </c>
      <c r="Q27" s="1770">
        <f t="shared" si="5"/>
        <v>0</v>
      </c>
      <c r="R27" s="1945">
        <f t="shared" ca="1" si="7"/>
        <v>0</v>
      </c>
      <c r="S27" s="1761" t="s">
        <v>2127</v>
      </c>
      <c r="T27" s="1980"/>
      <c r="U27" s="2307">
        <v>0.1</v>
      </c>
      <c r="V27" s="1981"/>
      <c r="W27" s="1947">
        <f t="shared" si="6"/>
        <v>0.1</v>
      </c>
      <c r="X27" s="1954">
        <f t="shared" si="8"/>
        <v>0</v>
      </c>
      <c r="Y27" s="1954"/>
      <c r="Z27" s="1954"/>
    </row>
    <row r="28" spans="2:26" s="489" customFormat="1" ht="13.5" customHeight="1"/>
    <row r="29" spans="2:26" s="489" customFormat="1" ht="13.5" customHeight="1">
      <c r="E29" s="1754" t="s">
        <v>203</v>
      </c>
      <c r="F29" s="1771" t="str">
        <f t="shared" ref="F29:K29" si="10">F6</f>
        <v>CO2</v>
      </c>
      <c r="G29" s="1771" t="str">
        <f t="shared" si="10"/>
        <v>CH4</v>
      </c>
      <c r="H29" s="1771" t="str">
        <f t="shared" si="10"/>
        <v>N2O</v>
      </c>
      <c r="I29" s="1771" t="str">
        <f t="shared" si="10"/>
        <v>SO2</v>
      </c>
      <c r="J29" s="1771" t="str">
        <f t="shared" si="10"/>
        <v>NOx</v>
      </c>
      <c r="K29" s="1772" t="str">
        <f t="shared" si="10"/>
        <v>Partikler</v>
      </c>
      <c r="M29" s="1713" t="s">
        <v>2186</v>
      </c>
    </row>
    <row r="30" spans="2:26" s="489" customFormat="1" ht="13.5" customHeight="1">
      <c r="E30" s="1765" t="s">
        <v>749</v>
      </c>
      <c r="F30" s="773">
        <f>Supplementary!E83</f>
        <v>74000</v>
      </c>
      <c r="G30" s="773">
        <f>Supplementary!F83</f>
        <v>5.2</v>
      </c>
      <c r="H30" s="773">
        <f>Supplementary!G83</f>
        <v>3.1</v>
      </c>
      <c r="I30" s="773">
        <f>Supplementary!H83</f>
        <v>0.5</v>
      </c>
      <c r="J30" s="773">
        <f>Supplementary!I83</f>
        <v>668.1</v>
      </c>
      <c r="K30" s="1766">
        <f>Supplementary!J83</f>
        <v>12.424913990420974</v>
      </c>
      <c r="M30" s="1754" t="s">
        <v>2174</v>
      </c>
      <c r="N30" s="753" t="s">
        <v>2157</v>
      </c>
      <c r="O30" s="1974">
        <f>Supplementary!G158</f>
        <v>32.849999999999994</v>
      </c>
    </row>
    <row r="31" spans="2:26" s="489" customFormat="1" ht="13.5" customHeight="1">
      <c r="E31" s="1765" t="s">
        <v>5</v>
      </c>
      <c r="F31" s="773">
        <f>Supplementary!E67</f>
        <v>56740</v>
      </c>
      <c r="G31" s="773">
        <f>Supplementary!F67</f>
        <v>0.1</v>
      </c>
      <c r="H31" s="773">
        <f>Supplementary!G67</f>
        <v>0.1</v>
      </c>
      <c r="I31" s="773">
        <f>Supplementary!H67</f>
        <v>0.3</v>
      </c>
      <c r="J31" s="773">
        <f>Supplementary!I67</f>
        <v>55</v>
      </c>
      <c r="K31" s="1766">
        <f>Supplementary!J67</f>
        <v>0.1</v>
      </c>
      <c r="M31" s="1778" t="s">
        <v>2175</v>
      </c>
      <c r="N31" s="774" t="s">
        <v>23</v>
      </c>
      <c r="O31" s="1975">
        <f ca="1">Prices!$Q$19</f>
        <v>31.508073095934371</v>
      </c>
    </row>
    <row r="32" spans="2:26" s="489" customFormat="1" ht="13.5" customHeight="1">
      <c r="E32" s="1778" t="s">
        <v>747</v>
      </c>
      <c r="F32" s="774">
        <v>0</v>
      </c>
      <c r="G32" s="774">
        <v>0</v>
      </c>
      <c r="H32" s="774">
        <v>0</v>
      </c>
      <c r="I32" s="774">
        <v>0</v>
      </c>
      <c r="J32" s="774">
        <v>0</v>
      </c>
      <c r="K32" s="1779">
        <v>0</v>
      </c>
      <c r="M32" s="489" t="s">
        <v>2187</v>
      </c>
    </row>
    <row r="33" spans="3:25" s="489" customFormat="1" ht="13.5" customHeight="1">
      <c r="M33" s="489" t="s">
        <v>2188</v>
      </c>
    </row>
    <row r="34" spans="3:25" s="489" customFormat="1" ht="13.5" customHeight="1"/>
    <row r="35" spans="3:25">
      <c r="C35" s="664"/>
    </row>
    <row r="36" spans="3:25">
      <c r="C36" s="664"/>
    </row>
    <row r="37" spans="3:25">
      <c r="C37" s="664"/>
    </row>
    <row r="38" spans="3:25" ht="12.75">
      <c r="C38" s="664"/>
      <c r="M38" s="1713" t="s">
        <v>2158</v>
      </c>
      <c r="N38" s="489"/>
      <c r="O38" s="489"/>
      <c r="P38" s="489"/>
      <c r="Q38" s="489"/>
      <c r="R38" s="489"/>
    </row>
    <row r="39" spans="3:25" ht="12.75">
      <c r="C39" s="664"/>
      <c r="M39" s="1760"/>
      <c r="N39" s="710"/>
      <c r="O39" s="1721" t="s">
        <v>2127</v>
      </c>
      <c r="P39" s="1722" t="s">
        <v>2163</v>
      </c>
      <c r="Q39" s="1722" t="s">
        <v>2164</v>
      </c>
      <c r="R39" s="1723" t="s">
        <v>2165</v>
      </c>
    </row>
    <row r="40" spans="3:25" ht="12.75">
      <c r="C40" s="664"/>
      <c r="M40" s="1728" t="s">
        <v>240</v>
      </c>
      <c r="N40" s="497" t="s">
        <v>2155</v>
      </c>
      <c r="O40" s="1729">
        <v>0</v>
      </c>
      <c r="P40" s="1730">
        <v>3.8</v>
      </c>
      <c r="Q40" s="1730">
        <v>18</v>
      </c>
      <c r="R40" s="1731">
        <v>30</v>
      </c>
    </row>
    <row r="41" spans="3:25" ht="12.75">
      <c r="C41" s="664"/>
      <c r="M41" s="1739" t="s">
        <v>241</v>
      </c>
      <c r="N41" s="476" t="s">
        <v>60</v>
      </c>
      <c r="O41" s="1740">
        <v>0</v>
      </c>
      <c r="P41" s="1741">
        <v>60</v>
      </c>
      <c r="Q41" s="1741">
        <v>60</v>
      </c>
      <c r="R41" s="1742">
        <v>60</v>
      </c>
    </row>
    <row r="42" spans="3:25" ht="12.75">
      <c r="C42" s="664"/>
      <c r="M42" s="1739" t="s">
        <v>242</v>
      </c>
      <c r="N42" s="476" t="s">
        <v>32</v>
      </c>
      <c r="O42" s="1744">
        <v>0</v>
      </c>
      <c r="P42" s="1745">
        <v>3</v>
      </c>
      <c r="Q42" s="1745">
        <v>3</v>
      </c>
      <c r="R42" s="1746">
        <v>3</v>
      </c>
    </row>
    <row r="43" spans="3:25" ht="12.75">
      <c r="C43" s="664"/>
      <c r="M43" s="1739" t="s">
        <v>242</v>
      </c>
      <c r="N43" s="476" t="s">
        <v>2156</v>
      </c>
      <c r="O43" s="1747">
        <v>0</v>
      </c>
      <c r="P43" s="508">
        <f>P41/P42/P40</f>
        <v>5.2631578947368425</v>
      </c>
      <c r="Q43" s="508">
        <f>Q41/Q42/Q40</f>
        <v>1.1111111111111112</v>
      </c>
      <c r="R43" s="1748">
        <f>R41/R42/R40</f>
        <v>0.66666666666666663</v>
      </c>
    </row>
    <row r="44" spans="3:25" ht="12.75">
      <c r="C44" s="664"/>
      <c r="M44" s="1749" t="s">
        <v>242</v>
      </c>
      <c r="N44" s="485" t="s">
        <v>2157</v>
      </c>
      <c r="O44" s="1750">
        <v>0</v>
      </c>
      <c r="P44" s="1120">
        <f>P43*Supplementary!$G$164/1000</f>
        <v>0.18877894736842107</v>
      </c>
      <c r="Q44" s="1120">
        <f>Q43*Supplementary!$G$164/1000</f>
        <v>3.9853333333333338E-2</v>
      </c>
      <c r="R44" s="1751">
        <f>R43*Supplementary!$G$164/1000</f>
        <v>2.3911999999999999E-2</v>
      </c>
    </row>
    <row r="45" spans="3:25" ht="12.75">
      <c r="C45" s="664"/>
      <c r="M45" s="469"/>
      <c r="N45" s="469"/>
      <c r="O45" s="469"/>
      <c r="P45" s="620"/>
      <c r="Q45" s="620"/>
      <c r="R45" s="620"/>
    </row>
    <row r="46" spans="3:25" ht="12.75">
      <c r="C46" s="664"/>
      <c r="M46" s="1760" t="s">
        <v>2173</v>
      </c>
      <c r="N46" s="710" t="s">
        <v>716</v>
      </c>
      <c r="O46" s="1943">
        <f>Supplementary!G164</f>
        <v>35.868000000000002</v>
      </c>
      <c r="P46" s="489"/>
      <c r="Q46" s="489"/>
      <c r="R46" s="489"/>
    </row>
    <row r="47" spans="3:25" ht="12.75">
      <c r="C47" s="664"/>
      <c r="M47" s="489"/>
      <c r="N47" s="489"/>
      <c r="O47" s="489"/>
      <c r="P47" s="489"/>
      <c r="Q47" s="489"/>
      <c r="R47" s="489"/>
    </row>
    <row r="48" spans="3:25" ht="12.75">
      <c r="C48" s="664"/>
      <c r="N48" s="667"/>
      <c r="T48" s="489"/>
      <c r="U48" s="489"/>
      <c r="V48" s="489"/>
      <c r="W48" s="489">
        <f>P43*O46</f>
        <v>188.77894736842109</v>
      </c>
      <c r="X48" s="489"/>
      <c r="Y48" s="489"/>
    </row>
    <row r="49" spans="3:14">
      <c r="C49" s="664"/>
      <c r="N49" s="667"/>
    </row>
    <row r="50" spans="3:14">
      <c r="C50" s="664"/>
      <c r="N50" s="667"/>
    </row>
    <row r="51" spans="3:14">
      <c r="C51" s="664"/>
      <c r="N51" s="667"/>
    </row>
    <row r="52" spans="3:14">
      <c r="C52" s="664"/>
      <c r="N52" s="667"/>
    </row>
  </sheetData>
  <dataConsolidate link="1"/>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5073" r:id="rId4" name="Button 1">
              <controlPr defaultSize="0" print="0" autoFill="0" autoPict="0" macro="[0]!GtOver">
                <anchor>
                  <from>
                    <xdr:col>12</xdr:col>
                    <xdr:colOff>200025</xdr:colOff>
                    <xdr:row>0</xdr:row>
                    <xdr:rowOff>38100</xdr:rowOff>
                  </from>
                  <to>
                    <xdr:col>12</xdr:col>
                    <xdr:colOff>1266825</xdr:colOff>
                    <xdr:row>0</xdr:row>
                    <xdr:rowOff>238125</xdr:rowOff>
                  </to>
                </anchor>
              </controlPr>
            </control>
          </mc:Choice>
        </mc:AlternateContent>
        <mc:AlternateContent xmlns:mc="http://schemas.openxmlformats.org/markup-compatibility/2006">
          <mc:Choice Requires="x14">
            <control shapeId="515074" r:id="rId5" name="Button 2">
              <controlPr defaultSize="0" print="0" autoFill="0" autoPict="0" macro="[0]!GtRes">
                <anchor>
                  <from>
                    <xdr:col>12</xdr:col>
                    <xdr:colOff>1438275</xdr:colOff>
                    <xdr:row>0</xdr:row>
                    <xdr:rowOff>38100</xdr:rowOff>
                  </from>
                  <to>
                    <xdr:col>13</xdr:col>
                    <xdr:colOff>781050</xdr:colOff>
                    <xdr:row>0</xdr:row>
                    <xdr:rowOff>238125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8" tint="0.39997558519241921"/>
    <outlinePr summaryBelow="0"/>
    <pageSetUpPr fitToPage="1"/>
  </sheetPr>
  <dimension ref="A1:AI549"/>
  <sheetViews>
    <sheetView zoomScale="80" zoomScaleNormal="80" workbookViewId="0">
      <pane ySplit="1" topLeftCell="A167" activePane="bottomLeft" state="frozen"/>
      <selection activeCell="L45" sqref="L45"/>
      <selection pane="bottomLeft" activeCell="E262" sqref="E262"/>
    </sheetView>
  </sheetViews>
  <sheetFormatPr defaultRowHeight="11.25" outlineLevelRow="1"/>
  <cols>
    <col min="1" max="1" width="9.140625" style="664"/>
    <col min="2" max="2" width="25.85546875" style="664" customWidth="1"/>
    <col min="3" max="3" width="12.28515625" style="664" customWidth="1"/>
    <col min="4" max="4" width="16.5703125" style="664" customWidth="1"/>
    <col min="5" max="5" width="11.28515625" style="664" customWidth="1"/>
    <col min="6" max="7" width="8.28515625" style="664" customWidth="1"/>
    <col min="8" max="8" width="8" style="664" customWidth="1"/>
    <col min="9" max="9" width="9.140625" style="664"/>
    <col min="10" max="10" width="12" style="664" customWidth="1"/>
    <col min="11" max="11" width="9.140625" style="664"/>
    <col min="12" max="12" width="11.42578125" style="664" customWidth="1"/>
    <col min="13" max="13" width="13" style="664" customWidth="1"/>
    <col min="14" max="14" width="13.28515625" style="664" customWidth="1"/>
    <col min="15" max="15" width="9.7109375" style="664" customWidth="1"/>
    <col min="16" max="16384" width="9.140625" style="664"/>
  </cols>
  <sheetData>
    <row r="1" spans="1:18" s="465" customFormat="1" ht="21">
      <c r="A1" s="465" t="s">
        <v>135</v>
      </c>
      <c r="M1" s="2397"/>
      <c r="N1" s="2397"/>
      <c r="O1" s="2397"/>
      <c r="P1" s="467">
        <f ca="1">'Log2015'!$M$1</f>
        <v>-8.0112614142160741</v>
      </c>
      <c r="Q1" s="468">
        <f ca="1">'Log2015'!M1</f>
        <v>-8.0112614142160741</v>
      </c>
      <c r="R1" s="465">
        <f ca="1">'Log2015'!N1</f>
        <v>-160807.124977848</v>
      </c>
    </row>
    <row r="3" spans="1:18" s="690" customFormat="1" ht="18.75">
      <c r="A3" s="689" t="s">
        <v>194</v>
      </c>
    </row>
    <row r="5" spans="1:18" ht="12.75">
      <c r="B5" s="471"/>
      <c r="C5" s="469"/>
      <c r="D5" s="469"/>
      <c r="E5" s="469"/>
      <c r="F5" s="469"/>
      <c r="G5" s="469"/>
      <c r="H5" s="469"/>
      <c r="I5" s="469"/>
      <c r="J5" s="469"/>
      <c r="L5" s="469"/>
    </row>
    <row r="6" spans="1:18" ht="13.5" thickBot="1">
      <c r="C6" s="469"/>
      <c r="D6" s="469"/>
      <c r="E6" s="469"/>
      <c r="F6" s="469"/>
      <c r="G6" s="469"/>
      <c r="H6" s="469"/>
      <c r="I6" s="469"/>
      <c r="J6" s="469"/>
      <c r="L6" s="471" t="s">
        <v>341</v>
      </c>
    </row>
    <row r="7" spans="1:18" ht="13.5" thickBot="1">
      <c r="B7" s="469"/>
      <c r="C7" s="469"/>
      <c r="D7" s="469"/>
      <c r="E7" s="469"/>
      <c r="F7" s="469"/>
      <c r="G7" s="469"/>
      <c r="H7" s="469"/>
      <c r="I7" s="469"/>
      <c r="J7" s="469"/>
      <c r="K7" s="469"/>
      <c r="L7" s="1784">
        <v>2015</v>
      </c>
    </row>
    <row r="8" spans="1:18" ht="12.75">
      <c r="B8" s="469" t="s">
        <v>2171</v>
      </c>
      <c r="C8" s="469"/>
      <c r="D8" s="469"/>
      <c r="E8" s="469"/>
      <c r="F8" s="469"/>
      <c r="G8" s="469"/>
      <c r="H8" s="469"/>
      <c r="I8" s="2154" t="s">
        <v>195</v>
      </c>
      <c r="J8" s="469"/>
      <c r="L8" s="1785">
        <v>2020</v>
      </c>
    </row>
    <row r="9" spans="1:18" ht="13.5" thickBot="1">
      <c r="B9" s="469" t="s">
        <v>2172</v>
      </c>
      <c r="C9" s="469"/>
      <c r="D9" s="469"/>
      <c r="E9" s="469"/>
      <c r="F9" s="469"/>
      <c r="G9" s="469"/>
      <c r="H9" s="469"/>
      <c r="I9" s="2156" t="s">
        <v>196</v>
      </c>
      <c r="J9" s="469"/>
      <c r="L9" s="1785">
        <v>2035</v>
      </c>
    </row>
    <row r="10" spans="1:18" ht="12.75">
      <c r="L10" s="1785">
        <v>2050</v>
      </c>
    </row>
    <row r="11" spans="1:18" ht="12.75">
      <c r="L11" s="1786" t="s">
        <v>306</v>
      </c>
    </row>
    <row r="12" spans="1:18" ht="13.5" thickBot="1">
      <c r="L12" s="1787">
        <f ca="1">OFFSET($L$6,chosenYear,0)</f>
        <v>2015</v>
      </c>
    </row>
    <row r="13" spans="1:18" ht="15.75" thickBot="1">
      <c r="I13" s="2151" t="s">
        <v>2340</v>
      </c>
      <c r="L13" s="773"/>
    </row>
    <row r="14" spans="1:18" ht="12.75">
      <c r="B14" s="664" t="s">
        <v>601</v>
      </c>
      <c r="I14" s="2154" t="s">
        <v>600</v>
      </c>
      <c r="L14" s="773"/>
    </row>
    <row r="15" spans="1:18" ht="12.75">
      <c r="B15" s="664" t="s">
        <v>602</v>
      </c>
      <c r="I15" s="2155" t="s">
        <v>2261</v>
      </c>
      <c r="L15" s="773"/>
    </row>
    <row r="16" spans="1:18" ht="12.75">
      <c r="B16" s="664" t="s">
        <v>603</v>
      </c>
      <c r="I16" s="2155" t="s">
        <v>2262</v>
      </c>
      <c r="L16" s="773"/>
    </row>
    <row r="17" spans="2:12" ht="12.75">
      <c r="I17" s="2155" t="s">
        <v>2263</v>
      </c>
      <c r="L17" s="773"/>
    </row>
    <row r="18" spans="2:12" ht="12.75">
      <c r="I18" s="2155" t="s">
        <v>2264</v>
      </c>
      <c r="L18" s="773"/>
    </row>
    <row r="19" spans="2:12" ht="13.5" thickBot="1">
      <c r="C19" s="664" t="s">
        <v>2095</v>
      </c>
      <c r="I19" s="2155" t="s">
        <v>2427</v>
      </c>
      <c r="L19" s="773"/>
    </row>
    <row r="20" spans="2:12" ht="13.5" thickBot="1">
      <c r="B20" s="664" t="s">
        <v>2094</v>
      </c>
      <c r="C20" s="1788">
        <v>0.1</v>
      </c>
      <c r="I20" s="2156" t="s">
        <v>2428</v>
      </c>
      <c r="L20" s="773"/>
    </row>
    <row r="21" spans="2:12" ht="12.75">
      <c r="L21" s="773"/>
    </row>
    <row r="22" spans="2:12" ht="13.5" thickBot="1">
      <c r="I22" s="1715" t="s">
        <v>2491</v>
      </c>
      <c r="L22" s="773"/>
    </row>
    <row r="23" spans="2:12" ht="12.75">
      <c r="I23" s="2371" t="s">
        <v>625</v>
      </c>
      <c r="L23" s="773"/>
    </row>
    <row r="24" spans="2:12" ht="13.5" thickBot="1">
      <c r="I24" s="2372" t="s">
        <v>623</v>
      </c>
      <c r="L24" s="773"/>
    </row>
    <row r="25" spans="2:12" ht="12.75">
      <c r="B25" s="664" t="s">
        <v>621</v>
      </c>
      <c r="L25" s="773"/>
    </row>
    <row r="26" spans="2:12" ht="13.5" thickBot="1">
      <c r="B26" s="664" t="s">
        <v>622</v>
      </c>
      <c r="I26" s="1715" t="s">
        <v>2492</v>
      </c>
      <c r="L26" s="773"/>
    </row>
    <row r="27" spans="2:12" ht="12.75">
      <c r="I27" s="2371" t="str">
        <f>B243</f>
        <v>No learning</v>
      </c>
      <c r="L27" s="773"/>
    </row>
    <row r="28" spans="2:12" ht="12.75">
      <c r="I28" s="2373" t="str">
        <f>B250</f>
        <v>Moderate learning</v>
      </c>
      <c r="L28" s="773"/>
    </row>
    <row r="29" spans="2:12" ht="13.5" thickBot="1">
      <c r="I29" s="2372" t="str">
        <f>B257</f>
        <v>Fast learning</v>
      </c>
      <c r="L29" s="773"/>
    </row>
    <row r="30" spans="2:12" ht="12.75">
      <c r="L30" s="773"/>
    </row>
    <row r="31" spans="2:12" ht="12.75">
      <c r="L31" s="469"/>
    </row>
    <row r="33" spans="1:35" s="690" customFormat="1" ht="18.75">
      <c r="A33" s="689" t="s">
        <v>95</v>
      </c>
    </row>
    <row r="34" spans="1:35" ht="12" outlineLevel="1" thickBot="1"/>
    <row r="35" spans="1:35" outlineLevel="1">
      <c r="B35" s="1789" t="s">
        <v>35</v>
      </c>
      <c r="C35" s="1790">
        <f ca="1">Sensitivity!M7</f>
        <v>0.05</v>
      </c>
      <c r="D35" s="1791" t="str">
        <f>CONCATENATE("Kilde: ",Referencer!$B$50)</f>
        <v>Kilde: 44, Energistyrelsen. Forudsætninger for samfundsøkonomiske analyser på energi-området. Maj 2009</v>
      </c>
      <c r="E35" s="1792" t="s">
        <v>878</v>
      </c>
      <c r="G35" s="1793"/>
    </row>
    <row r="36" spans="1:35" outlineLevel="1">
      <c r="B36" s="1794" t="s">
        <v>36</v>
      </c>
      <c r="C36" s="1795">
        <v>0.17</v>
      </c>
      <c r="D36" s="1796" t="str">
        <f>CONCATENATE("Kilde: ",Referencer!B8)</f>
        <v>Kilde: 2, Energistyrelsen. Forudsætninger for samfundsøkonomiske analyser på energiområdet. April 2010</v>
      </c>
      <c r="E36" s="1792" t="s">
        <v>879</v>
      </c>
    </row>
    <row r="37" spans="1:35" outlineLevel="1">
      <c r="B37" s="1794" t="s">
        <v>37</v>
      </c>
      <c r="C37" s="1797">
        <v>7.45</v>
      </c>
      <c r="D37" s="664" t="s">
        <v>492</v>
      </c>
    </row>
    <row r="38" spans="1:35" ht="12" outlineLevel="1" thickBot="1">
      <c r="B38" s="1798" t="s">
        <v>73</v>
      </c>
      <c r="C38" s="1799">
        <v>5.3</v>
      </c>
      <c r="D38" s="664" t="s">
        <v>492</v>
      </c>
    </row>
    <row r="39" spans="1:35" ht="12" outlineLevel="1" thickBot="1">
      <c r="C39" s="1800"/>
      <c r="E39" s="1715" t="s">
        <v>2664</v>
      </c>
    </row>
    <row r="40" spans="1:35" ht="12" outlineLevel="1" thickBot="1">
      <c r="B40" s="1801" t="s">
        <v>481</v>
      </c>
      <c r="C40" s="1802">
        <v>2015</v>
      </c>
      <c r="E40" s="1715" t="s">
        <v>491</v>
      </c>
    </row>
    <row r="41" spans="1:35" outlineLevel="1">
      <c r="C41" s="1800"/>
      <c r="E41" s="1715" t="s">
        <v>484</v>
      </c>
      <c r="M41" s="1803"/>
    </row>
    <row r="42" spans="1:35" outlineLevel="1">
      <c r="C42" s="1800"/>
    </row>
    <row r="43" spans="1:35" s="698" customFormat="1" ht="16.5" outlineLevel="1" thickBot="1">
      <c r="B43" s="1804" t="s">
        <v>483</v>
      </c>
      <c r="C43" s="1805"/>
    </row>
    <row r="44" spans="1:35" s="698" customFormat="1" ht="12.75" outlineLevel="1">
      <c r="B44" s="1806"/>
      <c r="C44" s="1079">
        <v>2001</v>
      </c>
      <c r="D44" s="1078">
        <v>2002</v>
      </c>
      <c r="E44" s="1078">
        <v>2003</v>
      </c>
      <c r="F44" s="1078">
        <v>2004</v>
      </c>
      <c r="G44" s="1078">
        <v>2005</v>
      </c>
      <c r="H44" s="1078">
        <v>2006</v>
      </c>
      <c r="I44" s="1078">
        <v>2007</v>
      </c>
      <c r="J44" s="1078">
        <v>2008</v>
      </c>
      <c r="K44" s="1078">
        <v>2009</v>
      </c>
      <c r="L44" s="1078">
        <v>2010</v>
      </c>
      <c r="M44" s="1078">
        <v>2011</v>
      </c>
      <c r="N44" s="1078">
        <v>2012</v>
      </c>
      <c r="O44" s="1078">
        <v>2013</v>
      </c>
      <c r="P44" s="1078">
        <v>2014</v>
      </c>
      <c r="Q44" s="1078">
        <v>2015</v>
      </c>
      <c r="R44" s="1078">
        <v>2016</v>
      </c>
      <c r="S44" s="1078">
        <v>2017</v>
      </c>
      <c r="T44" s="1078">
        <v>2018</v>
      </c>
      <c r="U44" s="1078">
        <v>2019</v>
      </c>
      <c r="V44" s="1078">
        <v>2020</v>
      </c>
      <c r="W44" s="1078">
        <v>2021</v>
      </c>
      <c r="X44" s="1078">
        <v>2022</v>
      </c>
      <c r="Y44" s="1078">
        <v>2023</v>
      </c>
      <c r="Z44" s="1078">
        <v>2024</v>
      </c>
      <c r="AA44" s="1078">
        <v>2025</v>
      </c>
      <c r="AB44" s="1078">
        <v>2026</v>
      </c>
      <c r="AC44" s="1078">
        <v>2027</v>
      </c>
      <c r="AD44" s="1078">
        <v>2028</v>
      </c>
      <c r="AE44" s="1078">
        <v>2029</v>
      </c>
      <c r="AF44" s="1807">
        <v>2030</v>
      </c>
      <c r="AH44" s="748"/>
      <c r="AI44" s="748"/>
    </row>
    <row r="45" spans="1:35" s="698" customFormat="1" ht="13.5" outlineLevel="1" thickBot="1">
      <c r="B45" s="1808" t="s">
        <v>482</v>
      </c>
      <c r="C45" s="1809">
        <v>2.4412054189003829E-2</v>
      </c>
      <c r="D45" s="1809">
        <v>2.2182612796522339E-2</v>
      </c>
      <c r="E45" s="1809">
        <v>1.7964536099789541E-2</v>
      </c>
      <c r="F45" s="1809">
        <v>2.7328976584747089E-2</v>
      </c>
      <c r="G45" s="1809">
        <v>2.9002128643195402E-2</v>
      </c>
      <c r="H45" s="1809">
        <v>2.1527049999999992E-2</v>
      </c>
      <c r="I45" s="1809">
        <v>2.4455524697069908E-2</v>
      </c>
      <c r="J45" s="1809">
        <v>4.8077893795144933E-2</v>
      </c>
      <c r="K45" s="1809">
        <v>1.2828852291187465E-2</v>
      </c>
      <c r="L45" s="1809">
        <v>4.2791744047289582E-2</v>
      </c>
      <c r="M45" s="1809">
        <v>5.2700158546337139E-3</v>
      </c>
      <c r="N45" s="1809">
        <v>1.9677304952358643E-2</v>
      </c>
      <c r="O45" s="1809">
        <v>1.2787172603418551E-2</v>
      </c>
      <c r="P45" s="1809">
        <v>2.533659691131418E-2</v>
      </c>
      <c r="Q45" s="1809">
        <v>2.2780438741770492E-2</v>
      </c>
      <c r="R45" s="1809">
        <v>1.9602671888290457E-2</v>
      </c>
      <c r="S45" s="1809">
        <v>1.9578367618508175E-2</v>
      </c>
      <c r="T45" s="1809">
        <v>1.9388168730292143E-2</v>
      </c>
      <c r="U45" s="1809">
        <v>2.0385521990322397E-2</v>
      </c>
      <c r="V45" s="1809">
        <v>2.0041829037521275E-2</v>
      </c>
      <c r="W45" s="1809">
        <v>2.0960366834419153E-2</v>
      </c>
      <c r="X45" s="1809">
        <v>2.0443205652319607E-2</v>
      </c>
      <c r="Y45" s="1809">
        <v>2.2242811374091565E-2</v>
      </c>
      <c r="Z45" s="1809">
        <v>2.1277936229747718E-2</v>
      </c>
      <c r="AA45" s="1809">
        <v>2.1171852352172227E-2</v>
      </c>
      <c r="AB45" s="1809">
        <v>2.1157957606043443E-2</v>
      </c>
      <c r="AC45" s="1809">
        <v>2.1138316676352353E-2</v>
      </c>
      <c r="AD45" s="1809">
        <v>2.1082037577915269E-2</v>
      </c>
      <c r="AE45" s="1809">
        <v>2.1234013376179917E-2</v>
      </c>
      <c r="AF45" s="1810">
        <v>2.1176155507733219E-2</v>
      </c>
      <c r="AH45" s="748"/>
      <c r="AI45" s="748"/>
    </row>
    <row r="46" spans="1:35" s="698" customFormat="1" ht="13.5" outlineLevel="1" thickBot="1">
      <c r="B46" s="1808" t="s">
        <v>974</v>
      </c>
      <c r="C46" s="1425">
        <f t="shared" ref="C46:AF46" si="0">IF(C44=priceYear,1,IF(C44&lt;priceYear,D46*(1+C45),B46/(1+C45)))</f>
        <v>1.3895108801963867</v>
      </c>
      <c r="D46" s="1425">
        <f t="shared" si="0"/>
        <v>1.3563984087403389</v>
      </c>
      <c r="E46" s="1425">
        <f t="shared" si="0"/>
        <v>1.3269629044358888</v>
      </c>
      <c r="F46" s="1425">
        <f t="shared" si="0"/>
        <v>1.3035453175215612</v>
      </c>
      <c r="G46" s="1425">
        <f t="shared" si="0"/>
        <v>1.2688684415921645</v>
      </c>
      <c r="H46" s="1425">
        <f t="shared" si="0"/>
        <v>1.2331057500000004</v>
      </c>
      <c r="I46" s="1425">
        <f t="shared" si="0"/>
        <v>1.2071200170372389</v>
      </c>
      <c r="J46" s="1425">
        <f t="shared" si="0"/>
        <v>1.1783039750741573</v>
      </c>
      <c r="K46" s="1425">
        <f t="shared" si="0"/>
        <v>1.1242522927446326</v>
      </c>
      <c r="L46" s="1425">
        <f t="shared" si="0"/>
        <v>1.1100121113269894</v>
      </c>
      <c r="M46" s="1425">
        <f t="shared" si="0"/>
        <v>1.0644619289167017</v>
      </c>
      <c r="N46" s="1425">
        <f t="shared" si="0"/>
        <v>1.0588816060645614</v>
      </c>
      <c r="O46" s="1425">
        <f t="shared" si="0"/>
        <v>1.038447752952621</v>
      </c>
      <c r="P46" s="1425">
        <f t="shared" si="0"/>
        <v>1.0253365969113142</v>
      </c>
      <c r="Q46" s="1425">
        <f t="shared" si="0"/>
        <v>1</v>
      </c>
      <c r="R46" s="1425">
        <f t="shared" si="0"/>
        <v>0.98077420506167701</v>
      </c>
      <c r="S46" s="1425">
        <f t="shared" si="0"/>
        <v>0.96194097110213461</v>
      </c>
      <c r="T46" s="1425">
        <f t="shared" si="0"/>
        <v>0.94364541458263995</v>
      </c>
      <c r="U46" s="1425">
        <f t="shared" si="0"/>
        <v>0.92479302601432811</v>
      </c>
      <c r="V46" s="1425">
        <f t="shared" si="0"/>
        <v>0.90662264986420515</v>
      </c>
      <c r="W46" s="1425">
        <f t="shared" si="0"/>
        <v>0.88800964201506805</v>
      </c>
      <c r="X46" s="1425">
        <f t="shared" si="0"/>
        <v>0.87021956449541626</v>
      </c>
      <c r="Y46" s="1425">
        <f t="shared" si="0"/>
        <v>0.85128460167469733</v>
      </c>
      <c r="Z46" s="1425">
        <f t="shared" si="0"/>
        <v>0.83354841172559269</v>
      </c>
      <c r="AA46" s="1425">
        <f t="shared" si="0"/>
        <v>0.81626653712163455</v>
      </c>
      <c r="AB46" s="1425">
        <f t="shared" si="0"/>
        <v>0.79935384241166074</v>
      </c>
      <c r="AC46" s="1425">
        <f t="shared" si="0"/>
        <v>0.78280662801238732</v>
      </c>
      <c r="AD46" s="1425">
        <f t="shared" si="0"/>
        <v>0.76664420605151817</v>
      </c>
      <c r="AE46" s="1425">
        <f t="shared" si="0"/>
        <v>0.75070375252877375</v>
      </c>
      <c r="AF46" s="1425">
        <f t="shared" si="0"/>
        <v>0.73513639001443443</v>
      </c>
      <c r="AH46" s="748"/>
      <c r="AI46" s="748"/>
    </row>
    <row r="47" spans="1:35" s="698" customFormat="1" ht="12.75" outlineLevel="1">
      <c r="B47" s="1811" t="str">
        <f>CONCATENATE("Kilde: ",Referencer!$B$7)</f>
        <v>Kilde: 1, Forudsætninger for samfundsøkonomiske analyser på energiområdet. Energistyrelsen. April 2011.</v>
      </c>
      <c r="C47" s="469"/>
      <c r="D47" s="469"/>
      <c r="E47" s="469"/>
      <c r="F47" s="469"/>
      <c r="G47" s="469"/>
      <c r="H47" s="469"/>
      <c r="I47" s="469"/>
      <c r="J47" s="469"/>
      <c r="K47" s="469"/>
      <c r="L47" s="469"/>
      <c r="M47" s="469"/>
      <c r="N47" s="469"/>
      <c r="O47" s="469"/>
      <c r="P47" s="469"/>
      <c r="Q47" s="469"/>
      <c r="R47" s="469"/>
      <c r="S47" s="469"/>
      <c r="T47" s="469"/>
      <c r="U47" s="469"/>
      <c r="V47" s="469"/>
      <c r="W47" s="469"/>
      <c r="X47" s="469"/>
      <c r="Y47" s="469"/>
      <c r="Z47" s="469"/>
      <c r="AA47" s="469"/>
      <c r="AB47" s="469"/>
      <c r="AC47" s="469"/>
      <c r="AD47" s="469"/>
      <c r="AE47" s="469"/>
      <c r="AF47" s="469"/>
      <c r="AG47" s="469"/>
    </row>
    <row r="48" spans="1:35" outlineLevel="1">
      <c r="C48" s="748"/>
      <c r="D48" s="748"/>
      <c r="E48" s="748"/>
      <c r="J48" s="742"/>
      <c r="K48" s="742"/>
      <c r="L48" s="742"/>
      <c r="M48" s="742"/>
    </row>
    <row r="49" spans="1:14" ht="16.5" outlineLevel="1" thickBot="1">
      <c r="B49" s="1804" t="s">
        <v>593</v>
      </c>
      <c r="D49" s="748"/>
      <c r="E49" s="748"/>
    </row>
    <row r="50" spans="1:14" ht="12.75" outlineLevel="1">
      <c r="B50" s="1812" t="s">
        <v>586</v>
      </c>
      <c r="C50" s="1813">
        <f>1000*3600/1000000000</f>
        <v>3.5999999999999999E-3</v>
      </c>
      <c r="D50" s="748"/>
      <c r="E50" s="748">
        <f>1/C50</f>
        <v>277.77777777777777</v>
      </c>
      <c r="J50" s="742"/>
    </row>
    <row r="51" spans="1:14" ht="12.75" outlineLevel="1">
      <c r="B51" s="1814" t="s">
        <v>585</v>
      </c>
      <c r="C51" s="477">
        <f>1/C50</f>
        <v>277.77777777777777</v>
      </c>
      <c r="D51" s="748"/>
      <c r="E51" s="748"/>
      <c r="G51" s="1815">
        <v>400</v>
      </c>
      <c r="H51" s="476" t="s">
        <v>637</v>
      </c>
    </row>
    <row r="52" spans="1:14" ht="13.5" outlineLevel="1" thickBot="1">
      <c r="B52" s="1808" t="s">
        <v>584</v>
      </c>
      <c r="C52" s="1816">
        <f>1000*3600</f>
        <v>3600000</v>
      </c>
      <c r="D52" s="748"/>
      <c r="E52" s="748"/>
      <c r="G52" s="1817">
        <f>G51/C51</f>
        <v>1.44</v>
      </c>
      <c r="H52" s="664" t="s">
        <v>203</v>
      </c>
    </row>
    <row r="53" spans="1:14" outlineLevel="1">
      <c r="C53" s="748"/>
      <c r="D53" s="748"/>
      <c r="E53" s="748"/>
    </row>
    <row r="54" spans="1:14" outlineLevel="1">
      <c r="C54" s="1800"/>
    </row>
    <row r="55" spans="1:14" outlineLevel="1">
      <c r="C55" s="1800"/>
    </row>
    <row r="57" spans="1:14" s="690" customFormat="1" ht="18.75">
      <c r="A57" s="689" t="s">
        <v>197</v>
      </c>
    </row>
    <row r="58" spans="1:14" outlineLevel="1">
      <c r="C58" s="1800"/>
    </row>
    <row r="59" spans="1:14" outlineLevel="1">
      <c r="C59" s="1800"/>
    </row>
    <row r="60" spans="1:14" ht="12.75" outlineLevel="1">
      <c r="B60" s="599"/>
      <c r="C60" s="476"/>
      <c r="D60" s="476"/>
      <c r="E60" s="476"/>
      <c r="F60" s="476"/>
      <c r="G60" s="476"/>
      <c r="H60" s="476"/>
      <c r="I60" s="476"/>
    </row>
    <row r="61" spans="1:14" ht="12.75" outlineLevel="1">
      <c r="B61" s="497" t="s">
        <v>212</v>
      </c>
      <c r="C61" s="497" t="s">
        <v>200</v>
      </c>
      <c r="D61" s="497" t="s">
        <v>201</v>
      </c>
      <c r="E61" s="497" t="s">
        <v>24</v>
      </c>
      <c r="F61" s="497" t="s">
        <v>27</v>
      </c>
      <c r="G61" s="497" t="s">
        <v>28</v>
      </c>
      <c r="H61" s="497" t="s">
        <v>26</v>
      </c>
      <c r="I61" s="497" t="s">
        <v>25</v>
      </c>
      <c r="J61" s="497" t="s">
        <v>45</v>
      </c>
      <c r="K61" s="497" t="s">
        <v>56</v>
      </c>
    </row>
    <row r="62" spans="1:14" ht="12.75" outlineLevel="1">
      <c r="B62" s="485"/>
      <c r="C62" s="485"/>
      <c r="D62" s="485"/>
      <c r="E62" s="485" t="s">
        <v>203</v>
      </c>
      <c r="F62" s="485" t="s">
        <v>203</v>
      </c>
      <c r="G62" s="485" t="s">
        <v>203</v>
      </c>
      <c r="H62" s="485" t="s">
        <v>203</v>
      </c>
      <c r="I62" s="485" t="s">
        <v>203</v>
      </c>
      <c r="J62" s="485" t="s">
        <v>203</v>
      </c>
      <c r="K62" s="485" t="s">
        <v>202</v>
      </c>
      <c r="N62" s="1821"/>
    </row>
    <row r="63" spans="1:14" ht="12.75" outlineLevel="1">
      <c r="A63" s="599" t="s">
        <v>198</v>
      </c>
      <c r="B63" s="476" t="s">
        <v>204</v>
      </c>
      <c r="C63" s="476" t="s">
        <v>205</v>
      </c>
      <c r="D63" s="476" t="s">
        <v>206</v>
      </c>
      <c r="E63" s="1822">
        <v>37000</v>
      </c>
      <c r="F63" s="1823">
        <v>0.34</v>
      </c>
      <c r="G63" s="1823">
        <v>1.2</v>
      </c>
      <c r="H63" s="1823">
        <v>8.3000000000000007</v>
      </c>
      <c r="I63" s="1822">
        <v>102</v>
      </c>
      <c r="J63" s="1963">
        <v>0.28999999999999998</v>
      </c>
      <c r="K63" s="489">
        <f t="shared" ref="K63:K84" si="1">MMULT($E63:$I63,$C$195:$C$199)/1000</f>
        <v>37.366099999999996</v>
      </c>
    </row>
    <row r="64" spans="1:14" ht="12.75" outlineLevel="1">
      <c r="B64" s="476" t="s">
        <v>4</v>
      </c>
      <c r="C64" s="476" t="s">
        <v>207</v>
      </c>
      <c r="D64" s="476" t="s">
        <v>206</v>
      </c>
      <c r="E64" s="1822">
        <v>0</v>
      </c>
      <c r="F64" s="1823">
        <v>434</v>
      </c>
      <c r="G64" s="1823">
        <v>1.6</v>
      </c>
      <c r="H64" s="1823">
        <v>19.2</v>
      </c>
      <c r="I64" s="1822">
        <v>202</v>
      </c>
      <c r="J64" s="1963">
        <v>0.20599999999999999</v>
      </c>
      <c r="K64" s="489">
        <f t="shared" si="1"/>
        <v>11.326799999999999</v>
      </c>
    </row>
    <row r="65" spans="1:34" ht="12.75" outlineLevel="1">
      <c r="B65" s="476" t="s">
        <v>186</v>
      </c>
      <c r="C65" s="476" t="s">
        <v>205</v>
      </c>
      <c r="D65" s="476" t="s">
        <v>206</v>
      </c>
      <c r="E65" s="1822">
        <v>0</v>
      </c>
      <c r="F65" s="1823">
        <v>0.47</v>
      </c>
      <c r="G65" s="1823">
        <v>1.1000000000000001</v>
      </c>
      <c r="H65" s="1823">
        <v>49</v>
      </c>
      <c r="I65" s="1822">
        <v>125</v>
      </c>
      <c r="J65" s="1963">
        <v>1.1100000000000001</v>
      </c>
      <c r="K65" s="489">
        <f t="shared" si="1"/>
        <v>0.33955000000000002</v>
      </c>
      <c r="N65" s="471" t="s">
        <v>592</v>
      </c>
      <c r="O65" s="469"/>
      <c r="P65" s="469"/>
      <c r="Q65" s="469"/>
      <c r="R65" s="469"/>
      <c r="S65" s="469"/>
      <c r="T65" s="469"/>
      <c r="U65" s="469"/>
    </row>
    <row r="66" spans="1:34" ht="12.75" outlineLevel="1">
      <c r="B66" s="476" t="s">
        <v>191</v>
      </c>
      <c r="C66" s="476" t="s">
        <v>205</v>
      </c>
      <c r="D66" s="476" t="s">
        <v>208</v>
      </c>
      <c r="E66" s="1822">
        <v>93600</v>
      </c>
      <c r="F66" s="1823">
        <v>0.9</v>
      </c>
      <c r="G66" s="1823">
        <v>0.8</v>
      </c>
      <c r="H66" s="1823">
        <v>10</v>
      </c>
      <c r="I66" s="1822">
        <v>30</v>
      </c>
      <c r="J66" s="1963">
        <v>2.1</v>
      </c>
      <c r="K66" s="489">
        <f t="shared" si="1"/>
        <v>93.860900000000001</v>
      </c>
      <c r="N66" s="1824"/>
      <c r="O66" s="1824"/>
      <c r="P66" s="1825" t="s">
        <v>591</v>
      </c>
      <c r="Q66" s="1825" t="s">
        <v>590</v>
      </c>
      <c r="R66" s="1825" t="s">
        <v>589</v>
      </c>
      <c r="S66" s="1825" t="s">
        <v>571</v>
      </c>
      <c r="T66" s="1825" t="s">
        <v>570</v>
      </c>
      <c r="U66" s="1825" t="s">
        <v>588</v>
      </c>
      <c r="V66" s="1825" t="s">
        <v>636</v>
      </c>
    </row>
    <row r="67" spans="1:34" ht="12.75" outlineLevel="1">
      <c r="B67" s="476" t="s">
        <v>5</v>
      </c>
      <c r="C67" s="476" t="s">
        <v>205</v>
      </c>
      <c r="D67" s="476" t="s">
        <v>208</v>
      </c>
      <c r="E67" s="1822">
        <v>56740</v>
      </c>
      <c r="F67" s="1823">
        <v>0.1</v>
      </c>
      <c r="G67" s="1823">
        <v>0.1</v>
      </c>
      <c r="H67" s="1823">
        <v>0.3</v>
      </c>
      <c r="I67" s="1822">
        <v>55</v>
      </c>
      <c r="J67" s="1963">
        <v>0.1</v>
      </c>
      <c r="K67" s="489">
        <f t="shared" si="1"/>
        <v>56.772300000000001</v>
      </c>
      <c r="N67" s="497" t="s">
        <v>25</v>
      </c>
      <c r="O67" s="497" t="s">
        <v>587</v>
      </c>
      <c r="P67" s="1826"/>
      <c r="Q67" s="1826"/>
      <c r="R67" s="1827">
        <v>5</v>
      </c>
      <c r="S67" s="1827">
        <v>3.5</v>
      </c>
      <c r="T67" s="1827">
        <v>2</v>
      </c>
      <c r="U67" s="1827">
        <v>0.4</v>
      </c>
      <c r="V67" s="1827">
        <v>2</v>
      </c>
      <c r="X67" s="1715" t="s">
        <v>661</v>
      </c>
      <c r="AD67" s="1715" t="s">
        <v>665</v>
      </c>
    </row>
    <row r="68" spans="1:34" ht="12.75" outlineLevel="1">
      <c r="B68" s="476" t="s">
        <v>5</v>
      </c>
      <c r="C68" s="476" t="s">
        <v>209</v>
      </c>
      <c r="D68" s="476" t="s">
        <v>206</v>
      </c>
      <c r="E68" s="1822">
        <v>56740</v>
      </c>
      <c r="F68" s="1823">
        <v>1.7</v>
      </c>
      <c r="G68" s="1823">
        <v>1</v>
      </c>
      <c r="H68" s="1823">
        <v>0.3</v>
      </c>
      <c r="I68" s="1822">
        <v>48</v>
      </c>
      <c r="J68" s="1963">
        <v>5.0999999999999997E-2</v>
      </c>
      <c r="K68" s="489">
        <f t="shared" si="1"/>
        <v>57.080500000000001</v>
      </c>
      <c r="N68" s="476" t="s">
        <v>27</v>
      </c>
      <c r="O68" s="476" t="s">
        <v>637</v>
      </c>
      <c r="P68" s="1828"/>
      <c r="Q68" s="1828"/>
      <c r="R68" s="1098">
        <v>1.6</v>
      </c>
      <c r="S68" s="1098">
        <v>1.1000000000000001</v>
      </c>
      <c r="T68" s="1098">
        <v>1.1000000000000001</v>
      </c>
      <c r="U68" s="1829">
        <v>0.5</v>
      </c>
      <c r="V68" s="637">
        <v>0.65</v>
      </c>
      <c r="X68" s="1738"/>
      <c r="Y68" s="1738"/>
      <c r="Z68" s="1830">
        <v>2015</v>
      </c>
      <c r="AA68" s="1830">
        <v>2020</v>
      </c>
      <c r="AB68" s="1830">
        <v>2035</v>
      </c>
      <c r="AD68" s="1738"/>
      <c r="AE68" s="1738"/>
      <c r="AF68" s="1830">
        <v>2015</v>
      </c>
      <c r="AG68" s="1830">
        <v>2020</v>
      </c>
      <c r="AH68" s="1830">
        <v>2035</v>
      </c>
    </row>
    <row r="69" spans="1:34" ht="12.75" outlineLevel="1">
      <c r="B69" s="476" t="s">
        <v>5</v>
      </c>
      <c r="C69" s="476" t="s">
        <v>207</v>
      </c>
      <c r="D69" s="476" t="s">
        <v>206</v>
      </c>
      <c r="E69" s="1822">
        <v>56740</v>
      </c>
      <c r="F69" s="1823">
        <v>481</v>
      </c>
      <c r="G69" s="1823">
        <v>0.48</v>
      </c>
      <c r="H69" s="1823">
        <v>0.3</v>
      </c>
      <c r="I69" s="1822">
        <v>135</v>
      </c>
      <c r="J69" s="1963">
        <v>0.161</v>
      </c>
      <c r="K69" s="489">
        <f t="shared" si="1"/>
        <v>68.90804</v>
      </c>
      <c r="N69" s="485" t="s">
        <v>572</v>
      </c>
      <c r="O69" s="485" t="s">
        <v>587</v>
      </c>
      <c r="P69" s="1831"/>
      <c r="Q69" s="1831"/>
      <c r="R69" s="1832">
        <v>0.15</v>
      </c>
      <c r="S69" s="1832">
        <v>0.03</v>
      </c>
      <c r="T69" s="1832">
        <v>0.01</v>
      </c>
      <c r="U69" s="1832">
        <v>0.01</v>
      </c>
      <c r="V69" s="1832">
        <v>0.02</v>
      </c>
      <c r="X69" s="1727"/>
      <c r="Y69" s="1727"/>
      <c r="Z69" s="1833" t="s">
        <v>657</v>
      </c>
      <c r="AA69" s="1833" t="s">
        <v>658</v>
      </c>
      <c r="AB69" s="1833" t="s">
        <v>658</v>
      </c>
      <c r="AD69" s="1727"/>
      <c r="AE69" s="1727"/>
      <c r="AF69" s="1833" t="s">
        <v>657</v>
      </c>
      <c r="AG69" s="1833" t="s">
        <v>658</v>
      </c>
      <c r="AH69" s="1833" t="s">
        <v>658</v>
      </c>
    </row>
    <row r="70" spans="1:34" ht="12.75" outlineLevel="1">
      <c r="B70" s="485" t="s">
        <v>210</v>
      </c>
      <c r="C70" s="485" t="s">
        <v>205</v>
      </c>
      <c r="D70" s="485" t="s">
        <v>206</v>
      </c>
      <c r="E70" s="1834">
        <v>0</v>
      </c>
      <c r="F70" s="1835">
        <v>3.1</v>
      </c>
      <c r="G70" s="1835">
        <v>0.8</v>
      </c>
      <c r="H70" s="1835">
        <v>1.9</v>
      </c>
      <c r="I70" s="1834">
        <v>81</v>
      </c>
      <c r="J70" s="1964">
        <v>4.82</v>
      </c>
      <c r="K70" s="774">
        <f t="shared" si="1"/>
        <v>0.31589999999999996</v>
      </c>
      <c r="N70" s="497" t="str">
        <f>N67</f>
        <v>NOx</v>
      </c>
      <c r="O70" s="497" t="s">
        <v>203</v>
      </c>
      <c r="P70" s="1836"/>
      <c r="Q70" s="1836"/>
      <c r="R70" s="1837">
        <f t="shared" ref="R70:V72" si="2">R67*$C$51</f>
        <v>1388.8888888888889</v>
      </c>
      <c r="S70" s="1837">
        <f t="shared" si="2"/>
        <v>972.22222222222217</v>
      </c>
      <c r="T70" s="1837">
        <f t="shared" si="2"/>
        <v>555.55555555555554</v>
      </c>
      <c r="U70" s="1837">
        <f t="shared" si="2"/>
        <v>111.11111111111111</v>
      </c>
      <c r="V70" s="1837">
        <f t="shared" si="2"/>
        <v>555.55555555555554</v>
      </c>
      <c r="X70" s="1738" t="s">
        <v>152</v>
      </c>
      <c r="Y70" s="1738" t="s">
        <v>267</v>
      </c>
      <c r="Z70" s="1838">
        <v>8.8593075104294687</v>
      </c>
      <c r="AA70" s="1838">
        <v>8.8593075104294687</v>
      </c>
      <c r="AB70" s="1838">
        <v>8.8593075104294687</v>
      </c>
      <c r="AD70" s="1738" t="s">
        <v>152</v>
      </c>
      <c r="AE70" s="1738" t="s">
        <v>267</v>
      </c>
      <c r="AF70" s="1838">
        <v>10.405312476643097</v>
      </c>
      <c r="AG70" s="1838">
        <v>7.8598961049407992</v>
      </c>
      <c r="AH70" s="1838">
        <v>7.8598961049407992</v>
      </c>
    </row>
    <row r="71" spans="1:34" ht="12.75" outlineLevel="1">
      <c r="A71" s="599" t="s">
        <v>211</v>
      </c>
      <c r="B71" s="476" t="s">
        <v>204</v>
      </c>
      <c r="C71" s="476"/>
      <c r="D71" s="476" t="s">
        <v>213</v>
      </c>
      <c r="E71" s="1822">
        <v>37000</v>
      </c>
      <c r="F71" s="1823">
        <v>0.34</v>
      </c>
      <c r="G71" s="1823">
        <v>1.2</v>
      </c>
      <c r="H71" s="1823">
        <v>8.3000000000000007</v>
      </c>
      <c r="I71" s="1822">
        <v>102</v>
      </c>
      <c r="J71" s="1963">
        <v>0.28999999999999998</v>
      </c>
      <c r="K71" s="489">
        <f t="shared" si="1"/>
        <v>37.366099999999996</v>
      </c>
      <c r="N71" s="476" t="s">
        <v>27</v>
      </c>
      <c r="O71" s="476" t="s">
        <v>203</v>
      </c>
      <c r="P71" s="1839"/>
      <c r="Q71" s="1839"/>
      <c r="R71" s="612">
        <f t="shared" si="2"/>
        <v>444.44444444444446</v>
      </c>
      <c r="S71" s="612">
        <f t="shared" si="2"/>
        <v>305.5555555555556</v>
      </c>
      <c r="T71" s="612">
        <f t="shared" si="2"/>
        <v>305.5555555555556</v>
      </c>
      <c r="U71" s="612">
        <f t="shared" si="2"/>
        <v>138.88888888888889</v>
      </c>
      <c r="V71" s="612">
        <f t="shared" si="2"/>
        <v>180.55555555555557</v>
      </c>
      <c r="X71" s="1720" t="s">
        <v>24</v>
      </c>
      <c r="Y71" s="1720" t="s">
        <v>7</v>
      </c>
      <c r="Z71" s="1840">
        <v>655.58875577178071</v>
      </c>
      <c r="AA71" s="1840">
        <v>655.58875577178071</v>
      </c>
      <c r="AB71" s="1840">
        <v>655.58875577178071</v>
      </c>
      <c r="AD71" s="1720" t="s">
        <v>24</v>
      </c>
      <c r="AE71" s="1720" t="s">
        <v>7</v>
      </c>
      <c r="AF71" s="1840">
        <v>769.99312327158918</v>
      </c>
      <c r="AG71" s="1840">
        <v>581.63231176561919</v>
      </c>
      <c r="AH71" s="1840">
        <v>581.63231176561919</v>
      </c>
    </row>
    <row r="72" spans="1:34" ht="12.75" outlineLevel="1">
      <c r="B72" s="476" t="s">
        <v>4</v>
      </c>
      <c r="C72" s="476"/>
      <c r="D72" s="476" t="s">
        <v>213</v>
      </c>
      <c r="E72" s="1822">
        <v>0</v>
      </c>
      <c r="F72" s="1823">
        <v>1</v>
      </c>
      <c r="G72" s="1823">
        <v>0.1</v>
      </c>
      <c r="H72" s="1823">
        <v>25</v>
      </c>
      <c r="I72" s="1822">
        <v>28</v>
      </c>
      <c r="J72" s="1963">
        <v>1.5</v>
      </c>
      <c r="K72" s="489">
        <f t="shared" si="1"/>
        <v>5.4799999999999995E-2</v>
      </c>
      <c r="N72" s="485" t="str">
        <f>N69</f>
        <v>PM</v>
      </c>
      <c r="O72" s="485" t="s">
        <v>203</v>
      </c>
      <c r="P72" s="1841"/>
      <c r="Q72" s="1841"/>
      <c r="R72" s="1842">
        <f t="shared" si="2"/>
        <v>41.666666666666664</v>
      </c>
      <c r="S72" s="1843">
        <f t="shared" si="2"/>
        <v>8.3333333333333321</v>
      </c>
      <c r="T72" s="1843">
        <f t="shared" si="2"/>
        <v>2.7777777777777777</v>
      </c>
      <c r="U72" s="1843">
        <f t="shared" si="2"/>
        <v>2.7777777777777777</v>
      </c>
      <c r="V72" s="1843">
        <f t="shared" si="2"/>
        <v>5.5555555555555554</v>
      </c>
      <c r="X72" s="1720" t="s">
        <v>27</v>
      </c>
      <c r="Y72" s="1720" t="s">
        <v>7</v>
      </c>
      <c r="Z72" s="1844">
        <v>5.0504008912671868E-3</v>
      </c>
      <c r="AA72" s="1844">
        <v>1.4440001185169191E-3</v>
      </c>
      <c r="AB72" s="1844">
        <v>1.4440001185169191E-3</v>
      </c>
      <c r="AD72" s="1720" t="s">
        <v>27</v>
      </c>
      <c r="AE72" s="1720" t="s">
        <v>7</v>
      </c>
      <c r="AF72" s="1844">
        <v>3.7971120197050883E-3</v>
      </c>
      <c r="AG72" s="1844">
        <v>1.0734695315625378E-3</v>
      </c>
      <c r="AH72" s="1844">
        <v>1.0734695315625378E-3</v>
      </c>
    </row>
    <row r="73" spans="1:34" ht="12.75" outlineLevel="1">
      <c r="B73" s="476" t="s">
        <v>214</v>
      </c>
      <c r="C73" s="476"/>
      <c r="D73" s="476" t="s">
        <v>213</v>
      </c>
      <c r="E73" s="1961">
        <v>78900</v>
      </c>
      <c r="F73" s="1962">
        <v>0.9</v>
      </c>
      <c r="G73" s="1962">
        <v>0.3</v>
      </c>
      <c r="H73" s="1962">
        <v>344</v>
      </c>
      <c r="I73" s="1961">
        <v>142</v>
      </c>
      <c r="J73" s="1965"/>
      <c r="K73" s="489">
        <f t="shared" si="1"/>
        <v>79.011899999999997</v>
      </c>
      <c r="N73" s="469"/>
      <c r="Q73" s="469"/>
      <c r="R73" s="469"/>
      <c r="S73" s="469"/>
      <c r="T73" s="469"/>
      <c r="U73" s="469"/>
      <c r="X73" s="1720" t="s">
        <v>28</v>
      </c>
      <c r="Y73" s="1720" t="s">
        <v>7</v>
      </c>
      <c r="Z73" s="1844">
        <v>0.03</v>
      </c>
      <c r="AA73" s="1844">
        <v>0.03</v>
      </c>
      <c r="AB73" s="1844">
        <v>0.03</v>
      </c>
      <c r="AD73" s="1720" t="s">
        <v>28</v>
      </c>
      <c r="AE73" s="1720" t="s">
        <v>7</v>
      </c>
      <c r="AF73" s="1844">
        <v>0.03</v>
      </c>
      <c r="AG73" s="1844">
        <v>0.03</v>
      </c>
      <c r="AH73" s="1844">
        <v>0.03</v>
      </c>
    </row>
    <row r="74" spans="1:34" ht="12.75" outlineLevel="1">
      <c r="B74" s="476" t="s">
        <v>215</v>
      </c>
      <c r="C74" s="476"/>
      <c r="D74" s="476" t="s">
        <v>216</v>
      </c>
      <c r="E74" s="1961">
        <v>74000</v>
      </c>
      <c r="F74" s="1962">
        <v>0.9</v>
      </c>
      <c r="G74" s="1962">
        <v>0.4</v>
      </c>
      <c r="H74" s="1962">
        <v>23</v>
      </c>
      <c r="I74" s="1961">
        <v>65</v>
      </c>
      <c r="J74" s="1965"/>
      <c r="K74" s="489">
        <f t="shared" si="1"/>
        <v>74.1417</v>
      </c>
      <c r="N74" s="469"/>
      <c r="Q74" s="469"/>
      <c r="R74" s="469"/>
      <c r="S74" s="469"/>
      <c r="T74" s="469"/>
      <c r="U74" s="469"/>
      <c r="X74" s="1720" t="s">
        <v>26</v>
      </c>
      <c r="Y74" s="1720" t="s">
        <v>7</v>
      </c>
      <c r="Z74" s="1844">
        <v>4.1494700067367021E-3</v>
      </c>
      <c r="AA74" s="1844">
        <v>4.1494700067367021E-3</v>
      </c>
      <c r="AB74" s="1844">
        <v>4.1494700067367021E-3</v>
      </c>
      <c r="AD74" s="1720" t="s">
        <v>26</v>
      </c>
      <c r="AE74" s="1720" t="s">
        <v>7</v>
      </c>
      <c r="AF74" s="1844">
        <v>4.8735786608292879E-3</v>
      </c>
      <c r="AG74" s="1844">
        <v>3.6813716089122896E-3</v>
      </c>
      <c r="AH74" s="1844">
        <v>3.6813716089122896E-3</v>
      </c>
    </row>
    <row r="75" spans="1:34" ht="12.75" outlineLevel="1">
      <c r="B75" s="476" t="s">
        <v>186</v>
      </c>
      <c r="C75" s="476"/>
      <c r="D75" s="476" t="s">
        <v>213</v>
      </c>
      <c r="E75" s="1822">
        <v>0</v>
      </c>
      <c r="F75" s="1823">
        <v>30</v>
      </c>
      <c r="G75" s="1823">
        <v>4</v>
      </c>
      <c r="H75" s="1823">
        <v>130</v>
      </c>
      <c r="I75" s="1822">
        <v>90</v>
      </c>
      <c r="J75" s="1963">
        <v>12</v>
      </c>
      <c r="K75" s="489">
        <f t="shared" si="1"/>
        <v>1.9419999999999999</v>
      </c>
      <c r="X75" s="1720" t="s">
        <v>25</v>
      </c>
      <c r="Y75" s="1720" t="s">
        <v>7</v>
      </c>
      <c r="Z75" s="1844">
        <v>3.0910056720682086</v>
      </c>
      <c r="AA75" s="1844">
        <v>0.32288900537483423</v>
      </c>
      <c r="AB75" s="1844">
        <v>0.32288900537483423</v>
      </c>
      <c r="AD75" s="1720" t="s">
        <v>25</v>
      </c>
      <c r="AE75" s="1720" t="s">
        <v>7</v>
      </c>
      <c r="AF75" s="1844">
        <v>4.3827948531835563</v>
      </c>
      <c r="AG75" s="1844">
        <v>0.33729634592998314</v>
      </c>
      <c r="AH75" s="1844">
        <v>0.33729634592998314</v>
      </c>
    </row>
    <row r="76" spans="1:34" ht="12.75" outlineLevel="1">
      <c r="B76" s="476" t="s">
        <v>5</v>
      </c>
      <c r="C76" s="476"/>
      <c r="D76" s="476" t="s">
        <v>213</v>
      </c>
      <c r="E76" s="1845">
        <v>56740</v>
      </c>
      <c r="F76" s="1823">
        <v>0.1</v>
      </c>
      <c r="G76" s="1823">
        <v>0.1</v>
      </c>
      <c r="H76" s="1823">
        <v>0.3</v>
      </c>
      <c r="I76" s="1822">
        <v>42</v>
      </c>
      <c r="J76" s="1963">
        <v>0.1</v>
      </c>
      <c r="K76" s="489">
        <f t="shared" si="1"/>
        <v>56.772300000000001</v>
      </c>
      <c r="X76" s="1727" t="s">
        <v>659</v>
      </c>
      <c r="Y76" s="1727" t="s">
        <v>7</v>
      </c>
      <c r="Z76" s="1846">
        <v>2.9217831256442596E-2</v>
      </c>
      <c r="AA76" s="1846">
        <v>3.1950590578480559E-3</v>
      </c>
      <c r="AB76" s="1846">
        <v>3.1950590578480559E-3</v>
      </c>
      <c r="AD76" s="1727" t="s">
        <v>659</v>
      </c>
      <c r="AE76" s="1727" t="s">
        <v>7</v>
      </c>
      <c r="AF76" s="1846">
        <v>3.42012009501294E-2</v>
      </c>
      <c r="AG76" s="1846">
        <v>3.863793758468066E-3</v>
      </c>
      <c r="AH76" s="1846">
        <v>3.863793758468066E-3</v>
      </c>
    </row>
    <row r="77" spans="1:34" ht="12.75" outlineLevel="1">
      <c r="B77" s="476" t="s">
        <v>5</v>
      </c>
      <c r="C77" s="476"/>
      <c r="D77" s="476" t="s">
        <v>217</v>
      </c>
      <c r="E77" s="1822">
        <v>56740</v>
      </c>
      <c r="F77" s="1823">
        <v>5</v>
      </c>
      <c r="G77" s="1823">
        <v>0.1</v>
      </c>
      <c r="H77" s="1823">
        <v>0.3</v>
      </c>
      <c r="I77" s="1822">
        <v>30</v>
      </c>
      <c r="J77" s="1963">
        <v>0.1</v>
      </c>
      <c r="K77" s="489">
        <f t="shared" si="1"/>
        <v>56.894800000000004</v>
      </c>
      <c r="N77" s="1715" t="s">
        <v>520</v>
      </c>
      <c r="X77" s="1720" t="s">
        <v>24</v>
      </c>
      <c r="Y77" s="1720" t="s">
        <v>203</v>
      </c>
      <c r="Z77" s="1847">
        <f t="shared" ref="Z77:AB82" si="3">1000*Z71/Z$70</f>
        <v>74000</v>
      </c>
      <c r="AA77" s="1847">
        <f t="shared" si="3"/>
        <v>74000</v>
      </c>
      <c r="AB77" s="1847">
        <f t="shared" si="3"/>
        <v>74000</v>
      </c>
      <c r="AD77" s="1720" t="s">
        <v>24</v>
      </c>
      <c r="AE77" s="1720" t="s">
        <v>203</v>
      </c>
      <c r="AF77" s="1847">
        <f t="shared" ref="AF77:AH82" si="4">1000*AF71/AF$70</f>
        <v>74000</v>
      </c>
      <c r="AG77" s="1847">
        <f t="shared" si="4"/>
        <v>74000.000000000015</v>
      </c>
      <c r="AH77" s="1847">
        <f t="shared" si="4"/>
        <v>74000.000000000015</v>
      </c>
    </row>
    <row r="78" spans="1:34" ht="12.75" outlineLevel="1">
      <c r="B78" s="476" t="s">
        <v>218</v>
      </c>
      <c r="C78" s="476"/>
      <c r="D78" s="476" t="s">
        <v>213</v>
      </c>
      <c r="E78" s="1822">
        <v>0</v>
      </c>
      <c r="F78" s="1823">
        <v>30</v>
      </c>
      <c r="G78" s="1823">
        <v>4</v>
      </c>
      <c r="H78" s="1823">
        <v>25</v>
      </c>
      <c r="I78" s="1822">
        <v>90</v>
      </c>
      <c r="J78" s="1963">
        <v>10</v>
      </c>
      <c r="K78" s="489">
        <f t="shared" si="1"/>
        <v>1.9419999999999999</v>
      </c>
      <c r="N78" s="1738"/>
      <c r="O78" s="1738"/>
      <c r="P78" s="1719" t="s">
        <v>222</v>
      </c>
      <c r="Q78" s="1719"/>
      <c r="R78" s="1719" t="s">
        <v>479</v>
      </c>
      <c r="S78" s="1719"/>
      <c r="X78" s="1720" t="s">
        <v>27</v>
      </c>
      <c r="Y78" s="1720" t="s">
        <v>203</v>
      </c>
      <c r="Z78" s="1848">
        <f t="shared" si="3"/>
        <v>0.57006722989598102</v>
      </c>
      <c r="AA78" s="1848">
        <f t="shared" si="3"/>
        <v>0.16299243669067753</v>
      </c>
      <c r="AB78" s="1848">
        <f t="shared" si="3"/>
        <v>0.16299243669067753</v>
      </c>
      <c r="AD78" s="1720" t="s">
        <v>27</v>
      </c>
      <c r="AE78" s="1720" t="s">
        <v>203</v>
      </c>
      <c r="AF78" s="1848">
        <f t="shared" si="4"/>
        <v>0.36492051807463749</v>
      </c>
      <c r="AG78" s="1848">
        <f t="shared" si="4"/>
        <v>0.13657553703384775</v>
      </c>
      <c r="AH78" s="1848">
        <f t="shared" si="4"/>
        <v>0.13657553703384775</v>
      </c>
    </row>
    <row r="79" spans="1:34" ht="12.75" outlineLevel="1">
      <c r="B79" s="485" t="s">
        <v>219</v>
      </c>
      <c r="C79" s="485"/>
      <c r="D79" s="485" t="s">
        <v>217</v>
      </c>
      <c r="E79" s="1834">
        <v>0</v>
      </c>
      <c r="F79" s="1835">
        <v>3</v>
      </c>
      <c r="G79" s="1835">
        <v>4</v>
      </c>
      <c r="H79" s="1835">
        <v>25</v>
      </c>
      <c r="I79" s="1834">
        <v>120</v>
      </c>
      <c r="J79" s="1964">
        <v>32</v>
      </c>
      <c r="K79" s="774">
        <f t="shared" si="1"/>
        <v>1.2669999999999999</v>
      </c>
      <c r="N79" s="1727"/>
      <c r="O79" s="1727"/>
      <c r="P79" s="1849" t="s">
        <v>76</v>
      </c>
      <c r="Q79" s="1849" t="s">
        <v>77</v>
      </c>
      <c r="R79" s="1849" t="s">
        <v>76</v>
      </c>
      <c r="S79" s="1849" t="s">
        <v>224</v>
      </c>
      <c r="X79" s="1720" t="s">
        <v>28</v>
      </c>
      <c r="Y79" s="1720" t="s">
        <v>203</v>
      </c>
      <c r="Z79" s="1848">
        <f t="shared" si="3"/>
        <v>3.3862691824031406</v>
      </c>
      <c r="AA79" s="1848">
        <f t="shared" si="3"/>
        <v>3.3862691824031406</v>
      </c>
      <c r="AB79" s="1848">
        <f t="shared" si="3"/>
        <v>3.3862691824031406</v>
      </c>
      <c r="AD79" s="1720" t="s">
        <v>28</v>
      </c>
      <c r="AE79" s="1720" t="s">
        <v>203</v>
      </c>
      <c r="AF79" s="1848">
        <f t="shared" si="4"/>
        <v>2.8831426319335707</v>
      </c>
      <c r="AG79" s="1848">
        <f t="shared" si="4"/>
        <v>3.8168443449451881</v>
      </c>
      <c r="AH79" s="1848">
        <f t="shared" si="4"/>
        <v>3.8168443449451881</v>
      </c>
    </row>
    <row r="80" spans="1:34" ht="12.75" outlineLevel="1">
      <c r="A80" s="599" t="s">
        <v>220</v>
      </c>
      <c r="B80" s="476" t="s">
        <v>221</v>
      </c>
      <c r="C80" s="476" t="s">
        <v>222</v>
      </c>
      <c r="D80" s="476" t="s">
        <v>77</v>
      </c>
      <c r="E80" s="1822">
        <v>72800</v>
      </c>
      <c r="F80" s="1823">
        <v>3</v>
      </c>
      <c r="G80" s="1823">
        <v>1.2</v>
      </c>
      <c r="H80" s="1823">
        <v>0.5</v>
      </c>
      <c r="I80" s="1822">
        <v>80.7</v>
      </c>
      <c r="J80" s="1822"/>
      <c r="K80" s="489">
        <f t="shared" si="1"/>
        <v>73.232600000000005</v>
      </c>
      <c r="N80" s="1738" t="s">
        <v>24</v>
      </c>
      <c r="O80" s="1738" t="s">
        <v>203</v>
      </c>
      <c r="P80" s="1850">
        <f>E80</f>
        <v>72800</v>
      </c>
      <c r="Q80" s="1850">
        <f>E81</f>
        <v>72800</v>
      </c>
      <c r="R80" s="1850">
        <f>E82</f>
        <v>74000</v>
      </c>
      <c r="S80" s="1850">
        <f>E83</f>
        <v>74000</v>
      </c>
      <c r="X80" s="1720" t="s">
        <v>26</v>
      </c>
      <c r="Y80" s="1720" t="s">
        <v>203</v>
      </c>
      <c r="Z80" s="1848">
        <f t="shared" si="3"/>
        <v>0.46837408023728822</v>
      </c>
      <c r="AA80" s="1848">
        <f t="shared" si="3"/>
        <v>0.46837408023728822</v>
      </c>
      <c r="AB80" s="1848">
        <f t="shared" si="3"/>
        <v>0.46837408023728822</v>
      </c>
      <c r="AD80" s="1720" t="s">
        <v>26</v>
      </c>
      <c r="AE80" s="1720" t="s">
        <v>203</v>
      </c>
      <c r="AF80" s="1848">
        <f t="shared" si="4"/>
        <v>0.46837408023728805</v>
      </c>
      <c r="AG80" s="1848">
        <f t="shared" si="4"/>
        <v>0.46837408023728799</v>
      </c>
      <c r="AH80" s="1848">
        <f t="shared" si="4"/>
        <v>0.46837408023728799</v>
      </c>
    </row>
    <row r="81" spans="2:34" ht="12.75" outlineLevel="1">
      <c r="B81" s="476" t="s">
        <v>1</v>
      </c>
      <c r="C81" s="476" t="s">
        <v>222</v>
      </c>
      <c r="D81" s="476" t="s">
        <v>76</v>
      </c>
      <c r="E81" s="1822">
        <v>72800</v>
      </c>
      <c r="F81" s="1823">
        <v>8.1999999999999993</v>
      </c>
      <c r="G81" s="1823">
        <v>2.2999999999999998</v>
      </c>
      <c r="H81" s="1823">
        <v>0.5</v>
      </c>
      <c r="I81" s="1822">
        <v>111.7</v>
      </c>
      <c r="J81" s="1822"/>
      <c r="K81" s="489">
        <f t="shared" si="1"/>
        <v>73.690399999999997</v>
      </c>
      <c r="N81" s="1720" t="s">
        <v>27</v>
      </c>
      <c r="O81" s="1720" t="s">
        <v>203</v>
      </c>
      <c r="P81" s="1851">
        <f>F80</f>
        <v>3</v>
      </c>
      <c r="Q81" s="1851">
        <f>F81</f>
        <v>8.1999999999999993</v>
      </c>
      <c r="R81" s="1851">
        <f>F82</f>
        <v>8.1</v>
      </c>
      <c r="S81" s="1851">
        <f>F83</f>
        <v>5.2</v>
      </c>
      <c r="X81" s="1720" t="s">
        <v>25</v>
      </c>
      <c r="Y81" s="1720" t="s">
        <v>203</v>
      </c>
      <c r="Z81" s="1852">
        <f t="shared" si="3"/>
        <v>348.89924166526276</v>
      </c>
      <c r="AA81" s="1852">
        <f t="shared" si="3"/>
        <v>36.446302941253435</v>
      </c>
      <c r="AB81" s="1852">
        <f t="shared" si="3"/>
        <v>36.446302941253435</v>
      </c>
      <c r="AD81" s="1720" t="s">
        <v>25</v>
      </c>
      <c r="AE81" s="1720" t="s">
        <v>203</v>
      </c>
      <c r="AF81" s="1852">
        <f t="shared" si="4"/>
        <v>421.20742294108487</v>
      </c>
      <c r="AG81" s="1852">
        <f t="shared" si="4"/>
        <v>42.913588351117738</v>
      </c>
      <c r="AH81" s="1852">
        <f t="shared" si="4"/>
        <v>42.913588351117738</v>
      </c>
    </row>
    <row r="82" spans="2:34" ht="12.75" outlineLevel="1">
      <c r="B82" s="476" t="s">
        <v>2</v>
      </c>
      <c r="C82" s="476" t="s">
        <v>223</v>
      </c>
      <c r="D82" s="476" t="s">
        <v>76</v>
      </c>
      <c r="E82" s="1822">
        <v>74000</v>
      </c>
      <c r="F82" s="1823">
        <v>8.1</v>
      </c>
      <c r="G82" s="1823">
        <v>2.6</v>
      </c>
      <c r="H82" s="1823">
        <v>0.5</v>
      </c>
      <c r="I82" s="1822">
        <v>697.7</v>
      </c>
      <c r="J82" s="2152">
        <f>U94</f>
        <v>23.189553499016419</v>
      </c>
      <c r="K82" s="489">
        <f t="shared" si="1"/>
        <v>74.9773</v>
      </c>
      <c r="N82" s="1720" t="s">
        <v>28</v>
      </c>
      <c r="O82" s="1720" t="s">
        <v>203</v>
      </c>
      <c r="P82" s="1851">
        <f>G80</f>
        <v>1.2</v>
      </c>
      <c r="Q82" s="1851">
        <f>G81</f>
        <v>2.2999999999999998</v>
      </c>
      <c r="R82" s="1851">
        <f>G82</f>
        <v>2.6</v>
      </c>
      <c r="S82" s="1851">
        <f>G83</f>
        <v>3.1</v>
      </c>
      <c r="X82" s="1727" t="s">
        <v>659</v>
      </c>
      <c r="Y82" s="1727" t="s">
        <v>203</v>
      </c>
      <c r="Z82" s="1853">
        <f t="shared" si="3"/>
        <v>3.2979813853448934</v>
      </c>
      <c r="AA82" s="1853">
        <f t="shared" si="3"/>
        <v>0.36064433411829616</v>
      </c>
      <c r="AB82" s="1853">
        <f t="shared" si="3"/>
        <v>0.36064433411829616</v>
      </c>
      <c r="AD82" s="1727" t="s">
        <v>659</v>
      </c>
      <c r="AE82" s="1727" t="s">
        <v>203</v>
      </c>
      <c r="AF82" s="1853">
        <f t="shared" si="4"/>
        <v>3.2868980174215006</v>
      </c>
      <c r="AG82" s="1853">
        <f t="shared" si="4"/>
        <v>0.49158331190144505</v>
      </c>
      <c r="AH82" s="1853">
        <f t="shared" si="4"/>
        <v>0.49158331190144505</v>
      </c>
    </row>
    <row r="83" spans="2:34" ht="12.75" outlineLevel="1">
      <c r="B83" s="476" t="s">
        <v>2</v>
      </c>
      <c r="C83" s="476" t="s">
        <v>223</v>
      </c>
      <c r="D83" s="476" t="s">
        <v>224</v>
      </c>
      <c r="E83" s="1822">
        <v>74000</v>
      </c>
      <c r="F83" s="1823">
        <v>5.2</v>
      </c>
      <c r="G83" s="1823">
        <v>3.1</v>
      </c>
      <c r="H83" s="1823">
        <v>0.5</v>
      </c>
      <c r="I83" s="1822">
        <v>668.1</v>
      </c>
      <c r="J83" s="2152">
        <f>U93</f>
        <v>12.424913990420974</v>
      </c>
      <c r="K83" s="489">
        <f t="shared" si="1"/>
        <v>75.05380000000001</v>
      </c>
      <c r="N83" s="1720" t="s">
        <v>26</v>
      </c>
      <c r="O83" s="1720" t="s">
        <v>203</v>
      </c>
      <c r="P83" s="1851">
        <f>H80</f>
        <v>0.5</v>
      </c>
      <c r="Q83" s="1851">
        <f>H81</f>
        <v>0.5</v>
      </c>
      <c r="R83" s="1851">
        <f>H82</f>
        <v>0.5</v>
      </c>
      <c r="S83" s="1851">
        <f>H83</f>
        <v>0.5</v>
      </c>
      <c r="X83" s="1791" t="s">
        <v>664</v>
      </c>
      <c r="AD83" s="1791" t="s">
        <v>664</v>
      </c>
    </row>
    <row r="84" spans="2:34" ht="12.75" outlineLevel="1">
      <c r="B84" s="485" t="s">
        <v>225</v>
      </c>
      <c r="C84" s="485"/>
      <c r="D84" s="485"/>
      <c r="E84" s="1834">
        <v>72000</v>
      </c>
      <c r="F84" s="1835">
        <v>1.1000000000000001</v>
      </c>
      <c r="G84" s="1835">
        <v>2.2999999999999998</v>
      </c>
      <c r="H84" s="1835">
        <v>23</v>
      </c>
      <c r="I84" s="1834">
        <v>313.2</v>
      </c>
      <c r="J84" s="1834"/>
      <c r="K84" s="774">
        <f t="shared" si="1"/>
        <v>72.712899999999991</v>
      </c>
      <c r="N84" s="1720" t="s">
        <v>25</v>
      </c>
      <c r="O84" s="1720" t="s">
        <v>203</v>
      </c>
      <c r="P84" s="1851">
        <f>I80</f>
        <v>80.7</v>
      </c>
      <c r="Q84" s="1851">
        <f>I81</f>
        <v>111.7</v>
      </c>
      <c r="R84" s="1851">
        <f>I82</f>
        <v>697.7</v>
      </c>
      <c r="S84" s="1851">
        <f>I83</f>
        <v>668.1</v>
      </c>
    </row>
    <row r="85" spans="2:34" ht="12.75" outlineLevel="1">
      <c r="B85" s="476" t="s">
        <v>485</v>
      </c>
      <c r="C85" s="476"/>
      <c r="D85" s="476"/>
      <c r="E85" s="476"/>
      <c r="F85" s="476"/>
      <c r="G85" s="476"/>
      <c r="H85" s="476"/>
      <c r="I85" s="476"/>
      <c r="N85" s="1727" t="s">
        <v>45</v>
      </c>
      <c r="O85" s="1727" t="s">
        <v>203</v>
      </c>
      <c r="P85" s="1854">
        <f>J80</f>
        <v>0</v>
      </c>
      <c r="Q85" s="1854">
        <f>J81</f>
        <v>0</v>
      </c>
      <c r="R85" s="1854">
        <f>J82</f>
        <v>23.189553499016419</v>
      </c>
      <c r="S85" s="1854">
        <f>J83</f>
        <v>12.424913990420974</v>
      </c>
    </row>
    <row r="86" spans="2:34" ht="12.75" outlineLevel="1">
      <c r="B86" s="476" t="s">
        <v>226</v>
      </c>
      <c r="C86" s="476" t="s">
        <v>227</v>
      </c>
      <c r="D86" s="476"/>
      <c r="E86" s="476"/>
      <c r="F86" s="476"/>
      <c r="G86" s="476"/>
      <c r="H86" s="476"/>
      <c r="I86" s="476"/>
      <c r="N86" s="1603" t="s">
        <v>56</v>
      </c>
      <c r="O86" s="1603" t="s">
        <v>74</v>
      </c>
      <c r="P86" s="1855">
        <f>SUMPRODUCT(P80:P85,$C$195:$C$200)/1000</f>
        <v>73.232600000000005</v>
      </c>
      <c r="Q86" s="1855">
        <f>SUMPRODUCT(Q80:Q85,$C$195:$C$200)/1000</f>
        <v>73.690399999999997</v>
      </c>
      <c r="R86" s="1855">
        <f>SUMPRODUCT(R80:R85,$C$195:$C$200)/1000</f>
        <v>74.9773</v>
      </c>
      <c r="S86" s="1855">
        <f>SUMPRODUCT(S80:S85,$C$195:$C$200)/1000</f>
        <v>75.05380000000001</v>
      </c>
    </row>
    <row r="87" spans="2:34" ht="12.75" outlineLevel="1">
      <c r="B87" s="476" t="s">
        <v>228</v>
      </c>
      <c r="C87" s="476" t="s">
        <v>229</v>
      </c>
      <c r="D87" s="476"/>
      <c r="E87" s="476"/>
      <c r="F87" s="476"/>
      <c r="G87" s="476"/>
      <c r="H87" s="476"/>
      <c r="I87" s="476"/>
    </row>
    <row r="88" spans="2:34" ht="15" outlineLevel="1">
      <c r="B88" s="476" t="s">
        <v>230</v>
      </c>
      <c r="C88" s="476" t="s">
        <v>231</v>
      </c>
      <c r="D88" s="476"/>
      <c r="E88" s="476"/>
      <c r="F88" s="476"/>
      <c r="G88" s="476"/>
      <c r="H88" s="476"/>
      <c r="I88" s="476"/>
      <c r="S88" s="2151" t="s">
        <v>2336</v>
      </c>
    </row>
    <row r="89" spans="2:34" ht="12.75" outlineLevel="1">
      <c r="B89" s="476"/>
      <c r="C89" s="476" t="s">
        <v>232</v>
      </c>
      <c r="D89" s="476"/>
      <c r="E89" s="476"/>
      <c r="F89" s="476"/>
      <c r="G89" s="476"/>
      <c r="H89" s="476"/>
      <c r="I89" s="476"/>
      <c r="S89" s="2019" t="s">
        <v>67</v>
      </c>
      <c r="T89" s="2019" t="s">
        <v>2335</v>
      </c>
      <c r="U89" s="2157">
        <f>G164/1000</f>
        <v>3.5868000000000004E-2</v>
      </c>
    </row>
    <row r="90" spans="2:34" ht="12.75" outlineLevel="1">
      <c r="B90" s="476" t="s">
        <v>233</v>
      </c>
      <c r="C90" s="476" t="s">
        <v>234</v>
      </c>
      <c r="D90" s="476"/>
      <c r="E90" s="476"/>
      <c r="F90" s="476"/>
      <c r="G90" s="476"/>
      <c r="H90" s="476"/>
      <c r="I90" s="476"/>
      <c r="S90" s="2149" t="s">
        <v>2333</v>
      </c>
      <c r="T90" s="2149" t="s">
        <v>2334</v>
      </c>
      <c r="U90" s="2150">
        <v>3.2759006211180126</v>
      </c>
      <c r="V90" s="664" t="s">
        <v>2343</v>
      </c>
    </row>
    <row r="91" spans="2:34" ht="12.75" outlineLevel="1">
      <c r="B91" s="476" t="s">
        <v>235</v>
      </c>
      <c r="C91" s="476"/>
      <c r="D91" s="476"/>
      <c r="E91" s="476"/>
      <c r="F91" s="476"/>
      <c r="G91" s="476"/>
      <c r="H91" s="476"/>
      <c r="I91" s="476"/>
      <c r="S91" s="386" t="s">
        <v>2337</v>
      </c>
      <c r="T91" s="386" t="s">
        <v>7</v>
      </c>
      <c r="U91" s="2148">
        <v>0.13604100568115646</v>
      </c>
      <c r="V91" s="664" t="s">
        <v>2342</v>
      </c>
      <c r="W91" s="1821"/>
    </row>
    <row r="92" spans="2:34" ht="12.75" outlineLevel="1">
      <c r="B92" s="476" t="s">
        <v>236</v>
      </c>
      <c r="C92" s="476"/>
      <c r="D92" s="476"/>
      <c r="E92" s="476"/>
      <c r="F92" s="476"/>
      <c r="G92" s="476"/>
      <c r="H92" s="476"/>
      <c r="I92" s="476"/>
      <c r="S92" s="386" t="s">
        <v>2338</v>
      </c>
      <c r="T92" s="58" t="s">
        <v>7</v>
      </c>
      <c r="U92" s="2148">
        <v>0.25390358289283316</v>
      </c>
      <c r="V92" s="664" t="s">
        <v>2342</v>
      </c>
    </row>
    <row r="93" spans="2:34" ht="12.75" outlineLevel="1">
      <c r="B93" s="476" t="s">
        <v>237</v>
      </c>
      <c r="C93" s="476"/>
      <c r="D93" s="476"/>
      <c r="E93" s="476"/>
      <c r="F93" s="476"/>
      <c r="G93" s="476"/>
      <c r="H93" s="476"/>
      <c r="I93" s="476"/>
      <c r="S93" s="2019" t="s">
        <v>2339</v>
      </c>
      <c r="T93" s="2019" t="s">
        <v>203</v>
      </c>
      <c r="U93" s="2153">
        <f>U91*U90/U89</f>
        <v>12.424913990420974</v>
      </c>
    </row>
    <row r="94" spans="2:34" ht="12.75" outlineLevel="1">
      <c r="B94" s="1811" t="str">
        <f>CONCATENATE("Kilde: ",Referencer!$B$7,", ",Referencer!$B$8)</f>
        <v>Kilde: 1, Forudsætninger for samfundsøkonomiske analyser på energiområdet. Energistyrelsen. April 2011., 2, Energistyrelsen. Forudsætninger for samfundsøkonomiske analyser på energiområdet. April 2010</v>
      </c>
      <c r="C94" s="476"/>
      <c r="D94" s="476"/>
      <c r="E94" s="476"/>
      <c r="F94" s="476"/>
      <c r="G94" s="476"/>
      <c r="H94" s="476"/>
      <c r="I94" s="476"/>
      <c r="S94" s="2019" t="s">
        <v>742</v>
      </c>
      <c r="T94" s="2019" t="s">
        <v>203</v>
      </c>
      <c r="U94" s="2153">
        <f>U92*U90/U89</f>
        <v>23.189553499016419</v>
      </c>
    </row>
    <row r="95" spans="2:34" outlineLevel="1">
      <c r="C95" s="1800"/>
      <c r="S95" s="664" t="str">
        <f>"Kilde: "&amp;Referencer!B9</f>
        <v>Kilde: 3, Transportøkonomiske enhedspriser 2010, DTU , Institut for transport</v>
      </c>
    </row>
    <row r="96" spans="2:34" outlineLevel="1">
      <c r="C96" s="1800"/>
    </row>
    <row r="97" spans="1:10" s="690" customFormat="1" ht="18.75">
      <c r="A97" s="689" t="s">
        <v>852</v>
      </c>
    </row>
    <row r="98" spans="1:10" outlineLevel="1"/>
    <row r="99" spans="1:10" outlineLevel="1"/>
    <row r="100" spans="1:10" ht="15" outlineLevel="1">
      <c r="B100" s="1856" t="s">
        <v>927</v>
      </c>
    </row>
    <row r="101" spans="1:10" ht="12.75" outlineLevel="1">
      <c r="B101" s="1857"/>
      <c r="C101" s="1763" t="s">
        <v>24</v>
      </c>
      <c r="D101" s="1763" t="s">
        <v>27</v>
      </c>
      <c r="E101" s="1763" t="s">
        <v>28</v>
      </c>
      <c r="F101" s="1763" t="s">
        <v>26</v>
      </c>
      <c r="G101" s="1763" t="s">
        <v>25</v>
      </c>
      <c r="H101" s="1764" t="s">
        <v>45</v>
      </c>
    </row>
    <row r="102" spans="1:10" ht="12.75" outlineLevel="1">
      <c r="B102" s="1756" t="s">
        <v>2</v>
      </c>
      <c r="C102" s="1769">
        <f>Supplementary!$E$82/1000</f>
        <v>74</v>
      </c>
      <c r="D102" s="1858"/>
      <c r="E102" s="1858"/>
      <c r="F102" s="2462">
        <f>2*0.001*50/F164</f>
        <v>2.34192037470726E-3</v>
      </c>
      <c r="G102" s="1858"/>
      <c r="H102" s="1859"/>
      <c r="J102" s="664" t="s">
        <v>2605</v>
      </c>
    </row>
    <row r="103" spans="1:10" ht="12.75" outlineLevel="1">
      <c r="B103" s="1773" t="s">
        <v>1</v>
      </c>
      <c r="C103" s="1769">
        <f>Supplementary!$E$81/1000</f>
        <v>72.8</v>
      </c>
      <c r="D103" s="1858"/>
      <c r="E103" s="1858"/>
      <c r="F103" s="1858"/>
      <c r="G103" s="1858"/>
      <c r="H103" s="1859"/>
      <c r="J103" s="664" t="s">
        <v>2606</v>
      </c>
    </row>
    <row r="104" spans="1:10" ht="12.75" outlineLevel="1">
      <c r="B104" s="1773" t="s">
        <v>798</v>
      </c>
      <c r="C104" s="1132">
        <v>0</v>
      </c>
      <c r="D104" s="1858"/>
      <c r="E104" s="1858"/>
      <c r="F104" s="1858"/>
      <c r="G104" s="1858"/>
      <c r="H104" s="1859"/>
      <c r="J104" s="1821">
        <f>2/F164</f>
        <v>4.6838407494145196E-2</v>
      </c>
    </row>
    <row r="105" spans="1:10" ht="12.75" outlineLevel="1">
      <c r="B105" s="1773" t="s">
        <v>797</v>
      </c>
      <c r="C105" s="1132">
        <v>0</v>
      </c>
      <c r="D105" s="1858"/>
      <c r="E105" s="1858"/>
      <c r="F105" s="1858"/>
      <c r="G105" s="1858"/>
      <c r="H105" s="1859"/>
    </row>
    <row r="106" spans="1:10" ht="12.75" outlineLevel="1">
      <c r="B106" s="1773" t="s">
        <v>799</v>
      </c>
      <c r="C106" s="1132">
        <v>0</v>
      </c>
      <c r="D106" s="1858"/>
      <c r="E106" s="1858"/>
      <c r="F106" s="1858"/>
      <c r="G106" s="1858"/>
      <c r="H106" s="1859"/>
    </row>
    <row r="107" spans="1:10" ht="12.75" outlineLevel="1">
      <c r="B107" s="1773" t="s">
        <v>800</v>
      </c>
      <c r="C107" s="1132">
        <v>0</v>
      </c>
      <c r="D107" s="1858"/>
      <c r="E107" s="1858"/>
      <c r="F107" s="1858"/>
      <c r="G107" s="1858"/>
      <c r="H107" s="1859"/>
    </row>
    <row r="108" spans="1:10" ht="12.75" outlineLevel="1">
      <c r="B108" s="1773" t="s">
        <v>10</v>
      </c>
      <c r="C108" s="1132">
        <v>0</v>
      </c>
      <c r="D108" s="1858"/>
      <c r="E108" s="1858"/>
      <c r="F108" s="2459"/>
      <c r="G108" s="1858"/>
      <c r="H108" s="1859"/>
      <c r="J108" s="664" t="s">
        <v>2603</v>
      </c>
    </row>
    <row r="109" spans="1:10" ht="12.75" outlineLevel="1">
      <c r="B109" s="1773" t="s">
        <v>554</v>
      </c>
      <c r="C109" s="1132">
        <v>0</v>
      </c>
      <c r="D109" s="1858"/>
      <c r="E109" s="1858"/>
      <c r="F109" s="2459"/>
      <c r="G109" s="1858"/>
      <c r="H109" s="1859"/>
    </row>
    <row r="110" spans="1:10" ht="12.75" outlineLevel="1">
      <c r="B110" s="1773" t="s">
        <v>794</v>
      </c>
      <c r="C110" s="1769">
        <f>Supplementary!$E$77/1000</f>
        <v>56.74</v>
      </c>
      <c r="D110" s="1858"/>
      <c r="E110" s="1858"/>
      <c r="F110" s="1858"/>
      <c r="G110" s="1858"/>
      <c r="H110" s="1859"/>
    </row>
    <row r="111" spans="1:10" ht="12.75" outlineLevel="1">
      <c r="B111" s="1773" t="s">
        <v>838</v>
      </c>
      <c r="C111" s="1132">
        <v>0</v>
      </c>
      <c r="D111" s="1858"/>
      <c r="E111" s="1858"/>
      <c r="F111" s="1858"/>
      <c r="G111" s="1858"/>
      <c r="H111" s="1859"/>
    </row>
    <row r="112" spans="1:10" ht="12.75" outlineLevel="1">
      <c r="B112" s="1773" t="s">
        <v>12</v>
      </c>
      <c r="C112" s="1132">
        <v>0</v>
      </c>
      <c r="D112" s="1858"/>
      <c r="E112" s="1858"/>
      <c r="F112" s="1858"/>
      <c r="G112" s="1858"/>
      <c r="H112" s="1859"/>
    </row>
    <row r="113" spans="2:17" ht="12.75" outlineLevel="1">
      <c r="B113" s="1773" t="s">
        <v>3</v>
      </c>
      <c r="C113" s="1132">
        <v>0</v>
      </c>
      <c r="D113" s="1858"/>
      <c r="E113" s="1858"/>
      <c r="F113" s="1858"/>
      <c r="G113" s="1858"/>
      <c r="H113" s="1859"/>
    </row>
    <row r="114" spans="2:17" ht="12.75" outlineLevel="1">
      <c r="B114" s="1773" t="s">
        <v>796</v>
      </c>
      <c r="C114" s="1769">
        <f>Supplementary!$E$82/1000</f>
        <v>74</v>
      </c>
      <c r="D114" s="1858"/>
      <c r="E114" s="1858"/>
      <c r="F114" s="2459"/>
      <c r="G114" s="1858"/>
      <c r="H114" s="1859"/>
      <c r="J114" s="664" t="s">
        <v>2604</v>
      </c>
    </row>
    <row r="115" spans="2:17" ht="12.75" outlineLevel="1">
      <c r="B115" s="1773" t="s">
        <v>837</v>
      </c>
      <c r="C115" s="1132">
        <v>0</v>
      </c>
      <c r="D115" s="1858"/>
      <c r="E115" s="1858"/>
      <c r="F115" s="2459"/>
      <c r="G115" s="1858"/>
      <c r="H115" s="1859"/>
      <c r="J115" s="664" t="s">
        <v>2604</v>
      </c>
      <c r="K115" s="1821"/>
    </row>
    <row r="116" spans="2:17" ht="12.75" outlineLevel="1">
      <c r="B116" s="1773" t="s">
        <v>795</v>
      </c>
      <c r="C116" s="1132">
        <v>0</v>
      </c>
      <c r="D116" s="1858"/>
      <c r="E116" s="1858"/>
      <c r="F116" s="1858"/>
      <c r="G116" s="1858"/>
      <c r="H116" s="1859"/>
    </row>
    <row r="117" spans="2:17" ht="12.75" outlineLevel="1">
      <c r="B117" s="1773" t="s">
        <v>933</v>
      </c>
      <c r="C117" s="1132">
        <v>0</v>
      </c>
      <c r="D117" s="1858"/>
      <c r="E117" s="1858"/>
      <c r="F117" s="784">
        <f>(32/(2*16+32))*0.05%*1000/17.5</f>
        <v>1.4285714285714285E-2</v>
      </c>
      <c r="G117" s="1858"/>
      <c r="H117" s="1859"/>
      <c r="J117" s="664" t="s">
        <v>934</v>
      </c>
      <c r="Q117" s="664" t="s">
        <v>931</v>
      </c>
    </row>
    <row r="118" spans="2:17" ht="12.75" outlineLevel="1">
      <c r="B118" s="1773" t="s">
        <v>13</v>
      </c>
      <c r="C118" s="1132">
        <v>0</v>
      </c>
      <c r="D118" s="1858"/>
      <c r="E118" s="1858"/>
      <c r="F118" s="784">
        <f>(32/(2*16+32))*0.1%*1000/14.5</f>
        <v>3.4482758620689655E-2</v>
      </c>
      <c r="G118" s="1858"/>
      <c r="H118" s="1859"/>
      <c r="J118" s="664" t="s">
        <v>932</v>
      </c>
      <c r="Q118" s="664" t="s">
        <v>931</v>
      </c>
    </row>
    <row r="119" spans="2:17" ht="12.75" outlineLevel="1">
      <c r="B119" s="1773" t="s">
        <v>17</v>
      </c>
      <c r="C119" s="1769">
        <f>E66/1000</f>
        <v>93.6</v>
      </c>
      <c r="D119" s="1858"/>
      <c r="E119" s="1858"/>
      <c r="F119" s="784">
        <f>(32/(2*16+32))*2%*1000/24</f>
        <v>0.41666666666666669</v>
      </c>
      <c r="G119" s="1858"/>
      <c r="H119" s="1859"/>
      <c r="J119" s="664" t="s">
        <v>928</v>
      </c>
    </row>
    <row r="120" spans="2:17" ht="12.75" outlineLevel="1">
      <c r="B120" s="1773" t="s">
        <v>938</v>
      </c>
      <c r="C120" s="1132">
        <v>0</v>
      </c>
      <c r="D120" s="1858"/>
      <c r="E120" s="1858"/>
      <c r="F120" s="784"/>
      <c r="G120" s="1858"/>
      <c r="H120" s="1859"/>
    </row>
    <row r="121" spans="2:17" ht="12.75" outlineLevel="1">
      <c r="B121" s="1773" t="s">
        <v>939</v>
      </c>
      <c r="C121" s="1132">
        <v>0</v>
      </c>
      <c r="D121" s="1858"/>
      <c r="E121" s="1858"/>
      <c r="F121" s="784"/>
      <c r="G121" s="1858"/>
      <c r="H121" s="1859"/>
    </row>
    <row r="122" spans="2:17" ht="12.75" outlineLevel="1">
      <c r="B122" s="1773" t="s">
        <v>941</v>
      </c>
      <c r="C122" s="1132">
        <v>0</v>
      </c>
      <c r="D122" s="1858"/>
      <c r="E122" s="1858"/>
      <c r="F122" s="784"/>
      <c r="G122" s="1858"/>
      <c r="H122" s="1859"/>
    </row>
    <row r="123" spans="2:17" ht="12.75" outlineLevel="1">
      <c r="B123" s="1773" t="s">
        <v>943</v>
      </c>
      <c r="C123" s="1132">
        <v>0</v>
      </c>
      <c r="D123" s="1858"/>
      <c r="E123" s="1858"/>
      <c r="F123" s="784"/>
      <c r="G123" s="1858"/>
      <c r="H123" s="1859"/>
    </row>
    <row r="124" spans="2:17" ht="12.75" outlineLevel="1">
      <c r="B124" s="1773" t="s">
        <v>942</v>
      </c>
      <c r="C124" s="1132">
        <v>0</v>
      </c>
      <c r="D124" s="1858"/>
      <c r="E124" s="1858"/>
      <c r="F124" s="784"/>
      <c r="G124" s="1858"/>
      <c r="H124" s="1859"/>
    </row>
    <row r="125" spans="2:17" ht="12.75" outlineLevel="1">
      <c r="B125" s="1773"/>
      <c r="C125" s="1132"/>
      <c r="D125" s="1858"/>
      <c r="E125" s="1858"/>
      <c r="F125" s="784"/>
      <c r="G125" s="1858"/>
      <c r="H125" s="1859"/>
    </row>
    <row r="126" spans="2:17" ht="12.75" outlineLevel="1">
      <c r="B126" s="1773"/>
      <c r="C126" s="1132"/>
      <c r="D126" s="1858"/>
      <c r="E126" s="1858"/>
      <c r="F126" s="784"/>
      <c r="G126" s="1858"/>
      <c r="H126" s="1859"/>
    </row>
    <row r="127" spans="2:17" ht="12.75" outlineLevel="1">
      <c r="B127" s="1774" t="s">
        <v>925</v>
      </c>
      <c r="C127" s="1860">
        <v>0</v>
      </c>
      <c r="D127" s="1861"/>
      <c r="E127" s="1861"/>
      <c r="F127" s="1861"/>
      <c r="G127" s="1861"/>
      <c r="H127" s="1862"/>
    </row>
    <row r="128" spans="2:17" ht="12.75" outlineLevel="1">
      <c r="B128" s="489" t="s">
        <v>839</v>
      </c>
    </row>
    <row r="129" spans="1:29" outlineLevel="1"/>
    <row r="130" spans="1:29" outlineLevel="1"/>
    <row r="131" spans="1:29" s="690" customFormat="1" ht="18.75">
      <c r="A131" s="689" t="s">
        <v>197</v>
      </c>
    </row>
    <row r="132" spans="1:29" outlineLevel="1">
      <c r="C132" s="1800"/>
    </row>
    <row r="133" spans="1:29" outlineLevel="1">
      <c r="C133" s="1800"/>
    </row>
    <row r="134" spans="1:29" ht="15.75" outlineLevel="1">
      <c r="B134" s="617" t="s">
        <v>2610</v>
      </c>
      <c r="C134" s="469"/>
      <c r="D134" s="469"/>
      <c r="E134" s="469"/>
      <c r="F134" s="469"/>
      <c r="Z134" s="664" t="s">
        <v>2665</v>
      </c>
      <c r="AA134" s="489"/>
    </row>
    <row r="135" spans="1:29" ht="16.5" outlineLevel="1" thickBot="1">
      <c r="B135" s="617" t="s">
        <v>2617</v>
      </c>
      <c r="C135" s="469"/>
      <c r="D135" s="469"/>
      <c r="E135" s="469"/>
      <c r="F135" s="469"/>
      <c r="AA135" s="489"/>
    </row>
    <row r="136" spans="1:29" ht="12.75" outlineLevel="1">
      <c r="B136" s="1806"/>
      <c r="C136" s="1863" t="s">
        <v>70</v>
      </c>
      <c r="D136" s="1864" t="s">
        <v>351</v>
      </c>
      <c r="E136" s="1864">
        <v>2015</v>
      </c>
      <c r="F136" s="1864">
        <v>2020</v>
      </c>
      <c r="G136" s="1864">
        <v>2035</v>
      </c>
      <c r="H136" s="1081">
        <v>2050</v>
      </c>
      <c r="I136" s="469" t="s">
        <v>145</v>
      </c>
      <c r="Z136" s="1718"/>
      <c r="AA136" s="2488" t="s">
        <v>497</v>
      </c>
      <c r="AB136" s="2488" t="s">
        <v>498</v>
      </c>
      <c r="AC136" s="2489" t="s">
        <v>500</v>
      </c>
    </row>
    <row r="137" spans="1:29" ht="12.75" outlineLevel="1">
      <c r="B137" s="1814" t="s">
        <v>24</v>
      </c>
      <c r="C137" s="501" t="s">
        <v>352</v>
      </c>
      <c r="D137" s="1865">
        <f ca="1">CHOOSE(Cockpit!$B$5,E137,F137,G137,H137)</f>
        <v>49.819069990334349</v>
      </c>
      <c r="E137" s="1866">
        <f ca="1">Prices!M5</f>
        <v>49.819069990334349</v>
      </c>
      <c r="F137" s="1866">
        <f ca="1">Prices!N5</f>
        <v>172.70956594962172</v>
      </c>
      <c r="G137" s="1866">
        <f ca="1">Prices!O5</f>
        <v>259.06434892443258</v>
      </c>
      <c r="H137" s="1867">
        <f ca="1">Prices!P5</f>
        <v>259.06434892443258</v>
      </c>
      <c r="I137" s="1868" t="str">
        <f>CONCATENATE(Referencer!$B$7,", ",Referencer!$B$8)</f>
        <v>1, Forudsætninger for samfundsøkonomiske analyser på energiområdet. Energistyrelsen. April 2011., 2, Energistyrelsen. Forudsætninger for samfundsøkonomiske analyser på energiområdet. April 2010</v>
      </c>
      <c r="Z137" s="1737" t="s">
        <v>499</v>
      </c>
      <c r="AA137" s="1869">
        <v>0.41</v>
      </c>
      <c r="AB137" s="1869">
        <v>0.59</v>
      </c>
      <c r="AC137" s="1736"/>
    </row>
    <row r="138" spans="1:29" ht="13.5" outlineLevel="1" thickBot="1">
      <c r="B138" s="1814" t="s">
        <v>27</v>
      </c>
      <c r="C138" s="501" t="s">
        <v>158</v>
      </c>
      <c r="D138" s="1865">
        <f ca="1">CHOOSE(Cockpit!$B$5,E138,F138,G138,H138)</f>
        <v>1.2454767497583588</v>
      </c>
      <c r="E138" s="1865">
        <f ca="1">E137*$C$196/1000</f>
        <v>1.2454767497583588</v>
      </c>
      <c r="F138" s="1865">
        <f ca="1">F137*$C$196/1000</f>
        <v>4.317739148740543</v>
      </c>
      <c r="G138" s="1865">
        <f ca="1">G137*$C$196/1000</f>
        <v>6.4766087231108136</v>
      </c>
      <c r="H138" s="1870">
        <f ca="1">H137*$C$196/1000</f>
        <v>6.4766087231108136</v>
      </c>
      <c r="I138" s="469"/>
      <c r="J138" s="1715" t="s">
        <v>76</v>
      </c>
      <c r="R138" s="1715" t="s">
        <v>77</v>
      </c>
      <c r="Z138" s="1871" t="s">
        <v>26</v>
      </c>
      <c r="AA138" s="1840">
        <v>215.94175304315999</v>
      </c>
      <c r="AB138" s="1840">
        <v>186.72324047910482</v>
      </c>
      <c r="AC138" s="1733">
        <f>AB138*AB$137+AA138*AA$137</f>
        <v>198.70283063036743</v>
      </c>
    </row>
    <row r="139" spans="1:29" ht="13.5" outlineLevel="1" thickBot="1">
      <c r="B139" s="1814" t="s">
        <v>28</v>
      </c>
      <c r="C139" s="501" t="s">
        <v>158</v>
      </c>
      <c r="D139" s="1865">
        <f ca="1">CHOOSE(Cockpit!$B$5,E139,F139,G139,H139)</f>
        <v>14.846082857119637</v>
      </c>
      <c r="E139" s="1872">
        <f ca="1">E137*$C$197/1000</f>
        <v>14.846082857119637</v>
      </c>
      <c r="F139" s="1872">
        <f ca="1">F137*$C$197/1000</f>
        <v>51.467450652987274</v>
      </c>
      <c r="G139" s="1872">
        <f ca="1">G137*$C$197/1000</f>
        <v>77.201175979480908</v>
      </c>
      <c r="H139" s="1873">
        <f ca="1">H137*$C$197/1000</f>
        <v>77.201175979480908</v>
      </c>
      <c r="I139" s="469"/>
      <c r="J139" s="1806"/>
      <c r="K139" s="1863" t="s">
        <v>70</v>
      </c>
      <c r="L139" s="1864" t="s">
        <v>351</v>
      </c>
      <c r="M139" s="1864">
        <v>2015</v>
      </c>
      <c r="N139" s="1864">
        <v>2020</v>
      </c>
      <c r="O139" s="1864">
        <v>2035</v>
      </c>
      <c r="P139" s="1081">
        <v>2050</v>
      </c>
      <c r="R139" s="1806"/>
      <c r="S139" s="1863" t="s">
        <v>70</v>
      </c>
      <c r="T139" s="1864" t="s">
        <v>351</v>
      </c>
      <c r="U139" s="1864">
        <v>2015</v>
      </c>
      <c r="V139" s="1864">
        <v>2020</v>
      </c>
      <c r="W139" s="1864">
        <v>2035</v>
      </c>
      <c r="X139" s="1081">
        <v>2050</v>
      </c>
      <c r="Z139" s="1871" t="s">
        <v>167</v>
      </c>
      <c r="AA139" s="1840">
        <v>48</v>
      </c>
      <c r="AB139" s="1840">
        <v>48</v>
      </c>
      <c r="AC139" s="1733">
        <f>AB139*AB$137+AA139*AA$137</f>
        <v>48</v>
      </c>
    </row>
    <row r="140" spans="1:29" ht="13.5" outlineLevel="1" thickBot="1">
      <c r="B140" s="1814" t="s">
        <v>26</v>
      </c>
      <c r="C140" s="501" t="s">
        <v>158</v>
      </c>
      <c r="D140" s="1865">
        <f>CHOOSE(Cockpit!$B$5,E140,F140,G140,H140)</f>
        <v>198.70283063036743</v>
      </c>
      <c r="E140" s="1874">
        <f>$AC138</f>
        <v>198.70283063036743</v>
      </c>
      <c r="F140" s="1874">
        <f>$AC138</f>
        <v>198.70283063036743</v>
      </c>
      <c r="G140" s="1874">
        <f>$AC138</f>
        <v>198.70283063036743</v>
      </c>
      <c r="H140" s="1875">
        <f>$AC138</f>
        <v>198.70283063036743</v>
      </c>
      <c r="I140" s="1868" t="str">
        <f>CONCATENATE(Referencer!$B$9)</f>
        <v>3, Transportøkonomiske enhedspriser 2010, DTU , Institut for transport</v>
      </c>
      <c r="J140" s="1812" t="s">
        <v>26</v>
      </c>
      <c r="K140" s="561" t="s">
        <v>158</v>
      </c>
      <c r="L140" s="2494">
        <f>CHOOSE(Cockpit!$B$5,M140,N140,O140,P140)</f>
        <v>215.94175304315999</v>
      </c>
      <c r="M140" s="2495">
        <f t="shared" ref="M140:P142" si="5">$AA138</f>
        <v>215.94175304315999</v>
      </c>
      <c r="N140" s="2495">
        <f t="shared" si="5"/>
        <v>215.94175304315999</v>
      </c>
      <c r="O140" s="2495">
        <f t="shared" si="5"/>
        <v>215.94175304315999</v>
      </c>
      <c r="P140" s="2496">
        <f t="shared" si="5"/>
        <v>215.94175304315999</v>
      </c>
      <c r="R140" s="1812" t="s">
        <v>26</v>
      </c>
      <c r="S140" s="561" t="s">
        <v>158</v>
      </c>
      <c r="T140" s="2494">
        <f>CHOOSE(Cockpit!$B$5,U140,V140,W140,X140)</f>
        <v>186.72324047910482</v>
      </c>
      <c r="U140" s="2495">
        <f t="shared" ref="U140:X142" si="6">$AB138</f>
        <v>186.72324047910482</v>
      </c>
      <c r="V140" s="2495">
        <f t="shared" si="6"/>
        <v>186.72324047910482</v>
      </c>
      <c r="W140" s="2495">
        <f t="shared" si="6"/>
        <v>186.72324047910482</v>
      </c>
      <c r="X140" s="2496">
        <f t="shared" si="6"/>
        <v>186.72324047910482</v>
      </c>
      <c r="Z140" s="1726" t="s">
        <v>572</v>
      </c>
      <c r="AA140" s="1876">
        <v>1566</v>
      </c>
      <c r="AB140" s="1876">
        <v>218</v>
      </c>
      <c r="AC140" s="1725">
        <f>AB140*AB$137+AA140*AA$137</f>
        <v>770.68</v>
      </c>
    </row>
    <row r="141" spans="1:29" ht="13.5" outlineLevel="1" thickBot="1">
      <c r="B141" s="1814" t="s">
        <v>167</v>
      </c>
      <c r="C141" s="501" t="s">
        <v>158</v>
      </c>
      <c r="D141" s="1865">
        <f>CHOOSE(Cockpit!$B$5,E141,F141,G141,H141)</f>
        <v>48</v>
      </c>
      <c r="E141" s="1874">
        <f>$AC$139</f>
        <v>48</v>
      </c>
      <c r="F141" s="1874">
        <f>$AC$139</f>
        <v>48</v>
      </c>
      <c r="G141" s="1874">
        <f>$AC$139</f>
        <v>48</v>
      </c>
      <c r="H141" s="1877">
        <f>$AC$139</f>
        <v>48</v>
      </c>
      <c r="I141" s="1868" t="str">
        <f>CONCATENATE(Referencer!$B$9)</f>
        <v>3, Transportøkonomiske enhedspriser 2010, DTU , Institut for transport</v>
      </c>
      <c r="J141" s="1814" t="s">
        <v>167</v>
      </c>
      <c r="K141" s="501" t="s">
        <v>158</v>
      </c>
      <c r="L141" s="1865">
        <f>CHOOSE(Cockpit!$B$5,M141,N141,O141,P141)</f>
        <v>48</v>
      </c>
      <c r="M141" s="2493">
        <f t="shared" si="5"/>
        <v>48</v>
      </c>
      <c r="N141" s="2493">
        <f t="shared" si="5"/>
        <v>48</v>
      </c>
      <c r="O141" s="2493">
        <f t="shared" si="5"/>
        <v>48</v>
      </c>
      <c r="P141" s="2497">
        <f t="shared" si="5"/>
        <v>48</v>
      </c>
      <c r="R141" s="1814" t="s">
        <v>167</v>
      </c>
      <c r="S141" s="501" t="s">
        <v>158</v>
      </c>
      <c r="T141" s="1865">
        <f>CHOOSE(Cockpit!$B$5,U141,V141,W141,X141)</f>
        <v>48</v>
      </c>
      <c r="U141" s="2495">
        <f t="shared" si="6"/>
        <v>48</v>
      </c>
      <c r="V141" s="2495">
        <f t="shared" si="6"/>
        <v>48</v>
      </c>
      <c r="W141" s="2495">
        <f t="shared" si="6"/>
        <v>48</v>
      </c>
      <c r="X141" s="2496">
        <f t="shared" si="6"/>
        <v>48</v>
      </c>
    </row>
    <row r="142" spans="1:29" ht="13.5" outlineLevel="1" thickBot="1">
      <c r="B142" s="1808" t="s">
        <v>45</v>
      </c>
      <c r="C142" s="502" t="s">
        <v>158</v>
      </c>
      <c r="D142" s="1878">
        <f>CHOOSE(Cockpit!$B$5,E142,F142,G142,H142)</f>
        <v>770.68</v>
      </c>
      <c r="E142" s="1879">
        <f>$AC140</f>
        <v>770.68</v>
      </c>
      <c r="F142" s="1879">
        <f>$AC140</f>
        <v>770.68</v>
      </c>
      <c r="G142" s="1879">
        <f>$AC140</f>
        <v>770.68</v>
      </c>
      <c r="H142" s="1880">
        <f>$AC140</f>
        <v>770.68</v>
      </c>
      <c r="I142" s="1868" t="str">
        <f>CONCATENATE(Referencer!$B$9)</f>
        <v>3, Transportøkonomiske enhedspriser 2010, DTU , Institut for transport</v>
      </c>
      <c r="J142" s="1808" t="s">
        <v>45</v>
      </c>
      <c r="K142" s="502" t="s">
        <v>158</v>
      </c>
      <c r="L142" s="1878">
        <f>CHOOSE(Cockpit!$B$5,M142,N142,O142,P142)</f>
        <v>1566</v>
      </c>
      <c r="M142" s="2498">
        <f t="shared" si="5"/>
        <v>1566</v>
      </c>
      <c r="N142" s="2498">
        <f t="shared" si="5"/>
        <v>1566</v>
      </c>
      <c r="O142" s="2498">
        <f t="shared" si="5"/>
        <v>1566</v>
      </c>
      <c r="P142" s="2499">
        <f t="shared" si="5"/>
        <v>1566</v>
      </c>
      <c r="R142" s="1808" t="s">
        <v>45</v>
      </c>
      <c r="S142" s="502" t="s">
        <v>158</v>
      </c>
      <c r="T142" s="1878">
        <f>CHOOSE(Cockpit!$B$5,U142,V142,W142,X142)</f>
        <v>218</v>
      </c>
      <c r="U142" s="2500">
        <f t="shared" si="6"/>
        <v>218</v>
      </c>
      <c r="V142" s="2500">
        <f t="shared" si="6"/>
        <v>218</v>
      </c>
      <c r="W142" s="2500">
        <f t="shared" si="6"/>
        <v>218</v>
      </c>
      <c r="X142" s="2501">
        <f t="shared" si="6"/>
        <v>218</v>
      </c>
    </row>
    <row r="143" spans="1:29" outlineLevel="1">
      <c r="C143" s="1800"/>
    </row>
    <row r="144" spans="1:29" ht="16.5" outlineLevel="1" thickBot="1">
      <c r="B144" s="617" t="s">
        <v>947</v>
      </c>
      <c r="C144" s="469"/>
      <c r="D144" s="469"/>
      <c r="E144" s="469"/>
      <c r="F144" s="469"/>
    </row>
    <row r="145" spans="1:16" ht="12.75" outlineLevel="1">
      <c r="B145" s="1806"/>
      <c r="C145" s="1863" t="s">
        <v>70</v>
      </c>
      <c r="D145" s="1864" t="s">
        <v>2</v>
      </c>
      <c r="E145" s="1864" t="s">
        <v>945</v>
      </c>
      <c r="F145" s="1864" t="s">
        <v>946</v>
      </c>
      <c r="G145" s="1864" t="s">
        <v>948</v>
      </c>
      <c r="H145" s="1864" t="s">
        <v>1437</v>
      </c>
      <c r="I145" s="1864" t="s">
        <v>1643</v>
      </c>
      <c r="J145" s="1864" t="s">
        <v>951</v>
      </c>
      <c r="K145" s="1864" t="s">
        <v>2551</v>
      </c>
      <c r="L145" s="1864" t="s">
        <v>2550</v>
      </c>
      <c r="M145" s="1864" t="s">
        <v>2552</v>
      </c>
      <c r="N145" s="1864" t="s">
        <v>2553</v>
      </c>
      <c r="O145" s="1864" t="s">
        <v>11</v>
      </c>
      <c r="P145" s="1081" t="s">
        <v>949</v>
      </c>
    </row>
    <row r="146" spans="1:16" ht="12.75" outlineLevel="1">
      <c r="B146" s="1814" t="s">
        <v>24</v>
      </c>
      <c r="C146" s="501" t="s">
        <v>74</v>
      </c>
      <c r="D146" s="2461">
        <f>$E$82/1000</f>
        <v>74</v>
      </c>
      <c r="E146" s="2461">
        <f>$E$80/1000</f>
        <v>72.8</v>
      </c>
      <c r="F146" s="2461">
        <f>$E$66/1000</f>
        <v>93.6</v>
      </c>
      <c r="G146" s="2461">
        <f>$E$67/1000</f>
        <v>56.74</v>
      </c>
      <c r="H146" s="2461">
        <f>$E$73/1000</f>
        <v>78.900000000000006</v>
      </c>
      <c r="I146" s="2461">
        <f>$E$84/1000</f>
        <v>72</v>
      </c>
      <c r="J146" s="1881">
        <v>0</v>
      </c>
      <c r="K146" s="1881">
        <v>0</v>
      </c>
      <c r="L146" s="1881">
        <v>0</v>
      </c>
      <c r="M146" s="1881">
        <v>0</v>
      </c>
      <c r="N146" s="1881">
        <v>0</v>
      </c>
      <c r="O146" s="1881">
        <v>0</v>
      </c>
      <c r="P146" s="1882">
        <v>0</v>
      </c>
    </row>
    <row r="147" spans="1:16" ht="12.75" outlineLevel="1">
      <c r="B147" s="1814" t="s">
        <v>27</v>
      </c>
      <c r="C147" s="501" t="s">
        <v>74</v>
      </c>
      <c r="D147" s="1883">
        <v>0</v>
      </c>
      <c r="E147" s="1883">
        <v>0</v>
      </c>
      <c r="F147" s="1883">
        <v>0</v>
      </c>
      <c r="G147" s="1883">
        <v>0</v>
      </c>
      <c r="H147" s="1883">
        <v>0</v>
      </c>
      <c r="I147" s="1883">
        <v>0</v>
      </c>
      <c r="J147" s="1883">
        <v>0</v>
      </c>
      <c r="K147" s="1883">
        <v>0</v>
      </c>
      <c r="L147" s="1883">
        <v>0</v>
      </c>
      <c r="M147" s="1883">
        <v>0</v>
      </c>
      <c r="N147" s="1883">
        <v>0</v>
      </c>
      <c r="O147" s="1883">
        <v>0</v>
      </c>
      <c r="P147" s="1884">
        <v>0</v>
      </c>
    </row>
    <row r="148" spans="1:16" ht="12.75" outlineLevel="1">
      <c r="B148" s="1814" t="s">
        <v>28</v>
      </c>
      <c r="C148" s="501" t="s">
        <v>74</v>
      </c>
      <c r="D148" s="1883">
        <v>0</v>
      </c>
      <c r="E148" s="1883">
        <v>0</v>
      </c>
      <c r="F148" s="1883">
        <v>0</v>
      </c>
      <c r="G148" s="1883">
        <v>0</v>
      </c>
      <c r="H148" s="1883">
        <v>0</v>
      </c>
      <c r="I148" s="1883">
        <v>0</v>
      </c>
      <c r="J148" s="1883">
        <v>0</v>
      </c>
      <c r="K148" s="1883">
        <v>0</v>
      </c>
      <c r="L148" s="1883">
        <v>0</v>
      </c>
      <c r="M148" s="1883">
        <v>0</v>
      </c>
      <c r="N148" s="1883">
        <v>0</v>
      </c>
      <c r="O148" s="1883">
        <v>0</v>
      </c>
      <c r="P148" s="1884">
        <v>0</v>
      </c>
    </row>
    <row r="149" spans="1:16" ht="12.75" outlineLevel="1">
      <c r="B149" s="1814" t="s">
        <v>26</v>
      </c>
      <c r="C149" s="501" t="s">
        <v>74</v>
      </c>
      <c r="D149" s="2460">
        <f>F102</f>
        <v>2.34192037470726E-3</v>
      </c>
      <c r="E149" s="1883">
        <v>0</v>
      </c>
      <c r="F149" s="1883">
        <v>0</v>
      </c>
      <c r="G149" s="1883">
        <v>0</v>
      </c>
      <c r="H149" s="1883">
        <v>0</v>
      </c>
      <c r="I149" s="1883">
        <v>0</v>
      </c>
      <c r="J149" s="1883">
        <v>0</v>
      </c>
      <c r="K149" s="1883">
        <v>0</v>
      </c>
      <c r="L149" s="1883">
        <v>0</v>
      </c>
      <c r="M149" s="1883">
        <v>0</v>
      </c>
      <c r="N149" s="1883">
        <v>0</v>
      </c>
      <c r="O149" s="1883">
        <v>0</v>
      </c>
      <c r="P149" s="1884">
        <v>0</v>
      </c>
    </row>
    <row r="150" spans="1:16" ht="12.75" outlineLevel="1">
      <c r="B150" s="1814" t="s">
        <v>167</v>
      </c>
      <c r="C150" s="501" t="s">
        <v>74</v>
      </c>
      <c r="D150" s="1883">
        <v>0</v>
      </c>
      <c r="E150" s="1883">
        <v>0</v>
      </c>
      <c r="F150" s="1883">
        <v>0</v>
      </c>
      <c r="G150" s="1883">
        <v>0</v>
      </c>
      <c r="H150" s="1883">
        <v>0</v>
      </c>
      <c r="I150" s="1883">
        <v>0</v>
      </c>
      <c r="J150" s="1883">
        <v>0</v>
      </c>
      <c r="K150" s="1883">
        <v>0</v>
      </c>
      <c r="L150" s="1883">
        <v>0</v>
      </c>
      <c r="M150" s="1883">
        <v>0</v>
      </c>
      <c r="N150" s="1883">
        <v>0</v>
      </c>
      <c r="O150" s="1883">
        <v>0</v>
      </c>
      <c r="P150" s="1884">
        <v>0</v>
      </c>
    </row>
    <row r="151" spans="1:16" ht="13.5" outlineLevel="1" thickBot="1">
      <c r="B151" s="1808" t="s">
        <v>45</v>
      </c>
      <c r="C151" s="502" t="s">
        <v>74</v>
      </c>
      <c r="D151" s="1885">
        <v>0</v>
      </c>
      <c r="E151" s="1885">
        <v>0</v>
      </c>
      <c r="F151" s="1885">
        <v>0</v>
      </c>
      <c r="G151" s="1885">
        <v>0</v>
      </c>
      <c r="H151" s="1885">
        <v>0</v>
      </c>
      <c r="I151" s="1885">
        <v>0</v>
      </c>
      <c r="J151" s="1885">
        <v>0</v>
      </c>
      <c r="K151" s="1885">
        <v>0</v>
      </c>
      <c r="L151" s="1885">
        <v>0</v>
      </c>
      <c r="M151" s="1885">
        <v>0</v>
      </c>
      <c r="N151" s="1885">
        <v>0</v>
      </c>
      <c r="O151" s="1885">
        <v>0</v>
      </c>
      <c r="P151" s="1886">
        <v>0</v>
      </c>
    </row>
    <row r="152" spans="1:16" outlineLevel="1">
      <c r="C152" s="1800"/>
    </row>
    <row r="153" spans="1:16" outlineLevel="1">
      <c r="C153" s="1800"/>
    </row>
    <row r="154" spans="1:16" s="690" customFormat="1" ht="18.75">
      <c r="A154" s="689" t="s">
        <v>594</v>
      </c>
    </row>
    <row r="155" spans="1:16" outlineLevel="1">
      <c r="C155" s="1800"/>
    </row>
    <row r="156" spans="1:16" ht="13.5" outlineLevel="1" thickBot="1">
      <c r="B156" s="471" t="s">
        <v>583</v>
      </c>
      <c r="C156" s="469"/>
      <c r="D156" s="469"/>
      <c r="E156" s="469"/>
      <c r="F156" s="469"/>
      <c r="G156" s="469"/>
    </row>
    <row r="157" spans="1:16" ht="12.75" outlineLevel="1">
      <c r="A157" s="664">
        <v>6</v>
      </c>
      <c r="B157" s="1077"/>
      <c r="C157" s="1887" t="s">
        <v>582</v>
      </c>
      <c r="D157" s="1887" t="s">
        <v>321</v>
      </c>
      <c r="E157" s="1887" t="s">
        <v>171</v>
      </c>
      <c r="F157" s="1887" t="s">
        <v>488</v>
      </c>
      <c r="G157" s="1888" t="s">
        <v>173</v>
      </c>
      <c r="H157" s="664" t="s">
        <v>145</v>
      </c>
    </row>
    <row r="158" spans="1:16" ht="12.75" outlineLevel="1">
      <c r="B158" s="1625" t="s">
        <v>1</v>
      </c>
      <c r="C158" s="1889">
        <v>0.75</v>
      </c>
      <c r="D158" s="1889">
        <v>43.8</v>
      </c>
      <c r="E158" s="1890">
        <f t="shared" ref="E158:E175" si="7">C158</f>
        <v>0.75</v>
      </c>
      <c r="F158" s="1890">
        <f t="shared" ref="F158:F175" si="8">D158</f>
        <v>43.8</v>
      </c>
      <c r="G158" s="1891">
        <f t="shared" ref="G158:G175" si="9">E158*F158</f>
        <v>32.849999999999994</v>
      </c>
      <c r="H158" s="1868" t="str">
        <f>CONCATENATE(Referencer!$B$7,", ",Referencer!$B$22)</f>
        <v>1, Forudsætninger for samfundsøkonomiske analyser på energiområdet. Energistyrelsen. April 2011., 16, Energistyrelsen. Energistatistik 2011.</v>
      </c>
      <c r="M158" s="1892"/>
    </row>
    <row r="159" spans="1:16" ht="12.75" outlineLevel="1">
      <c r="B159" s="475" t="s">
        <v>1451</v>
      </c>
      <c r="C159" s="1893">
        <v>0.8</v>
      </c>
      <c r="D159" s="1893">
        <v>42.8</v>
      </c>
      <c r="E159" s="1893">
        <v>0.8075</v>
      </c>
      <c r="F159" s="1698">
        <f t="shared" si="8"/>
        <v>42.8</v>
      </c>
      <c r="G159" s="1894">
        <f t="shared" si="9"/>
        <v>34.561</v>
      </c>
      <c r="H159" s="1868" t="str">
        <f>CONCATENATE(Referencer!B42,", ",Referencer!B43)</f>
        <v>36, ASTM 7566 - 13, Standard Specification for Aviation Fuel Containing Synthesized Hydrocarbons, 37, ASTM 1655 - 13, Standard Specification for Aviation Fuel</v>
      </c>
      <c r="I159" s="664" t="s">
        <v>1452</v>
      </c>
      <c r="M159" s="1892"/>
    </row>
    <row r="160" spans="1:16" ht="12.75" outlineLevel="1">
      <c r="B160" s="475" t="s">
        <v>1437</v>
      </c>
      <c r="C160" s="1893">
        <v>0.98</v>
      </c>
      <c r="D160" s="1893">
        <v>40.65</v>
      </c>
      <c r="E160" s="1698">
        <f t="shared" si="7"/>
        <v>0.98</v>
      </c>
      <c r="F160" s="1698">
        <f t="shared" si="8"/>
        <v>40.65</v>
      </c>
      <c r="G160" s="1894">
        <f t="shared" si="9"/>
        <v>39.836999999999996</v>
      </c>
      <c r="H160" s="1868" t="str">
        <f>CONCATENATE(Referencer!$B$7)</f>
        <v>1, Forudsætninger for samfundsøkonomiske analyser på energiområdet. Energistyrelsen. April 2011.</v>
      </c>
      <c r="M160" s="1892"/>
    </row>
    <row r="161" spans="2:14" ht="12.75" outlineLevel="1">
      <c r="B161" s="475" t="s">
        <v>798</v>
      </c>
      <c r="C161" s="1893">
        <v>0.79400000000000004</v>
      </c>
      <c r="D161" s="1893">
        <v>26.8</v>
      </c>
      <c r="E161" s="1698">
        <f t="shared" si="7"/>
        <v>0.79400000000000004</v>
      </c>
      <c r="F161" s="1698">
        <f t="shared" si="8"/>
        <v>26.8</v>
      </c>
      <c r="G161" s="1894">
        <f t="shared" si="9"/>
        <v>21.279200000000003</v>
      </c>
      <c r="H161" s="1868" t="str">
        <f>CONCATENATE(Referencer!$B$11)</f>
        <v>5, Concawe (2011): Well-to-wheels analysis of future automotive fuels and power-trains in the European Context. November 2011.</v>
      </c>
      <c r="M161" s="1892"/>
    </row>
    <row r="162" spans="2:14" ht="12.75" outlineLevel="1">
      <c r="B162" s="475" t="s">
        <v>799</v>
      </c>
      <c r="C162" s="1893">
        <v>0.79400000000000004</v>
      </c>
      <c r="D162" s="1893">
        <v>26.8</v>
      </c>
      <c r="E162" s="1698">
        <f>C162</f>
        <v>0.79400000000000004</v>
      </c>
      <c r="F162" s="1698">
        <f>D162</f>
        <v>26.8</v>
      </c>
      <c r="G162" s="1894">
        <f>E162*F162</f>
        <v>21.279200000000003</v>
      </c>
      <c r="H162" s="1868"/>
      <c r="M162" s="1892"/>
    </row>
    <row r="163" spans="2:14" ht="12.75" outlineLevel="1">
      <c r="B163" s="475" t="s">
        <v>800</v>
      </c>
      <c r="C163" s="1893">
        <v>0.79400000000000004</v>
      </c>
      <c r="D163" s="1893">
        <v>26.8</v>
      </c>
      <c r="E163" s="1698">
        <f>C163</f>
        <v>0.79400000000000004</v>
      </c>
      <c r="F163" s="1698">
        <f>D163</f>
        <v>26.8</v>
      </c>
      <c r="G163" s="1894">
        <f>E163*F163</f>
        <v>21.279200000000003</v>
      </c>
      <c r="H163" s="1868"/>
      <c r="M163" s="1892"/>
    </row>
    <row r="164" spans="2:14" ht="12.75" outlineLevel="1">
      <c r="B164" s="475" t="s">
        <v>2</v>
      </c>
      <c r="C164" s="1893">
        <v>0.84</v>
      </c>
      <c r="D164" s="1893">
        <v>42.7</v>
      </c>
      <c r="E164" s="1698">
        <f t="shared" si="7"/>
        <v>0.84</v>
      </c>
      <c r="F164" s="1698">
        <f t="shared" si="8"/>
        <v>42.7</v>
      </c>
      <c r="G164" s="1894">
        <f t="shared" si="9"/>
        <v>35.868000000000002</v>
      </c>
      <c r="H164" s="1868" t="str">
        <f>CONCATENATE(Referencer!$B$7,", ",Referencer!$B$22)</f>
        <v>1, Forudsætninger for samfundsøkonomiske analyser på energiområdet. Energistyrelsen. April 2011., 16, Energistyrelsen. Energistatistik 2011.</v>
      </c>
      <c r="L164" s="1715"/>
    </row>
    <row r="165" spans="2:14" ht="12.75" outlineLevel="1">
      <c r="B165" s="475" t="s">
        <v>796</v>
      </c>
      <c r="C165" s="1893">
        <v>0.84</v>
      </c>
      <c r="D165" s="1893">
        <v>42.7</v>
      </c>
      <c r="E165" s="1698">
        <f>C165</f>
        <v>0.84</v>
      </c>
      <c r="F165" s="1698">
        <f>D165</f>
        <v>42.7</v>
      </c>
      <c r="G165" s="1894">
        <f>E165*F165</f>
        <v>35.868000000000002</v>
      </c>
      <c r="H165" s="1868"/>
      <c r="L165" s="1715"/>
    </row>
    <row r="166" spans="2:14" ht="12.75" outlineLevel="1">
      <c r="B166" s="475" t="s">
        <v>54</v>
      </c>
      <c r="C166" s="1895">
        <v>0.88</v>
      </c>
      <c r="D166" s="1893">
        <v>34.299999999999997</v>
      </c>
      <c r="E166" s="1698">
        <f>C166</f>
        <v>0.88</v>
      </c>
      <c r="F166" s="1698">
        <f>D166</f>
        <v>34.299999999999997</v>
      </c>
      <c r="G166" s="1894">
        <f>E166*F166</f>
        <v>30.183999999999997</v>
      </c>
      <c r="H166" s="1868"/>
      <c r="L166" s="1715"/>
    </row>
    <row r="167" spans="2:14" ht="12.75" outlineLevel="1">
      <c r="B167" s="475" t="s">
        <v>554</v>
      </c>
      <c r="C167" s="1893">
        <v>0.89</v>
      </c>
      <c r="D167" s="1893">
        <v>37.200000000000003</v>
      </c>
      <c r="E167" s="1698">
        <f t="shared" si="7"/>
        <v>0.89</v>
      </c>
      <c r="F167" s="1698">
        <f t="shared" si="8"/>
        <v>37.200000000000003</v>
      </c>
      <c r="G167" s="1894">
        <f t="shared" si="9"/>
        <v>33.108000000000004</v>
      </c>
      <c r="H167" s="1868" t="str">
        <f>CONCATENATE(Referencer!$B$11)</f>
        <v>5, Concawe (2011): Well-to-wheels analysis of future automotive fuels and power-trains in the European Context. November 2011.</v>
      </c>
    </row>
    <row r="168" spans="2:14" ht="12.75" outlineLevel="1">
      <c r="B168" s="475" t="s">
        <v>837</v>
      </c>
      <c r="C168" s="1893">
        <v>0.67</v>
      </c>
      <c r="D168" s="1893">
        <v>28.4</v>
      </c>
      <c r="E168" s="1698">
        <f t="shared" si="7"/>
        <v>0.67</v>
      </c>
      <c r="F168" s="1698">
        <f t="shared" si="8"/>
        <v>28.4</v>
      </c>
      <c r="G168" s="1894">
        <f t="shared" si="9"/>
        <v>19.027999999999999</v>
      </c>
      <c r="H168" s="1868" t="str">
        <f>CONCATENATE(Referencer!$B$11)</f>
        <v>5, Concawe (2011): Well-to-wheels analysis of future automotive fuels and power-trains in the European Context. November 2011.</v>
      </c>
      <c r="M168" s="742"/>
      <c r="N168" s="801"/>
    </row>
    <row r="169" spans="2:14" ht="12.75" outlineLevel="1">
      <c r="B169" s="475" t="s">
        <v>5</v>
      </c>
      <c r="C169" s="1893"/>
      <c r="D169" s="1893">
        <v>53.6</v>
      </c>
      <c r="E169" s="1698"/>
      <c r="F169" s="1698">
        <f t="shared" si="8"/>
        <v>53.6</v>
      </c>
      <c r="G169" s="1896">
        <v>39.46</v>
      </c>
      <c r="H169" s="1868" t="str">
        <f>CONCATENATE(Referencer!$B$7,", ",Referencer!$B$11)</f>
        <v>1, Forudsætninger for samfundsøkonomiske analyser på energiområdet. Energistyrelsen. April 2011., 5, Concawe (2011): Well-to-wheels analysis of future automotive fuels and power-trains in the European Context. November 2011.</v>
      </c>
      <c r="I169" s="664" t="s">
        <v>691</v>
      </c>
      <c r="M169" s="1897"/>
    </row>
    <row r="170" spans="2:14" ht="12.75" outlineLevel="1">
      <c r="B170" s="475" t="s">
        <v>794</v>
      </c>
      <c r="C170" s="1893"/>
      <c r="D170" s="1893"/>
      <c r="E170" s="1698"/>
      <c r="F170" s="1698"/>
      <c r="G170" s="1896">
        <v>39.46</v>
      </c>
      <c r="H170" s="1868"/>
      <c r="M170" s="1897"/>
    </row>
    <row r="171" spans="2:14" ht="12.75" outlineLevel="1">
      <c r="B171" s="475" t="s">
        <v>795</v>
      </c>
      <c r="C171" s="1893"/>
      <c r="D171" s="1893"/>
      <c r="E171" s="1698"/>
      <c r="F171" s="1698"/>
      <c r="G171" s="1896">
        <v>39.46</v>
      </c>
      <c r="H171" s="1868"/>
      <c r="M171" s="1897"/>
    </row>
    <row r="172" spans="2:14" ht="12.75" outlineLevel="1">
      <c r="B172" s="475" t="s">
        <v>10</v>
      </c>
      <c r="C172" s="1893">
        <v>0.89</v>
      </c>
      <c r="D172" s="1893">
        <v>37</v>
      </c>
      <c r="E172" s="1698">
        <f>C172</f>
        <v>0.89</v>
      </c>
      <c r="F172" s="1698">
        <f>D172</f>
        <v>37</v>
      </c>
      <c r="G172" s="2312">
        <f>E172*F172</f>
        <v>32.93</v>
      </c>
      <c r="H172" s="1868"/>
      <c r="M172" s="1897"/>
    </row>
    <row r="173" spans="2:14" ht="12.75" outlineLevel="1">
      <c r="B173" s="475" t="s">
        <v>595</v>
      </c>
      <c r="C173" s="1893">
        <v>0.78</v>
      </c>
      <c r="D173" s="1893">
        <v>44</v>
      </c>
      <c r="E173" s="1698">
        <f t="shared" si="7"/>
        <v>0.78</v>
      </c>
      <c r="F173" s="1698">
        <f t="shared" si="8"/>
        <v>44</v>
      </c>
      <c r="G173" s="1894">
        <f t="shared" si="9"/>
        <v>34.32</v>
      </c>
      <c r="H173" s="1868" t="str">
        <f>CONCATENATE(Referencer!$B$11)</f>
        <v>5, Concawe (2011): Well-to-wheels analysis of future automotive fuels and power-trains in the European Context. November 2011.</v>
      </c>
    </row>
    <row r="174" spans="2:14" ht="12.75" outlineLevel="1">
      <c r="B174" s="475" t="s">
        <v>838</v>
      </c>
      <c r="C174" s="1893">
        <v>0.79300000000000004</v>
      </c>
      <c r="D174" s="1893">
        <v>19.899999999999999</v>
      </c>
      <c r="E174" s="1698">
        <f t="shared" si="7"/>
        <v>0.79300000000000004</v>
      </c>
      <c r="F174" s="1698">
        <f t="shared" si="8"/>
        <v>19.899999999999999</v>
      </c>
      <c r="G174" s="1894">
        <f t="shared" si="9"/>
        <v>15.7807</v>
      </c>
      <c r="H174" s="1868" t="str">
        <f>CONCATENATE(Referencer!$B$11)</f>
        <v>5, Concawe (2011): Well-to-wheels analysis of future automotive fuels and power-trains in the European Context. November 2011.</v>
      </c>
    </row>
    <row r="175" spans="2:14" ht="13.5" outlineLevel="1" thickBot="1">
      <c r="B175" s="481" t="s">
        <v>596</v>
      </c>
      <c r="C175" s="1898">
        <v>8.8999999999999995E-5</v>
      </c>
      <c r="D175" s="1898">
        <v>120.1</v>
      </c>
      <c r="E175" s="1899">
        <f t="shared" si="7"/>
        <v>8.8999999999999995E-5</v>
      </c>
      <c r="F175" s="1899">
        <f t="shared" si="8"/>
        <v>120.1</v>
      </c>
      <c r="G175" s="1900">
        <f t="shared" si="9"/>
        <v>1.0688899999999999E-2</v>
      </c>
      <c r="H175" s="1868" t="str">
        <f>CONCATENATE(Referencer!$B$11)</f>
        <v>5, Concawe (2011): Well-to-wheels analysis of future automotive fuels and power-trains in the European Context. November 2011.</v>
      </c>
      <c r="I175" s="1901"/>
    </row>
    <row r="176" spans="2:14" outlineLevel="1">
      <c r="C176" s="1800"/>
    </row>
    <row r="177" spans="1:5" outlineLevel="1">
      <c r="C177" s="1800"/>
    </row>
    <row r="178" spans="1:5" ht="13.5" customHeight="1"/>
    <row r="179" spans="1:5" s="690" customFormat="1" ht="18.75">
      <c r="A179" s="689" t="s">
        <v>97</v>
      </c>
    </row>
    <row r="180" spans="1:5" ht="11.25" customHeight="1" outlineLevel="1" thickBot="1">
      <c r="B180" s="1715" t="s">
        <v>87</v>
      </c>
    </row>
    <row r="181" spans="1:5" ht="11.25" customHeight="1" outlineLevel="1">
      <c r="B181" s="1902"/>
      <c r="C181" s="1903" t="s">
        <v>1</v>
      </c>
      <c r="D181" s="1904" t="s">
        <v>88</v>
      </c>
      <c r="E181" s="1904" t="s">
        <v>2154</v>
      </c>
    </row>
    <row r="182" spans="1:5" ht="11.25" customHeight="1" outlineLevel="1">
      <c r="B182" s="1905" t="s">
        <v>91</v>
      </c>
      <c r="C182" s="1906">
        <v>0.15</v>
      </c>
      <c r="D182" s="1907">
        <v>0.85</v>
      </c>
      <c r="E182" s="1907"/>
    </row>
    <row r="183" spans="1:5" ht="11.25" customHeight="1" outlineLevel="1">
      <c r="B183" s="1905" t="s">
        <v>89</v>
      </c>
      <c r="C183" s="1908">
        <v>43.8</v>
      </c>
      <c r="D183" s="1909">
        <v>26.7</v>
      </c>
      <c r="E183" s="1909"/>
    </row>
    <row r="184" spans="1:5" ht="11.25" customHeight="1" outlineLevel="1">
      <c r="B184" s="1905" t="s">
        <v>90</v>
      </c>
      <c r="C184" s="1910">
        <v>0.745</v>
      </c>
      <c r="D184" s="1911">
        <v>0.79400000000000004</v>
      </c>
      <c r="E184" s="1911"/>
    </row>
    <row r="185" spans="1:5" ht="11.25" customHeight="1" outlineLevel="1">
      <c r="B185" s="1905" t="s">
        <v>445</v>
      </c>
      <c r="C185" s="1743">
        <f>C184*C182</f>
        <v>0.11175</v>
      </c>
      <c r="D185" s="1912">
        <f>D184*D182</f>
        <v>0.67490000000000006</v>
      </c>
      <c r="E185" s="1912"/>
    </row>
    <row r="186" spans="1:5" ht="11.25" customHeight="1" outlineLevel="1">
      <c r="B186" s="1905" t="s">
        <v>92</v>
      </c>
      <c r="C186" s="1753">
        <f>C183*C184</f>
        <v>32.631</v>
      </c>
      <c r="D186" s="1913">
        <f>D183*D184</f>
        <v>21.1998</v>
      </c>
      <c r="E186" s="1913"/>
    </row>
    <row r="187" spans="1:5" ht="11.25" customHeight="1" outlineLevel="1">
      <c r="B187" s="1905" t="s">
        <v>93</v>
      </c>
      <c r="C187" s="1743">
        <f>C186*C182</f>
        <v>4.8946499999999995</v>
      </c>
      <c r="D187" s="1912">
        <f>D186*D182</f>
        <v>18.019829999999999</v>
      </c>
      <c r="E187" s="1912">
        <f>C187+D187</f>
        <v>22.914479999999998</v>
      </c>
    </row>
    <row r="188" spans="1:5" ht="11.25" customHeight="1" outlineLevel="1">
      <c r="B188" s="1905" t="s">
        <v>94</v>
      </c>
      <c r="C188" s="1914">
        <f>C187/SUM($C$187:$D$187)</f>
        <v>0.21360510908386313</v>
      </c>
      <c r="D188" s="1915">
        <f>D187/SUM($C$187:$D$187)</f>
        <v>0.7863948909161369</v>
      </c>
      <c r="E188" s="1915"/>
    </row>
    <row r="189" spans="1:5" ht="11.25" customHeight="1" outlineLevel="1" thickBot="1">
      <c r="B189" s="1916" t="s">
        <v>444</v>
      </c>
      <c r="C189" s="1917">
        <f>C185/SUM($C$185:$D$185)</f>
        <v>0.14205809445115361</v>
      </c>
      <c r="D189" s="1918">
        <f>D185/SUM($C$185:$D$185)</f>
        <v>0.85794190554884642</v>
      </c>
      <c r="E189" s="1918"/>
    </row>
    <row r="190" spans="1:5" ht="11.25" customHeight="1" outlineLevel="1"/>
    <row r="191" spans="1:5" ht="2.25" customHeight="1"/>
    <row r="192" spans="1:5" s="690" customFormat="1" ht="18.75">
      <c r="A192" s="689" t="s">
        <v>250</v>
      </c>
    </row>
    <row r="193" spans="1:10" outlineLevel="1"/>
    <row r="194" spans="1:10" outlineLevel="1">
      <c r="B194" s="1715" t="s">
        <v>253</v>
      </c>
      <c r="C194" s="664" t="s">
        <v>252</v>
      </c>
    </row>
    <row r="195" spans="1:10" outlineLevel="1">
      <c r="B195" s="1738" t="s">
        <v>24</v>
      </c>
      <c r="C195" s="1919">
        <v>1</v>
      </c>
    </row>
    <row r="196" spans="1:10" outlineLevel="1">
      <c r="B196" s="1720" t="s">
        <v>27</v>
      </c>
      <c r="C196" s="1920">
        <v>25</v>
      </c>
    </row>
    <row r="197" spans="1:10" outlineLevel="1">
      <c r="B197" s="1727" t="s">
        <v>28</v>
      </c>
      <c r="C197" s="1921">
        <v>298</v>
      </c>
    </row>
    <row r="198" spans="1:10" outlineLevel="1">
      <c r="B198" s="1720" t="s">
        <v>26</v>
      </c>
      <c r="C198" s="1920">
        <v>0</v>
      </c>
    </row>
    <row r="199" spans="1:10" outlineLevel="1">
      <c r="B199" s="1720" t="s">
        <v>25</v>
      </c>
      <c r="C199" s="1920">
        <v>0</v>
      </c>
    </row>
    <row r="200" spans="1:10" outlineLevel="1">
      <c r="B200" s="1727" t="s">
        <v>45</v>
      </c>
      <c r="C200" s="1921">
        <v>0</v>
      </c>
    </row>
    <row r="201" spans="1:10" outlineLevel="1">
      <c r="B201" s="1791" t="s">
        <v>251</v>
      </c>
    </row>
    <row r="202" spans="1:10" outlineLevel="1"/>
    <row r="204" spans="1:10" s="690" customFormat="1" ht="18.75">
      <c r="A204" s="689" t="s">
        <v>548</v>
      </c>
    </row>
    <row r="205" spans="1:10" ht="12" outlineLevel="1" thickBot="1"/>
    <row r="206" spans="1:10" ht="12.75" outlineLevel="1">
      <c r="B206" s="2290" t="s">
        <v>552</v>
      </c>
      <c r="C206" s="2291" t="s">
        <v>553</v>
      </c>
      <c r="D206" s="2292" t="s">
        <v>68</v>
      </c>
      <c r="I206" s="2287" t="s">
        <v>378</v>
      </c>
      <c r="J206" s="2289" t="s">
        <v>68</v>
      </c>
    </row>
    <row r="207" spans="1:10" ht="12.75" outlineLevel="1">
      <c r="B207" s="2279" t="str">
        <f t="shared" ref="B207:B218" si="10">F273</f>
        <v>Std benzin motor</v>
      </c>
      <c r="C207" s="2280" t="s">
        <v>549</v>
      </c>
      <c r="D207" s="2277">
        <f t="shared" ref="D207:D212" si="11">VLOOKUP(C207,$I$207:$J$214,2,FALSE)</f>
        <v>4.7831203651892855E-2</v>
      </c>
      <c r="I207" s="2288" t="s">
        <v>549</v>
      </c>
      <c r="J207" s="2283">
        <v>4.7831203651892855E-2</v>
      </c>
    </row>
    <row r="208" spans="1:10" ht="12.75" outlineLevel="1">
      <c r="B208" s="2279" t="str">
        <f t="shared" si="10"/>
        <v>Std diesel motor</v>
      </c>
      <c r="C208" s="2280" t="s">
        <v>550</v>
      </c>
      <c r="D208" s="2277">
        <f t="shared" si="11"/>
        <v>4.7831203651892855E-2</v>
      </c>
      <c r="I208" s="2279" t="s">
        <v>550</v>
      </c>
      <c r="J208" s="2284">
        <v>4.7831203651892855E-2</v>
      </c>
    </row>
    <row r="209" spans="2:10" ht="12.75" outlineLevel="1">
      <c r="B209" s="2279" t="str">
        <f t="shared" si="10"/>
        <v>Diesel motor DME</v>
      </c>
      <c r="C209" s="2280" t="s">
        <v>550</v>
      </c>
      <c r="D209" s="2277">
        <f t="shared" si="11"/>
        <v>4.7831203651892855E-2</v>
      </c>
      <c r="I209" s="2279" t="s">
        <v>551</v>
      </c>
      <c r="J209" s="2284">
        <v>1.7876115952265414E-2</v>
      </c>
    </row>
    <row r="210" spans="2:10" ht="12.75" outlineLevel="1">
      <c r="B210" s="2279" t="str">
        <f t="shared" si="10"/>
        <v>Tilpasset Otto motor</v>
      </c>
      <c r="C210" s="2280" t="s">
        <v>549</v>
      </c>
      <c r="D210" s="2277">
        <f t="shared" si="11"/>
        <v>4.7831203651892855E-2</v>
      </c>
      <c r="I210" s="2279" t="s">
        <v>184</v>
      </c>
      <c r="J210" s="2284">
        <v>9.7319147366558043E-2</v>
      </c>
    </row>
    <row r="211" spans="2:10" ht="12.75" outlineLevel="1">
      <c r="B211" s="2279" t="str">
        <f t="shared" si="10"/>
        <v>Brændselscelle, brinthybrid</v>
      </c>
      <c r="C211" s="2280" t="s">
        <v>551</v>
      </c>
      <c r="D211" s="2277">
        <f t="shared" si="11"/>
        <v>1.7876115952265414E-2</v>
      </c>
      <c r="I211" s="2279" t="s">
        <v>1655</v>
      </c>
      <c r="J211" s="2286">
        <v>0</v>
      </c>
    </row>
    <row r="212" spans="2:10" ht="12.75" outlineLevel="1">
      <c r="B212" s="2279" t="str">
        <f t="shared" si="10"/>
        <v>Brændselscelle, methanolhybrid</v>
      </c>
      <c r="C212" s="2280" t="s">
        <v>551</v>
      </c>
      <c r="D212" s="2277">
        <f t="shared" si="11"/>
        <v>1.7876115952265414E-2</v>
      </c>
      <c r="I212" s="2279" t="s">
        <v>1983</v>
      </c>
      <c r="J212" s="2286">
        <v>0</v>
      </c>
    </row>
    <row r="213" spans="2:10" ht="12.75" outlineLevel="1">
      <c r="B213" s="2279" t="str">
        <f t="shared" si="10"/>
        <v>Plugin Hybrid</v>
      </c>
      <c r="C213" s="2280" t="s">
        <v>551</v>
      </c>
      <c r="D213" s="2277">
        <f>J207*0.5</f>
        <v>2.3915601825946427E-2</v>
      </c>
      <c r="E213" s="664" t="s">
        <v>674</v>
      </c>
      <c r="I213" s="2279" t="s">
        <v>1984</v>
      </c>
      <c r="J213" s="2286">
        <v>0</v>
      </c>
    </row>
    <row r="214" spans="2:10" ht="13.5" outlineLevel="1" thickBot="1">
      <c r="B214" s="2279" t="str">
        <f t="shared" si="10"/>
        <v>Elmotor</v>
      </c>
      <c r="C214" s="2280" t="s">
        <v>551</v>
      </c>
      <c r="D214" s="2277">
        <f t="shared" ref="D214:D231" si="12">VLOOKUP(C214,$I$207:$J$214,2,FALSE)</f>
        <v>1.7876115952265414E-2</v>
      </c>
      <c r="I214" s="2281" t="s">
        <v>747</v>
      </c>
      <c r="J214" s="2285">
        <v>0</v>
      </c>
    </row>
    <row r="215" spans="2:10" ht="12.75" outlineLevel="1">
      <c r="B215" s="2279" t="str">
        <f t="shared" si="10"/>
        <v>Lastbil</v>
      </c>
      <c r="C215" s="2280" t="s">
        <v>184</v>
      </c>
      <c r="D215" s="2277">
        <f t="shared" si="12"/>
        <v>9.7319147366558043E-2</v>
      </c>
      <c r="I215" s="1569" t="str">
        <f>CONCATENATE("kilde: ",Referencer!$B$9)</f>
        <v>kilde: 3, Transportøkonomiske enhedspriser 2010, DTU , Institut for transport</v>
      </c>
    </row>
    <row r="216" spans="2:10" ht="12.75" outlineLevel="1">
      <c r="B216" s="2279" t="str">
        <f t="shared" si="10"/>
        <v>Lastbil DME</v>
      </c>
      <c r="C216" s="2280" t="s">
        <v>184</v>
      </c>
      <c r="D216" s="2277">
        <f t="shared" si="12"/>
        <v>9.7319147366558043E-2</v>
      </c>
    </row>
    <row r="217" spans="2:10" ht="12.75" outlineLevel="1">
      <c r="B217" s="2279" t="str">
        <f t="shared" si="10"/>
        <v>Lastbil RME</v>
      </c>
      <c r="C217" s="2280" t="s">
        <v>184</v>
      </c>
      <c r="D217" s="2277">
        <f t="shared" si="12"/>
        <v>9.7319147366558043E-2</v>
      </c>
    </row>
    <row r="218" spans="2:10" ht="12.75" outlineLevel="1">
      <c r="B218" s="2279" t="str">
        <f t="shared" si="10"/>
        <v>Lastbil Gas</v>
      </c>
      <c r="C218" s="2280" t="s">
        <v>184</v>
      </c>
      <c r="D218" s="2277">
        <f t="shared" si="12"/>
        <v>9.7319147366558043E-2</v>
      </c>
    </row>
    <row r="219" spans="2:10" ht="12.75" outlineLevel="1">
      <c r="B219" s="2279" t="s">
        <v>2715</v>
      </c>
      <c r="C219" s="2280" t="s">
        <v>551</v>
      </c>
      <c r="D219" s="2277">
        <f t="shared" si="12"/>
        <v>1.7876115952265414E-2</v>
      </c>
    </row>
    <row r="220" spans="2:10" ht="12.75" outlineLevel="1">
      <c r="B220" s="2279" t="str">
        <f t="shared" ref="B220:B231" si="13">F285</f>
        <v>Bus</v>
      </c>
      <c r="C220" s="2280" t="s">
        <v>184</v>
      </c>
      <c r="D220" s="2277">
        <f t="shared" si="12"/>
        <v>9.7319147366558043E-2</v>
      </c>
    </row>
    <row r="221" spans="2:10" ht="12.75" outlineLevel="1">
      <c r="B221" s="2279" t="str">
        <f t="shared" si="13"/>
        <v>Bus Gas</v>
      </c>
      <c r="C221" s="2280" t="s">
        <v>184</v>
      </c>
      <c r="D221" s="2277">
        <f t="shared" si="12"/>
        <v>9.7319147366558043E-2</v>
      </c>
    </row>
    <row r="222" spans="2:10" ht="12.75" outlineLevel="1">
      <c r="B222" s="2279" t="str">
        <f t="shared" si="13"/>
        <v>Bus Hybrid</v>
      </c>
      <c r="C222" s="2280" t="s">
        <v>184</v>
      </c>
      <c r="D222" s="2277">
        <f t="shared" si="12"/>
        <v>9.7319147366558043E-2</v>
      </c>
    </row>
    <row r="223" spans="2:10" ht="12.75" outlineLevel="1">
      <c r="B223" s="2279" t="str">
        <f t="shared" si="13"/>
        <v>9000 TEU HFO</v>
      </c>
      <c r="C223" s="2280" t="s">
        <v>747</v>
      </c>
      <c r="D223" s="2277">
        <f t="shared" si="12"/>
        <v>0</v>
      </c>
    </row>
    <row r="224" spans="2:10" ht="12.75" outlineLevel="1">
      <c r="B224" s="2279" t="str">
        <f t="shared" si="13"/>
        <v>9000 TEU Diesel</v>
      </c>
      <c r="C224" s="2280" t="s">
        <v>747</v>
      </c>
      <c r="D224" s="2277">
        <f t="shared" si="12"/>
        <v>0</v>
      </c>
    </row>
    <row r="225" spans="1:6" ht="12.75" outlineLevel="1">
      <c r="B225" s="2279" t="str">
        <f t="shared" si="13"/>
        <v>9000 TEU Dual fuel</v>
      </c>
      <c r="C225" s="2280" t="s">
        <v>747</v>
      </c>
      <c r="D225" s="2277">
        <f t="shared" si="12"/>
        <v>0</v>
      </c>
    </row>
    <row r="226" spans="1:6" ht="12.75" outlineLevel="1">
      <c r="B226" s="2279" t="str">
        <f t="shared" si="13"/>
        <v>Katamaran ferry</v>
      </c>
      <c r="C226" s="2280" t="s">
        <v>1655</v>
      </c>
      <c r="D226" s="2277">
        <f t="shared" si="12"/>
        <v>0</v>
      </c>
    </row>
    <row r="227" spans="1:6" ht="12.75" outlineLevel="1">
      <c r="B227" s="2279" t="str">
        <f t="shared" si="13"/>
        <v>SAS avg. airplane</v>
      </c>
      <c r="C227" s="2280" t="s">
        <v>1983</v>
      </c>
      <c r="D227" s="2277">
        <f t="shared" si="12"/>
        <v>0</v>
      </c>
    </row>
    <row r="228" spans="1:6" ht="12.75" outlineLevel="1">
      <c r="B228" s="2279" t="str">
        <f t="shared" si="13"/>
        <v>Diesel IC-reg.tog</v>
      </c>
      <c r="C228" s="2280" t="s">
        <v>1983</v>
      </c>
      <c r="D228" s="2277">
        <f t="shared" si="12"/>
        <v>0</v>
      </c>
    </row>
    <row r="229" spans="1:6" ht="12.75" outlineLevel="1">
      <c r="B229" s="2279" t="str">
        <f t="shared" si="13"/>
        <v>Diesel Lokaltog</v>
      </c>
      <c r="C229" s="2280" t="s">
        <v>1983</v>
      </c>
      <c r="D229" s="2277">
        <f t="shared" si="12"/>
        <v>0</v>
      </c>
    </row>
    <row r="230" spans="1:6" ht="13.5" outlineLevel="1" thickBot="1">
      <c r="B230" s="2281" t="str">
        <f t="shared" si="13"/>
        <v>Gas Lokaltog</v>
      </c>
      <c r="C230" s="2282" t="s">
        <v>1984</v>
      </c>
      <c r="D230" s="2278">
        <f t="shared" si="12"/>
        <v>0</v>
      </c>
    </row>
    <row r="231" spans="1:6" ht="13.5" outlineLevel="1" thickBot="1">
      <c r="B231" s="2281" t="str">
        <f t="shared" si="13"/>
        <v>El IC-reg.tog</v>
      </c>
      <c r="C231" s="2282" t="s">
        <v>1984</v>
      </c>
      <c r="D231" s="2278">
        <f t="shared" si="12"/>
        <v>0</v>
      </c>
    </row>
    <row r="232" spans="1:6" outlineLevel="1">
      <c r="B232" s="1720"/>
      <c r="C232" s="1720"/>
    </row>
    <row r="233" spans="1:6">
      <c r="B233" s="1720"/>
      <c r="C233" s="1720"/>
    </row>
    <row r="234" spans="1:6" s="690" customFormat="1" ht="18.75">
      <c r="A234" s="689" t="s">
        <v>2113</v>
      </c>
    </row>
    <row r="236" spans="1:6">
      <c r="B236" s="1715" t="s">
        <v>2123</v>
      </c>
    </row>
    <row r="237" spans="1:6">
      <c r="B237" s="1922" t="s">
        <v>2118</v>
      </c>
      <c r="C237" s="1737">
        <f>$L$7</f>
        <v>2015</v>
      </c>
      <c r="D237" s="1737">
        <f>$L$8</f>
        <v>2020</v>
      </c>
      <c r="E237" s="1737">
        <f>$L$9</f>
        <v>2035</v>
      </c>
      <c r="F237" s="1737">
        <f>$L$10</f>
        <v>2050</v>
      </c>
    </row>
    <row r="238" spans="1:6">
      <c r="B238" s="1716" t="s">
        <v>2119</v>
      </c>
      <c r="C238" s="1718">
        <f>CHOOSE(Cockpit!$B$17,C245,C252,C259)</f>
        <v>1</v>
      </c>
      <c r="D238" s="1738">
        <f>CHOOSE(Cockpit!$B$17,D245,D252,D259)</f>
        <v>1</v>
      </c>
      <c r="E238" s="1718">
        <f>CHOOSE(Cockpit!$B$17,E245,E252,E259)</f>
        <v>1</v>
      </c>
      <c r="F238" s="1717">
        <f>CHOOSE(Cockpit!$B$17,F245,F252,F259)</f>
        <v>1</v>
      </c>
    </row>
    <row r="239" spans="1:6">
      <c r="B239" s="1732" t="s">
        <v>2120</v>
      </c>
      <c r="C239" s="1871">
        <f>CHOOSE(Cockpit!$B$17,C246,C253,C260)</f>
        <v>1</v>
      </c>
      <c r="D239" s="1720">
        <f>CHOOSE(Cockpit!$B$17,D246,D253,D260)</f>
        <v>1</v>
      </c>
      <c r="E239" s="1871">
        <f>CHOOSE(Cockpit!$B$17,E246,E253,E260)</f>
        <v>2</v>
      </c>
      <c r="F239" s="1733">
        <f>CHOOSE(Cockpit!$B$17,F246,F253,F260)</f>
        <v>4</v>
      </c>
    </row>
    <row r="240" spans="1:6">
      <c r="B240" s="1732" t="s">
        <v>2121</v>
      </c>
      <c r="C240" s="1871">
        <f>CHOOSE(Cockpit!$B$17,C247,C254,C261)</f>
        <v>1</v>
      </c>
      <c r="D240" s="1720">
        <f>CHOOSE(Cockpit!$B$17,D247,D254,D261)</f>
        <v>2</v>
      </c>
      <c r="E240" s="1871">
        <f>CHOOSE(Cockpit!$B$17,E247,E254,E261)</f>
        <v>4</v>
      </c>
      <c r="F240" s="1733">
        <f>CHOOSE(Cockpit!$B$17,F247,F254,F261)</f>
        <v>8</v>
      </c>
    </row>
    <row r="241" spans="2:6">
      <c r="B241" s="1724" t="s">
        <v>2122</v>
      </c>
      <c r="C241" s="1726">
        <f>CHOOSE(Cockpit!$B$17,C248,C255,C262)</f>
        <v>1</v>
      </c>
      <c r="D241" s="1727">
        <f>CHOOSE(Cockpit!$B$17,D248,D255,D262)</f>
        <v>2</v>
      </c>
      <c r="E241" s="1726">
        <f>CHOOSE(Cockpit!$B$17,E248,E255,E262)</f>
        <v>6</v>
      </c>
      <c r="F241" s="1725">
        <f>CHOOSE(Cockpit!$B$17,F248,F255,F262)</f>
        <v>12</v>
      </c>
    </row>
    <row r="243" spans="2:6">
      <c r="B243" s="1715" t="s">
        <v>2124</v>
      </c>
    </row>
    <row r="244" spans="2:6">
      <c r="B244" s="1922" t="s">
        <v>2118</v>
      </c>
      <c r="C244" s="1737">
        <f>$L$7</f>
        <v>2015</v>
      </c>
      <c r="D244" s="1737">
        <f>$L$8</f>
        <v>2020</v>
      </c>
      <c r="E244" s="1737">
        <f>$L$9</f>
        <v>2035</v>
      </c>
      <c r="F244" s="1737">
        <f>$L$10</f>
        <v>2050</v>
      </c>
    </row>
    <row r="245" spans="2:6" ht="12.75">
      <c r="B245" s="1716" t="s">
        <v>2119</v>
      </c>
      <c r="C245" s="1923">
        <v>1</v>
      </c>
      <c r="D245" s="1924">
        <v>1</v>
      </c>
      <c r="E245" s="1923">
        <v>1</v>
      </c>
      <c r="F245" s="1925">
        <v>1</v>
      </c>
    </row>
    <row r="246" spans="2:6" ht="12.75">
      <c r="B246" s="1732" t="s">
        <v>2120</v>
      </c>
      <c r="C246" s="1926">
        <v>1</v>
      </c>
      <c r="D246" s="1927">
        <v>1</v>
      </c>
      <c r="E246" s="1926">
        <v>1</v>
      </c>
      <c r="F246" s="1928">
        <v>1</v>
      </c>
    </row>
    <row r="247" spans="2:6" ht="12.75">
      <c r="B247" s="1732" t="s">
        <v>2121</v>
      </c>
      <c r="C247" s="1926">
        <v>1</v>
      </c>
      <c r="D247" s="1927">
        <v>1</v>
      </c>
      <c r="E247" s="1926">
        <v>1</v>
      </c>
      <c r="F247" s="1928">
        <v>1</v>
      </c>
    </row>
    <row r="248" spans="2:6" ht="12.75">
      <c r="B248" s="1724" t="s">
        <v>2122</v>
      </c>
      <c r="C248" s="1929">
        <v>1</v>
      </c>
      <c r="D248" s="1930">
        <v>1</v>
      </c>
      <c r="E248" s="1929">
        <v>1</v>
      </c>
      <c r="F248" s="1931">
        <v>1</v>
      </c>
    </row>
    <row r="250" spans="2:6">
      <c r="B250" s="1715" t="s">
        <v>2125</v>
      </c>
    </row>
    <row r="251" spans="2:6">
      <c r="B251" s="1922" t="s">
        <v>2118</v>
      </c>
      <c r="C251" s="1737">
        <f>$L$7</f>
        <v>2015</v>
      </c>
      <c r="D251" s="1737">
        <f>$L$8</f>
        <v>2020</v>
      </c>
      <c r="E251" s="1737">
        <f>$L$9</f>
        <v>2035</v>
      </c>
      <c r="F251" s="1737">
        <f>$L$10</f>
        <v>2050</v>
      </c>
    </row>
    <row r="252" spans="2:6" ht="12.75">
      <c r="B252" s="1716" t="s">
        <v>2119</v>
      </c>
      <c r="C252" s="1923">
        <v>1</v>
      </c>
      <c r="D252" s="1924">
        <v>1</v>
      </c>
      <c r="E252" s="1923">
        <v>1</v>
      </c>
      <c r="F252" s="1925">
        <v>1</v>
      </c>
    </row>
    <row r="253" spans="2:6" ht="12.75">
      <c r="B253" s="1732" t="s">
        <v>2120</v>
      </c>
      <c r="C253" s="1926">
        <v>1</v>
      </c>
      <c r="D253" s="1927">
        <v>1</v>
      </c>
      <c r="E253" s="1926">
        <v>2</v>
      </c>
      <c r="F253" s="1928">
        <v>4</v>
      </c>
    </row>
    <row r="254" spans="2:6" ht="12.75">
      <c r="B254" s="1732" t="s">
        <v>2121</v>
      </c>
      <c r="C254" s="1926">
        <v>1</v>
      </c>
      <c r="D254" s="1927">
        <v>2</v>
      </c>
      <c r="E254" s="1926">
        <v>4</v>
      </c>
      <c r="F254" s="1928">
        <v>8</v>
      </c>
    </row>
    <row r="255" spans="2:6" ht="12.75">
      <c r="B255" s="1724" t="s">
        <v>2122</v>
      </c>
      <c r="C255" s="1929">
        <v>1</v>
      </c>
      <c r="D255" s="1930">
        <v>2</v>
      </c>
      <c r="E255" s="1929">
        <v>6</v>
      </c>
      <c r="F255" s="1931">
        <v>12</v>
      </c>
    </row>
    <row r="257" spans="1:14">
      <c r="B257" s="1715" t="s">
        <v>2126</v>
      </c>
    </row>
    <row r="258" spans="1:14">
      <c r="B258" s="1922" t="s">
        <v>2118</v>
      </c>
      <c r="C258" s="1737">
        <f>$L$7</f>
        <v>2015</v>
      </c>
      <c r="D258" s="1737">
        <f>$L$8</f>
        <v>2020</v>
      </c>
      <c r="E258" s="1737">
        <f>$L$9</f>
        <v>2035</v>
      </c>
      <c r="F258" s="1737">
        <f>$L$10</f>
        <v>2050</v>
      </c>
    </row>
    <row r="259" spans="1:14" ht="12.75">
      <c r="B259" s="1716" t="s">
        <v>2119</v>
      </c>
      <c r="C259" s="1923">
        <v>1</v>
      </c>
      <c r="D259" s="1924">
        <v>1</v>
      </c>
      <c r="E259" s="1923">
        <v>1</v>
      </c>
      <c r="F259" s="1925">
        <v>1</v>
      </c>
    </row>
    <row r="260" spans="1:14" ht="12.75">
      <c r="B260" s="1732" t="s">
        <v>2120</v>
      </c>
      <c r="C260" s="1926">
        <v>1</v>
      </c>
      <c r="D260" s="1927">
        <v>2</v>
      </c>
      <c r="E260" s="1926">
        <v>4</v>
      </c>
      <c r="F260" s="1928">
        <v>8</v>
      </c>
    </row>
    <row r="261" spans="1:14" ht="12.75">
      <c r="B261" s="1732" t="s">
        <v>2121</v>
      </c>
      <c r="C261" s="1926">
        <v>1</v>
      </c>
      <c r="D261" s="1927">
        <v>4</v>
      </c>
      <c r="E261" s="1926">
        <v>7</v>
      </c>
      <c r="F261" s="1928">
        <v>12</v>
      </c>
    </row>
    <row r="262" spans="1:14" ht="12.75">
      <c r="B262" s="1724" t="s">
        <v>2122</v>
      </c>
      <c r="C262" s="1929">
        <v>1</v>
      </c>
      <c r="D262" s="1930">
        <v>6</v>
      </c>
      <c r="E262" s="1929">
        <v>10</v>
      </c>
      <c r="F262" s="1931">
        <v>16</v>
      </c>
    </row>
    <row r="268" spans="1:14" s="690" customFormat="1" ht="18.75">
      <c r="A268" s="689" t="s">
        <v>337</v>
      </c>
    </row>
    <row r="270" spans="1:14">
      <c r="C270" s="1932"/>
      <c r="H270" s="1933"/>
      <c r="I270" s="1720"/>
    </row>
    <row r="271" spans="1:14">
      <c r="H271" s="1720"/>
      <c r="I271" s="1720"/>
    </row>
    <row r="272" spans="1:14">
      <c r="B272" s="1715" t="s">
        <v>342</v>
      </c>
      <c r="D272" s="1715" t="s">
        <v>83</v>
      </c>
      <c r="F272" s="1715" t="s">
        <v>136</v>
      </c>
      <c r="H272" s="1720"/>
      <c r="I272" s="1715" t="s">
        <v>446</v>
      </c>
      <c r="K272" s="1715" t="s">
        <v>9</v>
      </c>
      <c r="M272" s="1715" t="s">
        <v>199</v>
      </c>
      <c r="N272" s="1715" t="s">
        <v>2130</v>
      </c>
    </row>
    <row r="273" spans="2:14">
      <c r="B273" s="1934" t="s">
        <v>183</v>
      </c>
      <c r="D273" s="1934" t="s">
        <v>16</v>
      </c>
      <c r="F273" s="1934" t="s">
        <v>290</v>
      </c>
      <c r="H273" s="1720"/>
      <c r="I273" s="1934" t="s">
        <v>1467</v>
      </c>
      <c r="K273" s="1934" t="s">
        <v>1</v>
      </c>
      <c r="M273" s="1934" t="s">
        <v>302</v>
      </c>
      <c r="N273" s="1934" t="s">
        <v>2127</v>
      </c>
    </row>
    <row r="274" spans="2:14">
      <c r="B274" s="1934" t="s">
        <v>186</v>
      </c>
      <c r="D274" s="1934" t="s">
        <v>79</v>
      </c>
      <c r="F274" s="1934" t="s">
        <v>86</v>
      </c>
      <c r="H274" s="1720"/>
      <c r="I274" s="1934" t="s">
        <v>1468</v>
      </c>
      <c r="K274" s="1934" t="s">
        <v>2</v>
      </c>
      <c r="M274" s="1934" t="s">
        <v>303</v>
      </c>
      <c r="N274" s="1934" t="s">
        <v>2128</v>
      </c>
    </row>
    <row r="275" spans="2:14">
      <c r="B275" s="1934" t="s">
        <v>139</v>
      </c>
      <c r="D275" s="1934" t="s">
        <v>80</v>
      </c>
      <c r="F275" s="1934" t="s">
        <v>294</v>
      </c>
      <c r="H275" s="1720"/>
      <c r="I275" s="1934" t="s">
        <v>1469</v>
      </c>
      <c r="K275" s="1934" t="s">
        <v>339</v>
      </c>
      <c r="N275" s="1934" t="s">
        <v>2129</v>
      </c>
    </row>
    <row r="276" spans="2:14">
      <c r="B276" s="1934" t="s">
        <v>5</v>
      </c>
      <c r="F276" s="1934" t="s">
        <v>295</v>
      </c>
      <c r="H276" s="1720"/>
      <c r="I276" s="1934" t="s">
        <v>1470</v>
      </c>
      <c r="K276" s="1934" t="s">
        <v>340</v>
      </c>
    </row>
    <row r="277" spans="2:14">
      <c r="B277" s="1934" t="s">
        <v>218</v>
      </c>
      <c r="F277" s="1934" t="s">
        <v>2708</v>
      </c>
      <c r="H277" s="1720"/>
      <c r="I277" s="1934" t="s">
        <v>1471</v>
      </c>
      <c r="K277" s="1934" t="s">
        <v>10</v>
      </c>
    </row>
    <row r="278" spans="2:14">
      <c r="B278" s="1934" t="s">
        <v>219</v>
      </c>
      <c r="F278" s="1934" t="s">
        <v>2709</v>
      </c>
      <c r="H278" s="1720"/>
      <c r="I278" s="1934" t="s">
        <v>1472</v>
      </c>
      <c r="K278" s="1934" t="s">
        <v>11</v>
      </c>
    </row>
    <row r="279" spans="2:14">
      <c r="B279" s="1934" t="s">
        <v>1466</v>
      </c>
      <c r="F279" s="1934" t="s">
        <v>667</v>
      </c>
      <c r="I279" s="1934" t="s">
        <v>1473</v>
      </c>
      <c r="K279" s="1934" t="s">
        <v>4</v>
      </c>
    </row>
    <row r="280" spans="2:14">
      <c r="B280" s="1934" t="s">
        <v>918</v>
      </c>
      <c r="F280" s="1934" t="s">
        <v>276</v>
      </c>
      <c r="I280" s="1934" t="s">
        <v>1474</v>
      </c>
      <c r="K280" s="1934" t="s">
        <v>353</v>
      </c>
    </row>
    <row r="281" spans="2:14">
      <c r="B281" s="1934" t="s">
        <v>191</v>
      </c>
      <c r="F281" s="1934" t="s">
        <v>72</v>
      </c>
      <c r="I281" s="1934" t="s">
        <v>1475</v>
      </c>
      <c r="K281" s="1934" t="s">
        <v>3</v>
      </c>
    </row>
    <row r="282" spans="2:14">
      <c r="B282" s="1934" t="s">
        <v>192</v>
      </c>
      <c r="F282" s="1934" t="s">
        <v>466</v>
      </c>
      <c r="I282" s="1934" t="s">
        <v>1476</v>
      </c>
      <c r="K282" s="1934" t="s">
        <v>12</v>
      </c>
    </row>
    <row r="283" spans="2:14">
      <c r="B283" s="1934" t="s">
        <v>467</v>
      </c>
      <c r="F283" s="1934" t="s">
        <v>605</v>
      </c>
      <c r="I283" s="1934" t="s">
        <v>1477</v>
      </c>
    </row>
    <row r="284" spans="2:14">
      <c r="B284" s="1934" t="s">
        <v>541</v>
      </c>
      <c r="F284" s="1934" t="s">
        <v>642</v>
      </c>
      <c r="I284" s="1934" t="s">
        <v>1478</v>
      </c>
    </row>
    <row r="285" spans="2:14">
      <c r="B285" s="1934" t="s">
        <v>545</v>
      </c>
      <c r="F285" s="1934" t="s">
        <v>656</v>
      </c>
      <c r="I285" s="1934" t="s">
        <v>1479</v>
      </c>
    </row>
    <row r="286" spans="2:14">
      <c r="B286" s="1934"/>
      <c r="F286" s="1934" t="s">
        <v>639</v>
      </c>
      <c r="I286" s="1934" t="s">
        <v>1480</v>
      </c>
    </row>
    <row r="287" spans="2:14">
      <c r="B287" s="1934"/>
      <c r="F287" s="1934" t="s">
        <v>640</v>
      </c>
      <c r="I287" s="1934" t="s">
        <v>1481</v>
      </c>
    </row>
    <row r="288" spans="2:14">
      <c r="F288" s="1934" t="s">
        <v>1646</v>
      </c>
      <c r="I288" s="1934" t="s">
        <v>1482</v>
      </c>
    </row>
    <row r="289" spans="2:11">
      <c r="F289" s="1934" t="s">
        <v>1649</v>
      </c>
      <c r="I289" s="1934" t="s">
        <v>1483</v>
      </c>
    </row>
    <row r="290" spans="2:11">
      <c r="F290" s="1934" t="s">
        <v>1982</v>
      </c>
      <c r="I290" s="1934" t="s">
        <v>2062</v>
      </c>
    </row>
    <row r="291" spans="2:11">
      <c r="F291" s="1934" t="s">
        <v>2093</v>
      </c>
      <c r="I291" s="1934" t="s">
        <v>2063</v>
      </c>
    </row>
    <row r="292" spans="2:11">
      <c r="F292" s="1934" t="s">
        <v>1606</v>
      </c>
      <c r="I292" s="1934" t="s">
        <v>2064</v>
      </c>
    </row>
    <row r="293" spans="2:11">
      <c r="F293" s="1934" t="s">
        <v>1978</v>
      </c>
      <c r="I293" s="1934" t="s">
        <v>1574</v>
      </c>
    </row>
    <row r="294" spans="2:11">
      <c r="F294" s="1934" t="s">
        <v>1979</v>
      </c>
      <c r="I294" s="1934" t="s">
        <v>80</v>
      </c>
    </row>
    <row r="295" spans="2:11">
      <c r="F295" s="1934" t="s">
        <v>1980</v>
      </c>
      <c r="I295" s="1934" t="s">
        <v>79</v>
      </c>
    </row>
    <row r="296" spans="2:11">
      <c r="F296" s="664" t="s">
        <v>1981</v>
      </c>
      <c r="I296" s="1934" t="s">
        <v>2</v>
      </c>
    </row>
    <row r="297" spans="2:11">
      <c r="F297" s="664" t="s">
        <v>2715</v>
      </c>
      <c r="I297" s="1934" t="s">
        <v>1</v>
      </c>
    </row>
    <row r="298" spans="2:11">
      <c r="I298" s="1934" t="s">
        <v>1437</v>
      </c>
    </row>
    <row r="299" spans="2:11">
      <c r="B299" s="1715" t="s">
        <v>338</v>
      </c>
      <c r="D299" s="1715" t="s">
        <v>129</v>
      </c>
      <c r="F299" s="1715" t="s">
        <v>343</v>
      </c>
      <c r="I299" s="1934" t="s">
        <v>1484</v>
      </c>
      <c r="K299" s="1715" t="s">
        <v>385</v>
      </c>
    </row>
    <row r="300" spans="2:11">
      <c r="B300" s="699" t="s">
        <v>747</v>
      </c>
      <c r="D300" s="1934" t="s">
        <v>332</v>
      </c>
      <c r="F300" s="1934" t="s">
        <v>302</v>
      </c>
      <c r="I300" s="1934" t="s">
        <v>353</v>
      </c>
      <c r="K300" s="1934" t="s">
        <v>5</v>
      </c>
    </row>
    <row r="301" spans="2:11">
      <c r="B301" s="699" t="s">
        <v>339</v>
      </c>
      <c r="D301" s="1934" t="s">
        <v>333</v>
      </c>
      <c r="F301" s="1934" t="s">
        <v>303</v>
      </c>
      <c r="K301" s="1934" t="s">
        <v>386</v>
      </c>
    </row>
    <row r="302" spans="2:11">
      <c r="B302" s="699" t="s">
        <v>340</v>
      </c>
      <c r="D302" s="1934" t="s">
        <v>361</v>
      </c>
      <c r="I302" s="1715" t="s">
        <v>381</v>
      </c>
      <c r="K302" s="1934" t="s">
        <v>387</v>
      </c>
    </row>
    <row r="303" spans="2:11">
      <c r="B303" s="699" t="s">
        <v>88</v>
      </c>
      <c r="D303" s="1934" t="s">
        <v>335</v>
      </c>
      <c r="I303" s="1934" t="s">
        <v>1998</v>
      </c>
    </row>
    <row r="304" spans="2:11">
      <c r="B304" s="699" t="s">
        <v>10</v>
      </c>
      <c r="I304" s="1934" t="s">
        <v>382</v>
      </c>
    </row>
    <row r="305" spans="2:9">
      <c r="B305" s="699" t="s">
        <v>54</v>
      </c>
      <c r="I305" s="1934" t="s">
        <v>383</v>
      </c>
    </row>
    <row r="306" spans="2:9">
      <c r="B306" s="699" t="s">
        <v>353</v>
      </c>
      <c r="I306" s="1934" t="s">
        <v>677</v>
      </c>
    </row>
    <row r="307" spans="2:9">
      <c r="B307" s="699" t="s">
        <v>82</v>
      </c>
      <c r="I307" s="1934" t="s">
        <v>555</v>
      </c>
    </row>
    <row r="308" spans="2:9">
      <c r="B308" s="699" t="s">
        <v>12</v>
      </c>
      <c r="I308" s="1934" t="s">
        <v>688</v>
      </c>
    </row>
    <row r="309" spans="2:9">
      <c r="B309" s="699" t="s">
        <v>244</v>
      </c>
      <c r="I309" s="1934" t="s">
        <v>361</v>
      </c>
    </row>
    <row r="310" spans="2:9">
      <c r="B310" s="699" t="s">
        <v>11</v>
      </c>
      <c r="I310" s="1934" t="s">
        <v>1485</v>
      </c>
    </row>
    <row r="311" spans="2:9">
      <c r="B311" s="699" t="s">
        <v>2</v>
      </c>
      <c r="I311" s="699" t="s">
        <v>1913</v>
      </c>
    </row>
    <row r="312" spans="2:9" ht="12.75">
      <c r="B312" s="699" t="s">
        <v>1</v>
      </c>
      <c r="I312" s="1935"/>
    </row>
    <row r="313" spans="2:9" ht="12.75">
      <c r="B313" s="699" t="s">
        <v>1437</v>
      </c>
      <c r="I313" s="1935"/>
    </row>
    <row r="314" spans="2:9" ht="12.75">
      <c r="B314" s="699" t="s">
        <v>1436</v>
      </c>
      <c r="I314" s="1935"/>
    </row>
    <row r="315" spans="2:9" ht="12.75">
      <c r="B315" s="699" t="s">
        <v>332</v>
      </c>
      <c r="I315" s="1935"/>
    </row>
    <row r="316" spans="2:9" ht="12.75">
      <c r="B316" s="699" t="s">
        <v>1986</v>
      </c>
      <c r="I316" s="1935"/>
    </row>
    <row r="317" spans="2:9" ht="12.75">
      <c r="B317" s="699" t="s">
        <v>333</v>
      </c>
      <c r="I317" s="1935"/>
    </row>
    <row r="318" spans="2:9" ht="12.75">
      <c r="B318" s="699" t="s">
        <v>361</v>
      </c>
      <c r="I318" s="1935"/>
    </row>
    <row r="319" spans="2:9" ht="12.75">
      <c r="B319" s="699" t="s">
        <v>335</v>
      </c>
      <c r="I319" s="1935"/>
    </row>
    <row r="320" spans="2:9">
      <c r="B320" s="699" t="s">
        <v>1913</v>
      </c>
    </row>
    <row r="324" spans="2:2" ht="12.75">
      <c r="B324" s="1935" t="str">
        <f ca="1">IFERROR(INDEX(MID(SheetNames,FIND("]",SheetNames)+1,255),ROWS(A$1:A1)),"")</f>
        <v>Introduktion</v>
      </c>
    </row>
    <row r="325" spans="2:2" ht="12.75">
      <c r="B325" s="1935" t="str">
        <f ca="1">IFERROR(INDEX(MID(SheetNames,FIND("]",SheetNames)+1,255),ROWS(A$1:A2)),"")</f>
        <v>Oversigt</v>
      </c>
    </row>
    <row r="326" spans="2:2" ht="12.75">
      <c r="B326" s="1935" t="str">
        <f ca="1">IFERROR(INDEX(MID(SheetNames,FIND("]",SheetNames)+1,255),ROWS(A$1:A3)),"")</f>
        <v>Referencer</v>
      </c>
    </row>
    <row r="327" spans="2:2" ht="12.75">
      <c r="B327" s="1935" t="str">
        <f ca="1">IFERROR(INDEX(MID(SheetNames,FIND("]",SheetNames)+1,255),ROWS(A$1:A4)),"")</f>
        <v>Cockpit</v>
      </c>
    </row>
    <row r="328" spans="2:2" ht="12.75">
      <c r="B328" s="1935" t="str">
        <f ca="1">IFERROR(INDEX(MID(SheetNames,FIND("]",SheetNames)+1,255),ROWS(A$1:A5)),"")</f>
        <v>ResultsOneYear</v>
      </c>
    </row>
    <row r="329" spans="2:2" ht="12.75">
      <c r="B329" s="1935" t="str">
        <f ca="1">IFERROR(INDEX(MID(SheetNames,FIND("]",SheetNames)+1,255),ROWS(A$1:A6)),"")</f>
        <v>ResultsAllYears</v>
      </c>
    </row>
    <row r="330" spans="2:2" ht="12.75">
      <c r="B330" s="1935" t="str">
        <f ca="1">IFERROR(INDEX(MID(SheetNames,FIND("]",SheetNames)+1,255),ROWS(A$1:A7)),"")</f>
        <v>A4results</v>
      </c>
    </row>
    <row r="331" spans="2:2" ht="12.75">
      <c r="B331" s="1935" t="str">
        <f ca="1">IFERROR(INDEX(MID(SheetNames,FIND("]",SheetNames)+1,255),ROWS(A$1:A8)),"")</f>
        <v>Vehicles</v>
      </c>
    </row>
    <row r="332" spans="2:2" ht="12.75">
      <c r="B332" s="1935" t="str">
        <f ca="1">IFERROR(INDEX(MID(SheetNames,FIND("]",SheetNames)+1,255),ROWS(A$1:A9)),"")</f>
        <v>Fuels</v>
      </c>
    </row>
    <row r="333" spans="2:2" ht="12.75">
      <c r="B333" s="1935" t="str">
        <f ca="1">IFERROR(INDEX(MID(SheetNames,FIND("]",SheetNames)+1,255),ROWS(A$1:A10)),"")</f>
        <v>ProcessEnergy</v>
      </c>
    </row>
    <row r="334" spans="2:2" ht="12.75">
      <c r="B334" s="1935" t="str">
        <f ca="1">IFERROR(INDEX(MID(SheetNames,FIND("]",SheetNames)+1,255),ROWS(A$1:A11)),"")</f>
        <v>Prices</v>
      </c>
    </row>
    <row r="335" spans="2:2" ht="12.75">
      <c r="B335" s="1935" t="str">
        <f ca="1">IFERROR(INDEX(MID(SheetNames,FIND("]",SheetNames)+1,255),ROWS(A$1:A12)),"")</f>
        <v>Feedstocks</v>
      </c>
    </row>
    <row r="336" spans="2:2" ht="12.75">
      <c r="B336" s="1935" t="str">
        <f ca="1">IFERROR(INDEX(MID(SheetNames,FIND("]",SheetNames)+1,255),ROWS(A$1:A13)),"")</f>
        <v>Distribution</v>
      </c>
    </row>
    <row r="337" spans="2:2" ht="12.75">
      <c r="B337" s="1935" t="str">
        <f ca="1">IFERROR(INDEX(MID(SheetNames,FIND("]",SheetNames)+1,255),ROWS(A$1:A14)),"")</f>
        <v>Supplementary</v>
      </c>
    </row>
    <row r="338" spans="2:2" ht="12.75">
      <c r="B338" s="1935" t="str">
        <f ca="1">IFERROR(INDEX(MID(SheetNames,FIND("]",SheetNames)+1,255),ROWS(A$1:A15)),"")</f>
        <v>(FORCE 1) Bio-Methanol</v>
      </c>
    </row>
    <row r="339" spans="2:2" ht="12.75">
      <c r="B339" s="1935" t="str">
        <f ca="1">IFERROR(INDEX(MID(SheetNames,FIND("]",SheetNames)+1,255),ROWS(A$1:A16)),"")</f>
        <v>(FORCE 2) ETL-Methanol</v>
      </c>
    </row>
    <row r="340" spans="2:2" ht="12.75">
      <c r="B340" s="1935" t="str">
        <f ca="1">IFERROR(INDEX(MID(SheetNames,FIND("]",SheetNames)+1,255),ROWS(A$1:A17)),"")</f>
        <v>(FORCE 3) 1G ethanol</v>
      </c>
    </row>
    <row r="341" spans="2:2" ht="12.75">
      <c r="B341" s="1935" t="str">
        <f ca="1">IFERROR(INDEX(MID(SheetNames,FIND("]",SheetNames)+1,255),ROWS(A$1:A18)),"")</f>
        <v>(FORCE 4) 2G ethanol</v>
      </c>
    </row>
    <row r="342" spans="2:2" ht="12.75">
      <c r="B342" s="1935" t="str">
        <f ca="1">IFERROR(INDEX(MID(SheetNames,FIND("]",SheetNames)+1,255),ROWS(A$1:A19)),"")</f>
        <v>(FORCE 7) 2G diesel</v>
      </c>
    </row>
    <row r="343" spans="2:2" ht="12.75">
      <c r="B343" s="1935" t="str">
        <f ca="1">IFERROR(INDEX(MID(SheetNames,FIND("]",SheetNames)+1,255),ROWS(A$1:A20)),"")</f>
        <v xml:space="preserve">(FORCE 9) Bio-DME </v>
      </c>
    </row>
    <row r="344" spans="2:2" ht="12.75">
      <c r="B344" s="1935" t="str">
        <f ca="1">IFERROR(INDEX(MID(SheetNames,FIND("]",SheetNames)+1,255),ROWS(A$1:A21)),"")</f>
        <v>(FORCE 18) Bio Jetfuel</v>
      </c>
    </row>
    <row r="345" spans="2:2" ht="12.75">
      <c r="B345" s="1935" t="str">
        <f ca="1">IFERROR(INDEX(MID(SheetNames,FIND("]",SheetNames)+1,255),ROWS(A$1:A22)),"")</f>
        <v>(FORCE 19) RME Rapeseed</v>
      </c>
    </row>
    <row r="346" spans="2:2" ht="12.75">
      <c r="B346" s="1935" t="str">
        <f ca="1">IFERROR(INDEX(MID(SheetNames,FIND("]",SheetNames)+1,255),ROWS(A$1:A23)),"")</f>
        <v>(FORCE 20) Ethanol SugarBeet</v>
      </c>
    </row>
    <row r="347" spans="2:2" ht="12.75">
      <c r="B347" s="1935" t="str">
        <f ca="1">IFERROR(INDEX(MID(SheetNames,FIND("]",SheetNames)+1,255),ROWS(A$1:A24)),"")</f>
        <v>Biogas ENS</v>
      </c>
    </row>
    <row r="348" spans="2:2" ht="12.75">
      <c r="B348" s="1935" t="str">
        <f ca="1">IFERROR(INDEX(MID(SheetNames,FIND("]",SheetNames)+1,255),ROWS(A$1:A25)),"")</f>
        <v>Diesel</v>
      </c>
    </row>
    <row r="349" spans="2:2" ht="12.75">
      <c r="B349" s="1935" t="str">
        <f ca="1">IFERROR(INDEX(MID(SheetNames,FIND("]",SheetNames)+1,255),ROWS(A$1:A26)),"")</f>
        <v>Benzin</v>
      </c>
    </row>
    <row r="350" spans="2:2" ht="12.75">
      <c r="B350" s="1935" t="str">
        <f ca="1">IFERROR(INDEX(MID(SheetNames,FIND("]",SheetNames)+1,255),ROWS(A$1:A27)),"")</f>
        <v>HFO</v>
      </c>
    </row>
    <row r="351" spans="2:2" ht="12.75">
      <c r="B351" s="1935" t="str">
        <f ca="1">IFERROR(INDEX(MID(SheetNames,FIND("]",SheetNames)+1,255),ROWS(A$1:A28)),"")</f>
        <v>Jet Fuel</v>
      </c>
    </row>
    <row r="352" spans="2:2" ht="12.75">
      <c r="B352" s="1935" t="str">
        <f ca="1">IFERROR(INDEX(MID(SheetNames,FIND("]",SheetNames)+1,255),ROWS(A$1:A29)),"")</f>
        <v>Naturgas raffinering</v>
      </c>
    </row>
    <row r="353" spans="2:2" ht="12.75">
      <c r="B353" s="1935" t="str">
        <f ca="1">IFERROR(INDEX(MID(SheetNames,FIND("]",SheetNames)+1,255),ROWS(A$1:A30)),"")</f>
        <v>brint-elektricitet</v>
      </c>
    </row>
    <row r="354" spans="2:2" ht="12.75">
      <c r="B354" s="1935" t="str">
        <f ca="1">IFERROR(INDEX(MID(SheetNames,FIND("]",SheetNames)+1,255),ROWS(A$1:A31)),"")</f>
        <v>oplade-elektricitet</v>
      </c>
    </row>
    <row r="355" spans="2:2" ht="12.75">
      <c r="B355" s="1935" t="str">
        <f ca="1">IFERROR(INDEX(MID(SheetNames,FIND("]",SheetNames)+1,255),ROWS(A$1:A32)),"")</f>
        <v>Importspor</v>
      </c>
    </row>
    <row r="356" spans="2:2" ht="12.75">
      <c r="B356" s="1935" t="str">
        <f ca="1">IFERROR(INDEX(MID(SheetNames,FIND("]",SheetNames)+1,255),ROWS(A$1:A33)),"")</f>
        <v>LNG</v>
      </c>
    </row>
    <row r="357" spans="2:2" ht="12.75">
      <c r="B357" s="1935" t="str">
        <f ca="1">IFERROR(INDEX(MID(SheetNames,FIND("]",SheetNames)+1,255),ROWS(A$1:A34)),"")</f>
        <v>tog-elektricitet</v>
      </c>
    </row>
    <row r="358" spans="2:2" ht="12.75">
      <c r="B358" s="1935" t="str">
        <f ca="1">IFERROR(INDEX(MID(SheetNames,FIND("]",SheetNames)+1,255),ROWS(A$1:A35)),"")</f>
        <v>Elektrolyse og komprimering</v>
      </c>
    </row>
    <row r="359" spans="2:2" ht="12.75">
      <c r="B359" s="1935" t="str">
        <f ca="1">IFERROR(INDEX(MID(SheetNames,FIND("]",SheetNames)+1,255),ROWS(A$1:A36)),"")</f>
        <v>Ladestation</v>
      </c>
    </row>
    <row r="360" spans="2:2" ht="12.75">
      <c r="B360" s="1935" t="str">
        <f ca="1">IFERROR(INDEX(MID(SheetNames,FIND("]",SheetNames)+1,255),ROWS(A$1:A37)),"")</f>
        <v>Ladestation Hybrid</v>
      </c>
    </row>
    <row r="361" spans="2:2" ht="12.75">
      <c r="B361" s="1935" t="str">
        <f ca="1">IFERROR(INDEX(MID(SheetNames,FIND("]",SheetNames)+1,255),ROWS(A$1:A38)),"")</f>
        <v>Naturgas komprimering</v>
      </c>
    </row>
    <row r="362" spans="2:2" ht="12.75">
      <c r="B362" s="1935" t="str">
        <f ca="1">IFERROR(INDEX(MID(SheetNames,FIND("]",SheetNames)+1,255),ROWS(A$1:A39)),"")</f>
        <v>Ingen mellem</v>
      </c>
    </row>
    <row r="363" spans="2:2" ht="12.75">
      <c r="B363" s="1935" t="str">
        <f ca="1">IFERROR(INDEX(MID(SheetNames,FIND("]",SheetNames)+1,255),ROWS(A$1:A40)),"")</f>
        <v>Std benzin motor</v>
      </c>
    </row>
    <row r="364" spans="2:2" ht="12.75">
      <c r="B364" s="1935" t="str">
        <f ca="1">IFERROR(INDEX(MID(SheetNames,FIND("]",SheetNames)+1,255),ROWS(A$1:A41)),"")</f>
        <v>Std diesel motor</v>
      </c>
    </row>
    <row r="365" spans="2:2" ht="12.75">
      <c r="B365" s="1935" t="str">
        <f ca="1">IFERROR(INDEX(MID(SheetNames,FIND("]",SheetNames)+1,255),ROWS(A$1:A42)),"")</f>
        <v>Diesel motor DME</v>
      </c>
    </row>
    <row r="366" spans="2:2" ht="12.75">
      <c r="B366" s="1935" t="str">
        <f ca="1">IFERROR(INDEX(MID(SheetNames,FIND("]",SheetNames)+1,255),ROWS(A$1:A43)),"")</f>
        <v>Tilpasset Otto motor</v>
      </c>
    </row>
    <row r="367" spans="2:2" ht="12.75">
      <c r="B367" s="1935" t="str">
        <f ca="1">IFERROR(INDEX(MID(SheetNames,FIND("]",SheetNames)+1,255),ROWS(A$1:A44)),"")</f>
        <v>Brændselscelle, brint</v>
      </c>
    </row>
    <row r="368" spans="2:2" ht="12.75">
      <c r="B368" s="1935" t="str">
        <f ca="1">IFERROR(INDEX(MID(SheetNames,FIND("]",SheetNames)+1,255),ROWS(A$1:A45)),"")</f>
        <v>Brændselscelle, brinthybrid</v>
      </c>
    </row>
    <row r="369" spans="2:2" ht="12.75">
      <c r="B369" s="1935" t="str">
        <f ca="1">IFERROR(INDEX(MID(SheetNames,FIND("]",SheetNames)+1,255),ROWS(A$1:A46)),"")</f>
        <v>Brændselscelle, methanolhybrid</v>
      </c>
    </row>
    <row r="370" spans="2:2" ht="12.75">
      <c r="B370" s="1935" t="str">
        <f ca="1">IFERROR(INDEX(MID(SheetNames,FIND("]",SheetNames)+1,255),ROWS(A$1:A47)),"")</f>
        <v>Plugin Hybrid</v>
      </c>
    </row>
    <row r="371" spans="2:2" ht="12.75">
      <c r="B371" s="1935" t="str">
        <f ca="1">IFERROR(INDEX(MID(SheetNames,FIND("]",SheetNames)+1,255),ROWS(A$1:A48)),"")</f>
        <v>Elmotor</v>
      </c>
    </row>
    <row r="372" spans="2:2" ht="12.75">
      <c r="B372" s="1935" t="str">
        <f ca="1">IFERROR(INDEX(MID(SheetNames,FIND("]",SheetNames)+1,255),ROWS(A$1:A49)),"")</f>
        <v>Lastbil</v>
      </c>
    </row>
    <row r="373" spans="2:2" ht="12.75">
      <c r="B373" s="1935" t="str">
        <f ca="1">IFERROR(INDEX(MID(SheetNames,FIND("]",SheetNames)+1,255),ROWS(A$1:A50)),"")</f>
        <v>Lastbil DME</v>
      </c>
    </row>
    <row r="374" spans="2:2" ht="12.75">
      <c r="B374" s="1935" t="str">
        <f ca="1">IFERROR(INDEX(MID(SheetNames,FIND("]",SheetNames)+1,255),ROWS(A$1:A51)),"")</f>
        <v>Lastbil RME</v>
      </c>
    </row>
    <row r="375" spans="2:2" ht="12.75">
      <c r="B375" s="1935" t="str">
        <f ca="1">IFERROR(INDEX(MID(SheetNames,FIND("]",SheetNames)+1,255),ROWS(A$1:A52)),"")</f>
        <v>Lastbil Gas</v>
      </c>
    </row>
    <row r="376" spans="2:2" ht="12.75">
      <c r="B376" s="1935" t="str">
        <f ca="1">IFERROR(INDEX(MID(SheetNames,FIND("]",SheetNames)+1,255),ROWS(A$1:A53)),"")</f>
        <v>Bus</v>
      </c>
    </row>
    <row r="377" spans="2:2" ht="12.75">
      <c r="B377" s="1935" t="str">
        <f ca="1">IFERROR(INDEX(MID(SheetNames,FIND("]",SheetNames)+1,255),ROWS(A$1:A54)),"")</f>
        <v>Bus Gas</v>
      </c>
    </row>
    <row r="378" spans="2:2" ht="12.75">
      <c r="B378" s="1935" t="str">
        <f ca="1">IFERROR(INDEX(MID(SheetNames,FIND("]",SheetNames)+1,255),ROWS(A$1:A55)),"")</f>
        <v>Bus Hybrid</v>
      </c>
    </row>
    <row r="379" spans="2:2" ht="12.75">
      <c r="B379" s="1935" t="str">
        <f ca="1">IFERROR(INDEX(MID(SheetNames,FIND("]",SheetNames)+1,255),ROWS(A$1:A55)),"")</f>
        <v>Bus Hybrid</v>
      </c>
    </row>
    <row r="380" spans="2:2" ht="12.75">
      <c r="B380" s="1935" t="str">
        <f ca="1">IFERROR(INDEX(MID(SheetNames,FIND("]",SheetNames)+1,255),ROWS(A$1:A55)),"")</f>
        <v>Bus Hybrid</v>
      </c>
    </row>
    <row r="381" spans="2:2" ht="12.75">
      <c r="B381" s="1935" t="str">
        <f ca="1">IFERROR(INDEX(MID(SheetNames,FIND("]",SheetNames)+1,255),ROWS(A$1:A55)),"")</f>
        <v>Bus Hybrid</v>
      </c>
    </row>
    <row r="382" spans="2:2" ht="12.75">
      <c r="B382" s="1935" t="str">
        <f ca="1">IFERROR(INDEX(MID(SheetNames,FIND("]",SheetNames)+1,255),ROWS(A$1:A55)),"")</f>
        <v>Bus Hybrid</v>
      </c>
    </row>
    <row r="383" spans="2:2" ht="12.75">
      <c r="B383" s="1935" t="str">
        <f ca="1">IFERROR(INDEX(MID(SheetNames,FIND("]",SheetNames)+1,255),ROWS(A$1:A55)),"")</f>
        <v>Bus Hybrid</v>
      </c>
    </row>
    <row r="384" spans="2:2" ht="12.75">
      <c r="B384" s="1935" t="str">
        <f ca="1">IFERROR(INDEX(MID(SheetNames,FIND("]",SheetNames)+1,255),ROWS(A$1:A55)),"")</f>
        <v>Bus Hybrid</v>
      </c>
    </row>
    <row r="385" spans="2:2" ht="12.75">
      <c r="B385" s="1935" t="str">
        <f ca="1">IFERROR(INDEX(MID(SheetNames,FIND("]",SheetNames)+1,255),ROWS(A$1:A55)),"")</f>
        <v>Bus Hybrid</v>
      </c>
    </row>
    <row r="386" spans="2:2" ht="12.75">
      <c r="B386" s="1935" t="str">
        <f ca="1">IFERROR(INDEX(MID(SheetNames,FIND("]",SheetNames)+1,255),ROWS(A$1:A55)),"")</f>
        <v>Bus Hybrid</v>
      </c>
    </row>
    <row r="387" spans="2:2" ht="12.75">
      <c r="B387" s="1935" t="str">
        <f ca="1">IFERROR(INDEX(MID(SheetNames,FIND("]",SheetNames)+1,255),ROWS(A$1:A55)),"")</f>
        <v>Bus Hybrid</v>
      </c>
    </row>
    <row r="388" spans="2:2" ht="12.75">
      <c r="B388" s="1935" t="str">
        <f ca="1">IFERROR(INDEX(MID(SheetNames,FIND("]",SheetNames)+1,255),ROWS(A$1:A55)),"")</f>
        <v>Bus Hybrid</v>
      </c>
    </row>
    <row r="389" spans="2:2" ht="12.75">
      <c r="B389" s="1935" t="str">
        <f ca="1">IFERROR(INDEX(MID(SheetNames,FIND("]",SheetNames)+1,255),ROWS(A$1:A55)),"")</f>
        <v>Bus Hybrid</v>
      </c>
    </row>
    <row r="390" spans="2:2" ht="12.75">
      <c r="B390" s="1935" t="str">
        <f ca="1">IFERROR(INDEX(MID(SheetNames,FIND("]",SheetNames)+1,255),ROWS(A$1:A55)),"")</f>
        <v>Bus Hybrid</v>
      </c>
    </row>
    <row r="391" spans="2:2" ht="12.75">
      <c r="B391" s="1935" t="str">
        <f ca="1">IFERROR(INDEX(MID(SheetNames,FIND("]",SheetNames)+1,255),ROWS(A$1:A55)),"")</f>
        <v>Bus Hybrid</v>
      </c>
    </row>
    <row r="392" spans="2:2" ht="12.75">
      <c r="B392" s="1935" t="str">
        <f ca="1">IFERROR(INDEX(MID(SheetNames,FIND("]",SheetNames)+1,255),ROWS(A$1:A55)),"")</f>
        <v>Bus Hybrid</v>
      </c>
    </row>
    <row r="393" spans="2:2" ht="12.75">
      <c r="B393" s="1935" t="str">
        <f ca="1">IFERROR(INDEX(MID(SheetNames,FIND("]",SheetNames)+1,255),ROWS(A$1:A55)),"")</f>
        <v>Bus Hybrid</v>
      </c>
    </row>
    <row r="394" spans="2:2" ht="12.75">
      <c r="B394" s="1935" t="str">
        <f ca="1">IFERROR(INDEX(MID(SheetNames,FIND("]",SheetNames)+1,255),ROWS(A$1:A57)),"")</f>
        <v>9000 TEU Diesel</v>
      </c>
    </row>
    <row r="395" spans="2:2" ht="12.75">
      <c r="B395" s="1935" t="str">
        <f ca="1">IFERROR(INDEX(MID(SheetNames,FIND("]",SheetNames)+1,255),ROWS(A$1:A58)),"")</f>
        <v>9000 TEU Dual fuel</v>
      </c>
    </row>
    <row r="396" spans="2:2" ht="12.75">
      <c r="B396" s="1935" t="str">
        <f ca="1">IFERROR(INDEX(MID(SheetNames,FIND("]",SheetNames)+1,255),ROWS(A$1:A59)),"")</f>
        <v>Katamaran ferry</v>
      </c>
    </row>
    <row r="397" spans="2:2" ht="12.75">
      <c r="B397" s="1935" t="str">
        <f ca="1">IFERROR(INDEX(MID(SheetNames,FIND("]",SheetNames)+1,255),ROWS(A$1:A60)),"")</f>
        <v>SAS avg. airplane</v>
      </c>
    </row>
    <row r="398" spans="2:2" ht="12.75">
      <c r="B398" s="1935" t="str">
        <f ca="1">IFERROR(INDEX(MID(SheetNames,FIND("]",SheetNames)+1,255),ROWS(A$1:A61)),"")</f>
        <v>Diesel Lokaltog</v>
      </c>
    </row>
    <row r="399" spans="2:2" ht="12.75">
      <c r="B399" s="1935" t="str">
        <f ca="1">IFERROR(INDEX(MID(SheetNames,FIND("]",SheetNames)+1,255),ROWS(A$1:A62)),"")</f>
        <v>Gas Lokaltog</v>
      </c>
    </row>
    <row r="400" spans="2:2" ht="12.75">
      <c r="B400" s="1935" t="str">
        <f ca="1">IFERROR(INDEX(MID(SheetNames,FIND("]",SheetNames)+1,255),ROWS(A$1:A63)),"")</f>
        <v>Diesel IC-reg.tog</v>
      </c>
    </row>
    <row r="401" spans="2:2" ht="12.75">
      <c r="B401" s="1935" t="str">
        <f ca="1">IFERROR(INDEX(MID(SheetNames,FIND("]",SheetNames)+1,255),ROWS(A$1:A64)),"")</f>
        <v>El IC-reg.tog</v>
      </c>
    </row>
    <row r="402" spans="2:2" ht="12.75">
      <c r="B402" s="1935" t="str">
        <f ca="1">IFERROR(INDEX(MID(SheetNames,FIND("]",SheetNames)+1,255),ROWS(A$1:A65)),"")</f>
        <v>Sensitivity</v>
      </c>
    </row>
    <row r="403" spans="2:2" ht="12.75">
      <c r="B403" s="1935" t="str">
        <f ca="1">IFERROR(INDEX(MID(SheetNames,FIND("]",SheetNames)+1,255),ROWS(A$1:A66)),"")</f>
        <v>Log2015</v>
      </c>
    </row>
    <row r="404" spans="2:2" ht="12.75">
      <c r="B404" s="1935" t="str">
        <f ca="1">IFERROR(INDEX(MID(SheetNames,FIND("]",SheetNames)+1,255),ROWS(A$1:A67)),"")</f>
        <v>Log2020</v>
      </c>
    </row>
    <row r="405" spans="2:2" ht="12.75">
      <c r="B405" s="1935" t="str">
        <f ca="1">IFERROR(INDEX(MID(SheetNames,FIND("]",SheetNames)+1,255),ROWS(A$1:A68)),"")</f>
        <v>Log2035</v>
      </c>
    </row>
    <row r="406" spans="2:2" ht="12.75">
      <c r="B406" s="1935" t="str">
        <f ca="1">IFERROR(INDEX(MID(SheetNames,FIND("]",SheetNames)+1,255),ROWS(A$1:A69)),"")</f>
        <v>Log2050</v>
      </c>
    </row>
    <row r="407" spans="2:2" ht="12.75">
      <c r="B407" s="1935" t="str">
        <f ca="1">IFERROR(INDEX(MID(SheetNames,FIND("]",SheetNames)+1,255),ROWS(A$1:A70)),"")</f>
        <v>(FORCE 5) 1G diesel</v>
      </c>
    </row>
    <row r="408" spans="2:2" ht="12.75">
      <c r="B408" s="1935" t="str">
        <f ca="1">IFERROR(INDEX(MID(SheetNames,FIND("]",SheetNames)+1,255),ROWS(A$1:A71)),"")</f>
        <v>(FORCE 6) 1G HVO DIESEL</v>
      </c>
    </row>
    <row r="409" spans="2:2" ht="12.75">
      <c r="B409" s="1935" t="str">
        <f ca="1">IFERROR(INDEX(MID(SheetNames,FIND("]",SheetNames)+1,255),ROWS(A$1:A72)),"")</f>
        <v>(FORCE 8)  Diesel - MOGD</v>
      </c>
    </row>
    <row r="410" spans="2:2" ht="12.75">
      <c r="B410" s="1935" t="str">
        <f ca="1">IFERROR(INDEX(MID(SheetNames,FIND("]",SheetNames)+1,255),ROWS(A$1:A76)),"")</f>
        <v>(FORCE 13) Bio-Liquid</v>
      </c>
    </row>
    <row r="411" spans="2:2" ht="12.75">
      <c r="B411" s="1935"/>
    </row>
    <row r="412" spans="2:2" ht="12.75">
      <c r="B412" s="1935"/>
    </row>
    <row r="413" spans="2:2" ht="12.75">
      <c r="B413" s="1935"/>
    </row>
    <row r="414" spans="2:2" ht="12.75">
      <c r="B414" s="1935"/>
    </row>
    <row r="415" spans="2:2" ht="12.75">
      <c r="B415" s="1935"/>
    </row>
    <row r="416" spans="2:2" ht="12.75">
      <c r="B416" s="1935"/>
    </row>
    <row r="417" spans="2:2" ht="12.75">
      <c r="B417" s="1935"/>
    </row>
    <row r="418" spans="2:2" ht="12.75">
      <c r="B418" s="1935"/>
    </row>
    <row r="419" spans="2:2" ht="12.75">
      <c r="B419" s="1935"/>
    </row>
    <row r="420" spans="2:2" ht="12.75">
      <c r="B420" s="1935"/>
    </row>
    <row r="421" spans="2:2" ht="12.75">
      <c r="B421" s="1935"/>
    </row>
    <row r="422" spans="2:2" ht="12.75">
      <c r="B422" s="1935"/>
    </row>
    <row r="423" spans="2:2" ht="12.75">
      <c r="B423" s="1935"/>
    </row>
    <row r="424" spans="2:2" ht="12.75">
      <c r="B424" s="1935"/>
    </row>
    <row r="425" spans="2:2" ht="12.75">
      <c r="B425" s="1935"/>
    </row>
    <row r="426" spans="2:2" ht="12.75">
      <c r="B426" s="1935"/>
    </row>
    <row r="427" spans="2:2" ht="12.75">
      <c r="B427" s="1935"/>
    </row>
    <row r="428" spans="2:2" ht="12.75">
      <c r="B428" s="1935"/>
    </row>
    <row r="429" spans="2:2" ht="12.75">
      <c r="B429" s="1935"/>
    </row>
    <row r="430" spans="2:2" ht="12.75">
      <c r="B430" s="1935"/>
    </row>
    <row r="431" spans="2:2" ht="12.75">
      <c r="B431" s="1935"/>
    </row>
    <row r="432" spans="2:2" ht="12.75">
      <c r="B432" s="1935"/>
    </row>
    <row r="433" spans="2:2" ht="12.75">
      <c r="B433" s="1935"/>
    </row>
    <row r="434" spans="2:2" ht="12.75">
      <c r="B434" s="1935"/>
    </row>
    <row r="435" spans="2:2" ht="12.75">
      <c r="B435" s="1935"/>
    </row>
    <row r="436" spans="2:2" ht="12.75">
      <c r="B436" s="1935"/>
    </row>
    <row r="437" spans="2:2" ht="12.75">
      <c r="B437" s="1935"/>
    </row>
    <row r="438" spans="2:2" ht="12.75">
      <c r="B438" s="1935"/>
    </row>
    <row r="439" spans="2:2" ht="12.75">
      <c r="B439" s="1935"/>
    </row>
    <row r="440" spans="2:2" ht="12.75">
      <c r="B440" s="1935"/>
    </row>
    <row r="441" spans="2:2" ht="12.75">
      <c r="B441" s="1935"/>
    </row>
    <row r="442" spans="2:2" ht="12.75">
      <c r="B442" s="1935"/>
    </row>
    <row r="443" spans="2:2" ht="12.75">
      <c r="B443" s="1935"/>
    </row>
    <row r="444" spans="2:2" ht="12.75">
      <c r="B444" s="1935"/>
    </row>
    <row r="445" spans="2:2" ht="12.75">
      <c r="B445" s="1935"/>
    </row>
    <row r="446" spans="2:2" ht="12.75">
      <c r="B446" s="1935"/>
    </row>
    <row r="447" spans="2:2" ht="12.75">
      <c r="B447" s="1935"/>
    </row>
    <row r="448" spans="2:2" ht="12.75">
      <c r="B448" s="1935"/>
    </row>
    <row r="449" spans="2:2" ht="12.75">
      <c r="B449" s="1935"/>
    </row>
    <row r="450" spans="2:2" ht="12.75">
      <c r="B450" s="1935"/>
    </row>
    <row r="451" spans="2:2" ht="12.75">
      <c r="B451" s="1935"/>
    </row>
    <row r="452" spans="2:2" ht="12.75">
      <c r="B452" s="1935"/>
    </row>
    <row r="453" spans="2:2" ht="12.75">
      <c r="B453" s="1935"/>
    </row>
    <row r="454" spans="2:2" ht="12.75">
      <c r="B454" s="1935"/>
    </row>
    <row r="455" spans="2:2" ht="12.75">
      <c r="B455" s="1935"/>
    </row>
    <row r="456" spans="2:2" ht="12.75">
      <c r="B456" s="1935"/>
    </row>
    <row r="457" spans="2:2" ht="12.75">
      <c r="B457" s="1935"/>
    </row>
    <row r="458" spans="2:2" ht="12.75">
      <c r="B458" s="1935"/>
    </row>
    <row r="459" spans="2:2" ht="12.75">
      <c r="B459" s="1935"/>
    </row>
    <row r="460" spans="2:2" ht="12.75">
      <c r="B460" s="1935"/>
    </row>
    <row r="461" spans="2:2" ht="12.75">
      <c r="B461" s="1935"/>
    </row>
    <row r="462" spans="2:2" ht="12.75">
      <c r="B462" s="1935"/>
    </row>
    <row r="463" spans="2:2" ht="12.75">
      <c r="B463" s="1935"/>
    </row>
    <row r="464" spans="2:2" ht="12.75">
      <c r="B464" s="1935"/>
    </row>
    <row r="465" spans="2:2" ht="12.75">
      <c r="B465" s="1935"/>
    </row>
    <row r="466" spans="2:2" ht="12.75">
      <c r="B466" s="1935"/>
    </row>
    <row r="467" spans="2:2" ht="12.75">
      <c r="B467" s="1935"/>
    </row>
    <row r="468" spans="2:2" ht="12.75">
      <c r="B468" s="1935"/>
    </row>
    <row r="469" spans="2:2" ht="12.75">
      <c r="B469" s="1935"/>
    </row>
    <row r="470" spans="2:2" ht="12.75">
      <c r="B470" s="1935"/>
    </row>
    <row r="471" spans="2:2" ht="12.75">
      <c r="B471" s="1935"/>
    </row>
    <row r="472" spans="2:2" ht="12.75">
      <c r="B472" s="1935"/>
    </row>
    <row r="473" spans="2:2" ht="12.75">
      <c r="B473" s="1935"/>
    </row>
    <row r="474" spans="2:2" ht="12.75">
      <c r="B474" s="1935"/>
    </row>
    <row r="475" spans="2:2" ht="12.75">
      <c r="B475" s="1935"/>
    </row>
    <row r="476" spans="2:2" ht="12.75">
      <c r="B476" s="1935"/>
    </row>
    <row r="477" spans="2:2" ht="12.75">
      <c r="B477" s="1935"/>
    </row>
    <row r="478" spans="2:2" ht="12.75">
      <c r="B478" s="1935"/>
    </row>
    <row r="479" spans="2:2" ht="12.75">
      <c r="B479" s="1935"/>
    </row>
    <row r="480" spans="2:2" ht="12.75">
      <c r="B480" s="1935"/>
    </row>
    <row r="481" spans="2:2" ht="12.75">
      <c r="B481" s="1935"/>
    </row>
    <row r="482" spans="2:2" ht="12.75">
      <c r="B482" s="1935"/>
    </row>
    <row r="483" spans="2:2" ht="12.75">
      <c r="B483" s="1935"/>
    </row>
    <row r="484" spans="2:2" ht="12.75">
      <c r="B484" s="1935"/>
    </row>
    <row r="485" spans="2:2" ht="12.75">
      <c r="B485" s="1935"/>
    </row>
    <row r="486" spans="2:2" ht="12.75">
      <c r="B486" s="1935"/>
    </row>
    <row r="487" spans="2:2" ht="12.75">
      <c r="B487" s="1935"/>
    </row>
    <row r="488" spans="2:2" ht="12.75">
      <c r="B488" s="1935"/>
    </row>
    <row r="489" spans="2:2" ht="12.75">
      <c r="B489" s="1935"/>
    </row>
    <row r="490" spans="2:2" ht="12.75">
      <c r="B490" s="1935"/>
    </row>
    <row r="491" spans="2:2" ht="12.75">
      <c r="B491" s="1935"/>
    </row>
    <row r="492" spans="2:2" ht="12.75">
      <c r="B492" s="1935"/>
    </row>
    <row r="493" spans="2:2" ht="12.75">
      <c r="B493" s="1935"/>
    </row>
    <row r="494" spans="2:2" ht="12.75">
      <c r="B494" s="1935"/>
    </row>
    <row r="495" spans="2:2" ht="12.75">
      <c r="B495" s="1935"/>
    </row>
    <row r="496" spans="2:2" ht="12.75">
      <c r="B496" s="1935"/>
    </row>
    <row r="497" spans="2:2" ht="12.75">
      <c r="B497" s="1935"/>
    </row>
    <row r="498" spans="2:2" ht="12.75">
      <c r="B498" s="1935"/>
    </row>
    <row r="499" spans="2:2" ht="12.75">
      <c r="B499" s="1935"/>
    </row>
    <row r="500" spans="2:2" ht="12.75">
      <c r="B500" s="1935"/>
    </row>
    <row r="501" spans="2:2" ht="12.75">
      <c r="B501" s="1935"/>
    </row>
    <row r="502" spans="2:2" ht="12.75">
      <c r="B502" s="1935"/>
    </row>
    <row r="503" spans="2:2" ht="12.75">
      <c r="B503" s="1935"/>
    </row>
    <row r="504" spans="2:2" ht="12.75">
      <c r="B504" s="1935"/>
    </row>
    <row r="505" spans="2:2" ht="12.75">
      <c r="B505" s="1935"/>
    </row>
    <row r="506" spans="2:2" ht="12.75">
      <c r="B506" s="1935"/>
    </row>
    <row r="507" spans="2:2" ht="12.75">
      <c r="B507" s="1935"/>
    </row>
    <row r="508" spans="2:2" ht="12.75">
      <c r="B508" s="1935"/>
    </row>
    <row r="509" spans="2:2" ht="12.75">
      <c r="B509" s="1935"/>
    </row>
    <row r="510" spans="2:2" ht="12.75">
      <c r="B510" s="1935"/>
    </row>
    <row r="511" spans="2:2" ht="12.75">
      <c r="B511" s="1935"/>
    </row>
    <row r="512" spans="2:2" ht="12.75">
      <c r="B512" s="1935"/>
    </row>
    <row r="513" spans="2:2" ht="12.75">
      <c r="B513" s="1935"/>
    </row>
    <row r="514" spans="2:2" ht="12.75">
      <c r="B514" s="1935"/>
    </row>
    <row r="515" spans="2:2" ht="12.75">
      <c r="B515" s="1935"/>
    </row>
    <row r="516" spans="2:2" ht="12.75">
      <c r="B516" s="1935"/>
    </row>
    <row r="517" spans="2:2" ht="12.75">
      <c r="B517" s="1935"/>
    </row>
    <row r="518" spans="2:2" ht="12.75">
      <c r="B518" s="1935"/>
    </row>
    <row r="519" spans="2:2" ht="12.75">
      <c r="B519" s="1935"/>
    </row>
    <row r="520" spans="2:2" ht="12.75">
      <c r="B520" s="1935"/>
    </row>
    <row r="521" spans="2:2" ht="12.75">
      <c r="B521" s="1935"/>
    </row>
    <row r="522" spans="2:2" ht="12.75">
      <c r="B522" s="1935"/>
    </row>
    <row r="523" spans="2:2" ht="12.75">
      <c r="B523" s="1935"/>
    </row>
    <row r="524" spans="2:2" ht="12.75">
      <c r="B524" s="1935"/>
    </row>
    <row r="525" spans="2:2" ht="12.75">
      <c r="B525" s="1935"/>
    </row>
    <row r="526" spans="2:2" ht="12.75">
      <c r="B526" s="1935"/>
    </row>
    <row r="527" spans="2:2" ht="12.75">
      <c r="B527" s="1935"/>
    </row>
    <row r="528" spans="2:2" ht="12.75">
      <c r="B528" s="1935"/>
    </row>
    <row r="529" spans="2:2" ht="12.75">
      <c r="B529" s="1935"/>
    </row>
    <row r="530" spans="2:2" ht="12.75">
      <c r="B530" s="1935"/>
    </row>
    <row r="531" spans="2:2" ht="12.75">
      <c r="B531" s="1935"/>
    </row>
    <row r="532" spans="2:2" ht="12.75">
      <c r="B532" s="1935"/>
    </row>
    <row r="533" spans="2:2" ht="12.75">
      <c r="B533" s="1935"/>
    </row>
    <row r="534" spans="2:2" ht="12.75">
      <c r="B534" s="1935"/>
    </row>
    <row r="535" spans="2:2" ht="12.75">
      <c r="B535" s="1935"/>
    </row>
    <row r="536" spans="2:2" ht="12.75">
      <c r="B536" s="1935"/>
    </row>
    <row r="537" spans="2:2" ht="12.75">
      <c r="B537" s="1935"/>
    </row>
    <row r="538" spans="2:2" ht="12.75">
      <c r="B538" s="1935"/>
    </row>
    <row r="539" spans="2:2" ht="12.75">
      <c r="B539" s="1935"/>
    </row>
    <row r="540" spans="2:2" ht="12.75">
      <c r="B540" s="1935"/>
    </row>
    <row r="541" spans="2:2" ht="12.75">
      <c r="B541" s="1935"/>
    </row>
    <row r="542" spans="2:2" ht="12.75">
      <c r="B542" s="1935"/>
    </row>
    <row r="543" spans="2:2" ht="12.75">
      <c r="B543" s="1935"/>
    </row>
    <row r="544" spans="2:2" ht="12.75">
      <c r="B544" s="1935"/>
    </row>
    <row r="545" spans="2:2" ht="12.75">
      <c r="B545" s="1935"/>
    </row>
    <row r="546" spans="2:2" ht="12.75">
      <c r="B546" s="1935"/>
    </row>
    <row r="547" spans="2:2" ht="12.75">
      <c r="B547" s="1935"/>
    </row>
    <row r="548" spans="2:2" ht="12.75">
      <c r="B548" s="1935"/>
    </row>
    <row r="549" spans="2:2" ht="12.75">
      <c r="B549" s="1935"/>
    </row>
  </sheetData>
  <dataConsolidate/>
  <phoneticPr fontId="9" type="noConversion"/>
  <dataValidations count="1">
    <dataValidation type="list" allowBlank="1" showInputMessage="1" showErrorMessage="1" sqref="C207:C231">
      <formula1>$I$207:$I$214</formula1>
    </dataValidation>
  </dataValidations>
  <pageMargins left="0.74803149606299213" right="0.74803149606299213" top="0.98425196850393704" bottom="0.98425196850393704" header="0.51181102362204722" footer="0.51181102362204722"/>
  <pageSetup paperSize="9" scale="1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214" r:id="rId4" name="Button 70">
              <controlPr defaultSize="0" print="0" autoFill="0" autoPict="0" macro="[0]!GtOver">
                <anchor>
                  <from>
                    <xdr:col>7</xdr:col>
                    <xdr:colOff>66675</xdr:colOff>
                    <xdr:row>0</xdr:row>
                    <xdr:rowOff>38100</xdr:rowOff>
                  </from>
                  <to>
                    <xdr:col>8</xdr:col>
                    <xdr:colOff>590550</xdr:colOff>
                    <xdr:row>0</xdr:row>
                    <xdr:rowOff>238125</xdr:rowOff>
                  </to>
                </anchor>
              </controlPr>
            </control>
          </mc:Choice>
        </mc:AlternateContent>
        <mc:AlternateContent xmlns:mc="http://schemas.openxmlformats.org/markup-compatibility/2006">
          <mc:Choice Requires="x14">
            <control shapeId="6215" r:id="rId5" name="Button 71">
              <controlPr defaultSize="0" print="0" autoFill="0" autoPict="0" macro="[0]!GtRes">
                <anchor>
                  <from>
                    <xdr:col>9</xdr:col>
                    <xdr:colOff>161925</xdr:colOff>
                    <xdr:row>0</xdr:row>
                    <xdr:rowOff>38100</xdr:rowOff>
                  </from>
                  <to>
                    <xdr:col>10</xdr:col>
                    <xdr:colOff>428625</xdr:colOff>
                    <xdr:row>0</xdr:row>
                    <xdr:rowOff>238125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tabColor rgb="FF00B0F0"/>
  </sheetPr>
  <dimension ref="A1:S180"/>
  <sheetViews>
    <sheetView topLeftCell="A113" zoomScale="80" zoomScaleNormal="80" workbookViewId="0">
      <selection activeCell="D157" sqref="D157"/>
    </sheetView>
  </sheetViews>
  <sheetFormatPr defaultRowHeight="12.75"/>
  <cols>
    <col min="1" max="1" width="3.28515625" style="530" customWidth="1"/>
    <col min="2" max="2" width="36" style="530" customWidth="1"/>
    <col min="3" max="3" width="29.28515625" style="530" bestFit="1" customWidth="1"/>
    <col min="4" max="4" width="23.7109375" style="530" bestFit="1" customWidth="1"/>
    <col min="5" max="8" width="15.7109375" style="530" customWidth="1"/>
    <col min="9" max="9" width="7.28515625" style="530" customWidth="1"/>
    <col min="10" max="10" width="12.7109375" style="530" customWidth="1"/>
    <col min="11" max="14" width="9.140625" style="530"/>
    <col min="15" max="17" width="9.28515625" style="530" bestFit="1" customWidth="1"/>
    <col min="18" max="19" width="9.42578125" style="530" bestFit="1" customWidth="1"/>
    <col min="20" max="16384" width="9.140625" style="530"/>
  </cols>
  <sheetData>
    <row r="1" spans="1:19" s="465" customFormat="1" ht="21">
      <c r="B1" s="465" t="s">
        <v>1076</v>
      </c>
      <c r="Q1" s="467">
        <f ca="1">'Log2015'!M1</f>
        <v>-8.0112614142160741</v>
      </c>
      <c r="R1" s="468">
        <f ca="1">'Log2015'!N1</f>
        <v>-160807.124977848</v>
      </c>
    </row>
    <row r="2" spans="1:19">
      <c r="B2" s="530" t="s">
        <v>1077</v>
      </c>
      <c r="Q2" s="958">
        <f ca="1">Q1</f>
        <v>-8.0112614142160741</v>
      </c>
      <c r="R2" s="958">
        <f ca="1">R1</f>
        <v>-160807.124977848</v>
      </c>
      <c r="S2" s="959">
        <f>S1</f>
        <v>0</v>
      </c>
    </row>
    <row r="3" spans="1:19">
      <c r="A3" s="530" t="s">
        <v>1078</v>
      </c>
    </row>
    <row r="4" spans="1:19">
      <c r="B4" s="960" t="s">
        <v>81</v>
      </c>
    </row>
    <row r="5" spans="1:19" ht="13.5" thickBot="1"/>
    <row r="6" spans="1:19">
      <c r="B6" s="961" t="s">
        <v>137</v>
      </c>
      <c r="C6" s="962"/>
      <c r="D6" s="962"/>
      <c r="E6" s="962"/>
      <c r="F6" s="962"/>
      <c r="G6" s="962"/>
      <c r="H6" s="962"/>
      <c r="I6" s="962"/>
      <c r="J6" s="962"/>
      <c r="K6" s="962"/>
      <c r="L6" s="962"/>
      <c r="M6" s="962"/>
      <c r="N6" s="963"/>
    </row>
    <row r="7" spans="1:19">
      <c r="B7" s="964"/>
      <c r="C7" s="555"/>
      <c r="D7" s="555"/>
      <c r="E7" s="555"/>
      <c r="F7" s="555"/>
      <c r="G7" s="555"/>
      <c r="H7" s="555"/>
      <c r="I7" s="555"/>
      <c r="J7" s="555"/>
      <c r="K7" s="555"/>
      <c r="L7" s="555"/>
      <c r="M7" s="555"/>
      <c r="N7" s="965"/>
    </row>
    <row r="8" spans="1:19">
      <c r="B8" s="964"/>
      <c r="C8" s="555"/>
      <c r="D8" s="555"/>
      <c r="E8" s="555"/>
      <c r="F8" s="555"/>
      <c r="G8" s="555"/>
      <c r="H8" s="555"/>
      <c r="I8" s="555"/>
      <c r="J8" s="555"/>
      <c r="K8" s="555"/>
      <c r="L8" s="555"/>
      <c r="M8" s="555"/>
      <c r="N8" s="965"/>
    </row>
    <row r="9" spans="1:19">
      <c r="B9" s="964"/>
      <c r="C9" s="555"/>
      <c r="D9" s="555"/>
      <c r="E9" s="555"/>
      <c r="F9" s="555"/>
      <c r="G9" s="555"/>
      <c r="H9" s="555"/>
      <c r="I9" s="555"/>
      <c r="J9" s="555"/>
      <c r="K9" s="555"/>
      <c r="L9" s="555"/>
      <c r="M9" s="555"/>
      <c r="N9" s="965"/>
    </row>
    <row r="10" spans="1:19">
      <c r="B10" s="964"/>
      <c r="C10" s="555"/>
      <c r="D10" s="555"/>
      <c r="E10" s="555"/>
      <c r="F10" s="555"/>
      <c r="G10" s="555"/>
      <c r="H10" s="555"/>
      <c r="I10" s="555"/>
      <c r="J10" s="555"/>
      <c r="K10" s="555"/>
      <c r="L10" s="555"/>
      <c r="M10" s="555"/>
      <c r="N10" s="965"/>
    </row>
    <row r="11" spans="1:19">
      <c r="B11" s="964" t="s">
        <v>138</v>
      </c>
      <c r="C11" s="966" t="s">
        <v>1079</v>
      </c>
      <c r="D11" s="555"/>
      <c r="E11" s="555"/>
      <c r="F11" s="555"/>
      <c r="G11" s="555"/>
      <c r="H11" s="555"/>
      <c r="I11" s="555"/>
      <c r="J11" s="555"/>
      <c r="K11" s="555"/>
      <c r="L11" s="555"/>
      <c r="M11" s="555"/>
      <c r="N11" s="965"/>
    </row>
    <row r="12" spans="1:19">
      <c r="B12" s="964"/>
      <c r="C12" s="555"/>
      <c r="D12" s="555"/>
      <c r="E12" s="555"/>
      <c r="F12" s="555"/>
      <c r="G12" s="555"/>
      <c r="H12" s="555"/>
      <c r="I12" s="555"/>
      <c r="J12" s="555"/>
      <c r="K12" s="555"/>
      <c r="L12" s="555"/>
      <c r="M12" s="555"/>
      <c r="N12" s="965"/>
    </row>
    <row r="13" spans="1:19">
      <c r="B13" s="964" t="s">
        <v>140</v>
      </c>
      <c r="C13" s="555" t="s">
        <v>1080</v>
      </c>
      <c r="D13" s="555"/>
      <c r="E13" s="555"/>
      <c r="F13" s="555"/>
      <c r="G13" s="555"/>
      <c r="H13" s="555"/>
      <c r="I13" s="555"/>
      <c r="J13" s="555"/>
      <c r="K13" s="555"/>
      <c r="L13" s="555"/>
      <c r="M13" s="555"/>
      <c r="N13" s="965"/>
    </row>
    <row r="14" spans="1:19">
      <c r="B14" s="964"/>
      <c r="C14" s="555"/>
      <c r="D14" s="555"/>
      <c r="E14" s="555"/>
      <c r="F14" s="555"/>
      <c r="G14" s="555"/>
      <c r="H14" s="555"/>
      <c r="I14" s="555"/>
      <c r="J14" s="555"/>
      <c r="K14" s="555"/>
      <c r="L14" s="555"/>
      <c r="M14" s="555"/>
      <c r="N14" s="965"/>
    </row>
    <row r="15" spans="1:19">
      <c r="B15" s="964" t="s">
        <v>141</v>
      </c>
      <c r="C15" s="555"/>
      <c r="D15" s="555"/>
      <c r="E15" s="555"/>
      <c r="F15" s="555"/>
      <c r="G15" s="555"/>
      <c r="H15" s="555"/>
      <c r="I15" s="555"/>
      <c r="J15" s="555"/>
      <c r="K15" s="555"/>
      <c r="L15" s="555"/>
      <c r="M15" s="555"/>
      <c r="N15" s="965"/>
    </row>
    <row r="16" spans="1:19">
      <c r="B16" s="964"/>
      <c r="C16" s="555"/>
      <c r="D16" s="555"/>
      <c r="E16" s="555"/>
      <c r="F16" s="555"/>
      <c r="G16" s="555"/>
      <c r="H16" s="555"/>
      <c r="I16" s="555"/>
      <c r="J16" s="555"/>
      <c r="K16" s="555"/>
      <c r="L16" s="555"/>
      <c r="M16" s="555"/>
      <c r="N16" s="965"/>
    </row>
    <row r="17" spans="2:18">
      <c r="B17" s="964" t="s">
        <v>142</v>
      </c>
      <c r="C17" s="555"/>
      <c r="D17" s="555"/>
      <c r="E17" s="555"/>
      <c r="F17" s="555"/>
      <c r="G17" s="555"/>
      <c r="H17" s="555"/>
      <c r="I17" s="555"/>
      <c r="J17" s="555"/>
      <c r="K17" s="555"/>
      <c r="L17" s="555"/>
      <c r="M17" s="555"/>
      <c r="N17" s="965"/>
    </row>
    <row r="18" spans="2:18">
      <c r="B18" s="964"/>
      <c r="C18" s="555"/>
      <c r="D18" s="555"/>
      <c r="E18" s="555"/>
      <c r="F18" s="555"/>
      <c r="G18" s="555"/>
      <c r="H18" s="555"/>
      <c r="I18" s="555"/>
      <c r="J18" s="555"/>
      <c r="K18" s="555"/>
      <c r="L18" s="555"/>
      <c r="M18" s="555"/>
      <c r="N18" s="965"/>
    </row>
    <row r="19" spans="2:18">
      <c r="B19" s="964" t="s">
        <v>2131</v>
      </c>
      <c r="C19" s="1693" t="s">
        <v>2121</v>
      </c>
      <c r="D19" s="555"/>
      <c r="E19" s="555"/>
      <c r="F19" s="555"/>
      <c r="G19" s="555"/>
      <c r="H19" s="555"/>
      <c r="I19" s="555"/>
      <c r="J19" s="555"/>
      <c r="K19" s="555"/>
      <c r="L19" s="555"/>
      <c r="M19" s="555"/>
      <c r="N19" s="965"/>
    </row>
    <row r="20" spans="2:18">
      <c r="B20" s="964"/>
      <c r="C20" s="555"/>
      <c r="D20" s="555"/>
      <c r="E20" s="555"/>
      <c r="F20" s="555"/>
      <c r="G20" s="555"/>
      <c r="H20" s="555"/>
      <c r="I20" s="555"/>
      <c r="J20" s="555"/>
      <c r="K20" s="555"/>
      <c r="L20" s="555"/>
      <c r="M20" s="555"/>
      <c r="N20" s="965"/>
    </row>
    <row r="21" spans="2:18">
      <c r="B21" s="964"/>
      <c r="C21" s="555"/>
      <c r="D21" s="555"/>
      <c r="E21" s="555"/>
      <c r="F21" s="555"/>
      <c r="G21" s="555"/>
      <c r="H21" s="555"/>
      <c r="I21" s="555"/>
      <c r="J21" s="555"/>
      <c r="K21" s="555"/>
      <c r="L21" s="555"/>
      <c r="M21" s="555"/>
      <c r="N21" s="965"/>
    </row>
    <row r="22" spans="2:18">
      <c r="B22" s="964" t="s">
        <v>143</v>
      </c>
      <c r="C22" s="555"/>
      <c r="D22" s="555"/>
      <c r="E22" s="555"/>
      <c r="F22" s="555"/>
      <c r="G22" s="555"/>
      <c r="H22" s="555"/>
      <c r="I22" s="555"/>
      <c r="J22" s="555"/>
      <c r="K22" s="555"/>
      <c r="L22" s="555"/>
      <c r="M22" s="555"/>
      <c r="N22" s="965"/>
    </row>
    <row r="23" spans="2:18">
      <c r="B23" s="964"/>
      <c r="C23" s="555"/>
      <c r="D23" s="555"/>
      <c r="E23" s="555"/>
      <c r="F23" s="555"/>
      <c r="G23" s="555"/>
      <c r="H23" s="555"/>
      <c r="I23" s="555"/>
      <c r="J23" s="555"/>
      <c r="K23" s="555"/>
      <c r="L23" s="555"/>
      <c r="M23" s="555"/>
      <c r="N23" s="965"/>
    </row>
    <row r="24" spans="2:18" ht="13.5" thickBot="1">
      <c r="B24" s="967"/>
      <c r="C24" s="968"/>
      <c r="D24" s="968"/>
      <c r="E24" s="968"/>
      <c r="F24" s="968"/>
      <c r="G24" s="968"/>
      <c r="H24" s="968"/>
      <c r="I24" s="968"/>
      <c r="J24" s="968"/>
      <c r="K24" s="968"/>
      <c r="L24" s="968"/>
      <c r="M24" s="968"/>
      <c r="N24" s="969"/>
    </row>
    <row r="25" spans="2:18">
      <c r="F25" s="529"/>
      <c r="G25" s="529"/>
      <c r="H25" s="529"/>
    </row>
    <row r="26" spans="2:18">
      <c r="B26" s="960" t="s">
        <v>144</v>
      </c>
    </row>
    <row r="27" spans="2:18" ht="13.5" thickBot="1"/>
    <row r="28" spans="2:18">
      <c r="B28" s="961"/>
      <c r="C28" s="970"/>
      <c r="D28" s="962"/>
      <c r="E28" s="962"/>
      <c r="F28" s="962"/>
      <c r="G28" s="962"/>
      <c r="H28" s="962"/>
      <c r="I28" s="962"/>
      <c r="J28" s="963"/>
    </row>
    <row r="29" spans="2:18">
      <c r="B29" s="971"/>
      <c r="C29" s="972" t="s">
        <v>70</v>
      </c>
      <c r="D29" s="973">
        <v>2015</v>
      </c>
      <c r="E29" s="973">
        <v>2020</v>
      </c>
      <c r="F29" s="973">
        <v>2035</v>
      </c>
      <c r="G29" s="973">
        <v>2050</v>
      </c>
      <c r="H29" s="973" t="s">
        <v>978</v>
      </c>
      <c r="I29" s="556" t="s">
        <v>145</v>
      </c>
      <c r="J29" s="974" t="s">
        <v>146</v>
      </c>
    </row>
    <row r="30" spans="2:18">
      <c r="B30" s="975" t="s">
        <v>147</v>
      </c>
      <c r="C30" s="976"/>
      <c r="D30" s="977"/>
      <c r="E30" s="977"/>
      <c r="F30" s="977"/>
      <c r="G30" s="977"/>
      <c r="H30" s="977"/>
      <c r="I30" s="555"/>
      <c r="J30" s="965"/>
    </row>
    <row r="31" spans="2:18">
      <c r="B31" s="964" t="s">
        <v>148</v>
      </c>
      <c r="C31" s="976" t="s">
        <v>1600</v>
      </c>
      <c r="D31" s="1333">
        <f>1/D162</f>
        <v>0.21276595744680851</v>
      </c>
      <c r="E31" s="1333">
        <f>$D31</f>
        <v>0.21276595744680851</v>
      </c>
      <c r="F31" s="1333">
        <f>$D31</f>
        <v>0.21276595744680851</v>
      </c>
      <c r="G31" s="1333">
        <f>$D31</f>
        <v>0.21276595744680851</v>
      </c>
      <c r="H31" s="1333"/>
      <c r="I31" s="555"/>
      <c r="J31" s="965"/>
    </row>
    <row r="32" spans="2:18">
      <c r="B32" s="964" t="s">
        <v>67</v>
      </c>
      <c r="C32" s="976" t="s">
        <v>1599</v>
      </c>
      <c r="D32" s="979">
        <f>D160/D159</f>
        <v>19.899999999999999</v>
      </c>
      <c r="E32" s="978">
        <f t="shared" ref="E32:G34" si="0">$D32</f>
        <v>19.899999999999999</v>
      </c>
      <c r="F32" s="978">
        <f t="shared" si="0"/>
        <v>19.899999999999999</v>
      </c>
      <c r="G32" s="978">
        <f t="shared" si="0"/>
        <v>19.899999999999999</v>
      </c>
      <c r="H32" s="978"/>
      <c r="I32" s="555"/>
      <c r="J32" s="965"/>
      <c r="O32" s="530" t="s">
        <v>1082</v>
      </c>
      <c r="P32" s="530" t="s">
        <v>1083</v>
      </c>
      <c r="Q32" s="530" t="s">
        <v>1084</v>
      </c>
      <c r="R32" s="530" t="s">
        <v>1085</v>
      </c>
    </row>
    <row r="33" spans="2:18">
      <c r="B33" s="964" t="s">
        <v>149</v>
      </c>
      <c r="C33" s="976" t="s">
        <v>1601</v>
      </c>
      <c r="D33" s="1396">
        <f>D159</f>
        <v>300000</v>
      </c>
      <c r="E33" s="1397">
        <f t="shared" si="0"/>
        <v>300000</v>
      </c>
      <c r="F33" s="1397">
        <f t="shared" si="0"/>
        <v>300000</v>
      </c>
      <c r="G33" s="1397">
        <f t="shared" si="0"/>
        <v>300000</v>
      </c>
      <c r="H33" s="1397"/>
      <c r="I33" s="555"/>
      <c r="J33" s="965"/>
      <c r="N33" s="530" t="s">
        <v>1082</v>
      </c>
      <c r="O33" s="530">
        <v>1</v>
      </c>
      <c r="Q33" s="530">
        <f>1/O35</f>
        <v>0.52631578947368418</v>
      </c>
    </row>
    <row r="34" spans="2:18">
      <c r="B34" s="964" t="s">
        <v>150</v>
      </c>
      <c r="C34" s="976" t="s">
        <v>34</v>
      </c>
      <c r="D34" s="1332">
        <f>20</f>
        <v>20</v>
      </c>
      <c r="E34" s="1332">
        <f t="shared" si="0"/>
        <v>20</v>
      </c>
      <c r="F34" s="1332">
        <f t="shared" si="0"/>
        <v>20</v>
      </c>
      <c r="G34" s="1332">
        <f t="shared" si="0"/>
        <v>20</v>
      </c>
      <c r="H34" s="1332"/>
      <c r="I34" s="555"/>
      <c r="J34" s="965" t="s">
        <v>1087</v>
      </c>
      <c r="N34" s="530" t="s">
        <v>1088</v>
      </c>
      <c r="P34" s="530">
        <v>1</v>
      </c>
      <c r="Q34" s="530">
        <f>D31</f>
        <v>0.21276595744680851</v>
      </c>
    </row>
    <row r="35" spans="2:18">
      <c r="B35" s="964"/>
      <c r="C35" s="981"/>
      <c r="D35" s="982"/>
      <c r="E35" s="983"/>
      <c r="F35" s="983"/>
      <c r="G35" s="983"/>
      <c r="H35" s="983"/>
      <c r="I35" s="555"/>
      <c r="J35" s="965"/>
      <c r="N35" s="530" t="s">
        <v>1089</v>
      </c>
      <c r="O35" s="530">
        <v>1.9</v>
      </c>
      <c r="P35" s="530">
        <f>1/Q34</f>
        <v>4.7</v>
      </c>
      <c r="Q35" s="530">
        <v>1</v>
      </c>
    </row>
    <row r="36" spans="2:18">
      <c r="B36" s="975" t="s">
        <v>151</v>
      </c>
      <c r="C36" s="981"/>
      <c r="D36" s="982"/>
      <c r="E36" s="983"/>
      <c r="F36" s="983"/>
      <c r="G36" s="983"/>
      <c r="H36" s="983"/>
      <c r="I36" s="555"/>
      <c r="J36" s="965"/>
      <c r="N36" s="530" t="s">
        <v>1090</v>
      </c>
      <c r="R36" s="530">
        <v>1</v>
      </c>
    </row>
    <row r="37" spans="2:18">
      <c r="B37" s="964" t="str">
        <f>ProcessEnergy!B35</f>
        <v xml:space="preserve">Green diesel </v>
      </c>
      <c r="C37" s="976"/>
      <c r="D37" s="984"/>
      <c r="E37" s="984"/>
      <c r="F37" s="984"/>
      <c r="G37" s="984"/>
      <c r="H37" s="984"/>
      <c r="I37" s="555"/>
      <c r="J37" s="965"/>
    </row>
    <row r="38" spans="2:18">
      <c r="B38" s="985" t="str">
        <f>ProcessEnergy!B36</f>
        <v>Green gasoline</v>
      </c>
      <c r="C38" s="976"/>
      <c r="D38" s="984"/>
      <c r="E38" s="984"/>
      <c r="F38" s="984"/>
      <c r="G38" s="984"/>
      <c r="H38" s="984"/>
      <c r="I38" s="555"/>
      <c r="J38" s="965"/>
    </row>
    <row r="39" spans="2:18">
      <c r="B39" s="985" t="str">
        <f>ProcessEnergy!B37</f>
        <v>Electricity - balancing</v>
      </c>
      <c r="C39" s="976"/>
      <c r="D39" s="984"/>
      <c r="E39" s="984"/>
      <c r="F39" s="984"/>
      <c r="G39" s="984"/>
      <c r="H39" s="984"/>
      <c r="I39" s="555"/>
      <c r="J39" s="965"/>
    </row>
    <row r="40" spans="2:18">
      <c r="B40" s="985" t="str">
        <f>ProcessEnergy!B38</f>
        <v>Electricity  - continous</v>
      </c>
      <c r="C40" s="976"/>
      <c r="D40" s="984"/>
      <c r="E40" s="984"/>
      <c r="F40" s="984"/>
      <c r="G40" s="984"/>
      <c r="H40" s="984"/>
      <c r="I40" s="555"/>
      <c r="J40" s="965"/>
    </row>
    <row r="41" spans="2:18">
      <c r="B41" s="985" t="str">
        <f>ProcessEnergy!B39</f>
        <v>Elec/heat fuel</v>
      </c>
      <c r="C41" s="976"/>
      <c r="D41" s="984"/>
      <c r="E41" s="984"/>
      <c r="F41" s="984"/>
      <c r="G41" s="984"/>
      <c r="H41" s="984"/>
      <c r="I41" s="555"/>
      <c r="J41" s="965"/>
    </row>
    <row r="42" spans="2:18">
      <c r="B42" s="985" t="str">
        <f>ProcessEnergy!B40</f>
        <v>Biogas (100% CH4)</v>
      </c>
      <c r="C42" s="976"/>
      <c r="D42" s="984"/>
      <c r="E42" s="984"/>
      <c r="F42" s="984"/>
      <c r="G42" s="984"/>
      <c r="H42" s="984"/>
      <c r="I42" s="555"/>
      <c r="J42" s="965"/>
    </row>
    <row r="43" spans="2:18">
      <c r="B43" s="985" t="str">
        <f>ProcessEnergy!B41</f>
        <v>District heating</v>
      </c>
      <c r="C43" s="976" t="s">
        <v>1091</v>
      </c>
      <c r="D43" s="978">
        <f>C152*C153</f>
        <v>0.35325000000000001</v>
      </c>
      <c r="E43" s="978">
        <f>$D43</f>
        <v>0.35325000000000001</v>
      </c>
      <c r="F43" s="978">
        <f>$D43</f>
        <v>0.35325000000000001</v>
      </c>
      <c r="G43" s="978">
        <f>$D43</f>
        <v>0.35325000000000001</v>
      </c>
      <c r="H43" s="978"/>
      <c r="I43" s="555"/>
      <c r="J43" s="965"/>
    </row>
    <row r="44" spans="2:18">
      <c r="B44" s="985" t="str">
        <f>ProcessEnergy!B42</f>
        <v>&lt;empty&gt;</v>
      </c>
      <c r="C44" s="976"/>
      <c r="D44" s="978"/>
      <c r="E44" s="978"/>
      <c r="F44" s="978"/>
      <c r="G44" s="978"/>
      <c r="H44" s="978"/>
      <c r="I44" s="555"/>
      <c r="J44" s="965"/>
    </row>
    <row r="45" spans="2:18">
      <c r="B45" s="985" t="str">
        <f>ProcessEnergy!B43</f>
        <v>&lt;empty&gt;</v>
      </c>
      <c r="C45" s="976"/>
      <c r="D45" s="978"/>
      <c r="E45" s="978"/>
      <c r="F45" s="978"/>
      <c r="G45" s="978"/>
      <c r="H45" s="978"/>
      <c r="I45" s="555"/>
      <c r="J45" s="965"/>
    </row>
    <row r="46" spans="2:18">
      <c r="B46" s="985" t="str">
        <f>ProcessEnergy!B44</f>
        <v>&lt;empty&gt;</v>
      </c>
      <c r="C46" s="976"/>
      <c r="D46" s="978"/>
      <c r="E46" s="978"/>
      <c r="F46" s="978"/>
      <c r="G46" s="978"/>
      <c r="H46" s="978"/>
      <c r="I46" s="555"/>
      <c r="J46" s="965"/>
    </row>
    <row r="47" spans="2:18">
      <c r="B47" s="985" t="str">
        <f>ProcessEnergy!B45</f>
        <v>&lt;empty&gt;</v>
      </c>
      <c r="C47" s="976"/>
      <c r="D47" s="978"/>
      <c r="E47" s="978"/>
      <c r="F47" s="978"/>
      <c r="G47" s="978"/>
      <c r="H47" s="978"/>
      <c r="I47" s="555"/>
      <c r="J47" s="965"/>
    </row>
    <row r="48" spans="2:18">
      <c r="B48" s="985" t="str">
        <f>ProcessEnergy!B46</f>
        <v>&lt;empty&gt;</v>
      </c>
      <c r="C48" s="976"/>
      <c r="D48" s="978"/>
      <c r="E48" s="978"/>
      <c r="F48" s="978"/>
      <c r="G48" s="978"/>
      <c r="H48" s="978"/>
      <c r="I48" s="555"/>
      <c r="J48" s="965"/>
    </row>
    <row r="49" spans="2:10">
      <c r="B49" s="985" t="str">
        <f>ProcessEnergy!B47</f>
        <v>&lt;empty&gt;</v>
      </c>
      <c r="C49" s="976"/>
      <c r="D49" s="978"/>
      <c r="E49" s="978"/>
      <c r="F49" s="978"/>
      <c r="G49" s="978"/>
      <c r="H49" s="978"/>
      <c r="I49" s="555"/>
      <c r="J49" s="965"/>
    </row>
    <row r="50" spans="2:10">
      <c r="B50" s="985" t="str">
        <f>ProcessEnergy!B48</f>
        <v>Glycerol</v>
      </c>
      <c r="C50" s="976"/>
      <c r="D50" s="978"/>
      <c r="E50" s="978"/>
      <c r="F50" s="978"/>
      <c r="G50" s="978"/>
      <c r="H50" s="978"/>
      <c r="I50" s="555"/>
      <c r="J50" s="965"/>
    </row>
    <row r="51" spans="2:10">
      <c r="B51" s="985" t="str">
        <f>ProcessEnergy!B49</f>
        <v>&lt;empty&gt;</v>
      </c>
      <c r="C51" s="976"/>
      <c r="D51" s="978"/>
      <c r="E51" s="978"/>
      <c r="F51" s="978"/>
      <c r="G51" s="978"/>
      <c r="H51" s="978"/>
      <c r="I51" s="555"/>
      <c r="J51" s="965"/>
    </row>
    <row r="52" spans="2:10">
      <c r="B52" s="985" t="str">
        <f>ProcessEnergy!B50</f>
        <v>&lt;empty&gt;</v>
      </c>
      <c r="C52" s="976"/>
      <c r="D52" s="978"/>
      <c r="E52" s="978"/>
      <c r="F52" s="978"/>
      <c r="G52" s="978"/>
      <c r="H52" s="978"/>
      <c r="I52" s="555"/>
      <c r="J52" s="965"/>
    </row>
    <row r="53" spans="2:10">
      <c r="B53" s="985" t="str">
        <f>ProcessEnergy!B51</f>
        <v>Fodder (wheat like)</v>
      </c>
      <c r="C53" s="976"/>
      <c r="D53" s="984"/>
      <c r="E53" s="984"/>
      <c r="F53" s="984"/>
      <c r="G53" s="984"/>
      <c r="H53" s="984"/>
      <c r="I53" s="555"/>
      <c r="J53" s="965"/>
    </row>
    <row r="54" spans="2:10">
      <c r="B54" s="985" t="str">
        <f>ProcessEnergy!B52</f>
        <v>Rape seed cake</v>
      </c>
      <c r="C54" s="976"/>
      <c r="D54" s="984"/>
      <c r="E54" s="984"/>
      <c r="F54" s="984"/>
      <c r="G54" s="984"/>
      <c r="H54" s="984"/>
      <c r="I54" s="555"/>
      <c r="J54" s="965"/>
    </row>
    <row r="55" spans="2:10">
      <c r="B55" s="985" t="str">
        <f>ProcessEnergy!B53</f>
        <v>&lt;empty&gt;</v>
      </c>
      <c r="C55" s="976"/>
      <c r="D55" s="984"/>
      <c r="E55" s="984"/>
      <c r="F55" s="984"/>
      <c r="G55" s="984"/>
      <c r="H55" s="984"/>
      <c r="I55" s="555"/>
      <c r="J55" s="965"/>
    </row>
    <row r="56" spans="2:10">
      <c r="B56" s="985" t="str">
        <f>ProcessEnergy!B54</f>
        <v>DDGS</v>
      </c>
      <c r="C56" s="976"/>
      <c r="D56" s="984"/>
      <c r="E56" s="984"/>
      <c r="F56" s="984"/>
      <c r="G56" s="984"/>
      <c r="H56" s="984"/>
      <c r="I56" s="555"/>
      <c r="J56" s="965"/>
    </row>
    <row r="57" spans="2:10">
      <c r="B57" s="964"/>
      <c r="C57" s="976"/>
      <c r="D57" s="984"/>
      <c r="E57" s="984"/>
      <c r="F57" s="984"/>
      <c r="G57" s="984"/>
      <c r="H57" s="984"/>
      <c r="I57" s="555"/>
      <c r="J57" s="965"/>
    </row>
    <row r="58" spans="2:10">
      <c r="B58" s="975" t="s">
        <v>873</v>
      </c>
      <c r="C58" s="976"/>
      <c r="D58" s="984"/>
      <c r="E58" s="984"/>
      <c r="F58" s="984"/>
      <c r="G58" s="984"/>
      <c r="H58" s="984"/>
      <c r="I58" s="555"/>
      <c r="J58" s="965"/>
    </row>
    <row r="59" spans="2:10">
      <c r="B59" s="964" t="str">
        <f>ProcessEnergy!B5</f>
        <v>EL - peakload</v>
      </c>
      <c r="C59" s="976" t="s">
        <v>725</v>
      </c>
      <c r="D59" s="984"/>
      <c r="E59" s="984"/>
      <c r="F59" s="984"/>
      <c r="G59" s="984"/>
      <c r="H59" s="984"/>
      <c r="I59" s="555"/>
      <c r="J59" s="965"/>
    </row>
    <row r="60" spans="2:10">
      <c r="B60" s="964" t="str">
        <f>ProcessEnergy!B6</f>
        <v>El - baseload</v>
      </c>
      <c r="C60" s="976" t="s">
        <v>725</v>
      </c>
      <c r="D60" s="984"/>
      <c r="E60" s="984"/>
      <c r="F60" s="984"/>
      <c r="G60" s="984"/>
      <c r="H60" s="984"/>
      <c r="I60" s="555"/>
      <c r="J60" s="965"/>
    </row>
    <row r="61" spans="2:10">
      <c r="B61" s="964" t="str">
        <f>ProcessEnergy!B7</f>
        <v xml:space="preserve">Varme </v>
      </c>
      <c r="C61" s="976" t="s">
        <v>725</v>
      </c>
      <c r="D61" s="984"/>
      <c r="E61" s="984"/>
      <c r="F61" s="984"/>
      <c r="G61" s="984"/>
      <c r="H61" s="984"/>
      <c r="I61" s="555"/>
      <c r="J61" s="965"/>
    </row>
    <row r="62" spans="2:10">
      <c r="B62" s="964" t="str">
        <f>ProcessEnergy!B8</f>
        <v>Damp</v>
      </c>
      <c r="C62" s="976" t="s">
        <v>725</v>
      </c>
      <c r="D62" s="984"/>
      <c r="E62" s="984"/>
      <c r="F62" s="984"/>
      <c r="G62" s="984"/>
      <c r="H62" s="984"/>
      <c r="I62" s="555"/>
      <c r="J62" s="965"/>
    </row>
    <row r="63" spans="2:10">
      <c r="B63" s="964" t="str">
        <f>ProcessEnergy!B9</f>
        <v xml:space="preserve">Olie </v>
      </c>
      <c r="C63" s="976" t="s">
        <v>725</v>
      </c>
      <c r="D63" s="984"/>
      <c r="E63" s="984"/>
      <c r="F63" s="984"/>
      <c r="G63" s="984"/>
      <c r="H63" s="984"/>
      <c r="I63" s="555"/>
      <c r="J63" s="965"/>
    </row>
    <row r="64" spans="2:10">
      <c r="B64" s="964" t="str">
        <f>ProcessEnergy!B10</f>
        <v>Kul</v>
      </c>
      <c r="C64" s="976" t="s">
        <v>725</v>
      </c>
      <c r="D64" s="984"/>
      <c r="E64" s="984"/>
      <c r="F64" s="984"/>
      <c r="G64" s="984"/>
      <c r="H64" s="984"/>
      <c r="I64" s="555"/>
      <c r="J64" s="965"/>
    </row>
    <row r="65" spans="2:10">
      <c r="B65" s="964" t="str">
        <f>ProcessEnergy!B11</f>
        <v>Naturgas kedel</v>
      </c>
      <c r="C65" s="976" t="s">
        <v>725</v>
      </c>
      <c r="D65" s="984"/>
      <c r="E65" s="984"/>
      <c r="F65" s="984"/>
      <c r="G65" s="984"/>
      <c r="H65" s="984"/>
      <c r="I65" s="555"/>
      <c r="J65" s="965"/>
    </row>
    <row r="66" spans="2:10">
      <c r="B66" s="964" t="str">
        <f>ProcessEnergy!B12</f>
        <v>Gylle</v>
      </c>
      <c r="C66" s="976" t="s">
        <v>725</v>
      </c>
      <c r="D66" s="984"/>
      <c r="E66" s="984"/>
      <c r="F66" s="984"/>
      <c r="G66" s="984"/>
      <c r="H66" s="984"/>
      <c r="I66" s="555"/>
      <c r="J66" s="965"/>
    </row>
    <row r="67" spans="2:10">
      <c r="B67" s="964" t="str">
        <f>ProcessEnergy!B13</f>
        <v>Affald</v>
      </c>
      <c r="C67" s="976" t="s">
        <v>725</v>
      </c>
      <c r="D67" s="984"/>
      <c r="E67" s="984"/>
      <c r="F67" s="984"/>
      <c r="G67" s="984"/>
      <c r="H67" s="984"/>
      <c r="I67" s="555"/>
      <c r="J67" s="965"/>
    </row>
    <row r="68" spans="2:10">
      <c r="B68" s="964" t="str">
        <f>ProcessEnergy!B14</f>
        <v>Hydrogen</v>
      </c>
      <c r="C68" s="976" t="s">
        <v>725</v>
      </c>
      <c r="D68" s="984"/>
      <c r="E68" s="984"/>
      <c r="F68" s="984"/>
      <c r="G68" s="984"/>
      <c r="H68" s="984"/>
      <c r="I68" s="555"/>
      <c r="J68" s="965"/>
    </row>
    <row r="69" spans="2:10">
      <c r="B69" s="964" t="str">
        <f>ProcessEnergy!B15</f>
        <v>Biomasse</v>
      </c>
      <c r="C69" s="976" t="s">
        <v>725</v>
      </c>
      <c r="D69" s="984"/>
      <c r="E69" s="984"/>
      <c r="F69" s="984"/>
      <c r="G69" s="984"/>
      <c r="H69" s="984"/>
      <c r="I69" s="555"/>
      <c r="J69" s="965"/>
    </row>
    <row r="70" spans="2:10">
      <c r="B70" s="964" t="str">
        <f>ProcessEnergy!B16</f>
        <v>Methanol</v>
      </c>
      <c r="C70" s="976"/>
      <c r="D70" s="984"/>
      <c r="E70" s="984"/>
      <c r="F70" s="984"/>
      <c r="G70" s="984"/>
      <c r="H70" s="984"/>
      <c r="I70" s="555"/>
      <c r="J70" s="965"/>
    </row>
    <row r="71" spans="2:10">
      <c r="B71" s="964" t="str">
        <f>ProcessEnergy!B17</f>
        <v>&lt;empty&gt;</v>
      </c>
      <c r="C71" s="976"/>
      <c r="D71" s="984"/>
      <c r="E71" s="984"/>
      <c r="F71" s="984"/>
      <c r="G71" s="984"/>
      <c r="H71" s="984"/>
      <c r="I71" s="555"/>
      <c r="J71" s="965"/>
    </row>
    <row r="72" spans="2:10">
      <c r="B72" s="964" t="str">
        <f>ProcessEnergy!B18</f>
        <v>&lt;empty&gt;</v>
      </c>
      <c r="C72" s="976"/>
      <c r="D72" s="984"/>
      <c r="E72" s="984"/>
      <c r="F72" s="984"/>
      <c r="G72" s="984"/>
      <c r="H72" s="984"/>
      <c r="I72" s="555"/>
      <c r="J72" s="965"/>
    </row>
    <row r="73" spans="2:10">
      <c r="B73" s="964" t="str">
        <f>ProcessEnergy!B19</f>
        <v>&lt;empty&gt;</v>
      </c>
      <c r="C73" s="976"/>
      <c r="D73" s="984"/>
      <c r="E73" s="984"/>
      <c r="F73" s="984"/>
      <c r="G73" s="984"/>
      <c r="H73" s="984"/>
      <c r="I73" s="555"/>
      <c r="J73" s="965"/>
    </row>
    <row r="74" spans="2:10">
      <c r="B74" s="964" t="str">
        <f>ProcessEnergy!B20</f>
        <v>&lt;empty&gt;</v>
      </c>
      <c r="C74" s="976"/>
      <c r="D74" s="984"/>
      <c r="E74" s="984"/>
      <c r="F74" s="984"/>
      <c r="G74" s="984"/>
      <c r="H74" s="984"/>
      <c r="I74" s="555"/>
      <c r="J74" s="965"/>
    </row>
    <row r="75" spans="2:10">
      <c r="B75" s="964" t="str">
        <f>ProcessEnergy!B21</f>
        <v>&lt;empty&gt;</v>
      </c>
      <c r="C75" s="976"/>
      <c r="D75" s="984"/>
      <c r="E75" s="984"/>
      <c r="F75" s="984"/>
      <c r="G75" s="984"/>
      <c r="H75" s="984"/>
      <c r="I75" s="555"/>
      <c r="J75" s="965"/>
    </row>
    <row r="76" spans="2:10">
      <c r="B76" s="964" t="str">
        <f>ProcessEnergy!B22</f>
        <v>&lt;empty&gt;</v>
      </c>
      <c r="C76" s="976"/>
      <c r="D76" s="984"/>
      <c r="E76" s="984"/>
      <c r="F76" s="984"/>
      <c r="G76" s="984"/>
      <c r="H76" s="984"/>
      <c r="I76" s="555"/>
      <c r="J76" s="965"/>
    </row>
    <row r="77" spans="2:10">
      <c r="B77" s="964" t="str">
        <f>ProcessEnergy!B23</f>
        <v>&lt;empty&gt;</v>
      </c>
      <c r="C77" s="976"/>
      <c r="D77" s="984"/>
      <c r="E77" s="984"/>
      <c r="F77" s="984"/>
      <c r="G77" s="984"/>
      <c r="H77" s="984"/>
      <c r="I77" s="555"/>
      <c r="J77" s="965"/>
    </row>
    <row r="78" spans="2:10">
      <c r="B78" s="964" t="str">
        <f>ProcessEnergy!B24</f>
        <v>&lt;empty&gt;</v>
      </c>
      <c r="C78" s="976" t="s">
        <v>725</v>
      </c>
      <c r="D78" s="984"/>
      <c r="E78" s="984"/>
      <c r="F78" s="984"/>
      <c r="G78" s="984"/>
      <c r="H78" s="984"/>
      <c r="I78" s="555"/>
      <c r="J78" s="965"/>
    </row>
    <row r="79" spans="2:10">
      <c r="B79" s="964"/>
      <c r="C79" s="976"/>
      <c r="D79" s="984"/>
      <c r="E79" s="984"/>
      <c r="F79" s="984"/>
      <c r="G79" s="984"/>
      <c r="H79" s="984"/>
      <c r="I79" s="555"/>
      <c r="J79" s="965"/>
    </row>
    <row r="80" spans="2:10">
      <c r="B80" s="964"/>
      <c r="C80" s="976"/>
      <c r="D80" s="984"/>
      <c r="E80" s="984"/>
      <c r="F80" s="984"/>
      <c r="G80" s="984"/>
      <c r="H80" s="984"/>
      <c r="I80" s="555"/>
      <c r="J80" s="965"/>
    </row>
    <row r="81" spans="1:17">
      <c r="B81" s="964"/>
      <c r="C81" s="976"/>
      <c r="D81" s="986"/>
      <c r="E81" s="986"/>
      <c r="F81" s="986"/>
      <c r="G81" s="986"/>
      <c r="H81" s="986"/>
      <c r="I81" s="555"/>
      <c r="J81" s="965"/>
    </row>
    <row r="82" spans="1:17">
      <c r="B82" s="975" t="s">
        <v>152</v>
      </c>
      <c r="C82" s="976"/>
      <c r="D82" s="986"/>
      <c r="E82" s="986"/>
      <c r="F82" s="986"/>
      <c r="G82" s="986"/>
      <c r="H82" s="986"/>
      <c r="I82" s="555"/>
      <c r="J82" s="965"/>
    </row>
    <row r="83" spans="1:17">
      <c r="A83" s="530">
        <v>4</v>
      </c>
      <c r="B83" s="964" t="s">
        <v>462</v>
      </c>
      <c r="C83" s="976" t="s">
        <v>725</v>
      </c>
      <c r="D83" s="1633">
        <v>1</v>
      </c>
      <c r="E83" s="978">
        <f t="shared" ref="E83:G89" si="1">$D83</f>
        <v>1</v>
      </c>
      <c r="F83" s="978">
        <f t="shared" si="1"/>
        <v>1</v>
      </c>
      <c r="G83" s="978">
        <f t="shared" si="1"/>
        <v>1</v>
      </c>
      <c r="H83" s="978"/>
      <c r="I83" s="555"/>
      <c r="J83" s="965"/>
    </row>
    <row r="84" spans="1:17">
      <c r="B84" s="964" t="s">
        <v>153</v>
      </c>
      <c r="C84" s="976" t="s">
        <v>725</v>
      </c>
      <c r="D84" s="984">
        <v>0</v>
      </c>
      <c r="E84" s="1334">
        <f t="shared" si="1"/>
        <v>0</v>
      </c>
      <c r="F84" s="1334">
        <f t="shared" si="1"/>
        <v>0</v>
      </c>
      <c r="G84" s="1334">
        <f t="shared" si="1"/>
        <v>0</v>
      </c>
      <c r="H84" s="1334"/>
      <c r="I84" s="1335" t="s">
        <v>1747</v>
      </c>
      <c r="J84" s="965"/>
    </row>
    <row r="85" spans="1:17">
      <c r="B85" s="964" t="s">
        <v>1092</v>
      </c>
      <c r="C85" s="976" t="s">
        <v>725</v>
      </c>
      <c r="D85" s="987">
        <f>D83*D43</f>
        <v>0.35325000000000001</v>
      </c>
      <c r="E85" s="978">
        <f t="shared" si="1"/>
        <v>0.35325000000000001</v>
      </c>
      <c r="F85" s="978">
        <f t="shared" si="1"/>
        <v>0.35325000000000001</v>
      </c>
      <c r="G85" s="978">
        <f t="shared" si="1"/>
        <v>0.35325000000000001</v>
      </c>
      <c r="H85" s="978"/>
      <c r="I85" s="555"/>
      <c r="J85" s="965"/>
    </row>
    <row r="86" spans="1:17">
      <c r="B86" s="964" t="s">
        <v>1093</v>
      </c>
      <c r="C86" s="976" t="s">
        <v>725</v>
      </c>
      <c r="D86" s="987">
        <f>(1/D163)*D83</f>
        <v>0.52631578947368418</v>
      </c>
      <c r="E86" s="978">
        <f t="shared" si="1"/>
        <v>0.52631578947368418</v>
      </c>
      <c r="F86" s="978">
        <f t="shared" si="1"/>
        <v>0.52631578947368418</v>
      </c>
      <c r="G86" s="978">
        <f t="shared" si="1"/>
        <v>0.52631578947368418</v>
      </c>
      <c r="H86" s="978"/>
      <c r="I86" s="555"/>
      <c r="J86" s="965"/>
      <c r="L86" s="527">
        <f>D31*D32</f>
        <v>4.2340425531914887</v>
      </c>
      <c r="M86" s="530" t="s">
        <v>2018</v>
      </c>
    </row>
    <row r="87" spans="1:17">
      <c r="B87" s="985" t="s">
        <v>155</v>
      </c>
      <c r="C87" s="976" t="s">
        <v>725</v>
      </c>
      <c r="D87" s="987">
        <f>SUM(D83:D84)-SUM(D85:D86)</f>
        <v>0.12043421052631587</v>
      </c>
      <c r="E87" s="978">
        <f t="shared" si="1"/>
        <v>0.12043421052631587</v>
      </c>
      <c r="F87" s="978">
        <f t="shared" si="1"/>
        <v>0.12043421052631587</v>
      </c>
      <c r="G87" s="978">
        <f t="shared" si="1"/>
        <v>0.12043421052631587</v>
      </c>
      <c r="H87" s="978"/>
      <c r="I87" s="555"/>
      <c r="J87" s="965"/>
      <c r="L87" s="527">
        <f>D86</f>
        <v>0.52631578947368418</v>
      </c>
      <c r="M87" s="1222" t="s">
        <v>2019</v>
      </c>
    </row>
    <row r="88" spans="1:17">
      <c r="B88" s="985" t="s">
        <v>156</v>
      </c>
      <c r="C88" s="988" t="s">
        <v>726</v>
      </c>
      <c r="D88" s="989">
        <f>SUM(D85:D86)/SUM(D83:D84)</f>
        <v>0.87956578947368413</v>
      </c>
      <c r="E88" s="990">
        <f t="shared" si="1"/>
        <v>0.87956578947368413</v>
      </c>
      <c r="F88" s="990">
        <f t="shared" si="1"/>
        <v>0.87956578947368413</v>
      </c>
      <c r="G88" s="990">
        <f t="shared" si="1"/>
        <v>0.87956578947368413</v>
      </c>
      <c r="H88" s="990"/>
      <c r="I88" s="555"/>
      <c r="J88" s="965"/>
      <c r="L88" s="530">
        <f>L86/L87</f>
        <v>8.0446808510638288</v>
      </c>
      <c r="M88" s="530" t="s">
        <v>2020</v>
      </c>
    </row>
    <row r="89" spans="1:17">
      <c r="B89" s="964"/>
      <c r="C89" s="976"/>
      <c r="D89" s="989">
        <f>D166/100</f>
        <v>0.88</v>
      </c>
      <c r="E89" s="990">
        <f t="shared" si="1"/>
        <v>0.88</v>
      </c>
      <c r="F89" s="990">
        <f t="shared" si="1"/>
        <v>0.88</v>
      </c>
      <c r="G89" s="990">
        <f t="shared" si="1"/>
        <v>0.88</v>
      </c>
      <c r="H89" s="990"/>
      <c r="I89" s="555"/>
      <c r="J89" s="965"/>
      <c r="N89" s="557"/>
    </row>
    <row r="90" spans="1:17">
      <c r="B90" s="975" t="s">
        <v>2116</v>
      </c>
      <c r="C90" s="976"/>
      <c r="D90" s="992"/>
      <c r="E90" s="983"/>
      <c r="F90" s="983"/>
      <c r="G90" s="983"/>
      <c r="H90" s="983"/>
      <c r="I90" s="555"/>
      <c r="J90" s="965"/>
      <c r="N90" s="991"/>
      <c r="O90" s="991"/>
      <c r="P90" s="991"/>
      <c r="Q90" s="991"/>
    </row>
    <row r="91" spans="1:17">
      <c r="B91" s="964" t="s">
        <v>157</v>
      </c>
      <c r="C91" s="976" t="s">
        <v>61</v>
      </c>
      <c r="D91" s="992">
        <f ca="1">HLOOKUP($H100,Supplementary!$C$44:$AF$46,3,FALSE)*D100*D$111</f>
        <v>1661758288.4493752</v>
      </c>
      <c r="E91" s="992">
        <f ca="1">HLOOKUP($H100,Supplementary!$C$44:$AF$46,3,FALSE)*E100*E$111</f>
        <v>1578670374.0269063</v>
      </c>
      <c r="F91" s="992">
        <f ca="1">HLOOKUP($H100,Supplementary!$C$44:$AF$46,3,FALSE)*F100*F$111</f>
        <v>1424750012.5592828</v>
      </c>
      <c r="G91" s="992">
        <f ca="1">HLOOKUP($H100,Supplementary!$C$44:$AF$46,3,FALSE)*G100*G$111</f>
        <v>1160467789.9171145</v>
      </c>
      <c r="H91" s="555">
        <f t="shared" ref="H91:H97" si="2">priceYear</f>
        <v>2015</v>
      </c>
      <c r="I91" s="555"/>
      <c r="J91" s="965"/>
      <c r="N91" s="991"/>
      <c r="O91" s="991"/>
      <c r="P91" s="991"/>
      <c r="Q91" s="991"/>
    </row>
    <row r="92" spans="1:17">
      <c r="B92" s="964" t="s">
        <v>160</v>
      </c>
      <c r="C92" s="976" t="s">
        <v>464</v>
      </c>
      <c r="D92" s="1365">
        <f ca="1">SUM(D93:D97)</f>
        <v>18.357978912379469</v>
      </c>
      <c r="E92" s="1365">
        <f ca="1">SUM(E93:E97)</f>
        <v>16.328364165273332</v>
      </c>
      <c r="F92" s="1365">
        <f ca="1">SUM(F93:F97)</f>
        <v>7.372718930944977</v>
      </c>
      <c r="G92" s="1365">
        <f ca="1">SUM(G93:G97)</f>
        <v>-0.60632823112047873</v>
      </c>
      <c r="H92" s="555">
        <f t="shared" si="2"/>
        <v>2015</v>
      </c>
      <c r="I92" s="555"/>
      <c r="J92" s="965"/>
      <c r="N92" s="991"/>
      <c r="O92" s="991"/>
      <c r="P92" s="991"/>
      <c r="Q92" s="991"/>
    </row>
    <row r="93" spans="1:17">
      <c r="B93" s="995" t="s">
        <v>162</v>
      </c>
      <c r="C93" s="976" t="s">
        <v>464</v>
      </c>
      <c r="D93" s="992">
        <f ca="1">HLOOKUP($H102,Supplementary!$C$44:$AF$46,3,FALSE)*D102*D$111</f>
        <v>22.335642269807867</v>
      </c>
      <c r="E93" s="555">
        <f ca="1">HLOOKUP($H102,Supplementary!$C$44:$AF$46,3,FALSE)*E102*E$111</f>
        <v>21.218860156317472</v>
      </c>
      <c r="F93" s="555">
        <f ca="1">HLOOKUP($H102,Supplementary!$C$44:$AF$46,3,FALSE)*F102*F$111</f>
        <v>19.150021291076516</v>
      </c>
      <c r="G93" s="555">
        <f ca="1">HLOOKUP($H102,Supplementary!$C$44:$AF$46,3,FALSE)*G102*G$111</f>
        <v>15.597812029214893</v>
      </c>
      <c r="H93" s="555">
        <f t="shared" si="2"/>
        <v>2015</v>
      </c>
      <c r="I93" s="555"/>
      <c r="J93" s="965"/>
      <c r="N93" s="991"/>
      <c r="O93" s="991"/>
      <c r="P93" s="991"/>
      <c r="Q93" s="991"/>
    </row>
    <row r="94" spans="1:17">
      <c r="B94" s="995" t="s">
        <v>163</v>
      </c>
      <c r="C94" s="976" t="s">
        <v>464</v>
      </c>
      <c r="D94" s="992">
        <f ca="1">HLOOKUP($H103,Supplementary!$C$44:$AF$46,3,FALSE)*D103*D$111</f>
        <v>27.835147210207293</v>
      </c>
      <c r="E94" s="555">
        <f ca="1">HLOOKUP($H103,Supplementary!$C$44:$AF$46,3,FALSE)*E103*E$111</f>
        <v>26.443389849696928</v>
      </c>
      <c r="F94" s="555">
        <f ca="1">HLOOKUP($H103,Supplementary!$C$44:$AF$46,3,FALSE)*F103*F$111</f>
        <v>23.865159339351475</v>
      </c>
      <c r="G94" s="555">
        <f ca="1">HLOOKUP($H103,Supplementary!$C$44:$AF$46,3,FALSE)*G103*G$111</f>
        <v>19.438321439147646</v>
      </c>
      <c r="H94" s="555">
        <f t="shared" si="2"/>
        <v>2015</v>
      </c>
      <c r="I94" s="555"/>
      <c r="J94" s="965"/>
      <c r="N94" s="991"/>
      <c r="O94" s="991"/>
      <c r="P94" s="991"/>
      <c r="Q94" s="991"/>
    </row>
    <row r="95" spans="1:17">
      <c r="B95" s="995" t="s">
        <v>164</v>
      </c>
      <c r="C95" s="976" t="s">
        <v>464</v>
      </c>
      <c r="D95" s="992">
        <f>HLOOKUP($H104,Supplementary!$C$44:$AF$46,3,FALSE)*D104</f>
        <v>0</v>
      </c>
      <c r="E95" s="555">
        <f>HLOOKUP($H104,Supplementary!$C$44:$AF$46,3,FALSE)*E104</f>
        <v>0</v>
      </c>
      <c r="F95" s="555">
        <f>HLOOKUP($H104,Supplementary!$C$44:$AF$46,3,FALSE)*F104</f>
        <v>0</v>
      </c>
      <c r="G95" s="555">
        <f>HLOOKUP($H104,Supplementary!$C$44:$AF$46,3,FALSE)*G104</f>
        <v>0</v>
      </c>
      <c r="H95" s="555">
        <f t="shared" si="2"/>
        <v>2015</v>
      </c>
      <c r="I95" s="555"/>
      <c r="J95" s="965"/>
      <c r="N95" s="991"/>
      <c r="O95" s="991"/>
      <c r="P95" s="991"/>
      <c r="Q95" s="991"/>
    </row>
    <row r="96" spans="1:17">
      <c r="B96" s="995" t="s">
        <v>264</v>
      </c>
      <c r="C96" s="976" t="s">
        <v>464</v>
      </c>
      <c r="D96" s="992">
        <f ca="1">HLOOKUP($H105,Supplementary!$C$44:$AF$46,3,FALSE)*D105*D$111</f>
        <v>0</v>
      </c>
      <c r="E96" s="555">
        <f ca="1">HLOOKUP($H105,Supplementary!$C$44:$AF$46,3,FALSE)*E105*E$111</f>
        <v>0</v>
      </c>
      <c r="F96" s="555">
        <f ca="1">HLOOKUP($H105,Supplementary!$C$44:$AF$46,3,FALSE)*F105*F$111</f>
        <v>0</v>
      </c>
      <c r="G96" s="555">
        <f ca="1">HLOOKUP($H105,Supplementary!$C$44:$AF$46,3,FALSE)*G105*G$111</f>
        <v>0</v>
      </c>
      <c r="H96" s="555">
        <f t="shared" si="2"/>
        <v>2015</v>
      </c>
      <c r="I96" s="555"/>
      <c r="J96" s="965"/>
      <c r="N96" s="991"/>
      <c r="O96" s="991"/>
      <c r="P96" s="991"/>
      <c r="Q96" s="991"/>
    </row>
    <row r="97" spans="1:17">
      <c r="B97" s="995" t="s">
        <v>165</v>
      </c>
      <c r="C97" s="976" t="s">
        <v>464</v>
      </c>
      <c r="D97" s="992">
        <f ca="1">HLOOKUP($H106,Supplementary!$C$44:$AF$46,3,FALSE)*D106</f>
        <v>-31.81281056763569</v>
      </c>
      <c r="E97" s="555">
        <f ca="1">HLOOKUP($H106,Supplementary!$C$44:$AF$46,3,FALSE)*E106</f>
        <v>-31.333885840741072</v>
      </c>
      <c r="F97" s="555">
        <f ca="1">HLOOKUP($H106,Supplementary!$C$44:$AF$46,3,FALSE)*F106</f>
        <v>-35.642461699483015</v>
      </c>
      <c r="G97" s="555">
        <f ca="1">HLOOKUP($H106,Supplementary!$C$44:$AF$46,3,FALSE)*G106</f>
        <v>-35.642461699483015</v>
      </c>
      <c r="H97" s="555">
        <f t="shared" si="2"/>
        <v>2015</v>
      </c>
      <c r="I97" s="555"/>
      <c r="J97" s="965"/>
      <c r="N97" s="991"/>
      <c r="O97" s="991"/>
      <c r="P97" s="991"/>
      <c r="Q97" s="991"/>
    </row>
    <row r="98" spans="1:17">
      <c r="B98" s="975"/>
      <c r="C98" s="976"/>
      <c r="D98" s="992"/>
      <c r="E98" s="983"/>
      <c r="F98" s="983"/>
      <c r="G98" s="983"/>
      <c r="H98" s="983"/>
      <c r="I98" s="555"/>
      <c r="J98" s="965"/>
      <c r="N98" s="991"/>
      <c r="O98" s="991"/>
      <c r="P98" s="991"/>
      <c r="Q98" s="991"/>
    </row>
    <row r="99" spans="1:17">
      <c r="B99" s="975" t="s">
        <v>2117</v>
      </c>
      <c r="C99" s="976"/>
      <c r="D99" s="992"/>
      <c r="E99" s="983"/>
      <c r="F99" s="983"/>
      <c r="G99" s="983"/>
      <c r="H99" s="983"/>
      <c r="I99" s="555"/>
      <c r="J99" s="965"/>
      <c r="N99" s="991"/>
      <c r="O99" s="991"/>
      <c r="P99" s="991"/>
      <c r="Q99" s="991"/>
    </row>
    <row r="100" spans="1:17">
      <c r="B100" s="964" t="s">
        <v>157</v>
      </c>
      <c r="C100" s="976" t="s">
        <v>61</v>
      </c>
      <c r="D100" s="499">
        <f>D178*D160*dkkPerEUR</f>
        <v>1561125150</v>
      </c>
      <c r="E100" s="499">
        <f t="shared" ref="E100:G103" si="3">$D100</f>
        <v>1561125150</v>
      </c>
      <c r="F100" s="499">
        <f t="shared" si="3"/>
        <v>1561125150</v>
      </c>
      <c r="G100" s="499">
        <f t="shared" si="3"/>
        <v>1561125150</v>
      </c>
      <c r="H100" s="1668">
        <v>2011</v>
      </c>
      <c r="I100" s="555"/>
      <c r="J100" s="965"/>
      <c r="N100" s="991"/>
      <c r="O100" s="991"/>
      <c r="P100" s="991"/>
      <c r="Q100" s="991"/>
    </row>
    <row r="101" spans="1:17">
      <c r="B101" s="964" t="s">
        <v>160</v>
      </c>
      <c r="C101" s="976" t="s">
        <v>464</v>
      </c>
      <c r="D101" s="480">
        <f ca="1">SUM(D102:D106)</f>
        <v>17.246252227228368</v>
      </c>
      <c r="E101" s="480">
        <f t="shared" ca="1" si="3"/>
        <v>17.246252227228368</v>
      </c>
      <c r="F101" s="480">
        <f t="shared" ca="1" si="3"/>
        <v>17.246252227228368</v>
      </c>
      <c r="G101" s="480">
        <f t="shared" ca="1" si="3"/>
        <v>17.246252227228368</v>
      </c>
      <c r="H101" s="1668">
        <v>2011</v>
      </c>
      <c r="I101" s="994"/>
      <c r="J101" s="965"/>
      <c r="N101" s="991"/>
      <c r="O101" s="991"/>
      <c r="P101" s="991"/>
      <c r="Q101" s="991"/>
    </row>
    <row r="102" spans="1:17">
      <c r="B102" s="995" t="s">
        <v>162</v>
      </c>
      <c r="C102" s="976" t="s">
        <v>464</v>
      </c>
      <c r="D102" s="480">
        <f ca="1">-PMT(rSØK,20,D100)/D160</f>
        <v>20.983035337429826</v>
      </c>
      <c r="E102" s="480">
        <f t="shared" ca="1" si="3"/>
        <v>20.983035337429826</v>
      </c>
      <c r="F102" s="480">
        <f t="shared" ca="1" si="3"/>
        <v>20.983035337429826</v>
      </c>
      <c r="G102" s="480">
        <f t="shared" ca="1" si="3"/>
        <v>20.983035337429826</v>
      </c>
      <c r="H102" s="1668">
        <v>2011</v>
      </c>
      <c r="I102" s="994"/>
      <c r="J102" s="965"/>
      <c r="N102" s="991"/>
      <c r="O102" s="991"/>
      <c r="P102" s="991"/>
      <c r="Q102" s="991"/>
    </row>
    <row r="103" spans="1:17">
      <c r="B103" s="995" t="s">
        <v>163</v>
      </c>
      <c r="C103" s="976" t="s">
        <v>464</v>
      </c>
      <c r="D103" s="480">
        <f>IF(D142&gt;0,D178*D142*dkkPerEUR,D179*dkkPerEUR)</f>
        <v>26.149500000000003</v>
      </c>
      <c r="E103" s="480">
        <f t="shared" si="3"/>
        <v>26.149500000000003</v>
      </c>
      <c r="F103" s="480">
        <f t="shared" si="3"/>
        <v>26.149500000000003</v>
      </c>
      <c r="G103" s="480">
        <f t="shared" si="3"/>
        <v>26.149500000000003</v>
      </c>
      <c r="H103" s="1668">
        <v>2011</v>
      </c>
      <c r="I103" s="555"/>
      <c r="J103" s="965"/>
      <c r="N103" s="991"/>
      <c r="O103" s="991"/>
      <c r="P103" s="991"/>
      <c r="Q103" s="991"/>
    </row>
    <row r="104" spans="1:17">
      <c r="A104" s="530">
        <v>6</v>
      </c>
      <c r="B104" s="995" t="s">
        <v>164</v>
      </c>
      <c r="C104" s="976" t="s">
        <v>464</v>
      </c>
      <c r="D104" s="997"/>
      <c r="E104" s="997"/>
      <c r="F104" s="997"/>
      <c r="G104" s="997"/>
      <c r="H104" s="1668">
        <v>2011</v>
      </c>
      <c r="I104" s="555"/>
      <c r="J104" s="965"/>
      <c r="N104" s="991"/>
      <c r="O104" s="991"/>
      <c r="P104" s="991"/>
      <c r="Q104" s="991"/>
    </row>
    <row r="105" spans="1:17">
      <c r="B105" s="995" t="s">
        <v>264</v>
      </c>
      <c r="C105" s="976" t="s">
        <v>464</v>
      </c>
      <c r="D105" s="997"/>
      <c r="E105" s="997"/>
      <c r="F105" s="997"/>
      <c r="G105" s="997"/>
      <c r="H105" s="1668">
        <v>2011</v>
      </c>
      <c r="I105" s="555"/>
      <c r="J105" s="965"/>
      <c r="N105" s="991"/>
      <c r="O105" s="991"/>
      <c r="P105" s="991"/>
      <c r="Q105" s="991"/>
    </row>
    <row r="106" spans="1:17">
      <c r="B106" s="995" t="s">
        <v>165</v>
      </c>
      <c r="C106" s="976" t="s">
        <v>464</v>
      </c>
      <c r="D106" s="996">
        <f ca="1">-SUMPRODUCT(D37:D56,ProcessEnergy!M35:M54)/D86</f>
        <v>-29.886283110201461</v>
      </c>
      <c r="E106" s="996">
        <f ca="1">-SUMPRODUCT(E37:E56,ProcessEnergy!N35:N54)/E86</f>
        <v>-29.436361216440527</v>
      </c>
      <c r="F106" s="996">
        <f ca="1">-SUMPRODUCT(F37:F56,ProcessEnergy!O35:O54)/F86</f>
        <v>-33.484017353026609</v>
      </c>
      <c r="G106" s="996">
        <f ca="1">-SUMPRODUCT(G37:G56,ProcessEnergy!P35:P54)/G86</f>
        <v>-33.484017353026609</v>
      </c>
      <c r="H106" s="1668">
        <v>2011</v>
      </c>
      <c r="I106" s="555"/>
      <c r="J106" s="965"/>
      <c r="N106" s="991"/>
      <c r="O106" s="991"/>
      <c r="P106" s="991"/>
      <c r="Q106" s="991"/>
    </row>
    <row r="107" spans="1:17">
      <c r="B107" s="995"/>
      <c r="C107" s="976"/>
      <c r="D107" s="2311"/>
      <c r="E107" s="2311"/>
      <c r="F107" s="2311"/>
      <c r="G107" s="2311"/>
      <c r="H107" s="983"/>
      <c r="I107" s="994"/>
      <c r="J107" s="965"/>
      <c r="N107" s="991"/>
      <c r="O107" s="991"/>
      <c r="P107" s="991"/>
      <c r="Q107" s="991"/>
    </row>
    <row r="108" spans="1:17">
      <c r="B108" s="975" t="s">
        <v>2113</v>
      </c>
      <c r="C108" s="976"/>
      <c r="D108" s="983"/>
      <c r="E108" s="983"/>
      <c r="F108" s="983"/>
      <c r="G108" s="983"/>
      <c r="H108" s="983"/>
      <c r="I108" s="994"/>
      <c r="J108" s="965"/>
      <c r="N108" s="991"/>
      <c r="O108" s="991"/>
      <c r="P108" s="991"/>
      <c r="Q108" s="991"/>
    </row>
    <row r="109" spans="1:17">
      <c r="B109" s="995" t="s">
        <v>2114</v>
      </c>
      <c r="C109" s="976"/>
      <c r="D109" s="1696">
        <v>0.95</v>
      </c>
      <c r="E109" s="1696">
        <v>0.95</v>
      </c>
      <c r="F109" s="1696">
        <v>0.95</v>
      </c>
      <c r="G109" s="1696">
        <v>0.95</v>
      </c>
      <c r="H109" s="983"/>
      <c r="I109" s="994"/>
      <c r="J109" s="965"/>
      <c r="N109" s="991"/>
      <c r="O109" s="991"/>
      <c r="P109" s="991"/>
      <c r="Q109" s="991"/>
    </row>
    <row r="110" spans="1:17">
      <c r="B110" s="995" t="s">
        <v>2666</v>
      </c>
      <c r="C110" s="976"/>
      <c r="D110" s="478">
        <f ca="1">OFFSET(Supplementary!C$237,MATCH($C$19,Supplementary!$B$238:$B$241,0),0)</f>
        <v>1</v>
      </c>
      <c r="E110" s="478">
        <f ca="1">OFFSET(Supplementary!D$237,MATCH($C$19,Supplementary!$B$238:$B$241,0),0)</f>
        <v>2</v>
      </c>
      <c r="F110" s="478">
        <f ca="1">OFFSET(Supplementary!E$237,MATCH($C$19,Supplementary!$B$238:$B$241,0),0)</f>
        <v>4</v>
      </c>
      <c r="G110" s="478">
        <f ca="1">OFFSET(Supplementary!F$237,MATCH($C$19,Supplementary!$B$238:$B$241,0),0)</f>
        <v>8</v>
      </c>
      <c r="H110" s="983"/>
      <c r="I110" s="994"/>
      <c r="J110" s="965"/>
      <c r="N110" s="991"/>
      <c r="O110" s="991"/>
      <c r="P110" s="991"/>
      <c r="Q110" s="991"/>
    </row>
    <row r="111" spans="1:17">
      <c r="B111" s="995" t="s">
        <v>2115</v>
      </c>
      <c r="C111" s="976"/>
      <c r="D111" s="1698">
        <f ca="1">1*D109^(D110-1)</f>
        <v>1</v>
      </c>
      <c r="E111" s="1698">
        <f ca="1">1*E109^(E110-1)</f>
        <v>0.95</v>
      </c>
      <c r="F111" s="1698">
        <f ca="1">1*F109^(F110-1)</f>
        <v>0.85737499999999989</v>
      </c>
      <c r="G111" s="1698">
        <f ca="1">1*G109^(G110-1)</f>
        <v>0.69833729609374995</v>
      </c>
      <c r="H111" s="983"/>
      <c r="I111" s="994"/>
      <c r="J111" s="965"/>
      <c r="N111" s="991"/>
      <c r="O111" s="991"/>
      <c r="P111" s="991"/>
      <c r="Q111" s="991"/>
    </row>
    <row r="112" spans="1:17">
      <c r="B112" s="995"/>
      <c r="C112" s="976"/>
      <c r="D112" s="983"/>
      <c r="E112" s="983"/>
      <c r="F112" s="983"/>
      <c r="G112" s="983"/>
      <c r="H112" s="983"/>
      <c r="I112" s="994"/>
      <c r="J112" s="965"/>
      <c r="N112" s="991"/>
      <c r="O112" s="991"/>
      <c r="P112" s="991"/>
      <c r="Q112" s="991"/>
    </row>
    <row r="113" spans="2:17">
      <c r="B113" s="975" t="s">
        <v>166</v>
      </c>
      <c r="C113" s="976"/>
      <c r="D113" s="983"/>
      <c r="E113" s="983"/>
      <c r="F113" s="983"/>
      <c r="G113" s="983"/>
      <c r="H113" s="983"/>
      <c r="I113" s="994"/>
      <c r="J113" s="965"/>
      <c r="N113" s="998"/>
      <c r="O113" s="998"/>
      <c r="P113" s="998"/>
      <c r="Q113" s="991"/>
    </row>
    <row r="114" spans="2:17">
      <c r="B114" s="964" t="s">
        <v>24</v>
      </c>
      <c r="C114" s="976" t="s">
        <v>465</v>
      </c>
      <c r="D114" s="999">
        <v>0</v>
      </c>
      <c r="E114" s="999">
        <v>0</v>
      </c>
      <c r="F114" s="999">
        <v>0</v>
      </c>
      <c r="G114" s="999"/>
      <c r="H114" s="999"/>
      <c r="I114" s="1335" t="s">
        <v>1747</v>
      </c>
      <c r="J114" s="965"/>
      <c r="N114" s="991"/>
      <c r="O114" s="991"/>
      <c r="P114" s="991"/>
      <c r="Q114" s="991"/>
    </row>
    <row r="115" spans="2:17">
      <c r="B115" s="964" t="s">
        <v>27</v>
      </c>
      <c r="C115" s="976" t="s">
        <v>465</v>
      </c>
      <c r="D115" s="999">
        <v>0</v>
      </c>
      <c r="E115" s="999">
        <v>0</v>
      </c>
      <c r="F115" s="999">
        <v>0</v>
      </c>
      <c r="G115" s="999"/>
      <c r="H115" s="999"/>
      <c r="I115" s="1335" t="s">
        <v>1747</v>
      </c>
      <c r="J115" s="965"/>
      <c r="N115" s="991"/>
      <c r="O115" s="991"/>
      <c r="P115" s="991"/>
      <c r="Q115" s="991"/>
    </row>
    <row r="116" spans="2:17">
      <c r="B116" s="964" t="s">
        <v>28</v>
      </c>
      <c r="C116" s="976" t="s">
        <v>465</v>
      </c>
      <c r="D116" s="999">
        <v>0</v>
      </c>
      <c r="E116" s="999">
        <v>0</v>
      </c>
      <c r="F116" s="999">
        <v>0</v>
      </c>
      <c r="G116" s="999"/>
      <c r="H116" s="999"/>
      <c r="I116" s="1335" t="s">
        <v>1747</v>
      </c>
      <c r="J116" s="965"/>
      <c r="N116" s="991"/>
      <c r="O116" s="991"/>
      <c r="P116" s="991"/>
      <c r="Q116" s="991"/>
    </row>
    <row r="117" spans="2:17">
      <c r="B117" s="964" t="s">
        <v>26</v>
      </c>
      <c r="C117" s="976" t="s">
        <v>465</v>
      </c>
      <c r="D117" s="999">
        <v>0</v>
      </c>
      <c r="E117" s="999">
        <v>0</v>
      </c>
      <c r="F117" s="999">
        <v>0</v>
      </c>
      <c r="G117" s="999"/>
      <c r="H117" s="999"/>
      <c r="I117" s="1335" t="s">
        <v>1747</v>
      </c>
      <c r="J117" s="965"/>
      <c r="N117" s="991"/>
      <c r="O117" s="991"/>
      <c r="P117" s="991"/>
      <c r="Q117" s="991"/>
    </row>
    <row r="118" spans="2:17">
      <c r="B118" s="964" t="s">
        <v>167</v>
      </c>
      <c r="C118" s="976" t="s">
        <v>465</v>
      </c>
      <c r="D118" s="999">
        <v>0</v>
      </c>
      <c r="E118" s="999">
        <v>0</v>
      </c>
      <c r="F118" s="999">
        <v>0</v>
      </c>
      <c r="G118" s="999"/>
      <c r="H118" s="999"/>
      <c r="I118" s="1335" t="s">
        <v>1747</v>
      </c>
      <c r="J118" s="965"/>
      <c r="N118" s="998"/>
      <c r="O118" s="998"/>
      <c r="P118" s="998"/>
      <c r="Q118" s="998"/>
    </row>
    <row r="119" spans="2:17">
      <c r="B119" s="964" t="s">
        <v>45</v>
      </c>
      <c r="C119" s="976" t="s">
        <v>465</v>
      </c>
      <c r="D119" s="1000"/>
      <c r="E119" s="1000"/>
      <c r="F119" s="1000"/>
      <c r="G119" s="1000"/>
      <c r="H119" s="1000"/>
      <c r="I119" s="555"/>
      <c r="J119" s="965"/>
    </row>
    <row r="120" spans="2:17" ht="13.5" thickBot="1">
      <c r="B120" s="1001"/>
      <c r="C120" s="1002"/>
      <c r="D120" s="1003"/>
      <c r="E120" s="968"/>
      <c r="F120" s="968"/>
      <c r="G120" s="968"/>
      <c r="H120" s="968"/>
      <c r="I120" s="1004"/>
      <c r="J120" s="969"/>
    </row>
    <row r="123" spans="2:17" ht="18.75">
      <c r="B123" s="1005" t="s">
        <v>172</v>
      </c>
    </row>
    <row r="124" spans="2:17" ht="15.75">
      <c r="B124" s="1006"/>
      <c r="D124" s="1007"/>
    </row>
    <row r="125" spans="2:17">
      <c r="B125" s="555"/>
      <c r="C125" s="555"/>
      <c r="D125" s="555"/>
      <c r="E125" s="555"/>
      <c r="F125" s="555"/>
      <c r="G125" s="555"/>
      <c r="H125" s="555"/>
      <c r="I125" s="555"/>
      <c r="J125" s="555"/>
      <c r="K125" s="555"/>
      <c r="L125" s="555"/>
    </row>
    <row r="126" spans="2:17">
      <c r="B126" s="555"/>
      <c r="C126" s="977"/>
      <c r="D126" s="977"/>
      <c r="E126" s="977"/>
      <c r="F126" s="977"/>
      <c r="G126" s="977"/>
      <c r="H126" s="977"/>
      <c r="I126" s="555"/>
      <c r="J126" s="977"/>
      <c r="K126" s="977"/>
      <c r="L126" s="977"/>
    </row>
    <row r="127" spans="2:17">
      <c r="B127" s="555"/>
      <c r="C127" s="555"/>
      <c r="D127" s="993"/>
      <c r="E127" s="993"/>
      <c r="F127" s="993"/>
      <c r="G127" s="993"/>
      <c r="H127" s="993"/>
      <c r="I127" s="555"/>
      <c r="J127" s="993"/>
      <c r="K127" s="993"/>
      <c r="L127" s="993"/>
    </row>
    <row r="128" spans="2:17">
      <c r="B128" s="555"/>
      <c r="C128" s="555"/>
      <c r="D128" s="993"/>
      <c r="E128" s="993"/>
      <c r="F128" s="993"/>
      <c r="G128" s="993"/>
      <c r="H128" s="993"/>
      <c r="I128" s="555"/>
      <c r="J128" s="993"/>
      <c r="K128" s="993"/>
      <c r="L128" s="993"/>
    </row>
    <row r="129" spans="2:12">
      <c r="B129" s="555"/>
      <c r="C129" s="555"/>
      <c r="D129" s="993"/>
      <c r="E129" s="993"/>
      <c r="F129" s="993"/>
      <c r="G129" s="993"/>
      <c r="H129" s="993"/>
      <c r="I129" s="555"/>
      <c r="J129" s="993"/>
      <c r="K129" s="993"/>
      <c r="L129" s="993"/>
    </row>
    <row r="130" spans="2:12">
      <c r="D130" s="993"/>
      <c r="E130" s="993"/>
      <c r="F130" s="993"/>
      <c r="G130" s="993"/>
      <c r="H130" s="993"/>
      <c r="I130" s="555"/>
      <c r="J130" s="993"/>
      <c r="K130" s="993"/>
      <c r="L130" s="993"/>
    </row>
    <row r="131" spans="2:12">
      <c r="D131" s="993"/>
      <c r="E131" s="993"/>
      <c r="F131" s="993"/>
      <c r="G131" s="993"/>
      <c r="H131" s="993"/>
      <c r="I131" s="555"/>
      <c r="J131" s="993"/>
      <c r="K131" s="993"/>
      <c r="L131" s="993"/>
    </row>
    <row r="132" spans="2:12">
      <c r="B132" s="555"/>
      <c r="C132" s="555"/>
      <c r="D132" s="993"/>
      <c r="E132" s="993"/>
      <c r="F132" s="993"/>
      <c r="G132" s="993"/>
      <c r="H132" s="993"/>
      <c r="I132" s="555"/>
      <c r="J132" s="993"/>
      <c r="K132" s="993"/>
      <c r="L132" s="993"/>
    </row>
    <row r="133" spans="2:12">
      <c r="B133" s="555"/>
      <c r="C133" s="555"/>
      <c r="D133" s="993"/>
      <c r="E133" s="993"/>
      <c r="F133" s="993"/>
      <c r="G133" s="993"/>
      <c r="H133" s="993"/>
      <c r="I133" s="555"/>
      <c r="J133" s="993"/>
      <c r="K133" s="993"/>
      <c r="L133" s="993"/>
    </row>
    <row r="134" spans="2:12">
      <c r="D134" s="993"/>
    </row>
    <row r="136" spans="2:12" ht="18.75">
      <c r="B136" s="1005" t="s">
        <v>168</v>
      </c>
    </row>
    <row r="137" spans="2:12" ht="15.75">
      <c r="B137" s="1006"/>
    </row>
    <row r="138" spans="2:12" ht="13.5" thickBot="1">
      <c r="B138" s="555"/>
      <c r="C138" s="555"/>
      <c r="D138" s="555"/>
      <c r="E138" s="555"/>
      <c r="F138" s="555"/>
      <c r="G138" s="555"/>
      <c r="H138" s="555"/>
      <c r="I138" s="555"/>
    </row>
    <row r="139" spans="2:12">
      <c r="B139" s="1008"/>
      <c r="C139" s="1009" t="s">
        <v>70</v>
      </c>
      <c r="D139" s="1010">
        <v>2015</v>
      </c>
      <c r="E139" s="1009">
        <v>2020</v>
      </c>
      <c r="F139" s="1009">
        <v>2035</v>
      </c>
      <c r="G139" s="1009"/>
      <c r="H139" s="1009"/>
      <c r="I139" s="1011" t="s">
        <v>145</v>
      </c>
      <c r="J139" s="1012" t="s">
        <v>146</v>
      </c>
    </row>
    <row r="140" spans="2:12">
      <c r="B140" s="964"/>
      <c r="C140" s="977"/>
      <c r="D140" s="1013"/>
      <c r="E140" s="1014"/>
      <c r="F140" s="1014"/>
      <c r="G140" s="1014"/>
      <c r="H140" s="1014"/>
      <c r="I140" s="555"/>
      <c r="J140" s="965"/>
    </row>
    <row r="141" spans="2:12">
      <c r="B141" s="964"/>
      <c r="C141" s="977"/>
      <c r="D141" s="1015"/>
      <c r="E141" s="1016"/>
      <c r="F141" s="1016"/>
      <c r="G141" s="1016"/>
      <c r="H141" s="1016"/>
      <c r="I141" s="555"/>
      <c r="J141" s="965"/>
    </row>
    <row r="142" spans="2:12">
      <c r="B142" s="964" t="s">
        <v>2096</v>
      </c>
      <c r="C142" s="555" t="s">
        <v>29</v>
      </c>
      <c r="D142" s="1681">
        <v>0.1</v>
      </c>
      <c r="E142" s="1682">
        <v>0.1</v>
      </c>
      <c r="F142" s="1682">
        <v>0.1</v>
      </c>
      <c r="G142" s="1682">
        <v>0.1</v>
      </c>
      <c r="H142" s="1018"/>
      <c r="I142" s="1335"/>
      <c r="J142" s="965" t="s">
        <v>2097</v>
      </c>
    </row>
    <row r="143" spans="2:12">
      <c r="B143" s="964"/>
      <c r="C143" s="977"/>
      <c r="D143" s="1015"/>
      <c r="E143" s="1016"/>
      <c r="F143" s="1016"/>
      <c r="G143" s="1016"/>
      <c r="H143" s="1016"/>
      <c r="I143" s="555"/>
      <c r="J143" s="965"/>
    </row>
    <row r="144" spans="2:12">
      <c r="B144" s="964"/>
      <c r="C144" s="977"/>
      <c r="D144" s="1015"/>
      <c r="E144" s="1016"/>
      <c r="F144" s="1016"/>
      <c r="G144" s="1016"/>
      <c r="H144" s="1016"/>
      <c r="I144" s="555"/>
      <c r="J144" s="965"/>
    </row>
    <row r="145" spans="2:11">
      <c r="B145" s="964"/>
      <c r="C145" s="977"/>
      <c r="D145" s="1019"/>
      <c r="E145" s="979"/>
      <c r="F145" s="979"/>
      <c r="G145" s="979"/>
      <c r="H145" s="979"/>
      <c r="I145" s="555"/>
      <c r="J145" s="965"/>
    </row>
    <row r="146" spans="2:11">
      <c r="B146" s="964"/>
      <c r="C146" s="976"/>
      <c r="D146" s="1016"/>
      <c r="E146" s="1016"/>
      <c r="F146" s="1016"/>
      <c r="G146" s="1016"/>
      <c r="H146" s="1016"/>
      <c r="I146" s="555"/>
      <c r="J146" s="965"/>
    </row>
    <row r="147" spans="2:11" ht="13.5" thickBot="1">
      <c r="B147" s="967"/>
      <c r="C147" s="1020"/>
      <c r="D147" s="1021"/>
      <c r="E147" s="1021"/>
      <c r="F147" s="1021"/>
      <c r="G147" s="1021"/>
      <c r="H147" s="1021"/>
      <c r="I147" s="968"/>
      <c r="J147" s="969"/>
    </row>
    <row r="150" spans="2:11" ht="13.5" thickBot="1"/>
    <row r="151" spans="2:11">
      <c r="B151" s="1008"/>
      <c r="C151" s="1011"/>
      <c r="D151" s="1012" t="s">
        <v>1098</v>
      </c>
    </row>
    <row r="152" spans="2:11">
      <c r="B152" s="1065" t="s">
        <v>1095</v>
      </c>
      <c r="C152" s="1367">
        <v>0.75</v>
      </c>
      <c r="D152" s="1331" t="s">
        <v>1743</v>
      </c>
    </row>
    <row r="153" spans="2:11" ht="13.5" thickBot="1">
      <c r="B153" s="1329" t="s">
        <v>1096</v>
      </c>
      <c r="C153" s="1330">
        <f>(100-D164)%</f>
        <v>0.47100000000000003</v>
      </c>
      <c r="D153" s="1328" t="s">
        <v>1744</v>
      </c>
    </row>
    <row r="154" spans="2:11">
      <c r="B154" s="530" t="str">
        <f>CONCATENATE("Source: ",Referencer!$B$48)</f>
        <v>Source: 42, FORCE, Danish Energy Agency, 2013, Technology data for advanced bioenergy fuels.</v>
      </c>
    </row>
    <row r="155" spans="2:11" ht="13.5" thickBot="1">
      <c r="B155" s="555"/>
      <c r="C155" s="968"/>
    </row>
    <row r="156" spans="2:11" ht="18.75">
      <c r="B156" s="1023" t="s">
        <v>1097</v>
      </c>
      <c r="C156" s="1024"/>
      <c r="D156" s="1025"/>
      <c r="E156" s="1025"/>
      <c r="F156" s="1025"/>
      <c r="G156" s="1025"/>
      <c r="H156" s="1025"/>
      <c r="I156" s="1323" t="s">
        <v>1098</v>
      </c>
      <c r="J156" s="1027"/>
      <c r="K156" s="555"/>
    </row>
    <row r="157" spans="2:11" ht="15">
      <c r="B157" s="1026"/>
      <c r="C157" s="1027"/>
      <c r="D157" s="1028">
        <v>2015</v>
      </c>
      <c r="E157" s="1028">
        <v>2020</v>
      </c>
      <c r="F157" s="1028">
        <v>2035</v>
      </c>
      <c r="G157" s="1028">
        <v>2050</v>
      </c>
      <c r="H157" s="1028"/>
      <c r="I157" s="1324"/>
      <c r="J157" s="1028"/>
      <c r="K157" s="555"/>
    </row>
    <row r="158" spans="2:11" ht="15">
      <c r="B158" s="1029" t="s">
        <v>1099</v>
      </c>
      <c r="C158" s="1030"/>
      <c r="D158" s="1027"/>
      <c r="E158" s="1027"/>
      <c r="F158" s="1027"/>
      <c r="G158" s="1027"/>
      <c r="H158" s="1027"/>
      <c r="I158" s="1325"/>
      <c r="J158" s="1027"/>
      <c r="K158" s="555"/>
    </row>
    <row r="159" spans="2:11" ht="15">
      <c r="B159" s="1026" t="s">
        <v>1100</v>
      </c>
      <c r="C159" s="1027"/>
      <c r="D159" s="1368">
        <v>300000</v>
      </c>
      <c r="E159" s="1284" t="s">
        <v>1101</v>
      </c>
      <c r="F159" s="1031"/>
      <c r="G159" s="1031"/>
      <c r="H159" s="1031"/>
      <c r="I159" s="1326" t="s">
        <v>1745</v>
      </c>
      <c r="J159" s="1032"/>
      <c r="K159" s="555"/>
    </row>
    <row r="160" spans="2:11" ht="15">
      <c r="B160" s="1026" t="s">
        <v>1102</v>
      </c>
      <c r="C160" s="1027"/>
      <c r="D160" s="1368">
        <v>5970000</v>
      </c>
      <c r="E160" s="1284" t="s">
        <v>1101</v>
      </c>
      <c r="F160" s="1031"/>
      <c r="G160" s="1031"/>
      <c r="H160" s="1031"/>
      <c r="I160" s="1326" t="s">
        <v>1745</v>
      </c>
      <c r="J160" s="1032"/>
      <c r="K160" s="555"/>
    </row>
    <row r="161" spans="2:11" ht="15">
      <c r="B161" s="1026" t="s">
        <v>1103</v>
      </c>
      <c r="C161" s="1027"/>
      <c r="D161" s="1373">
        <v>1.9</v>
      </c>
      <c r="E161" s="1284" t="s">
        <v>1101</v>
      </c>
      <c r="F161" s="1031"/>
      <c r="G161" s="1031"/>
      <c r="H161" s="1031"/>
      <c r="I161" s="1326" t="s">
        <v>1745</v>
      </c>
      <c r="J161" s="1032"/>
      <c r="K161" s="555"/>
    </row>
    <row r="162" spans="2:11" ht="15">
      <c r="B162" s="1026" t="s">
        <v>1104</v>
      </c>
      <c r="C162" s="1027"/>
      <c r="D162" s="1373">
        <v>4.7</v>
      </c>
      <c r="E162" s="1284" t="s">
        <v>1101</v>
      </c>
      <c r="F162" s="1031"/>
      <c r="G162" s="1031"/>
      <c r="H162" s="1031"/>
      <c r="I162" s="1326" t="s">
        <v>1745</v>
      </c>
      <c r="J162" s="1032"/>
      <c r="K162" s="555"/>
    </row>
    <row r="163" spans="2:11" ht="15">
      <c r="B163" s="1026" t="s">
        <v>1105</v>
      </c>
      <c r="C163" s="1027"/>
      <c r="D163" s="1373">
        <v>1.9</v>
      </c>
      <c r="E163" s="1284" t="s">
        <v>1101</v>
      </c>
      <c r="F163" s="1031"/>
      <c r="G163" s="1031"/>
      <c r="H163" s="1031"/>
      <c r="I163" s="1326" t="s">
        <v>1745</v>
      </c>
      <c r="J163" s="1032"/>
      <c r="K163" s="555"/>
    </row>
    <row r="164" spans="2:11" ht="15">
      <c r="B164" s="1026" t="s">
        <v>1106</v>
      </c>
      <c r="C164" s="1027"/>
      <c r="D164" s="1373">
        <v>52.9</v>
      </c>
      <c r="E164" s="1284" t="s">
        <v>1101</v>
      </c>
      <c r="F164" s="1031"/>
      <c r="G164" s="1031"/>
      <c r="H164" s="1031"/>
      <c r="I164" s="1326" t="s">
        <v>1745</v>
      </c>
      <c r="J164" s="1032"/>
      <c r="K164" s="555"/>
    </row>
    <row r="165" spans="2:11" ht="15">
      <c r="B165" s="1026" t="s">
        <v>1107</v>
      </c>
      <c r="C165" s="1027"/>
      <c r="D165" s="1373">
        <v>52.9</v>
      </c>
      <c r="E165" s="1284" t="s">
        <v>1101</v>
      </c>
      <c r="F165" s="1031"/>
      <c r="G165" s="1031"/>
      <c r="H165" s="1031"/>
      <c r="I165" s="1326" t="s">
        <v>1745</v>
      </c>
      <c r="J165" s="1032"/>
      <c r="K165" s="555"/>
    </row>
    <row r="166" spans="2:11" ht="15">
      <c r="B166" s="1026" t="s">
        <v>1108</v>
      </c>
      <c r="C166" s="1027"/>
      <c r="D166" s="1373">
        <v>88</v>
      </c>
      <c r="E166" s="1284" t="s">
        <v>1101</v>
      </c>
      <c r="F166" s="1031"/>
      <c r="G166" s="1031"/>
      <c r="H166" s="1031"/>
      <c r="I166" s="1326" t="s">
        <v>1745</v>
      </c>
      <c r="J166" s="1032"/>
      <c r="K166" s="555"/>
    </row>
    <row r="167" spans="2:11" ht="15">
      <c r="B167" s="1026"/>
      <c r="C167" s="1027"/>
      <c r="D167" s="1370"/>
      <c r="E167" s="1031"/>
      <c r="F167" s="1031"/>
      <c r="G167" s="1031"/>
      <c r="H167" s="1031"/>
      <c r="I167" s="1326"/>
      <c r="J167" s="1032"/>
      <c r="K167" s="555"/>
    </row>
    <row r="168" spans="2:11" ht="15">
      <c r="B168" s="1026"/>
      <c r="C168" s="1027"/>
      <c r="D168" s="1370"/>
      <c r="E168" s="1031"/>
      <c r="F168" s="1031"/>
      <c r="G168" s="1031"/>
      <c r="H168" s="1031"/>
      <c r="I168" s="1326"/>
      <c r="J168" s="1032"/>
      <c r="K168" s="555"/>
    </row>
    <row r="169" spans="2:11" ht="15">
      <c r="B169" s="1026"/>
      <c r="C169" s="1027"/>
      <c r="D169" s="1370"/>
      <c r="E169" s="1031"/>
      <c r="F169" s="1031"/>
      <c r="G169" s="1031"/>
      <c r="H169" s="1031"/>
      <c r="I169" s="1326"/>
      <c r="J169" s="1032"/>
      <c r="K169" s="555"/>
    </row>
    <row r="170" spans="2:11" ht="15">
      <c r="B170" s="1026"/>
      <c r="C170" s="1027"/>
      <c r="D170" s="1370"/>
      <c r="E170" s="1031"/>
      <c r="F170" s="1031"/>
      <c r="G170" s="1031"/>
      <c r="H170" s="1031"/>
      <c r="I170" s="1326"/>
      <c r="J170" s="1032"/>
      <c r="K170" s="555"/>
    </row>
    <row r="171" spans="2:11" ht="15">
      <c r="B171" s="1026"/>
      <c r="C171" s="1027"/>
      <c r="D171" s="1370"/>
      <c r="E171" s="1031"/>
      <c r="F171" s="1031"/>
      <c r="G171" s="1031"/>
      <c r="H171" s="1031"/>
      <c r="I171" s="1326"/>
      <c r="J171" s="1032"/>
      <c r="K171" s="555"/>
    </row>
    <row r="172" spans="2:11" ht="15">
      <c r="B172" s="1026"/>
      <c r="C172" s="1027"/>
      <c r="D172" s="1370"/>
      <c r="E172" s="1031"/>
      <c r="F172" s="1031"/>
      <c r="G172" s="1031"/>
      <c r="H172" s="1031"/>
      <c r="I172" s="1326"/>
      <c r="J172" s="1032"/>
      <c r="K172" s="555"/>
    </row>
    <row r="173" spans="2:11" ht="15">
      <c r="B173" s="1026"/>
      <c r="C173" s="1027"/>
      <c r="D173" s="1370"/>
      <c r="E173" s="1031"/>
      <c r="F173" s="1031"/>
      <c r="G173" s="1031"/>
      <c r="H173" s="1031"/>
      <c r="I173" s="1326"/>
      <c r="J173" s="1032"/>
      <c r="K173" s="555"/>
    </row>
    <row r="174" spans="2:11" ht="15">
      <c r="B174" s="1026"/>
      <c r="C174" s="1027"/>
      <c r="D174" s="1370"/>
      <c r="E174" s="1031"/>
      <c r="F174" s="1031"/>
      <c r="G174" s="1031"/>
      <c r="H174" s="1031"/>
      <c r="I174" s="1326"/>
      <c r="J174" s="1032"/>
      <c r="K174" s="555"/>
    </row>
    <row r="175" spans="2:11" ht="15">
      <c r="B175" s="1026"/>
      <c r="C175" s="1027"/>
      <c r="D175" s="1370"/>
      <c r="E175" s="1031"/>
      <c r="F175" s="1031"/>
      <c r="G175" s="1031"/>
      <c r="H175" s="1031"/>
      <c r="I175" s="1326"/>
      <c r="J175" s="1032"/>
      <c r="K175" s="555"/>
    </row>
    <row r="176" spans="2:11" ht="15">
      <c r="B176" s="1026"/>
      <c r="C176" s="1027"/>
      <c r="D176" s="1370"/>
      <c r="E176" s="1027"/>
      <c r="F176" s="1027"/>
      <c r="G176" s="1027"/>
      <c r="H176" s="1027"/>
      <c r="I176" s="1326"/>
      <c r="J176" s="1032"/>
      <c r="K176" s="555"/>
    </row>
    <row r="177" spans="2:11" ht="15">
      <c r="B177" s="1029" t="s">
        <v>1109</v>
      </c>
      <c r="C177" s="1030"/>
      <c r="D177" s="1370"/>
      <c r="E177" s="1027"/>
      <c r="F177" s="1027"/>
      <c r="G177" s="1027"/>
      <c r="H177" s="1027"/>
      <c r="I177" s="1326"/>
      <c r="J177" s="1032"/>
      <c r="K177" s="555"/>
    </row>
    <row r="178" spans="2:11" ht="15">
      <c r="B178" s="1026" t="s">
        <v>1110</v>
      </c>
      <c r="C178" s="1027"/>
      <c r="D178" s="1373">
        <v>35.1</v>
      </c>
      <c r="E178" s="1031" t="s">
        <v>1101</v>
      </c>
      <c r="F178" s="1031"/>
      <c r="G178" s="1031"/>
      <c r="H178" s="1031"/>
      <c r="I178" s="1326" t="s">
        <v>1745</v>
      </c>
      <c r="J178" s="1032"/>
      <c r="K178" s="555"/>
    </row>
    <row r="179" spans="2:11" ht="15.75" thickBot="1">
      <c r="B179" s="1033" t="s">
        <v>1111</v>
      </c>
      <c r="C179" s="1034"/>
      <c r="D179" s="1380">
        <v>1.1000000000000001</v>
      </c>
      <c r="E179" s="1035" t="s">
        <v>1101</v>
      </c>
      <c r="F179" s="1035"/>
      <c r="G179" s="1035"/>
      <c r="H179" s="1035"/>
      <c r="I179" s="1327" t="s">
        <v>1745</v>
      </c>
      <c r="J179" s="1032"/>
      <c r="K179" s="555"/>
    </row>
    <row r="180" spans="2:11">
      <c r="B180" s="530" t="str">
        <f>CONCATENATE("Source: ",Referencer!$B$48)</f>
        <v>Source: 42, FORCE, Danish Energy Agency, 2013, Technology data for advanced bioenergy fuels.</v>
      </c>
      <c r="D180" s="545">
        <f>D179/D178</f>
        <v>3.1339031339031341E-2</v>
      </c>
      <c r="I180" s="555"/>
      <c r="J180" s="555"/>
      <c r="K180" s="555"/>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Supplementary!$B$238:$B$241</xm:f>
          </x14:formula1>
          <xm:sqref>C19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tabColor rgb="FF00B0F0"/>
  </sheetPr>
  <dimension ref="A1:S180"/>
  <sheetViews>
    <sheetView topLeftCell="A113" zoomScale="80" zoomScaleNormal="80" workbookViewId="0">
      <selection activeCell="D157" sqref="D157"/>
    </sheetView>
  </sheetViews>
  <sheetFormatPr defaultRowHeight="12.75"/>
  <cols>
    <col min="1" max="1" width="3.28515625" style="530" customWidth="1"/>
    <col min="2" max="2" width="36" style="530" customWidth="1"/>
    <col min="3" max="3" width="16.5703125" style="530" customWidth="1"/>
    <col min="4" max="8" width="15.7109375" style="530" customWidth="1"/>
    <col min="9" max="9" width="7.28515625" style="530" customWidth="1"/>
    <col min="10" max="10" width="12.7109375" style="530" customWidth="1"/>
    <col min="11" max="13" width="9.140625" style="530"/>
    <col min="14" max="14" width="10.7109375" style="530" bestFit="1" customWidth="1"/>
    <col min="15" max="17" width="9.28515625" style="530" bestFit="1" customWidth="1"/>
    <col min="18" max="19" width="9.42578125" style="530" bestFit="1" customWidth="1"/>
    <col min="20" max="16384" width="9.140625" style="530"/>
  </cols>
  <sheetData>
    <row r="1" spans="1:19" s="465" customFormat="1" ht="21">
      <c r="B1" s="465" t="str">
        <f>B156</f>
        <v>Methanol by ETL technology</v>
      </c>
      <c r="Q1" s="467">
        <f ca="1">'Log2015'!M1</f>
        <v>-8.0112614142160741</v>
      </c>
      <c r="R1" s="468">
        <f ca="1">'Log2015'!N1</f>
        <v>-160807.124977848</v>
      </c>
    </row>
    <row r="2" spans="1:19">
      <c r="B2" s="530" t="s">
        <v>1112</v>
      </c>
      <c r="Q2" s="958">
        <f ca="1">Q1</f>
        <v>-8.0112614142160741</v>
      </c>
      <c r="R2" s="958">
        <f ca="1">R1</f>
        <v>-160807.124977848</v>
      </c>
      <c r="S2" s="959">
        <f>S1</f>
        <v>0</v>
      </c>
    </row>
    <row r="3" spans="1:19">
      <c r="A3" s="530" t="s">
        <v>1078</v>
      </c>
    </row>
    <row r="4" spans="1:19">
      <c r="B4" s="960" t="s">
        <v>81</v>
      </c>
    </row>
    <row r="5" spans="1:19" ht="13.5" thickBot="1"/>
    <row r="6" spans="1:19">
      <c r="B6" s="961" t="s">
        <v>137</v>
      </c>
      <c r="C6" s="962"/>
      <c r="D6" s="962"/>
      <c r="E6" s="962"/>
      <c r="F6" s="962"/>
      <c r="G6" s="962"/>
      <c r="H6" s="962"/>
      <c r="I6" s="962"/>
      <c r="J6" s="962"/>
      <c r="K6" s="962"/>
      <c r="L6" s="962"/>
      <c r="M6" s="962"/>
      <c r="N6" s="963"/>
    </row>
    <row r="7" spans="1:19">
      <c r="B7" s="964"/>
      <c r="C7" s="555"/>
      <c r="D7" s="555"/>
      <c r="E7" s="555"/>
      <c r="F7" s="555"/>
      <c r="G7" s="555"/>
      <c r="H7" s="555"/>
      <c r="I7" s="555"/>
      <c r="J7" s="555"/>
      <c r="K7" s="555"/>
      <c r="L7" s="555"/>
      <c r="M7" s="555"/>
      <c r="N7" s="965"/>
    </row>
    <row r="8" spans="1:19">
      <c r="B8" s="964"/>
      <c r="C8" s="555"/>
      <c r="D8" s="555"/>
      <c r="E8" s="555"/>
      <c r="F8" s="555"/>
      <c r="G8" s="555"/>
      <c r="H8" s="555"/>
      <c r="I8" s="555"/>
      <c r="J8" s="555"/>
      <c r="K8" s="555"/>
      <c r="L8" s="555"/>
      <c r="M8" s="555"/>
      <c r="N8" s="965"/>
    </row>
    <row r="9" spans="1:19">
      <c r="B9" s="964"/>
      <c r="C9" s="555"/>
      <c r="D9" s="555"/>
      <c r="E9" s="555"/>
      <c r="F9" s="555"/>
      <c r="G9" s="555"/>
      <c r="H9" s="555"/>
      <c r="I9" s="555"/>
      <c r="J9" s="555"/>
      <c r="K9" s="555"/>
      <c r="L9" s="555"/>
      <c r="M9" s="555"/>
      <c r="N9" s="965"/>
    </row>
    <row r="10" spans="1:19">
      <c r="B10" s="964"/>
      <c r="C10" s="555"/>
      <c r="D10" s="555"/>
      <c r="E10" s="555"/>
      <c r="F10" s="555"/>
      <c r="G10" s="555"/>
      <c r="H10" s="555"/>
      <c r="I10" s="555"/>
      <c r="J10" s="555"/>
      <c r="K10" s="555"/>
      <c r="L10" s="555"/>
      <c r="M10" s="555"/>
      <c r="N10" s="965"/>
    </row>
    <row r="11" spans="1:19">
      <c r="B11" s="964" t="s">
        <v>138</v>
      </c>
      <c r="C11" s="966" t="s">
        <v>951</v>
      </c>
      <c r="D11" s="555"/>
      <c r="E11" s="555"/>
      <c r="F11" s="555"/>
      <c r="G11" s="555"/>
      <c r="H11" s="555"/>
      <c r="I11" s="555"/>
      <c r="J11" s="555"/>
      <c r="K11" s="555"/>
      <c r="L11" s="555"/>
      <c r="M11" s="555"/>
      <c r="N11" s="965"/>
    </row>
    <row r="12" spans="1:19">
      <c r="B12" s="964"/>
      <c r="C12" s="555"/>
      <c r="D12" s="555"/>
      <c r="E12" s="555"/>
      <c r="F12" s="555"/>
      <c r="G12" s="555"/>
      <c r="H12" s="555"/>
      <c r="I12" s="555"/>
      <c r="J12" s="555"/>
      <c r="K12" s="555"/>
      <c r="L12" s="555"/>
      <c r="M12" s="555"/>
      <c r="N12" s="965"/>
    </row>
    <row r="13" spans="1:19">
      <c r="B13" s="964" t="s">
        <v>140</v>
      </c>
      <c r="C13" s="555" t="s">
        <v>1080</v>
      </c>
      <c r="D13" s="555"/>
      <c r="E13" s="555"/>
      <c r="F13" s="555"/>
      <c r="G13" s="555"/>
      <c r="H13" s="555"/>
      <c r="I13" s="555"/>
      <c r="J13" s="555"/>
      <c r="K13" s="555"/>
      <c r="L13" s="555"/>
      <c r="M13" s="555"/>
      <c r="N13" s="965"/>
    </row>
    <row r="14" spans="1:19">
      <c r="B14" s="964"/>
      <c r="C14" s="555"/>
      <c r="D14" s="555"/>
      <c r="E14" s="555"/>
      <c r="F14" s="555"/>
      <c r="G14" s="555"/>
      <c r="H14" s="555"/>
      <c r="I14" s="555"/>
      <c r="J14" s="555"/>
      <c r="K14" s="555"/>
      <c r="L14" s="555"/>
      <c r="M14" s="555"/>
      <c r="N14" s="965"/>
    </row>
    <row r="15" spans="1:19">
      <c r="B15" s="964" t="s">
        <v>141</v>
      </c>
      <c r="C15" s="555"/>
      <c r="D15" s="555"/>
      <c r="E15" s="555"/>
      <c r="F15" s="555"/>
      <c r="G15" s="555"/>
      <c r="H15" s="555"/>
      <c r="I15" s="555"/>
      <c r="J15" s="555"/>
      <c r="K15" s="555"/>
      <c r="L15" s="555"/>
      <c r="M15" s="555"/>
      <c r="N15" s="965"/>
    </row>
    <row r="16" spans="1:19">
      <c r="B16" s="964"/>
      <c r="C16" s="555"/>
      <c r="D16" s="555"/>
      <c r="E16" s="555"/>
      <c r="F16" s="555"/>
      <c r="G16" s="555"/>
      <c r="H16" s="555"/>
      <c r="I16" s="555"/>
      <c r="J16" s="555"/>
      <c r="K16" s="555"/>
      <c r="L16" s="555"/>
      <c r="M16" s="555"/>
      <c r="N16" s="965"/>
    </row>
    <row r="17" spans="2:14">
      <c r="B17" s="964" t="s">
        <v>142</v>
      </c>
      <c r="C17" s="555"/>
      <c r="D17" s="555"/>
      <c r="E17" s="555"/>
      <c r="F17" s="555"/>
      <c r="G17" s="555"/>
      <c r="H17" s="555"/>
      <c r="I17" s="555"/>
      <c r="J17" s="555"/>
      <c r="K17" s="555"/>
      <c r="L17" s="555"/>
      <c r="M17" s="555"/>
      <c r="N17" s="965"/>
    </row>
    <row r="18" spans="2:14">
      <c r="B18" s="964"/>
      <c r="C18" s="555"/>
      <c r="D18" s="555"/>
      <c r="E18" s="555"/>
      <c r="F18" s="555"/>
      <c r="G18" s="555"/>
      <c r="H18" s="555"/>
      <c r="I18" s="555"/>
      <c r="J18" s="555"/>
      <c r="K18" s="555"/>
      <c r="L18" s="555"/>
      <c r="M18" s="555"/>
      <c r="N18" s="965"/>
    </row>
    <row r="19" spans="2:14">
      <c r="B19" s="964" t="s">
        <v>2131</v>
      </c>
      <c r="C19" s="1693" t="s">
        <v>2122</v>
      </c>
      <c r="D19" s="555"/>
      <c r="E19" s="555"/>
      <c r="F19" s="555"/>
      <c r="G19" s="555"/>
      <c r="H19" s="555"/>
      <c r="I19" s="555"/>
      <c r="J19" s="555"/>
      <c r="K19" s="555"/>
      <c r="L19" s="555"/>
      <c r="M19" s="555"/>
      <c r="N19" s="965"/>
    </row>
    <row r="20" spans="2:14">
      <c r="B20" s="964"/>
      <c r="C20" s="555"/>
      <c r="D20" s="555"/>
      <c r="E20" s="555"/>
      <c r="F20" s="555"/>
      <c r="G20" s="555"/>
      <c r="H20" s="555"/>
      <c r="I20" s="555"/>
      <c r="J20" s="555"/>
      <c r="K20" s="555"/>
      <c r="L20" s="555"/>
      <c r="M20" s="555"/>
      <c r="N20" s="965"/>
    </row>
    <row r="21" spans="2:14">
      <c r="B21" s="964"/>
      <c r="C21" s="555"/>
      <c r="D21" s="555"/>
      <c r="E21" s="555"/>
      <c r="F21" s="555"/>
      <c r="G21" s="555"/>
      <c r="H21" s="555"/>
      <c r="I21" s="555"/>
      <c r="J21" s="555"/>
      <c r="K21" s="555"/>
      <c r="L21" s="555"/>
      <c r="M21" s="555"/>
      <c r="N21" s="965"/>
    </row>
    <row r="22" spans="2:14">
      <c r="B22" s="964" t="s">
        <v>143</v>
      </c>
      <c r="C22" s="555"/>
      <c r="D22" s="555"/>
      <c r="E22" s="555"/>
      <c r="F22" s="555"/>
      <c r="G22" s="555"/>
      <c r="H22" s="555"/>
      <c r="I22" s="555"/>
      <c r="J22" s="555"/>
      <c r="K22" s="555"/>
      <c r="L22" s="555"/>
      <c r="M22" s="555"/>
      <c r="N22" s="965"/>
    </row>
    <row r="23" spans="2:14">
      <c r="B23" s="964"/>
      <c r="C23" s="555"/>
      <c r="D23" s="555"/>
      <c r="E23" s="555"/>
      <c r="F23" s="555"/>
      <c r="G23" s="555"/>
      <c r="H23" s="555"/>
      <c r="I23" s="555"/>
      <c r="J23" s="555"/>
      <c r="K23" s="555"/>
      <c r="L23" s="555"/>
      <c r="M23" s="555"/>
      <c r="N23" s="965"/>
    </row>
    <row r="24" spans="2:14" ht="13.5" thickBot="1">
      <c r="B24" s="967"/>
      <c r="C24" s="968"/>
      <c r="D24" s="968"/>
      <c r="E24" s="968"/>
      <c r="F24" s="968"/>
      <c r="G24" s="968"/>
      <c r="H24" s="968"/>
      <c r="I24" s="968"/>
      <c r="J24" s="968"/>
      <c r="K24" s="968"/>
      <c r="L24" s="968"/>
      <c r="M24" s="968"/>
      <c r="N24" s="969"/>
    </row>
    <row r="25" spans="2:14">
      <c r="F25" s="529"/>
      <c r="G25" s="529"/>
      <c r="H25" s="529"/>
    </row>
    <row r="26" spans="2:14">
      <c r="B26" s="960" t="s">
        <v>144</v>
      </c>
    </row>
    <row r="27" spans="2:14" ht="13.5" thickBot="1"/>
    <row r="28" spans="2:14">
      <c r="B28" s="961"/>
      <c r="C28" s="970"/>
      <c r="D28" s="962"/>
      <c r="E28" s="962"/>
      <c r="F28" s="962"/>
      <c r="G28" s="962"/>
      <c r="H28" s="962"/>
      <c r="I28" s="962"/>
      <c r="J28" s="963"/>
    </row>
    <row r="29" spans="2:14">
      <c r="B29" s="971"/>
      <c r="C29" s="972" t="s">
        <v>70</v>
      </c>
      <c r="D29" s="973">
        <v>2015</v>
      </c>
      <c r="E29" s="973">
        <v>2020</v>
      </c>
      <c r="F29" s="973">
        <v>2035</v>
      </c>
      <c r="G29" s="973">
        <v>2050</v>
      </c>
      <c r="H29" s="973" t="s">
        <v>978</v>
      </c>
      <c r="I29" s="556" t="s">
        <v>145</v>
      </c>
      <c r="J29" s="974" t="s">
        <v>146</v>
      </c>
    </row>
    <row r="30" spans="2:14">
      <c r="B30" s="975" t="s">
        <v>147</v>
      </c>
      <c r="C30" s="976"/>
      <c r="D30" s="977"/>
      <c r="E30" s="977"/>
      <c r="F30" s="977"/>
      <c r="G30" s="977"/>
      <c r="H30" s="977"/>
      <c r="I30" s="555"/>
      <c r="J30" s="965"/>
    </row>
    <row r="31" spans="2:14">
      <c r="B31" s="964" t="s">
        <v>148</v>
      </c>
      <c r="C31" s="976" t="s">
        <v>1113</v>
      </c>
      <c r="D31" s="978">
        <f>1/D162/D168</f>
        <v>2.6791838134430725E-2</v>
      </c>
      <c r="E31" s="978">
        <f>$D31</f>
        <v>2.6791838134430725E-2</v>
      </c>
      <c r="F31" s="978">
        <f>$D31</f>
        <v>2.6791838134430725E-2</v>
      </c>
      <c r="G31" s="978">
        <f>$D31</f>
        <v>2.6791838134430725E-2</v>
      </c>
      <c r="H31" s="1333"/>
      <c r="I31" s="555"/>
      <c r="J31" s="965"/>
    </row>
    <row r="32" spans="2:14">
      <c r="B32" s="964" t="s">
        <v>67</v>
      </c>
      <c r="C32" s="976" t="s">
        <v>1081</v>
      </c>
      <c r="D32" s="979">
        <f>D160/D159</f>
        <v>19.899999999999999</v>
      </c>
      <c r="E32" s="978">
        <f t="shared" ref="E32:G34" si="0">$D32</f>
        <v>19.899999999999999</v>
      </c>
      <c r="F32" s="978">
        <f t="shared" si="0"/>
        <v>19.899999999999999</v>
      </c>
      <c r="G32" s="978">
        <f t="shared" si="0"/>
        <v>19.899999999999999</v>
      </c>
      <c r="H32" s="978"/>
      <c r="I32" s="555"/>
      <c r="J32" s="965"/>
    </row>
    <row r="33" spans="2:10">
      <c r="B33" s="964" t="s">
        <v>149</v>
      </c>
      <c r="C33" s="976" t="s">
        <v>1086</v>
      </c>
      <c r="D33" s="1396">
        <f>D159</f>
        <v>40000</v>
      </c>
      <c r="E33" s="1396">
        <f t="shared" si="0"/>
        <v>40000</v>
      </c>
      <c r="F33" s="1396">
        <f t="shared" si="0"/>
        <v>40000</v>
      </c>
      <c r="G33" s="1396">
        <f t="shared" si="0"/>
        <v>40000</v>
      </c>
      <c r="H33" s="1397"/>
      <c r="I33" s="555"/>
      <c r="J33" s="965"/>
    </row>
    <row r="34" spans="2:10">
      <c r="B34" s="964" t="s">
        <v>150</v>
      </c>
      <c r="C34" s="976" t="s">
        <v>34</v>
      </c>
      <c r="D34" s="1332">
        <f>20</f>
        <v>20</v>
      </c>
      <c r="E34" s="1332">
        <f t="shared" si="0"/>
        <v>20</v>
      </c>
      <c r="F34" s="1332">
        <f t="shared" si="0"/>
        <v>20</v>
      </c>
      <c r="G34" s="1332">
        <f t="shared" si="0"/>
        <v>20</v>
      </c>
      <c r="H34" s="1332"/>
      <c r="I34" s="555"/>
      <c r="J34" s="965" t="s">
        <v>1087</v>
      </c>
    </row>
    <row r="35" spans="2:10">
      <c r="B35" s="964"/>
      <c r="C35" s="981"/>
      <c r="D35" s="982"/>
      <c r="E35" s="983"/>
      <c r="F35" s="983"/>
      <c r="G35" s="983"/>
      <c r="H35" s="983"/>
      <c r="I35" s="555"/>
      <c r="J35" s="965"/>
    </row>
    <row r="36" spans="2:10">
      <c r="B36" s="975" t="s">
        <v>151</v>
      </c>
      <c r="C36" s="981"/>
      <c r="D36" s="982"/>
      <c r="E36" s="983"/>
      <c r="F36" s="983"/>
      <c r="G36" s="983"/>
      <c r="H36" s="983"/>
      <c r="I36" s="555"/>
      <c r="J36" s="965"/>
    </row>
    <row r="37" spans="2:10">
      <c r="B37" s="964" t="str">
        <f>ProcessEnergy!B35</f>
        <v xml:space="preserve">Green diesel </v>
      </c>
      <c r="C37" s="976" t="s">
        <v>463</v>
      </c>
      <c r="D37" s="984"/>
      <c r="E37" s="984"/>
      <c r="F37" s="984"/>
      <c r="G37" s="984"/>
      <c r="H37" s="984"/>
      <c r="I37" s="555"/>
      <c r="J37" s="965"/>
    </row>
    <row r="38" spans="2:10">
      <c r="B38" s="985" t="str">
        <f>ProcessEnergy!B36</f>
        <v>Green gasoline</v>
      </c>
      <c r="C38" s="976"/>
      <c r="D38" s="984"/>
      <c r="E38" s="984"/>
      <c r="F38" s="984"/>
      <c r="G38" s="984"/>
      <c r="H38" s="984"/>
      <c r="I38" s="555"/>
      <c r="J38" s="965"/>
    </row>
    <row r="39" spans="2:10">
      <c r="B39" s="985" t="str">
        <f>ProcessEnergy!B37</f>
        <v>Electricity - balancing</v>
      </c>
      <c r="C39" s="976"/>
      <c r="D39" s="984"/>
      <c r="E39" s="984"/>
      <c r="F39" s="984"/>
      <c r="G39" s="984"/>
      <c r="H39" s="984"/>
      <c r="I39" s="555"/>
      <c r="J39" s="965"/>
    </row>
    <row r="40" spans="2:10">
      <c r="B40" s="985" t="str">
        <f>ProcessEnergy!B38</f>
        <v>Electricity  - continous</v>
      </c>
      <c r="C40" s="976"/>
      <c r="D40" s="984"/>
      <c r="E40" s="984"/>
      <c r="F40" s="984"/>
      <c r="G40" s="984"/>
      <c r="H40" s="984"/>
      <c r="I40" s="555"/>
      <c r="J40" s="965"/>
    </row>
    <row r="41" spans="2:10">
      <c r="B41" s="985" t="str">
        <f>ProcessEnergy!B39</f>
        <v>Elec/heat fuel</v>
      </c>
      <c r="C41" s="976"/>
      <c r="D41" s="984"/>
      <c r="E41" s="984"/>
      <c r="F41" s="984"/>
      <c r="G41" s="984"/>
      <c r="H41" s="984"/>
      <c r="I41" s="555"/>
      <c r="J41" s="965"/>
    </row>
    <row r="42" spans="2:10">
      <c r="B42" s="985" t="str">
        <f>ProcessEnergy!B40</f>
        <v>Biogas (100% CH4)</v>
      </c>
      <c r="C42" s="976"/>
      <c r="D42" s="984"/>
      <c r="E42" s="984"/>
      <c r="F42" s="984"/>
      <c r="G42" s="984"/>
      <c r="H42" s="984"/>
      <c r="I42" s="555"/>
      <c r="J42" s="965"/>
    </row>
    <row r="43" spans="2:10">
      <c r="B43" s="985" t="str">
        <f>ProcessEnergy!B41</f>
        <v>District heating</v>
      </c>
      <c r="C43" s="976" t="s">
        <v>1114</v>
      </c>
      <c r="D43" s="978">
        <f>C152*C153</f>
        <v>0.2802</v>
      </c>
      <c r="E43" s="978">
        <f>$D43</f>
        <v>0.2802</v>
      </c>
      <c r="F43" s="978">
        <f>$D43</f>
        <v>0.2802</v>
      </c>
      <c r="G43" s="978">
        <f>$D43</f>
        <v>0.2802</v>
      </c>
      <c r="H43" s="978"/>
      <c r="I43" s="555"/>
      <c r="J43" s="965"/>
    </row>
    <row r="44" spans="2:10">
      <c r="B44" s="985" t="str">
        <f>ProcessEnergy!B42</f>
        <v>&lt;empty&gt;</v>
      </c>
      <c r="C44" s="976"/>
      <c r="D44" s="978"/>
      <c r="E44" s="978"/>
      <c r="F44" s="978"/>
      <c r="G44" s="978"/>
      <c r="H44" s="978"/>
      <c r="I44" s="555"/>
      <c r="J44" s="965"/>
    </row>
    <row r="45" spans="2:10">
      <c r="B45" s="985" t="str">
        <f>ProcessEnergy!B43</f>
        <v>&lt;empty&gt;</v>
      </c>
      <c r="C45" s="976"/>
      <c r="D45" s="978"/>
      <c r="E45" s="978"/>
      <c r="F45" s="978"/>
      <c r="G45" s="978"/>
      <c r="H45" s="978"/>
      <c r="I45" s="555"/>
      <c r="J45" s="965"/>
    </row>
    <row r="46" spans="2:10">
      <c r="B46" s="985" t="str">
        <f>ProcessEnergy!B44</f>
        <v>&lt;empty&gt;</v>
      </c>
      <c r="C46" s="976"/>
      <c r="D46" s="978"/>
      <c r="E46" s="978"/>
      <c r="F46" s="978"/>
      <c r="G46" s="978"/>
      <c r="H46" s="978"/>
      <c r="I46" s="555"/>
      <c r="J46" s="965"/>
    </row>
    <row r="47" spans="2:10">
      <c r="B47" s="985" t="str">
        <f>ProcessEnergy!B45</f>
        <v>&lt;empty&gt;</v>
      </c>
      <c r="C47" s="976"/>
      <c r="D47" s="978"/>
      <c r="E47" s="978"/>
      <c r="F47" s="978"/>
      <c r="G47" s="978"/>
      <c r="H47" s="978"/>
      <c r="I47" s="555"/>
      <c r="J47" s="965"/>
    </row>
    <row r="48" spans="2:10">
      <c r="B48" s="985" t="str">
        <f>ProcessEnergy!B46</f>
        <v>&lt;empty&gt;</v>
      </c>
      <c r="C48" s="976"/>
      <c r="D48" s="978"/>
      <c r="E48" s="978"/>
      <c r="F48" s="978"/>
      <c r="G48" s="978"/>
      <c r="H48" s="978"/>
      <c r="I48" s="555"/>
      <c r="J48" s="965"/>
    </row>
    <row r="49" spans="2:10">
      <c r="B49" s="985" t="str">
        <f>ProcessEnergy!B47</f>
        <v>&lt;empty&gt;</v>
      </c>
      <c r="C49" s="976"/>
      <c r="D49" s="978"/>
      <c r="E49" s="978"/>
      <c r="F49" s="978"/>
      <c r="G49" s="978"/>
      <c r="H49" s="978"/>
      <c r="I49" s="555"/>
      <c r="J49" s="965"/>
    </row>
    <row r="50" spans="2:10">
      <c r="B50" s="985" t="str">
        <f>ProcessEnergy!B48</f>
        <v>Glycerol</v>
      </c>
      <c r="C50" s="976"/>
      <c r="D50" s="978"/>
      <c r="E50" s="978"/>
      <c r="F50" s="978"/>
      <c r="G50" s="978"/>
      <c r="H50" s="978"/>
      <c r="I50" s="555"/>
      <c r="J50" s="965"/>
    </row>
    <row r="51" spans="2:10">
      <c r="B51" s="985" t="str">
        <f>ProcessEnergy!B49</f>
        <v>&lt;empty&gt;</v>
      </c>
      <c r="C51" s="976"/>
      <c r="D51" s="978"/>
      <c r="E51" s="978"/>
      <c r="F51" s="978"/>
      <c r="G51" s="978"/>
      <c r="H51" s="978"/>
      <c r="I51" s="555"/>
      <c r="J51" s="965"/>
    </row>
    <row r="52" spans="2:10">
      <c r="B52" s="985" t="str">
        <f>ProcessEnergy!B50</f>
        <v>&lt;empty&gt;</v>
      </c>
      <c r="C52" s="976"/>
      <c r="D52" s="978"/>
      <c r="E52" s="978"/>
      <c r="F52" s="978"/>
      <c r="G52" s="978"/>
      <c r="H52" s="978"/>
      <c r="I52" s="555"/>
      <c r="J52" s="965"/>
    </row>
    <row r="53" spans="2:10">
      <c r="B53" s="985" t="str">
        <f>ProcessEnergy!B51</f>
        <v>Fodder (wheat like)</v>
      </c>
      <c r="C53" s="976"/>
      <c r="D53" s="984"/>
      <c r="E53" s="984"/>
      <c r="F53" s="984"/>
      <c r="G53" s="984"/>
      <c r="H53" s="984"/>
      <c r="I53" s="555"/>
      <c r="J53" s="965"/>
    </row>
    <row r="54" spans="2:10">
      <c r="B54" s="985" t="str">
        <f>ProcessEnergy!B52</f>
        <v>Rape seed cake</v>
      </c>
      <c r="C54" s="976"/>
      <c r="D54" s="984"/>
      <c r="E54" s="984"/>
      <c r="F54" s="984"/>
      <c r="G54" s="984"/>
      <c r="H54" s="984"/>
      <c r="I54" s="555"/>
      <c r="J54" s="965"/>
    </row>
    <row r="55" spans="2:10">
      <c r="B55" s="985" t="str">
        <f>ProcessEnergy!B53</f>
        <v>&lt;empty&gt;</v>
      </c>
      <c r="C55" s="976"/>
      <c r="D55" s="984"/>
      <c r="E55" s="984"/>
      <c r="F55" s="984"/>
      <c r="G55" s="984"/>
      <c r="H55" s="984"/>
      <c r="I55" s="555"/>
      <c r="J55" s="965"/>
    </row>
    <row r="56" spans="2:10">
      <c r="B56" s="985" t="str">
        <f>ProcessEnergy!B54</f>
        <v>DDGS</v>
      </c>
      <c r="C56" s="976"/>
      <c r="D56" s="984"/>
      <c r="E56" s="984"/>
      <c r="F56" s="984"/>
      <c r="G56" s="984"/>
      <c r="H56" s="984"/>
      <c r="I56" s="555"/>
      <c r="J56" s="965"/>
    </row>
    <row r="57" spans="2:10">
      <c r="B57" s="964"/>
      <c r="C57" s="976"/>
      <c r="D57" s="984"/>
      <c r="E57" s="984"/>
      <c r="F57" s="984"/>
      <c r="G57" s="984"/>
      <c r="H57" s="984"/>
      <c r="I57" s="555"/>
      <c r="J57" s="965"/>
    </row>
    <row r="58" spans="2:10">
      <c r="B58" s="975" t="s">
        <v>873</v>
      </c>
      <c r="C58" s="976"/>
      <c r="D58" s="984"/>
      <c r="E58" s="984"/>
      <c r="F58" s="984"/>
      <c r="G58" s="984"/>
      <c r="H58" s="984"/>
      <c r="I58" s="555"/>
      <c r="J58" s="965"/>
    </row>
    <row r="59" spans="2:10">
      <c r="B59" s="964" t="str">
        <f>ProcessEnergy!B5</f>
        <v>EL - peakload</v>
      </c>
      <c r="C59" s="976" t="s">
        <v>1115</v>
      </c>
      <c r="D59" s="1334"/>
      <c r="E59" s="984"/>
      <c r="F59" s="984"/>
      <c r="G59" s="984"/>
      <c r="H59" s="984"/>
      <c r="I59" s="1335" t="s">
        <v>1747</v>
      </c>
      <c r="J59" s="965"/>
    </row>
    <row r="60" spans="2:10">
      <c r="B60" s="964" t="str">
        <f>ProcessEnergy!B6</f>
        <v>El - baseload</v>
      </c>
      <c r="C60" s="976" t="s">
        <v>877</v>
      </c>
      <c r="D60" s="984"/>
      <c r="E60" s="984"/>
      <c r="F60" s="984"/>
      <c r="G60" s="984"/>
      <c r="H60" s="984"/>
      <c r="I60" s="555"/>
      <c r="J60" s="965"/>
    </row>
    <row r="61" spans="2:10">
      <c r="B61" s="964" t="str">
        <f>ProcessEnergy!B7</f>
        <v xml:space="preserve">Varme </v>
      </c>
      <c r="C61" s="976" t="s">
        <v>877</v>
      </c>
      <c r="D61" s="984"/>
      <c r="E61" s="984"/>
      <c r="F61" s="984"/>
      <c r="G61" s="984"/>
      <c r="H61" s="984"/>
      <c r="I61" s="555"/>
      <c r="J61" s="965"/>
    </row>
    <row r="62" spans="2:10">
      <c r="B62" s="964" t="str">
        <f>ProcessEnergy!B8</f>
        <v>Damp</v>
      </c>
      <c r="C62" s="976" t="s">
        <v>877</v>
      </c>
      <c r="D62" s="984"/>
      <c r="E62" s="984"/>
      <c r="F62" s="984"/>
      <c r="G62" s="984"/>
      <c r="H62" s="984"/>
      <c r="I62" s="555"/>
      <c r="J62" s="965"/>
    </row>
    <row r="63" spans="2:10">
      <c r="B63" s="964" t="str">
        <f>ProcessEnergy!B9</f>
        <v xml:space="preserve">Olie </v>
      </c>
      <c r="C63" s="976" t="s">
        <v>877</v>
      </c>
      <c r="D63" s="984"/>
      <c r="E63" s="984"/>
      <c r="F63" s="984"/>
      <c r="G63" s="984"/>
      <c r="H63" s="984"/>
      <c r="I63" s="555"/>
      <c r="J63" s="965"/>
    </row>
    <row r="64" spans="2:10">
      <c r="B64" s="964" t="str">
        <f>ProcessEnergy!B10</f>
        <v>Kul</v>
      </c>
      <c r="C64" s="976" t="s">
        <v>877</v>
      </c>
      <c r="D64" s="984"/>
      <c r="E64" s="984"/>
      <c r="F64" s="984"/>
      <c r="G64" s="984"/>
      <c r="H64" s="984"/>
      <c r="I64" s="555"/>
      <c r="J64" s="965"/>
    </row>
    <row r="65" spans="2:10">
      <c r="B65" s="964" t="str">
        <f>ProcessEnergy!B11</f>
        <v>Naturgas kedel</v>
      </c>
      <c r="C65" s="976" t="s">
        <v>877</v>
      </c>
      <c r="D65" s="984"/>
      <c r="E65" s="984"/>
      <c r="F65" s="984"/>
      <c r="G65" s="984"/>
      <c r="H65" s="984"/>
      <c r="I65" s="555"/>
      <c r="J65" s="965"/>
    </row>
    <row r="66" spans="2:10">
      <c r="B66" s="964" t="str">
        <f>ProcessEnergy!B12</f>
        <v>Gylle</v>
      </c>
      <c r="C66" s="976" t="s">
        <v>877</v>
      </c>
      <c r="D66" s="984"/>
      <c r="E66" s="984"/>
      <c r="F66" s="984"/>
      <c r="G66" s="984"/>
      <c r="H66" s="984"/>
      <c r="I66" s="555"/>
      <c r="J66" s="965"/>
    </row>
    <row r="67" spans="2:10">
      <c r="B67" s="964" t="str">
        <f>ProcessEnergy!B13</f>
        <v>Affald</v>
      </c>
      <c r="C67" s="976" t="s">
        <v>877</v>
      </c>
      <c r="D67" s="984"/>
      <c r="E67" s="984"/>
      <c r="F67" s="984"/>
      <c r="G67" s="984"/>
      <c r="H67" s="984"/>
      <c r="I67" s="555"/>
      <c r="J67" s="965"/>
    </row>
    <row r="68" spans="2:10">
      <c r="B68" s="964" t="str">
        <f>ProcessEnergy!B14</f>
        <v>Hydrogen</v>
      </c>
      <c r="C68" s="976" t="s">
        <v>877</v>
      </c>
      <c r="D68" s="984"/>
      <c r="E68" s="984"/>
      <c r="F68" s="984"/>
      <c r="G68" s="984"/>
      <c r="H68" s="984"/>
      <c r="I68" s="555"/>
      <c r="J68" s="965"/>
    </row>
    <row r="69" spans="2:10">
      <c r="B69" s="964" t="str">
        <f>ProcessEnergy!B15</f>
        <v>Biomasse</v>
      </c>
      <c r="C69" s="976" t="s">
        <v>877</v>
      </c>
      <c r="D69" s="984"/>
      <c r="E69" s="984"/>
      <c r="F69" s="984"/>
      <c r="G69" s="984"/>
      <c r="H69" s="984"/>
      <c r="I69" s="555"/>
      <c r="J69" s="965"/>
    </row>
    <row r="70" spans="2:10">
      <c r="B70" s="964" t="str">
        <f>ProcessEnergy!B16</f>
        <v>Methanol</v>
      </c>
      <c r="C70" s="976"/>
      <c r="D70" s="984"/>
      <c r="E70" s="984"/>
      <c r="F70" s="984"/>
      <c r="G70" s="984"/>
      <c r="H70" s="984"/>
      <c r="I70" s="555"/>
      <c r="J70" s="965"/>
    </row>
    <row r="71" spans="2:10">
      <c r="B71" s="964" t="str">
        <f>ProcessEnergy!B17</f>
        <v>&lt;empty&gt;</v>
      </c>
      <c r="C71" s="976"/>
      <c r="D71" s="984"/>
      <c r="E71" s="984"/>
      <c r="F71" s="984"/>
      <c r="G71" s="984"/>
      <c r="H71" s="984"/>
      <c r="I71" s="555"/>
      <c r="J71" s="965"/>
    </row>
    <row r="72" spans="2:10">
      <c r="B72" s="964" t="str">
        <f>ProcessEnergy!B18</f>
        <v>&lt;empty&gt;</v>
      </c>
      <c r="C72" s="976"/>
      <c r="D72" s="984"/>
      <c r="E72" s="984"/>
      <c r="F72" s="984"/>
      <c r="G72" s="984"/>
      <c r="H72" s="984"/>
      <c r="I72" s="555"/>
      <c r="J72" s="965"/>
    </row>
    <row r="73" spans="2:10">
      <c r="B73" s="964" t="str">
        <f>ProcessEnergy!B19</f>
        <v>&lt;empty&gt;</v>
      </c>
      <c r="C73" s="976"/>
      <c r="D73" s="984"/>
      <c r="E73" s="984"/>
      <c r="F73" s="984"/>
      <c r="G73" s="984"/>
      <c r="H73" s="984"/>
      <c r="I73" s="555"/>
      <c r="J73" s="965"/>
    </row>
    <row r="74" spans="2:10">
      <c r="B74" s="964" t="str">
        <f>ProcessEnergy!B20</f>
        <v>&lt;empty&gt;</v>
      </c>
      <c r="C74" s="976"/>
      <c r="D74" s="984"/>
      <c r="E74" s="984"/>
      <c r="F74" s="984"/>
      <c r="G74" s="984"/>
      <c r="H74" s="984"/>
      <c r="I74" s="555"/>
      <c r="J74" s="965"/>
    </row>
    <row r="75" spans="2:10">
      <c r="B75" s="964" t="str">
        <f>ProcessEnergy!B21</f>
        <v>&lt;empty&gt;</v>
      </c>
      <c r="C75" s="976"/>
      <c r="D75" s="984"/>
      <c r="E75" s="984"/>
      <c r="F75" s="984"/>
      <c r="G75" s="984"/>
      <c r="H75" s="984"/>
      <c r="I75" s="555"/>
      <c r="J75" s="965"/>
    </row>
    <row r="76" spans="2:10">
      <c r="B76" s="964" t="str">
        <f>ProcessEnergy!B22</f>
        <v>&lt;empty&gt;</v>
      </c>
      <c r="C76" s="976"/>
      <c r="D76" s="984"/>
      <c r="E76" s="984"/>
      <c r="F76" s="984"/>
      <c r="G76" s="984"/>
      <c r="H76" s="984"/>
      <c r="I76" s="555"/>
      <c r="J76" s="965"/>
    </row>
    <row r="77" spans="2:10">
      <c r="B77" s="964" t="str">
        <f>ProcessEnergy!B23</f>
        <v>&lt;empty&gt;</v>
      </c>
      <c r="C77" s="976"/>
      <c r="D77" s="984"/>
      <c r="E77" s="984"/>
      <c r="F77" s="984"/>
      <c r="G77" s="984"/>
      <c r="H77" s="984"/>
      <c r="I77" s="555"/>
      <c r="J77" s="965"/>
    </row>
    <row r="78" spans="2:10">
      <c r="B78" s="964" t="str">
        <f>ProcessEnergy!B24</f>
        <v>&lt;empty&gt;</v>
      </c>
      <c r="C78" s="976" t="s">
        <v>1116</v>
      </c>
      <c r="D78" s="978">
        <f>1/D161*D163</f>
        <v>3.6842105263157898E-2</v>
      </c>
      <c r="E78" s="984">
        <f>$D$78</f>
        <v>3.6842105263157898E-2</v>
      </c>
      <c r="F78" s="984">
        <f t="shared" ref="F78:G78" si="1">$D$78</f>
        <v>3.6842105263157898E-2</v>
      </c>
      <c r="G78" s="984">
        <f t="shared" si="1"/>
        <v>3.6842105263157898E-2</v>
      </c>
      <c r="H78" s="984"/>
      <c r="I78" s="555"/>
      <c r="J78" s="965"/>
    </row>
    <row r="79" spans="2:10">
      <c r="B79" s="964"/>
      <c r="C79" s="976"/>
      <c r="D79" s="984"/>
      <c r="E79" s="984"/>
      <c r="F79" s="984"/>
      <c r="G79" s="984"/>
      <c r="H79" s="984"/>
      <c r="I79" s="555"/>
      <c r="J79" s="965"/>
    </row>
    <row r="80" spans="2:10">
      <c r="B80" s="964"/>
      <c r="C80" s="976"/>
      <c r="D80" s="984"/>
      <c r="E80" s="984"/>
      <c r="F80" s="984"/>
      <c r="G80" s="984"/>
      <c r="H80" s="984"/>
      <c r="I80" s="555"/>
      <c r="J80" s="965"/>
    </row>
    <row r="81" spans="1:17">
      <c r="B81" s="964"/>
      <c r="C81" s="976"/>
      <c r="D81" s="986"/>
      <c r="E81" s="986"/>
      <c r="F81" s="986"/>
      <c r="G81" s="986"/>
      <c r="H81" s="986"/>
      <c r="I81" s="555"/>
      <c r="J81" s="965"/>
    </row>
    <row r="82" spans="1:17">
      <c r="B82" s="975" t="s">
        <v>152</v>
      </c>
      <c r="C82" s="976"/>
      <c r="D82" s="986"/>
      <c r="E82" s="986"/>
      <c r="F82" s="986"/>
      <c r="G82" s="986"/>
      <c r="H82" s="986"/>
      <c r="I82" s="555"/>
      <c r="J82" s="965"/>
    </row>
    <row r="83" spans="1:17">
      <c r="A83" s="530">
        <v>4</v>
      </c>
      <c r="B83" s="964" t="s">
        <v>462</v>
      </c>
      <c r="C83" s="976" t="s">
        <v>725</v>
      </c>
      <c r="D83" s="1334">
        <v>1</v>
      </c>
      <c r="E83" s="1334">
        <v>1</v>
      </c>
      <c r="F83" s="1334">
        <v>1</v>
      </c>
      <c r="G83" s="1334">
        <v>1</v>
      </c>
      <c r="H83" s="978"/>
      <c r="I83" s="555"/>
      <c r="J83" s="965"/>
    </row>
    <row r="84" spans="1:17">
      <c r="B84" s="964" t="s">
        <v>153</v>
      </c>
      <c r="C84" s="976" t="s">
        <v>725</v>
      </c>
      <c r="D84" s="978">
        <v>0</v>
      </c>
      <c r="E84" s="978">
        <f t="shared" ref="E84:G89" si="2">$D84</f>
        <v>0</v>
      </c>
      <c r="F84" s="978">
        <f t="shared" si="2"/>
        <v>0</v>
      </c>
      <c r="G84" s="978">
        <f t="shared" si="2"/>
        <v>0</v>
      </c>
      <c r="H84" s="1334"/>
      <c r="I84" s="555"/>
      <c r="J84" s="965"/>
    </row>
    <row r="85" spans="1:17">
      <c r="B85" s="964" t="s">
        <v>1092</v>
      </c>
      <c r="C85" s="976" t="s">
        <v>725</v>
      </c>
      <c r="D85" s="978">
        <f>D83*D43</f>
        <v>0.2802</v>
      </c>
      <c r="E85" s="978">
        <f t="shared" si="2"/>
        <v>0.2802</v>
      </c>
      <c r="F85" s="978">
        <f t="shared" si="2"/>
        <v>0.2802</v>
      </c>
      <c r="G85" s="978">
        <f t="shared" si="2"/>
        <v>0.2802</v>
      </c>
      <c r="H85" s="978"/>
      <c r="I85" s="555"/>
      <c r="J85" s="965"/>
    </row>
    <row r="86" spans="1:17">
      <c r="B86" s="964" t="s">
        <v>1117</v>
      </c>
      <c r="C86" s="976" t="s">
        <v>725</v>
      </c>
      <c r="D86" s="987">
        <f>(1/D161)*D83</f>
        <v>0.52631578947368418</v>
      </c>
      <c r="E86" s="978">
        <f t="shared" si="2"/>
        <v>0.52631578947368418</v>
      </c>
      <c r="F86" s="978">
        <f t="shared" si="2"/>
        <v>0.52631578947368418</v>
      </c>
      <c r="G86" s="978">
        <f t="shared" si="2"/>
        <v>0.52631578947368418</v>
      </c>
      <c r="H86" s="978"/>
      <c r="I86" s="555"/>
      <c r="J86" s="965"/>
    </row>
    <row r="87" spans="1:17">
      <c r="B87" s="985" t="s">
        <v>155</v>
      </c>
      <c r="C87" s="976" t="s">
        <v>725</v>
      </c>
      <c r="D87" s="978">
        <f>SUM(D83:D84)-SUM(D85:D86)</f>
        <v>0.19348421052631581</v>
      </c>
      <c r="E87" s="978">
        <f t="shared" si="2"/>
        <v>0.19348421052631581</v>
      </c>
      <c r="F87" s="978">
        <f t="shared" si="2"/>
        <v>0.19348421052631581</v>
      </c>
      <c r="G87" s="978">
        <f t="shared" si="2"/>
        <v>0.19348421052631581</v>
      </c>
      <c r="H87" s="978"/>
      <c r="I87" s="555"/>
      <c r="J87" s="965"/>
    </row>
    <row r="88" spans="1:17">
      <c r="B88" s="985" t="s">
        <v>156</v>
      </c>
      <c r="C88" s="988" t="s">
        <v>726</v>
      </c>
      <c r="D88" s="989">
        <f>SUM(D85:D86)/SUM(D83:D84)</f>
        <v>0.80651578947368419</v>
      </c>
      <c r="E88" s="990">
        <f t="shared" si="2"/>
        <v>0.80651578947368419</v>
      </c>
      <c r="F88" s="990">
        <f t="shared" si="2"/>
        <v>0.80651578947368419</v>
      </c>
      <c r="G88" s="990">
        <f t="shared" si="2"/>
        <v>0.80651578947368419</v>
      </c>
      <c r="H88" s="990"/>
      <c r="I88" s="555"/>
      <c r="J88" s="965"/>
    </row>
    <row r="89" spans="1:17">
      <c r="B89" s="964"/>
      <c r="C89" s="976"/>
      <c r="D89" s="1037">
        <f>D166/100</f>
        <v>0.8</v>
      </c>
      <c r="E89" s="990">
        <f t="shared" si="2"/>
        <v>0.8</v>
      </c>
      <c r="F89" s="990">
        <f t="shared" si="2"/>
        <v>0.8</v>
      </c>
      <c r="G89" s="990">
        <f t="shared" si="2"/>
        <v>0.8</v>
      </c>
      <c r="H89" s="990"/>
      <c r="I89" s="555"/>
      <c r="J89" s="965"/>
      <c r="N89" s="557"/>
    </row>
    <row r="90" spans="1:17">
      <c r="B90" s="975" t="s">
        <v>2116</v>
      </c>
      <c r="C90" s="976"/>
      <c r="D90" s="983"/>
      <c r="E90" s="983"/>
      <c r="F90" s="983"/>
      <c r="G90" s="983"/>
      <c r="H90" s="983"/>
      <c r="I90" s="555"/>
      <c r="J90" s="965"/>
      <c r="N90" s="991"/>
      <c r="O90" s="991"/>
      <c r="P90" s="991"/>
      <c r="Q90" s="991"/>
    </row>
    <row r="91" spans="1:17">
      <c r="B91" s="964" t="s">
        <v>157</v>
      </c>
      <c r="C91" s="976" t="s">
        <v>61</v>
      </c>
      <c r="D91" s="992">
        <f ca="1">HLOOKUP($H100,Supplementary!$C$44:$AF$46,3,FALSE)*D100*D$111</f>
        <v>283429998.6756959</v>
      </c>
      <c r="E91" s="992">
        <f ca="1">HLOOKUP($H100,Supplementary!$C$44:$AF$46,3,FALSE)*E100*E$111</f>
        <v>269258498.74191111</v>
      </c>
      <c r="F91" s="992">
        <f ca="1">HLOOKUP($H100,Supplementary!$C$44:$AF$46,3,FALSE)*F100*F$111</f>
        <v>219312730.09090373</v>
      </c>
      <c r="G91" s="992">
        <f ca="1">HLOOKUP($H100,Supplementary!$C$44:$AF$46,3,FALSE)*G100*G$111</f>
        <v>161215009.40065274</v>
      </c>
      <c r="H91" s="555">
        <f t="shared" ref="H91:H97" si="3">priceYear</f>
        <v>2015</v>
      </c>
      <c r="I91" s="555"/>
      <c r="J91" s="965"/>
      <c r="N91" s="991"/>
      <c r="O91" s="991"/>
      <c r="P91" s="991"/>
      <c r="Q91" s="991"/>
    </row>
    <row r="92" spans="1:17">
      <c r="B92" s="964" t="s">
        <v>160</v>
      </c>
      <c r="C92" s="976" t="s">
        <v>464</v>
      </c>
      <c r="D92" s="555">
        <f ca="1">SUM(D93:D97)</f>
        <v>38.944477789222276</v>
      </c>
      <c r="E92" s="555">
        <f ca="1">SUM(E93:E97)</f>
        <v>36.115434317095321</v>
      </c>
      <c r="F92" s="555">
        <f ca="1">SUM(F93:F97)</f>
        <v>21.388355677948265</v>
      </c>
      <c r="G92" s="555">
        <f ca="1">SUM(G93:G97)</f>
        <v>8.2329744127560538</v>
      </c>
      <c r="H92" s="555">
        <f t="shared" si="3"/>
        <v>2015</v>
      </c>
      <c r="I92" s="555"/>
      <c r="J92" s="965"/>
      <c r="N92" s="991"/>
      <c r="O92" s="991"/>
      <c r="P92" s="991"/>
      <c r="Q92" s="991"/>
    </row>
    <row r="93" spans="1:17">
      <c r="B93" s="995" t="s">
        <v>162</v>
      </c>
      <c r="C93" s="976" t="s">
        <v>464</v>
      </c>
      <c r="D93" s="992">
        <f ca="1">HLOOKUP($H102,Supplementary!$C$44:$AF$46,3,FALSE)*D102*D$111</f>
        <v>28.571804498984992</v>
      </c>
      <c r="E93" s="555">
        <f ca="1">HLOOKUP($H102,Supplementary!$C$44:$AF$46,3,FALSE)*E102*E$111</f>
        <v>27.143214274035742</v>
      </c>
      <c r="F93" s="555">
        <f ca="1">HLOOKUP($H102,Supplementary!$C$44:$AF$46,3,FALSE)*F102*F$111</f>
        <v>22.108317671291324</v>
      </c>
      <c r="G93" s="555">
        <f ca="1">HLOOKUP($H102,Supplementary!$C$44:$AF$46,3,FALSE)*G102*G$111</f>
        <v>16.251645035527634</v>
      </c>
      <c r="H93" s="555">
        <f t="shared" si="3"/>
        <v>2015</v>
      </c>
      <c r="I93" s="555"/>
      <c r="J93" s="965"/>
      <c r="N93" s="991"/>
      <c r="O93" s="991"/>
      <c r="P93" s="991"/>
      <c r="Q93" s="991"/>
    </row>
    <row r="94" spans="1:17">
      <c r="B94" s="995" t="s">
        <v>163</v>
      </c>
      <c r="C94" s="976" t="s">
        <v>464</v>
      </c>
      <c r="D94" s="992">
        <f ca="1">HLOOKUP($H103,Supplementary!$C$44:$AF$46,3,FALSE)*D103*D$111</f>
        <v>35.606783753228136</v>
      </c>
      <c r="E94" s="555">
        <f ca="1">HLOOKUP($H103,Supplementary!$C$44:$AF$46,3,FALSE)*E103*E$111</f>
        <v>33.826444565566725</v>
      </c>
      <c r="F94" s="555">
        <f ca="1">HLOOKUP($H103,Supplementary!$C$44:$AF$46,3,FALSE)*F103*F$111</f>
        <v>27.551850513932635</v>
      </c>
      <c r="G94" s="555">
        <f ca="1">HLOOKUP($H103,Supplementary!$C$44:$AF$46,3,FALSE)*G103*G$111</f>
        <v>20.253141884504117</v>
      </c>
      <c r="H94" s="555">
        <f t="shared" si="3"/>
        <v>2015</v>
      </c>
      <c r="I94" s="555"/>
      <c r="J94" s="965"/>
      <c r="N94" s="991"/>
      <c r="O94" s="991"/>
      <c r="P94" s="991"/>
      <c r="Q94" s="991"/>
    </row>
    <row r="95" spans="1:17">
      <c r="B95" s="995" t="s">
        <v>164</v>
      </c>
      <c r="C95" s="976" t="s">
        <v>464</v>
      </c>
      <c r="D95" s="992">
        <f>HLOOKUP($H104,Supplementary!$C$44:$AF$46,3,FALSE)*D104</f>
        <v>0</v>
      </c>
      <c r="E95" s="555">
        <f>HLOOKUP($H104,Supplementary!$C$44:$AF$46,3,FALSE)*E104</f>
        <v>0</v>
      </c>
      <c r="F95" s="555">
        <f>HLOOKUP($H104,Supplementary!$C$44:$AF$46,3,FALSE)*F104</f>
        <v>0</v>
      </c>
      <c r="G95" s="555">
        <f>HLOOKUP($H104,Supplementary!$C$44:$AF$46,3,FALSE)*G104</f>
        <v>0</v>
      </c>
      <c r="H95" s="555">
        <f t="shared" si="3"/>
        <v>2015</v>
      </c>
      <c r="I95" s="555"/>
      <c r="J95" s="965"/>
      <c r="N95" s="991"/>
      <c r="O95" s="991"/>
      <c r="P95" s="991"/>
      <c r="Q95" s="991"/>
    </row>
    <row r="96" spans="1:17">
      <c r="B96" s="995" t="s">
        <v>264</v>
      </c>
      <c r="C96" s="976" t="s">
        <v>464</v>
      </c>
      <c r="D96" s="992">
        <f ca="1">HLOOKUP($H105,Supplementary!$C$44:$AF$46,3,FALSE)*D105*D$111</f>
        <v>0</v>
      </c>
      <c r="E96" s="555">
        <f ca="1">HLOOKUP($H105,Supplementary!$C$44:$AF$46,3,FALSE)*E105*E$111</f>
        <v>0</v>
      </c>
      <c r="F96" s="555">
        <f ca="1">HLOOKUP($H105,Supplementary!$C$44:$AF$46,3,FALSE)*F105*F$111</f>
        <v>0</v>
      </c>
      <c r="G96" s="555">
        <f ca="1">HLOOKUP($H105,Supplementary!$C$44:$AF$46,3,FALSE)*G105*G$111</f>
        <v>0</v>
      </c>
      <c r="H96" s="555">
        <f t="shared" si="3"/>
        <v>2015</v>
      </c>
      <c r="I96" s="555"/>
      <c r="J96" s="965"/>
      <c r="N96" s="991"/>
      <c r="O96" s="991"/>
      <c r="P96" s="991"/>
      <c r="Q96" s="991"/>
    </row>
    <row r="97" spans="1:17">
      <c r="B97" s="995" t="s">
        <v>165</v>
      </c>
      <c r="C97" s="976" t="s">
        <v>464</v>
      </c>
      <c r="D97" s="992">
        <f ca="1">HLOOKUP($H106,Supplementary!$C$44:$AF$46,3,FALSE)*D106</f>
        <v>-25.234110462990856</v>
      </c>
      <c r="E97" s="555">
        <f ca="1">HLOOKUP($H106,Supplementary!$C$44:$AF$46,3,FALSE)*E106</f>
        <v>-24.854224522507142</v>
      </c>
      <c r="F97" s="555">
        <f ca="1">HLOOKUP($H106,Supplementary!$C$44:$AF$46,3,FALSE)*F106</f>
        <v>-28.271812507275694</v>
      </c>
      <c r="G97" s="555">
        <f ca="1">HLOOKUP($H106,Supplementary!$C$44:$AF$46,3,FALSE)*G106</f>
        <v>-28.271812507275694</v>
      </c>
      <c r="H97" s="555">
        <f t="shared" si="3"/>
        <v>2015</v>
      </c>
      <c r="I97" s="555"/>
      <c r="J97" s="965"/>
      <c r="N97" s="991"/>
      <c r="O97" s="991"/>
      <c r="P97" s="991"/>
      <c r="Q97" s="991"/>
    </row>
    <row r="98" spans="1:17">
      <c r="B98" s="975"/>
      <c r="C98" s="976"/>
      <c r="D98" s="992"/>
      <c r="E98" s="983"/>
      <c r="F98" s="983"/>
      <c r="G98" s="983"/>
      <c r="H98" s="983"/>
      <c r="I98" s="555"/>
      <c r="J98" s="965"/>
      <c r="N98" s="991"/>
      <c r="O98" s="991"/>
      <c r="P98" s="991"/>
      <c r="Q98" s="991"/>
    </row>
    <row r="99" spans="1:17">
      <c r="B99" s="975" t="s">
        <v>2117</v>
      </c>
      <c r="C99" s="976"/>
      <c r="D99" s="992"/>
      <c r="E99" s="983"/>
      <c r="F99" s="983"/>
      <c r="G99" s="983"/>
      <c r="H99" s="983"/>
      <c r="I99" s="555"/>
      <c r="J99" s="965"/>
      <c r="N99" s="991"/>
      <c r="O99" s="991"/>
      <c r="P99" s="991"/>
      <c r="Q99" s="991"/>
    </row>
    <row r="100" spans="1:17">
      <c r="B100" s="964" t="s">
        <v>157</v>
      </c>
      <c r="C100" s="976" t="s">
        <v>61</v>
      </c>
      <c r="D100" s="992">
        <f>D160*D178*dkkPerEUR</f>
        <v>266265980</v>
      </c>
      <c r="E100" s="992">
        <f t="shared" ref="E100:G103" si="4">$D100</f>
        <v>266265980</v>
      </c>
      <c r="F100" s="992">
        <f t="shared" si="4"/>
        <v>266265980</v>
      </c>
      <c r="G100" s="992">
        <f t="shared" si="4"/>
        <v>266265980</v>
      </c>
      <c r="H100" s="1668">
        <v>2011</v>
      </c>
      <c r="I100" s="555"/>
      <c r="J100" s="965"/>
      <c r="N100" s="991"/>
      <c r="O100" s="991"/>
      <c r="P100" s="991"/>
      <c r="Q100" s="991"/>
    </row>
    <row r="101" spans="1:17">
      <c r="B101" s="964" t="s">
        <v>160</v>
      </c>
      <c r="C101" s="976" t="s">
        <v>464</v>
      </c>
      <c r="D101" s="993">
        <f ca="1">SUM(D102:D106)</f>
        <v>36.58606919728534</v>
      </c>
      <c r="E101" s="978">
        <f t="shared" ca="1" si="4"/>
        <v>36.58606919728534</v>
      </c>
      <c r="F101" s="978">
        <f t="shared" ca="1" si="4"/>
        <v>36.58606919728534</v>
      </c>
      <c r="G101" s="978">
        <f t="shared" ca="1" si="4"/>
        <v>36.58606919728534</v>
      </c>
      <c r="H101" s="1668">
        <v>2011</v>
      </c>
      <c r="I101" s="994"/>
      <c r="J101" s="965"/>
      <c r="N101" s="991"/>
      <c r="O101" s="991"/>
      <c r="P101" s="991"/>
      <c r="Q101" s="991"/>
    </row>
    <row r="102" spans="1:17">
      <c r="B102" s="995" t="s">
        <v>162</v>
      </c>
      <c r="C102" s="976" t="s">
        <v>464</v>
      </c>
      <c r="D102" s="480">
        <f ca="1">-PMT(rSØK,20,D100)/D160</f>
        <v>26.841546628222201</v>
      </c>
      <c r="E102" s="978">
        <f t="shared" ca="1" si="4"/>
        <v>26.841546628222201</v>
      </c>
      <c r="F102" s="978">
        <f t="shared" ca="1" si="4"/>
        <v>26.841546628222201</v>
      </c>
      <c r="G102" s="978">
        <f t="shared" ca="1" si="4"/>
        <v>26.841546628222201</v>
      </c>
      <c r="H102" s="1668">
        <v>2011</v>
      </c>
      <c r="I102" s="994"/>
      <c r="J102" s="965"/>
      <c r="N102" s="991"/>
      <c r="O102" s="991"/>
      <c r="P102" s="991"/>
      <c r="Q102" s="991"/>
    </row>
    <row r="103" spans="1:17">
      <c r="B103" s="995" t="s">
        <v>163</v>
      </c>
      <c r="C103" s="976" t="s">
        <v>464</v>
      </c>
      <c r="D103" s="480">
        <f>IF(D142&gt;0,D178*D142*dkkPerEUR,D179*dkkPerEUR)</f>
        <v>33.450500000000005</v>
      </c>
      <c r="E103" s="480">
        <f t="shared" si="4"/>
        <v>33.450500000000005</v>
      </c>
      <c r="F103" s="480">
        <f t="shared" si="4"/>
        <v>33.450500000000005</v>
      </c>
      <c r="G103" s="480">
        <f t="shared" si="4"/>
        <v>33.450500000000005</v>
      </c>
      <c r="H103" s="1668">
        <v>2011</v>
      </c>
      <c r="I103" s="555"/>
      <c r="J103" s="965"/>
      <c r="N103" s="991"/>
      <c r="O103" s="991"/>
      <c r="P103" s="991"/>
      <c r="Q103" s="991"/>
    </row>
    <row r="104" spans="1:17">
      <c r="A104" s="530">
        <v>6</v>
      </c>
      <c r="B104" s="995" t="s">
        <v>164</v>
      </c>
      <c r="C104" s="976" t="s">
        <v>464</v>
      </c>
      <c r="D104" s="997"/>
      <c r="E104" s="997"/>
      <c r="F104" s="997"/>
      <c r="G104" s="997"/>
      <c r="H104" s="1668">
        <v>2011</v>
      </c>
      <c r="I104" s="555"/>
      <c r="J104" s="965"/>
      <c r="N104" s="991"/>
      <c r="O104" s="991"/>
      <c r="P104" s="991"/>
      <c r="Q104" s="991"/>
    </row>
    <row r="105" spans="1:17">
      <c r="B105" s="995" t="s">
        <v>264</v>
      </c>
      <c r="C105" s="976" t="s">
        <v>464</v>
      </c>
      <c r="D105" s="997"/>
      <c r="E105" s="997"/>
      <c r="F105" s="997"/>
      <c r="G105" s="997"/>
      <c r="H105" s="1668">
        <v>2011</v>
      </c>
      <c r="I105" s="555"/>
      <c r="J105" s="965"/>
      <c r="N105" s="991"/>
      <c r="O105" s="991"/>
      <c r="P105" s="991"/>
      <c r="Q105" s="991"/>
    </row>
    <row r="106" spans="1:17">
      <c r="B106" s="995" t="s">
        <v>165</v>
      </c>
      <c r="C106" s="976" t="s">
        <v>464</v>
      </c>
      <c r="D106" s="996">
        <f ca="1">-SUMPRODUCT(D37:D56,ProcessEnergy!M35:M54)/D86</f>
        <v>-23.705977430936869</v>
      </c>
      <c r="E106" s="996">
        <f ca="1">-SUMPRODUCT(E37:E56,ProcessEnergy!N35:N54)/E86</f>
        <v>-23.349096710110789</v>
      </c>
      <c r="F106" s="996">
        <f ca="1">-SUMPRODUCT(F37:F56,ProcessEnergy!O35:O54)/F86</f>
        <v>-26.559721620150189</v>
      </c>
      <c r="G106" s="996">
        <f ca="1">-SUMPRODUCT(G37:G56,ProcessEnergy!P35:P54)/G86</f>
        <v>-26.559721620150189</v>
      </c>
      <c r="H106" s="1668">
        <v>2011</v>
      </c>
      <c r="I106" s="555"/>
      <c r="J106" s="965"/>
      <c r="N106" s="991"/>
      <c r="O106" s="991"/>
      <c r="P106" s="991"/>
      <c r="Q106" s="991"/>
    </row>
    <row r="107" spans="1:17">
      <c r="B107" s="995"/>
      <c r="C107" s="976"/>
      <c r="D107" s="2311"/>
      <c r="E107" s="2311"/>
      <c r="F107" s="2311"/>
      <c r="G107" s="2311"/>
      <c r="H107" s="983"/>
      <c r="I107" s="994"/>
      <c r="J107" s="965"/>
      <c r="N107" s="991"/>
      <c r="O107" s="991"/>
      <c r="P107" s="991"/>
      <c r="Q107" s="991"/>
    </row>
    <row r="108" spans="1:17">
      <c r="B108" s="975" t="s">
        <v>2113</v>
      </c>
      <c r="C108" s="976"/>
      <c r="D108" s="983"/>
      <c r="E108" s="983"/>
      <c r="F108" s="983"/>
      <c r="G108" s="983"/>
      <c r="H108" s="983"/>
      <c r="I108" s="994"/>
      <c r="J108" s="965"/>
      <c r="N108" s="991"/>
      <c r="O108" s="991"/>
      <c r="P108" s="991"/>
      <c r="Q108" s="991"/>
    </row>
    <row r="109" spans="1:17">
      <c r="B109" s="995" t="s">
        <v>2114</v>
      </c>
      <c r="C109" s="976"/>
      <c r="D109" s="1696">
        <v>0.95</v>
      </c>
      <c r="E109" s="1696">
        <v>0.95</v>
      </c>
      <c r="F109" s="1696">
        <v>0.95</v>
      </c>
      <c r="G109" s="1696">
        <v>0.95</v>
      </c>
      <c r="H109" s="983"/>
      <c r="I109" s="994"/>
      <c r="J109" s="965"/>
      <c r="N109" s="991"/>
      <c r="O109" s="991"/>
      <c r="P109" s="991"/>
      <c r="Q109" s="991"/>
    </row>
    <row r="110" spans="1:17">
      <c r="B110" s="995" t="s">
        <v>2666</v>
      </c>
      <c r="C110" s="976"/>
      <c r="D110" s="478">
        <f ca="1">OFFSET(Supplementary!C$237,MATCH($C$19,Supplementary!$B$238:$B$241,0),0)</f>
        <v>1</v>
      </c>
      <c r="E110" s="478">
        <f ca="1">OFFSET(Supplementary!D$237,MATCH($C$19,Supplementary!$B$238:$B$241,0),0)</f>
        <v>2</v>
      </c>
      <c r="F110" s="478">
        <f ca="1">OFFSET(Supplementary!E$237,MATCH($C$19,Supplementary!$B$238:$B$241,0),0)</f>
        <v>6</v>
      </c>
      <c r="G110" s="478">
        <f ca="1">OFFSET(Supplementary!F$237,MATCH($C$19,Supplementary!$B$238:$B$241,0),0)</f>
        <v>12</v>
      </c>
      <c r="H110" s="983"/>
      <c r="I110" s="994"/>
      <c r="J110" s="965"/>
      <c r="N110" s="991"/>
      <c r="O110" s="991"/>
      <c r="P110" s="991"/>
      <c r="Q110" s="991"/>
    </row>
    <row r="111" spans="1:17">
      <c r="B111" s="995" t="s">
        <v>2115</v>
      </c>
      <c r="C111" s="976"/>
      <c r="D111" s="1698">
        <f ca="1">1*D109^(D110-1)</f>
        <v>1</v>
      </c>
      <c r="E111" s="1698">
        <f ca="1">1*E109^(E110-1)</f>
        <v>0.95</v>
      </c>
      <c r="F111" s="1698">
        <f ca="1">1*F109^(F110-1)</f>
        <v>0.77378093749999999</v>
      </c>
      <c r="G111" s="1698">
        <f ca="1">1*G109^(G110-1)</f>
        <v>0.56880009227645989</v>
      </c>
      <c r="H111" s="983"/>
      <c r="I111" s="994"/>
      <c r="J111" s="965"/>
      <c r="N111" s="991"/>
      <c r="O111" s="991"/>
      <c r="P111" s="991"/>
      <c r="Q111" s="991"/>
    </row>
    <row r="112" spans="1:17">
      <c r="B112" s="995"/>
      <c r="C112" s="976"/>
      <c r="D112" s="983"/>
      <c r="E112" s="983"/>
      <c r="F112" s="983"/>
      <c r="G112" s="983"/>
      <c r="H112" s="983"/>
      <c r="I112" s="994"/>
      <c r="J112" s="965"/>
      <c r="N112" s="991"/>
      <c r="O112" s="991"/>
      <c r="P112" s="991"/>
      <c r="Q112" s="991"/>
    </row>
    <row r="113" spans="2:17">
      <c r="B113" s="975" t="s">
        <v>166</v>
      </c>
      <c r="C113" s="976"/>
      <c r="D113" s="983"/>
      <c r="E113" s="983"/>
      <c r="F113" s="983"/>
      <c r="G113" s="983"/>
      <c r="H113" s="983"/>
      <c r="I113" s="994"/>
      <c r="J113" s="965"/>
      <c r="N113" s="998"/>
      <c r="O113" s="998"/>
      <c r="P113" s="998"/>
      <c r="Q113" s="991"/>
    </row>
    <row r="114" spans="2:17">
      <c r="B114" s="964" t="s">
        <v>24</v>
      </c>
      <c r="C114" s="976" t="s">
        <v>465</v>
      </c>
      <c r="D114" s="999">
        <v>0</v>
      </c>
      <c r="E114" s="999">
        <v>0</v>
      </c>
      <c r="F114" s="999">
        <v>0</v>
      </c>
      <c r="G114" s="999"/>
      <c r="H114" s="999"/>
      <c r="I114" s="1335" t="s">
        <v>1747</v>
      </c>
      <c r="J114" s="965"/>
      <c r="N114" s="991"/>
      <c r="O114" s="991"/>
      <c r="P114" s="991"/>
      <c r="Q114" s="991"/>
    </row>
    <row r="115" spans="2:17">
      <c r="B115" s="964" t="s">
        <v>27</v>
      </c>
      <c r="C115" s="976" t="s">
        <v>465</v>
      </c>
      <c r="D115" s="999">
        <v>0</v>
      </c>
      <c r="E115" s="999">
        <v>0</v>
      </c>
      <c r="F115" s="999">
        <v>0</v>
      </c>
      <c r="G115" s="999"/>
      <c r="H115" s="999"/>
      <c r="I115" s="1335" t="s">
        <v>1747</v>
      </c>
      <c r="J115" s="965"/>
      <c r="N115" s="991"/>
      <c r="O115" s="991"/>
      <c r="P115" s="991"/>
      <c r="Q115" s="991"/>
    </row>
    <row r="116" spans="2:17">
      <c r="B116" s="964" t="s">
        <v>28</v>
      </c>
      <c r="C116" s="976" t="s">
        <v>465</v>
      </c>
      <c r="D116" s="999">
        <v>0</v>
      </c>
      <c r="E116" s="999">
        <v>0</v>
      </c>
      <c r="F116" s="999">
        <v>0</v>
      </c>
      <c r="G116" s="999"/>
      <c r="H116" s="999"/>
      <c r="I116" s="1335" t="s">
        <v>1747</v>
      </c>
      <c r="J116" s="965"/>
      <c r="N116" s="991"/>
      <c r="O116" s="991"/>
      <c r="P116" s="991"/>
      <c r="Q116" s="991"/>
    </row>
    <row r="117" spans="2:17">
      <c r="B117" s="964" t="s">
        <v>26</v>
      </c>
      <c r="C117" s="976" t="s">
        <v>465</v>
      </c>
      <c r="D117" s="999">
        <v>0</v>
      </c>
      <c r="E117" s="999">
        <v>0</v>
      </c>
      <c r="F117" s="999">
        <v>0</v>
      </c>
      <c r="G117" s="999"/>
      <c r="H117" s="999"/>
      <c r="I117" s="1335" t="s">
        <v>1747</v>
      </c>
      <c r="J117" s="965"/>
      <c r="N117" s="991"/>
      <c r="O117" s="991"/>
      <c r="P117" s="991"/>
      <c r="Q117" s="991"/>
    </row>
    <row r="118" spans="2:17">
      <c r="B118" s="964" t="s">
        <v>167</v>
      </c>
      <c r="C118" s="976" t="s">
        <v>465</v>
      </c>
      <c r="D118" s="999">
        <v>0</v>
      </c>
      <c r="E118" s="999">
        <v>0</v>
      </c>
      <c r="F118" s="999">
        <v>0</v>
      </c>
      <c r="G118" s="999"/>
      <c r="H118" s="999"/>
      <c r="I118" s="1335" t="s">
        <v>1747</v>
      </c>
      <c r="J118" s="965"/>
      <c r="N118" s="998"/>
      <c r="O118" s="998"/>
      <c r="P118" s="998"/>
      <c r="Q118" s="998"/>
    </row>
    <row r="119" spans="2:17">
      <c r="B119" s="964" t="s">
        <v>45</v>
      </c>
      <c r="C119" s="976" t="s">
        <v>465</v>
      </c>
      <c r="D119" s="1000"/>
      <c r="E119" s="1000"/>
      <c r="F119" s="1000"/>
      <c r="G119" s="1000"/>
      <c r="H119" s="1000"/>
      <c r="I119" s="555"/>
      <c r="J119" s="965"/>
    </row>
    <row r="120" spans="2:17" ht="13.5" thickBot="1">
      <c r="B120" s="1001"/>
      <c r="C120" s="1002"/>
      <c r="D120" s="1003"/>
      <c r="E120" s="968"/>
      <c r="F120" s="968"/>
      <c r="G120" s="968"/>
      <c r="H120" s="968"/>
      <c r="I120" s="1004"/>
      <c r="J120" s="969"/>
    </row>
    <row r="123" spans="2:17" ht="18.75">
      <c r="B123" s="1005" t="s">
        <v>172</v>
      </c>
    </row>
    <row r="124" spans="2:17" ht="15.75">
      <c r="B124" s="1006"/>
      <c r="D124" s="1007"/>
    </row>
    <row r="125" spans="2:17">
      <c r="B125" s="555"/>
      <c r="C125" s="555"/>
      <c r="D125" s="555"/>
      <c r="E125" s="555"/>
      <c r="F125" s="555"/>
      <c r="G125" s="555"/>
      <c r="H125" s="555"/>
      <c r="I125" s="555"/>
      <c r="J125" s="555"/>
      <c r="K125" s="555"/>
      <c r="L125" s="555"/>
    </row>
    <row r="126" spans="2:17">
      <c r="B126" s="555"/>
      <c r="C126" s="977"/>
      <c r="D126" s="977"/>
      <c r="E126" s="977"/>
      <c r="F126" s="977"/>
      <c r="G126" s="977"/>
      <c r="H126" s="977"/>
      <c r="I126" s="555"/>
      <c r="J126" s="977"/>
      <c r="K126" s="977"/>
      <c r="L126" s="977"/>
    </row>
    <row r="127" spans="2:17">
      <c r="B127" s="555"/>
      <c r="C127" s="555"/>
      <c r="D127" s="993"/>
      <c r="E127" s="993"/>
      <c r="F127" s="993"/>
      <c r="G127" s="993"/>
      <c r="H127" s="993"/>
      <c r="I127" s="555"/>
      <c r="J127" s="993"/>
      <c r="K127" s="993"/>
      <c r="L127" s="993"/>
    </row>
    <row r="128" spans="2:17">
      <c r="B128" s="555"/>
      <c r="C128" s="555"/>
      <c r="D128" s="993"/>
      <c r="E128" s="993"/>
      <c r="F128" s="993"/>
      <c r="G128" s="993"/>
      <c r="H128" s="993"/>
      <c r="I128" s="555"/>
      <c r="J128" s="993"/>
      <c r="K128" s="993"/>
      <c r="L128" s="993"/>
    </row>
    <row r="129" spans="2:12">
      <c r="B129" s="555"/>
      <c r="C129" s="555"/>
      <c r="D129" s="993"/>
      <c r="E129" s="993"/>
      <c r="F129" s="993"/>
      <c r="G129" s="993"/>
      <c r="H129" s="993"/>
      <c r="I129" s="555"/>
      <c r="J129" s="993"/>
      <c r="K129" s="993"/>
      <c r="L129" s="993"/>
    </row>
    <row r="130" spans="2:12">
      <c r="D130" s="993"/>
      <c r="E130" s="993"/>
      <c r="F130" s="993"/>
      <c r="G130" s="993"/>
      <c r="H130" s="993"/>
      <c r="I130" s="555"/>
      <c r="J130" s="993"/>
      <c r="K130" s="993"/>
      <c r="L130" s="993"/>
    </row>
    <row r="131" spans="2:12">
      <c r="D131" s="993"/>
      <c r="E131" s="993"/>
      <c r="F131" s="993"/>
      <c r="G131" s="993"/>
      <c r="H131" s="993"/>
      <c r="I131" s="555"/>
      <c r="J131" s="993"/>
      <c r="K131" s="993"/>
      <c r="L131" s="993"/>
    </row>
    <row r="132" spans="2:12">
      <c r="B132" s="555"/>
      <c r="C132" s="555"/>
      <c r="D132" s="993"/>
      <c r="E132" s="993"/>
      <c r="F132" s="993"/>
      <c r="G132" s="993"/>
      <c r="H132" s="993"/>
      <c r="I132" s="555"/>
      <c r="J132" s="993"/>
      <c r="K132" s="993"/>
      <c r="L132" s="993"/>
    </row>
    <row r="133" spans="2:12">
      <c r="B133" s="555"/>
      <c r="C133" s="555"/>
      <c r="D133" s="993"/>
      <c r="E133" s="993"/>
      <c r="F133" s="993"/>
      <c r="G133" s="993"/>
      <c r="H133" s="993"/>
      <c r="I133" s="555"/>
      <c r="J133" s="993"/>
      <c r="K133" s="993"/>
      <c r="L133" s="993"/>
    </row>
    <row r="134" spans="2:12">
      <c r="D134" s="993"/>
    </row>
    <row r="136" spans="2:12" ht="18.75">
      <c r="B136" s="1005" t="s">
        <v>168</v>
      </c>
    </row>
    <row r="137" spans="2:12" ht="15.75">
      <c r="B137" s="1006"/>
    </row>
    <row r="138" spans="2:12" ht="13.5" thickBot="1">
      <c r="B138" s="555"/>
      <c r="C138" s="555"/>
      <c r="D138" s="555"/>
      <c r="E138" s="555"/>
      <c r="F138" s="555"/>
      <c r="G138" s="555"/>
      <c r="H138" s="555"/>
      <c r="I138" s="555"/>
    </row>
    <row r="139" spans="2:12">
      <c r="B139" s="1008"/>
      <c r="C139" s="1009" t="s">
        <v>70</v>
      </c>
      <c r="D139" s="1010">
        <v>2015</v>
      </c>
      <c r="E139" s="1009">
        <v>2020</v>
      </c>
      <c r="F139" s="1009">
        <v>2035</v>
      </c>
      <c r="G139" s="1009"/>
      <c r="H139" s="1009"/>
      <c r="I139" s="1011" t="s">
        <v>145</v>
      </c>
      <c r="J139" s="1012" t="s">
        <v>146</v>
      </c>
    </row>
    <row r="140" spans="2:12">
      <c r="B140" s="964"/>
      <c r="C140" s="977"/>
      <c r="D140" s="1013"/>
      <c r="E140" s="1014"/>
      <c r="F140" s="1014"/>
      <c r="G140" s="1014"/>
      <c r="H140" s="1014"/>
      <c r="I140" s="555"/>
      <c r="J140" s="965"/>
    </row>
    <row r="141" spans="2:12">
      <c r="B141" s="964"/>
      <c r="C141" s="977"/>
      <c r="D141" s="1015"/>
      <c r="E141" s="1016"/>
      <c r="F141" s="1016"/>
      <c r="G141" s="1016"/>
      <c r="H141" s="1016"/>
      <c r="I141" s="555"/>
      <c r="J141" s="965"/>
    </row>
    <row r="142" spans="2:12">
      <c r="B142" s="964" t="s">
        <v>2096</v>
      </c>
      <c r="C142" s="555" t="s">
        <v>29</v>
      </c>
      <c r="D142" s="1681">
        <v>0.1</v>
      </c>
      <c r="E142" s="1682">
        <v>0.1</v>
      </c>
      <c r="F142" s="1682">
        <v>0.1</v>
      </c>
      <c r="G142" s="1682">
        <v>0.1</v>
      </c>
      <c r="H142" s="1018"/>
      <c r="I142" s="1335"/>
      <c r="J142" s="965" t="s">
        <v>2097</v>
      </c>
    </row>
    <row r="143" spans="2:12">
      <c r="B143" s="964"/>
      <c r="C143" s="977"/>
      <c r="D143" s="1015"/>
      <c r="E143" s="1016"/>
      <c r="F143" s="1016"/>
      <c r="G143" s="1016"/>
      <c r="H143" s="1016"/>
      <c r="I143" s="555"/>
      <c r="J143" s="965"/>
    </row>
    <row r="144" spans="2:12">
      <c r="B144" s="964"/>
      <c r="C144" s="977"/>
      <c r="D144" s="1015"/>
      <c r="E144" s="1016"/>
      <c r="F144" s="1016"/>
      <c r="G144" s="1016"/>
      <c r="H144" s="1016"/>
      <c r="I144" s="555"/>
      <c r="J144" s="965"/>
    </row>
    <row r="145" spans="2:14">
      <c r="B145" s="964" t="s">
        <v>22</v>
      </c>
      <c r="C145" s="977" t="s">
        <v>249</v>
      </c>
      <c r="D145" s="1019"/>
      <c r="E145" s="979"/>
      <c r="F145" s="979"/>
      <c r="G145" s="979"/>
      <c r="H145" s="979"/>
      <c r="I145" s="555"/>
      <c r="J145" s="965"/>
    </row>
    <row r="146" spans="2:14">
      <c r="B146" s="964"/>
      <c r="C146" s="976"/>
      <c r="D146" s="1016"/>
      <c r="E146" s="1016"/>
      <c r="F146" s="1016"/>
      <c r="G146" s="1016"/>
      <c r="H146" s="1016"/>
      <c r="I146" s="555"/>
      <c r="J146" s="965"/>
    </row>
    <row r="147" spans="2:14" ht="13.5" thickBot="1">
      <c r="B147" s="967"/>
      <c r="C147" s="1020"/>
      <c r="D147" s="1021"/>
      <c r="E147" s="1021"/>
      <c r="F147" s="1021"/>
      <c r="G147" s="1021"/>
      <c r="H147" s="1021"/>
      <c r="I147" s="968"/>
      <c r="J147" s="969"/>
    </row>
    <row r="150" spans="2:14" ht="13.5" thickBot="1"/>
    <row r="151" spans="2:14">
      <c r="B151" s="1040"/>
      <c r="C151" s="1340"/>
      <c r="D151" s="1064" t="s">
        <v>1098</v>
      </c>
    </row>
    <row r="152" spans="2:14">
      <c r="B152" s="1065" t="s">
        <v>1095</v>
      </c>
      <c r="C152" s="1367">
        <v>0.6</v>
      </c>
      <c r="D152" s="1067" t="s">
        <v>1748</v>
      </c>
    </row>
    <row r="153" spans="2:14" ht="13.5" thickBot="1">
      <c r="B153" s="1022" t="s">
        <v>1118</v>
      </c>
      <c r="C153" s="1341">
        <f>(100-D165)%</f>
        <v>0.46700000000000003</v>
      </c>
      <c r="D153" s="1342" t="s">
        <v>1749</v>
      </c>
    </row>
    <row r="154" spans="2:14">
      <c r="B154" s="530" t="str">
        <f>CONCATENATE("Source: ",Referencer!$B$48)</f>
        <v>Source: 42, FORCE, Danish Energy Agency, 2013, Technology data for advanced bioenergy fuels.</v>
      </c>
    </row>
    <row r="155" spans="2:14" ht="13.5" thickBot="1">
      <c r="B155" s="555"/>
      <c r="C155" s="968"/>
    </row>
    <row r="156" spans="2:14" ht="18.75">
      <c r="B156" s="1023" t="s">
        <v>1119</v>
      </c>
      <c r="C156" s="1024"/>
      <c r="D156" s="1025"/>
      <c r="E156" s="1025"/>
      <c r="F156" s="1025"/>
      <c r="G156" s="1025"/>
      <c r="H156" s="1025"/>
      <c r="I156" s="1025"/>
      <c r="J156" s="1026"/>
    </row>
    <row r="157" spans="2:14" ht="15">
      <c r="B157" s="1026"/>
      <c r="C157" s="1027"/>
      <c r="D157" s="1028">
        <v>2015</v>
      </c>
      <c r="E157" s="1028">
        <v>2020</v>
      </c>
      <c r="F157" s="1028">
        <v>2035</v>
      </c>
      <c r="G157" s="1028">
        <v>2050</v>
      </c>
      <c r="H157" s="1028"/>
      <c r="I157" s="1028" t="s">
        <v>1098</v>
      </c>
      <c r="J157" s="1338"/>
    </row>
    <row r="158" spans="2:14" ht="15">
      <c r="B158" s="1029" t="s">
        <v>1099</v>
      </c>
      <c r="C158" s="1030"/>
      <c r="D158" s="1027"/>
      <c r="E158" s="1027"/>
      <c r="F158" s="1027"/>
      <c r="G158" s="1027"/>
      <c r="H158" s="1027"/>
      <c r="I158" s="1027"/>
      <c r="J158" s="1026"/>
      <c r="N158" s="1038"/>
    </row>
    <row r="159" spans="2:14" ht="15">
      <c r="B159" s="1026" t="s">
        <v>1100</v>
      </c>
      <c r="C159" s="1027"/>
      <c r="D159" s="1368">
        <v>40000</v>
      </c>
      <c r="E159" s="1284" t="s">
        <v>1101</v>
      </c>
      <c r="F159" s="1031"/>
      <c r="G159" s="1031"/>
      <c r="H159" s="1031"/>
      <c r="I159" s="1032"/>
      <c r="J159" s="1339"/>
    </row>
    <row r="160" spans="2:14" ht="15">
      <c r="B160" s="1026" t="s">
        <v>1102</v>
      </c>
      <c r="C160" s="1027"/>
      <c r="D160" s="1368">
        <v>796000</v>
      </c>
      <c r="E160" s="1284" t="s">
        <v>1101</v>
      </c>
      <c r="F160" s="1031"/>
      <c r="G160" s="1031"/>
      <c r="H160" s="1031"/>
      <c r="I160" s="1032"/>
      <c r="J160" s="1339"/>
    </row>
    <row r="161" spans="2:10" ht="15">
      <c r="B161" s="1026" t="s">
        <v>1120</v>
      </c>
      <c r="C161" s="1027"/>
      <c r="D161" s="1373">
        <v>1.9</v>
      </c>
      <c r="E161" s="1284" t="s">
        <v>1101</v>
      </c>
      <c r="F161" s="1031"/>
      <c r="G161" s="1031"/>
      <c r="H161" s="1031"/>
      <c r="I161" s="1032"/>
      <c r="J161" s="1339"/>
    </row>
    <row r="162" spans="2:10" ht="15">
      <c r="B162" s="1026" t="s">
        <v>1121</v>
      </c>
      <c r="C162" s="1027"/>
      <c r="D162" s="1368">
        <v>10368</v>
      </c>
      <c r="E162" s="1284" t="s">
        <v>1101</v>
      </c>
      <c r="F162" s="1031"/>
      <c r="G162" s="1031"/>
      <c r="H162" s="1031"/>
      <c r="I162" s="1032"/>
      <c r="J162" s="1339"/>
    </row>
    <row r="163" spans="2:10" ht="15">
      <c r="B163" s="1026" t="s">
        <v>1122</v>
      </c>
      <c r="C163" s="1027"/>
      <c r="D163" s="1373">
        <v>7.0000000000000007E-2</v>
      </c>
      <c r="E163" s="1284" t="s">
        <v>1101</v>
      </c>
      <c r="F163" s="1031"/>
      <c r="G163" s="1031"/>
      <c r="H163" s="1031"/>
      <c r="I163" s="1032"/>
      <c r="J163" s="1339"/>
    </row>
    <row r="164" spans="2:10" ht="15">
      <c r="B164" s="1026" t="s">
        <v>1123</v>
      </c>
      <c r="C164" s="1027"/>
      <c r="D164" s="1370">
        <v>53.3</v>
      </c>
      <c r="E164" s="1284" t="s">
        <v>1101</v>
      </c>
      <c r="F164" s="1031"/>
      <c r="G164" s="1031"/>
      <c r="H164" s="1031"/>
      <c r="I164" s="1032"/>
      <c r="J164" s="1339"/>
    </row>
    <row r="165" spans="2:10" ht="15">
      <c r="B165" s="1026" t="s">
        <v>1107</v>
      </c>
      <c r="C165" s="1027"/>
      <c r="D165" s="1370">
        <v>53.3</v>
      </c>
      <c r="E165" s="1284" t="s">
        <v>1101</v>
      </c>
      <c r="F165" s="1031"/>
      <c r="G165" s="1031"/>
      <c r="H165" s="1031"/>
      <c r="I165" s="1032"/>
      <c r="J165" s="1339"/>
    </row>
    <row r="166" spans="2:10" ht="15">
      <c r="B166" s="1026" t="s">
        <v>1108</v>
      </c>
      <c r="C166" s="1027"/>
      <c r="D166" s="1370">
        <v>80</v>
      </c>
      <c r="E166" s="1284" t="s">
        <v>1101</v>
      </c>
      <c r="F166" s="1031"/>
      <c r="G166" s="1031"/>
      <c r="H166" s="1031"/>
      <c r="I166" s="1032"/>
      <c r="J166" s="1339"/>
    </row>
    <row r="167" spans="2:10" ht="15">
      <c r="B167" s="1026" t="s">
        <v>1124</v>
      </c>
      <c r="C167" s="1027"/>
      <c r="D167" s="1368">
        <v>48000</v>
      </c>
      <c r="E167" s="1031"/>
      <c r="F167" s="1031"/>
      <c r="G167" s="1031"/>
      <c r="H167" s="1031"/>
      <c r="I167" s="1337" t="s">
        <v>1750</v>
      </c>
      <c r="J167" s="1339"/>
    </row>
    <row r="168" spans="2:10" ht="15">
      <c r="B168" s="1026" t="s">
        <v>1125</v>
      </c>
      <c r="C168" s="1027"/>
      <c r="D168" s="1343">
        <f>Supplementary!C50</f>
        <v>3.5999999999999999E-3</v>
      </c>
      <c r="E168" s="1031"/>
      <c r="F168" s="1031"/>
      <c r="G168" s="1031"/>
      <c r="H168" s="1031"/>
      <c r="I168" s="1039"/>
      <c r="J168" s="1339"/>
    </row>
    <row r="169" spans="2:10" ht="15">
      <c r="B169" s="1026"/>
      <c r="C169" s="1027"/>
      <c r="D169" s="1027"/>
      <c r="E169" s="1031"/>
      <c r="F169" s="1031"/>
      <c r="G169" s="1031"/>
      <c r="H169" s="1031"/>
      <c r="I169" s="1032"/>
      <c r="J169" s="1339"/>
    </row>
    <row r="170" spans="2:10" ht="15">
      <c r="B170" s="1026"/>
      <c r="C170" s="1027"/>
      <c r="D170" s="1027"/>
      <c r="E170" s="1031"/>
      <c r="F170" s="1031"/>
      <c r="G170" s="1031"/>
      <c r="H170" s="1031"/>
      <c r="I170" s="1032"/>
      <c r="J170" s="1339"/>
    </row>
    <row r="171" spans="2:10" ht="15">
      <c r="B171" s="1026"/>
      <c r="C171" s="1027"/>
      <c r="D171" s="1027"/>
      <c r="E171" s="1031"/>
      <c r="F171" s="1031"/>
      <c r="G171" s="1031"/>
      <c r="H171" s="1031"/>
      <c r="I171" s="1032"/>
      <c r="J171" s="1339"/>
    </row>
    <row r="172" spans="2:10" ht="15">
      <c r="B172" s="1026"/>
      <c r="C172" s="1027"/>
      <c r="D172" s="1027"/>
      <c r="E172" s="1031"/>
      <c r="F172" s="1031"/>
      <c r="G172" s="1031"/>
      <c r="H172" s="1031"/>
      <c r="I172" s="1032"/>
      <c r="J172" s="1339"/>
    </row>
    <row r="173" spans="2:10" ht="15">
      <c r="B173" s="1026"/>
      <c r="C173" s="1027"/>
      <c r="D173" s="1027"/>
      <c r="E173" s="1031"/>
      <c r="F173" s="1031"/>
      <c r="G173" s="1031"/>
      <c r="H173" s="1031"/>
      <c r="I173" s="1032"/>
      <c r="J173" s="1339"/>
    </row>
    <row r="174" spans="2:10" ht="15">
      <c r="B174" s="1026"/>
      <c r="C174" s="1027"/>
      <c r="D174" s="1027"/>
      <c r="E174" s="1031"/>
      <c r="F174" s="1031"/>
      <c r="G174" s="1031"/>
      <c r="H174" s="1031"/>
      <c r="I174" s="1032"/>
      <c r="J174" s="1339"/>
    </row>
    <row r="175" spans="2:10" ht="15">
      <c r="B175" s="1026"/>
      <c r="C175" s="1027"/>
      <c r="D175" s="1027"/>
      <c r="E175" s="1031"/>
      <c r="F175" s="1031"/>
      <c r="G175" s="1031"/>
      <c r="H175" s="1031"/>
      <c r="I175" s="1032"/>
      <c r="J175" s="1339"/>
    </row>
    <row r="176" spans="2:10" ht="15">
      <c r="B176" s="1026"/>
      <c r="C176" s="1027"/>
      <c r="D176" s="1027"/>
      <c r="E176" s="1027"/>
      <c r="F176" s="1027"/>
      <c r="G176" s="1027"/>
      <c r="H176" s="1027"/>
      <c r="I176" s="1032"/>
      <c r="J176" s="1339"/>
    </row>
    <row r="177" spans="2:10" ht="15">
      <c r="B177" s="1029" t="s">
        <v>1109</v>
      </c>
      <c r="C177" s="1030"/>
      <c r="D177" s="1027"/>
      <c r="E177" s="1027"/>
      <c r="F177" s="1027"/>
      <c r="G177" s="1027"/>
      <c r="H177" s="1027"/>
      <c r="I177" s="1032"/>
      <c r="J177" s="1339"/>
    </row>
    <row r="178" spans="2:10" ht="15">
      <c r="B178" s="1026" t="s">
        <v>1126</v>
      </c>
      <c r="C178" s="1027"/>
      <c r="D178" s="1370">
        <v>44.9</v>
      </c>
      <c r="E178" s="1284" t="s">
        <v>1101</v>
      </c>
      <c r="F178" s="1031"/>
      <c r="G178" s="1031"/>
      <c r="H178" s="1031"/>
      <c r="I178" s="1032"/>
      <c r="J178" s="1339"/>
    </row>
    <row r="179" spans="2:10" ht="15.75" thickBot="1">
      <c r="B179" s="1033" t="s">
        <v>1127</v>
      </c>
      <c r="C179" s="1034"/>
      <c r="D179" s="1374">
        <v>1.35</v>
      </c>
      <c r="E179" s="1286" t="s">
        <v>1101</v>
      </c>
      <c r="F179" s="1035"/>
      <c r="G179" s="1035"/>
      <c r="H179" s="1035"/>
      <c r="I179" s="1036"/>
      <c r="J179" s="1339"/>
    </row>
    <row r="180" spans="2:10">
      <c r="B180" s="530" t="str">
        <f>CONCATENATE("Source: ",Referencer!$B$48)</f>
        <v>Source: 42, FORCE, Danish Energy Agency, 2013, Technology data for advanced bioenergy fuels.</v>
      </c>
      <c r="D180" s="545">
        <f>D179/D178</f>
        <v>3.0066815144766151E-2</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Supplementary!$B$238:$B$241</xm:f>
          </x14:formula1>
          <xm:sqref>C19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tabColor rgb="FF00B0F0"/>
  </sheetPr>
  <dimension ref="A1:S190"/>
  <sheetViews>
    <sheetView zoomScale="80" zoomScaleNormal="80" workbookViewId="0">
      <selection activeCell="D29" sqref="D29"/>
    </sheetView>
  </sheetViews>
  <sheetFormatPr defaultRowHeight="12.75"/>
  <cols>
    <col min="1" max="1" width="3.28515625" style="530" customWidth="1"/>
    <col min="2" max="2" width="36" style="530" customWidth="1"/>
    <col min="3" max="3" width="29.140625" style="530" customWidth="1"/>
    <col min="4" max="8" width="15.7109375" style="530" customWidth="1"/>
    <col min="9" max="9" width="7.28515625" style="530" customWidth="1"/>
    <col min="10" max="10" width="12.7109375" style="530" customWidth="1"/>
    <col min="11" max="17" width="9.140625" style="530"/>
    <col min="18" max="19" width="9.42578125" style="530" bestFit="1" customWidth="1"/>
    <col min="20" max="16384" width="9.140625" style="530"/>
  </cols>
  <sheetData>
    <row r="1" spans="1:19" s="465" customFormat="1" ht="21">
      <c r="B1" s="465" t="s">
        <v>1128</v>
      </c>
      <c r="Q1" s="467">
        <f ca="1">'Log2015'!M1</f>
        <v>-8.0112614142160741</v>
      </c>
      <c r="R1" s="468">
        <f ca="1">'Log2015'!N1</f>
        <v>-160807.124977848</v>
      </c>
    </row>
    <row r="2" spans="1:19">
      <c r="B2" s="530" t="s">
        <v>1129</v>
      </c>
      <c r="Q2" s="958">
        <f ca="1">Q1</f>
        <v>-8.0112614142160741</v>
      </c>
      <c r="R2" s="958">
        <f ca="1">R1</f>
        <v>-160807.124977848</v>
      </c>
      <c r="S2" s="959">
        <f>S1</f>
        <v>0</v>
      </c>
    </row>
    <row r="3" spans="1:19">
      <c r="A3" s="530" t="s">
        <v>1078</v>
      </c>
    </row>
    <row r="4" spans="1:19">
      <c r="B4" s="960" t="s">
        <v>81</v>
      </c>
    </row>
    <row r="5" spans="1:19" ht="13.5" thickBot="1"/>
    <row r="6" spans="1:19">
      <c r="B6" s="961" t="s">
        <v>137</v>
      </c>
      <c r="C6" s="962"/>
      <c r="D6" s="962"/>
      <c r="E6" s="962"/>
      <c r="F6" s="962"/>
      <c r="G6" s="962"/>
      <c r="H6" s="962"/>
      <c r="I6" s="962"/>
      <c r="J6" s="962"/>
      <c r="K6" s="962"/>
      <c r="L6" s="962"/>
      <c r="M6" s="962"/>
      <c r="N6" s="963"/>
    </row>
    <row r="7" spans="1:19">
      <c r="B7" s="964"/>
      <c r="C7" s="555"/>
      <c r="D7" s="555"/>
      <c r="E7" s="555"/>
      <c r="F7" s="555"/>
      <c r="G7" s="555"/>
      <c r="H7" s="555"/>
      <c r="I7" s="555"/>
      <c r="J7" s="555"/>
      <c r="K7" s="555"/>
      <c r="L7" s="555"/>
      <c r="M7" s="555"/>
      <c r="N7" s="965"/>
    </row>
    <row r="8" spans="1:19">
      <c r="B8" s="964"/>
      <c r="C8" s="555"/>
      <c r="D8" s="555"/>
      <c r="E8" s="555"/>
      <c r="F8" s="555"/>
      <c r="G8" s="555"/>
      <c r="H8" s="555"/>
      <c r="I8" s="555"/>
      <c r="J8" s="555"/>
      <c r="K8" s="555"/>
      <c r="L8" s="555"/>
      <c r="M8" s="555"/>
      <c r="N8" s="965"/>
    </row>
    <row r="9" spans="1:19">
      <c r="B9" s="964"/>
      <c r="C9" s="555"/>
      <c r="D9" s="555"/>
      <c r="E9" s="555"/>
      <c r="F9" s="555"/>
      <c r="G9" s="555"/>
      <c r="H9" s="555"/>
      <c r="I9" s="555"/>
      <c r="J9" s="555"/>
      <c r="K9" s="555"/>
      <c r="L9" s="555"/>
      <c r="M9" s="555"/>
      <c r="N9" s="965"/>
    </row>
    <row r="10" spans="1:19">
      <c r="B10" s="964"/>
      <c r="C10" s="555"/>
      <c r="D10" s="555"/>
      <c r="E10" s="555"/>
      <c r="F10" s="555"/>
      <c r="G10" s="555"/>
      <c r="H10" s="555"/>
      <c r="I10" s="555"/>
      <c r="J10" s="555"/>
      <c r="K10" s="555"/>
      <c r="L10" s="555"/>
      <c r="M10" s="555"/>
      <c r="N10" s="965"/>
    </row>
    <row r="11" spans="1:19">
      <c r="B11" s="964" t="s">
        <v>138</v>
      </c>
      <c r="C11" s="966" t="s">
        <v>1130</v>
      </c>
      <c r="D11" s="555"/>
      <c r="E11" s="555"/>
      <c r="F11" s="555"/>
      <c r="G11" s="555"/>
      <c r="H11" s="555"/>
      <c r="I11" s="555"/>
      <c r="J11" s="555"/>
      <c r="K11" s="555"/>
      <c r="L11" s="555"/>
      <c r="M11" s="555"/>
      <c r="N11" s="965"/>
    </row>
    <row r="12" spans="1:19">
      <c r="B12" s="964"/>
      <c r="C12" s="555"/>
      <c r="D12" s="555"/>
      <c r="E12" s="555"/>
      <c r="F12" s="555"/>
      <c r="G12" s="555"/>
      <c r="H12" s="555"/>
      <c r="I12" s="555"/>
      <c r="J12" s="555"/>
      <c r="K12" s="555"/>
      <c r="L12" s="555"/>
      <c r="M12" s="555"/>
      <c r="N12" s="965"/>
    </row>
    <row r="13" spans="1:19">
      <c r="B13" s="964" t="s">
        <v>140</v>
      </c>
      <c r="C13" s="555" t="s">
        <v>1131</v>
      </c>
      <c r="D13" s="555"/>
      <c r="E13" s="555"/>
      <c r="F13" s="555"/>
      <c r="G13" s="555"/>
      <c r="H13" s="555"/>
      <c r="I13" s="555"/>
      <c r="J13" s="555"/>
      <c r="K13" s="555"/>
      <c r="L13" s="555"/>
      <c r="M13" s="555"/>
      <c r="N13" s="965"/>
    </row>
    <row r="14" spans="1:19">
      <c r="B14" s="964"/>
      <c r="C14" s="555"/>
      <c r="D14" s="555"/>
      <c r="E14" s="555"/>
      <c r="F14" s="555"/>
      <c r="G14" s="555"/>
      <c r="H14" s="555"/>
      <c r="I14" s="555"/>
      <c r="J14" s="555"/>
      <c r="K14" s="555"/>
      <c r="L14" s="555"/>
      <c r="M14" s="555"/>
      <c r="N14" s="965"/>
    </row>
    <row r="15" spans="1:19">
      <c r="B15" s="964" t="s">
        <v>141</v>
      </c>
      <c r="C15" s="555"/>
      <c r="D15" s="555"/>
      <c r="E15" s="555"/>
      <c r="F15" s="555"/>
      <c r="G15" s="555"/>
      <c r="H15" s="555"/>
      <c r="I15" s="555"/>
      <c r="J15" s="555"/>
      <c r="K15" s="555"/>
      <c r="L15" s="555"/>
      <c r="M15" s="555"/>
      <c r="N15" s="965"/>
    </row>
    <row r="16" spans="1:19">
      <c r="B16" s="964"/>
      <c r="C16" s="555"/>
      <c r="D16" s="555"/>
      <c r="E16" s="555"/>
      <c r="F16" s="555"/>
      <c r="G16" s="555"/>
      <c r="H16" s="555"/>
      <c r="I16" s="555"/>
      <c r="J16" s="555"/>
      <c r="K16" s="555"/>
      <c r="L16" s="555"/>
      <c r="M16" s="555"/>
      <c r="N16" s="965"/>
    </row>
    <row r="17" spans="2:14">
      <c r="B17" s="964" t="s">
        <v>142</v>
      </c>
      <c r="C17" s="555"/>
      <c r="D17" s="555"/>
      <c r="E17" s="555"/>
      <c r="F17" s="555"/>
      <c r="G17" s="555"/>
      <c r="H17" s="555"/>
      <c r="I17" s="555"/>
      <c r="J17" s="555"/>
      <c r="K17" s="555"/>
      <c r="L17" s="555"/>
      <c r="M17" s="555"/>
      <c r="N17" s="965"/>
    </row>
    <row r="18" spans="2:14">
      <c r="B18" s="964"/>
      <c r="C18" s="555"/>
      <c r="D18" s="555"/>
      <c r="E18" s="555"/>
      <c r="F18" s="555"/>
      <c r="G18" s="555"/>
      <c r="H18" s="555"/>
      <c r="I18" s="555"/>
      <c r="J18" s="555"/>
      <c r="K18" s="555"/>
      <c r="L18" s="555"/>
      <c r="M18" s="555"/>
      <c r="N18" s="965"/>
    </row>
    <row r="19" spans="2:14">
      <c r="B19" s="964" t="s">
        <v>2131</v>
      </c>
      <c r="C19" s="1693" t="s">
        <v>2120</v>
      </c>
      <c r="D19" s="555"/>
      <c r="E19" s="555"/>
      <c r="F19" s="555"/>
      <c r="G19" s="555"/>
      <c r="H19" s="555"/>
      <c r="I19" s="555"/>
      <c r="J19" s="555"/>
      <c r="K19" s="555"/>
      <c r="L19" s="555"/>
      <c r="M19" s="555"/>
      <c r="N19" s="965"/>
    </row>
    <row r="20" spans="2:14">
      <c r="B20" s="964"/>
      <c r="C20" s="555"/>
      <c r="D20" s="555"/>
      <c r="E20" s="555"/>
      <c r="F20" s="555"/>
      <c r="G20" s="555"/>
      <c r="H20" s="555"/>
      <c r="I20" s="555"/>
      <c r="J20" s="555"/>
      <c r="K20" s="555"/>
      <c r="L20" s="555"/>
      <c r="M20" s="555"/>
      <c r="N20" s="965"/>
    </row>
    <row r="21" spans="2:14">
      <c r="B21" s="964"/>
      <c r="C21" s="555"/>
      <c r="D21" s="555"/>
      <c r="E21" s="555"/>
      <c r="F21" s="555"/>
      <c r="G21" s="555"/>
      <c r="H21" s="555"/>
      <c r="I21" s="555"/>
      <c r="J21" s="555"/>
      <c r="K21" s="555"/>
      <c r="L21" s="555"/>
      <c r="M21" s="555"/>
      <c r="N21" s="965"/>
    </row>
    <row r="22" spans="2:14">
      <c r="B22" s="964" t="s">
        <v>143</v>
      </c>
      <c r="C22" s="555"/>
      <c r="D22" s="555"/>
      <c r="E22" s="555"/>
      <c r="F22" s="555"/>
      <c r="G22" s="555"/>
      <c r="H22" s="555"/>
      <c r="I22" s="555"/>
      <c r="J22" s="555"/>
      <c r="K22" s="555"/>
      <c r="L22" s="555"/>
      <c r="M22" s="555"/>
      <c r="N22" s="965"/>
    </row>
    <row r="23" spans="2:14">
      <c r="B23" s="964"/>
      <c r="C23" s="555"/>
      <c r="D23" s="555"/>
      <c r="E23" s="555"/>
      <c r="F23" s="555"/>
      <c r="G23" s="555"/>
      <c r="H23" s="555"/>
      <c r="I23" s="555"/>
      <c r="J23" s="555"/>
      <c r="K23" s="555"/>
      <c r="L23" s="555"/>
      <c r="M23" s="555"/>
      <c r="N23" s="965"/>
    </row>
    <row r="24" spans="2:14" ht="13.5" thickBot="1">
      <c r="B24" s="967"/>
      <c r="C24" s="968"/>
      <c r="D24" s="968"/>
      <c r="E24" s="968"/>
      <c r="F24" s="968"/>
      <c r="G24" s="968"/>
      <c r="H24" s="968"/>
      <c r="I24" s="968"/>
      <c r="J24" s="968"/>
      <c r="K24" s="968"/>
      <c r="L24" s="968"/>
      <c r="M24" s="968"/>
      <c r="N24" s="969"/>
    </row>
    <row r="25" spans="2:14">
      <c r="F25" s="529"/>
      <c r="G25" s="529"/>
      <c r="H25" s="529"/>
    </row>
    <row r="26" spans="2:14">
      <c r="B26" s="960" t="s">
        <v>144</v>
      </c>
    </row>
    <row r="27" spans="2:14" ht="13.5" thickBot="1"/>
    <row r="28" spans="2:14">
      <c r="B28" s="961"/>
      <c r="C28" s="970"/>
      <c r="D28" s="962"/>
      <c r="E28" s="962"/>
      <c r="F28" s="962"/>
      <c r="G28" s="962"/>
      <c r="H28" s="962"/>
      <c r="I28" s="962"/>
      <c r="J28" s="963"/>
    </row>
    <row r="29" spans="2:14">
      <c r="B29" s="971"/>
      <c r="C29" s="972" t="s">
        <v>70</v>
      </c>
      <c r="D29" s="973">
        <v>2015</v>
      </c>
      <c r="E29" s="973">
        <v>2020</v>
      </c>
      <c r="F29" s="973">
        <v>2035</v>
      </c>
      <c r="G29" s="973">
        <v>2050</v>
      </c>
      <c r="H29" s="973" t="s">
        <v>978</v>
      </c>
      <c r="I29" s="556" t="s">
        <v>145</v>
      </c>
      <c r="J29" s="974" t="s">
        <v>146</v>
      </c>
    </row>
    <row r="30" spans="2:14">
      <c r="B30" s="975" t="s">
        <v>147</v>
      </c>
      <c r="C30" s="976"/>
      <c r="D30" s="977"/>
      <c r="E30" s="977"/>
      <c r="F30" s="977"/>
      <c r="G30" s="977"/>
      <c r="H30" s="977"/>
      <c r="I30" s="555"/>
      <c r="J30" s="965"/>
    </row>
    <row r="31" spans="2:14">
      <c r="B31" s="964" t="s">
        <v>148</v>
      </c>
      <c r="C31" s="976" t="s">
        <v>1132</v>
      </c>
      <c r="D31" s="1333">
        <f>1/D162</f>
        <v>0.32258064516129031</v>
      </c>
      <c r="E31" s="1333">
        <f>$D31</f>
        <v>0.32258064516129031</v>
      </c>
      <c r="F31" s="1333">
        <f>$D31</f>
        <v>0.32258064516129031</v>
      </c>
      <c r="G31" s="1333">
        <f>$D31</f>
        <v>0.32258064516129031</v>
      </c>
      <c r="H31" s="1333"/>
      <c r="I31" s="555"/>
      <c r="J31" s="965"/>
    </row>
    <row r="32" spans="2:14">
      <c r="B32" s="964" t="s">
        <v>67</v>
      </c>
      <c r="C32" s="976" t="s">
        <v>1133</v>
      </c>
      <c r="D32" s="978">
        <f>D160/D159</f>
        <v>26.8</v>
      </c>
      <c r="E32" s="978">
        <f t="shared" ref="E32:G34" si="0">$D32</f>
        <v>26.8</v>
      </c>
      <c r="F32" s="978">
        <f t="shared" si="0"/>
        <v>26.8</v>
      </c>
      <c r="G32" s="978">
        <f t="shared" si="0"/>
        <v>26.8</v>
      </c>
      <c r="H32" s="978"/>
      <c r="I32" s="555"/>
      <c r="J32" s="965"/>
    </row>
    <row r="33" spans="2:10">
      <c r="B33" s="964" t="s">
        <v>149</v>
      </c>
      <c r="C33" s="976" t="s">
        <v>1134</v>
      </c>
      <c r="D33" s="1396">
        <f>D159</f>
        <v>200000</v>
      </c>
      <c r="E33" s="1396">
        <f t="shared" si="0"/>
        <v>200000</v>
      </c>
      <c r="F33" s="1396">
        <f t="shared" si="0"/>
        <v>200000</v>
      </c>
      <c r="G33" s="1396">
        <f t="shared" si="0"/>
        <v>200000</v>
      </c>
      <c r="H33" s="1397"/>
      <c r="I33" s="555"/>
      <c r="J33" s="965"/>
    </row>
    <row r="34" spans="2:10">
      <c r="B34" s="964" t="s">
        <v>150</v>
      </c>
      <c r="C34" s="976" t="s">
        <v>34</v>
      </c>
      <c r="D34" s="1332">
        <f>20</f>
        <v>20</v>
      </c>
      <c r="E34" s="1332">
        <f t="shared" si="0"/>
        <v>20</v>
      </c>
      <c r="F34" s="1332">
        <f t="shared" si="0"/>
        <v>20</v>
      </c>
      <c r="G34" s="1332">
        <f t="shared" si="0"/>
        <v>20</v>
      </c>
      <c r="H34" s="1332"/>
      <c r="I34" s="555"/>
      <c r="J34" s="965" t="s">
        <v>1087</v>
      </c>
    </row>
    <row r="35" spans="2:10">
      <c r="B35" s="964"/>
      <c r="C35" s="981"/>
      <c r="D35" s="982"/>
      <c r="E35" s="983"/>
      <c r="F35" s="983"/>
      <c r="G35" s="983"/>
      <c r="H35" s="983"/>
      <c r="I35" s="555"/>
      <c r="J35" s="965"/>
    </row>
    <row r="36" spans="2:10">
      <c r="B36" s="975" t="s">
        <v>151</v>
      </c>
      <c r="C36" s="981"/>
      <c r="D36" s="982"/>
      <c r="E36" s="983"/>
      <c r="F36" s="983"/>
      <c r="G36" s="983"/>
      <c r="H36" s="983"/>
      <c r="I36" s="555"/>
      <c r="J36" s="965"/>
    </row>
    <row r="37" spans="2:10">
      <c r="B37" s="964" t="str">
        <f>ProcessEnergy!B35</f>
        <v xml:space="preserve">Green diesel </v>
      </c>
      <c r="C37" s="976" t="s">
        <v>463</v>
      </c>
      <c r="D37" s="984"/>
      <c r="E37" s="984"/>
      <c r="F37" s="984"/>
      <c r="G37" s="984"/>
      <c r="H37" s="984"/>
      <c r="I37" s="555"/>
      <c r="J37" s="965"/>
    </row>
    <row r="38" spans="2:10">
      <c r="B38" s="985" t="str">
        <f>ProcessEnergy!B36</f>
        <v>Green gasoline</v>
      </c>
      <c r="C38" s="976"/>
      <c r="D38" s="984"/>
      <c r="E38" s="984"/>
      <c r="F38" s="984"/>
      <c r="G38" s="984"/>
      <c r="H38" s="984"/>
      <c r="I38" s="555"/>
      <c r="J38" s="965"/>
    </row>
    <row r="39" spans="2:10">
      <c r="B39" s="985" t="str">
        <f>ProcessEnergy!B37</f>
        <v>Electricity - balancing</v>
      </c>
      <c r="C39" s="976"/>
      <c r="D39" s="984"/>
      <c r="E39" s="984"/>
      <c r="F39" s="984"/>
      <c r="G39" s="984"/>
      <c r="H39" s="984"/>
      <c r="I39" s="555"/>
      <c r="J39" s="965"/>
    </row>
    <row r="40" spans="2:10">
      <c r="B40" s="985" t="str">
        <f>ProcessEnergy!B38</f>
        <v>Electricity  - continous</v>
      </c>
      <c r="C40" s="976"/>
      <c r="D40" s="984"/>
      <c r="E40" s="984"/>
      <c r="F40" s="984"/>
      <c r="G40" s="984"/>
      <c r="H40" s="984"/>
      <c r="I40" s="555"/>
      <c r="J40" s="965"/>
    </row>
    <row r="41" spans="2:10">
      <c r="B41" s="985" t="str">
        <f>ProcessEnergy!B39</f>
        <v>Elec/heat fuel</v>
      </c>
      <c r="C41" s="976"/>
      <c r="D41" s="984"/>
      <c r="E41" s="984"/>
      <c r="F41" s="984"/>
      <c r="G41" s="984"/>
      <c r="H41" s="984"/>
      <c r="I41" s="555"/>
      <c r="J41" s="965"/>
    </row>
    <row r="42" spans="2:10">
      <c r="B42" s="985" t="str">
        <f>ProcessEnergy!B40</f>
        <v>Biogas (100% CH4)</v>
      </c>
      <c r="C42" s="976"/>
      <c r="D42" s="984"/>
      <c r="E42" s="984"/>
      <c r="F42" s="984"/>
      <c r="G42" s="984"/>
      <c r="H42" s="984"/>
      <c r="I42" s="555"/>
      <c r="J42" s="965"/>
    </row>
    <row r="43" spans="2:10">
      <c r="B43" s="985" t="str">
        <f>ProcessEnergy!B41</f>
        <v>District heating</v>
      </c>
      <c r="C43" s="976" t="s">
        <v>1135</v>
      </c>
      <c r="D43" s="978">
        <f>C151*C152</f>
        <v>5.9452298850574709E-2</v>
      </c>
      <c r="E43" s="978">
        <f>$D43</f>
        <v>5.9452298850574709E-2</v>
      </c>
      <c r="F43" s="978">
        <f>$D43</f>
        <v>5.9452298850574709E-2</v>
      </c>
      <c r="G43" s="978">
        <f>$D43</f>
        <v>5.9452298850574709E-2</v>
      </c>
      <c r="H43" s="978"/>
      <c r="I43" s="555"/>
      <c r="J43" s="965"/>
    </row>
    <row r="44" spans="2:10">
      <c r="B44" s="985" t="str">
        <f>ProcessEnergy!B42</f>
        <v>&lt;empty&gt;</v>
      </c>
      <c r="C44" s="976"/>
      <c r="D44" s="978"/>
      <c r="E44" s="978"/>
      <c r="F44" s="978"/>
      <c r="G44" s="978"/>
      <c r="H44" s="978"/>
      <c r="I44" s="555"/>
      <c r="J44" s="965"/>
    </row>
    <row r="45" spans="2:10">
      <c r="B45" s="985" t="str">
        <f>ProcessEnergy!B43</f>
        <v>&lt;empty&gt;</v>
      </c>
      <c r="C45" s="976"/>
      <c r="D45" s="978"/>
      <c r="E45" s="978"/>
      <c r="F45" s="978"/>
      <c r="G45" s="978"/>
      <c r="H45" s="978"/>
      <c r="I45" s="555"/>
      <c r="J45" s="965"/>
    </row>
    <row r="46" spans="2:10">
      <c r="B46" s="985" t="str">
        <f>ProcessEnergy!B44</f>
        <v>&lt;empty&gt;</v>
      </c>
      <c r="C46" s="976"/>
      <c r="D46" s="978"/>
      <c r="E46" s="978"/>
      <c r="F46" s="978"/>
      <c r="G46" s="978"/>
      <c r="H46" s="978"/>
      <c r="I46" s="555"/>
      <c r="J46" s="965"/>
    </row>
    <row r="47" spans="2:10">
      <c r="B47" s="985" t="str">
        <f>ProcessEnergy!B45</f>
        <v>&lt;empty&gt;</v>
      </c>
      <c r="C47" s="976"/>
      <c r="D47" s="978"/>
      <c r="E47" s="978"/>
      <c r="F47" s="978"/>
      <c r="G47" s="978"/>
      <c r="H47" s="978"/>
      <c r="I47" s="555"/>
      <c r="J47" s="965"/>
    </row>
    <row r="48" spans="2:10">
      <c r="B48" s="985" t="str">
        <f>ProcessEnergy!B46</f>
        <v>&lt;empty&gt;</v>
      </c>
      <c r="C48" s="976"/>
      <c r="D48" s="978"/>
      <c r="E48" s="978"/>
      <c r="F48" s="978"/>
      <c r="G48" s="978"/>
      <c r="H48" s="978"/>
      <c r="I48" s="555"/>
      <c r="J48" s="965"/>
    </row>
    <row r="49" spans="2:10">
      <c r="B49" s="985" t="str">
        <f>ProcessEnergy!B47</f>
        <v>&lt;empty&gt;</v>
      </c>
      <c r="C49" s="976"/>
      <c r="D49" s="978"/>
      <c r="E49" s="978"/>
      <c r="F49" s="978"/>
      <c r="G49" s="978"/>
      <c r="H49" s="978"/>
      <c r="I49" s="555"/>
      <c r="J49" s="965"/>
    </row>
    <row r="50" spans="2:10">
      <c r="B50" s="985" t="str">
        <f>ProcessEnergy!B48</f>
        <v>Glycerol</v>
      </c>
      <c r="C50" s="976"/>
      <c r="D50" s="978"/>
      <c r="E50" s="978"/>
      <c r="F50" s="978"/>
      <c r="G50" s="978"/>
      <c r="H50" s="978"/>
      <c r="I50" s="555"/>
      <c r="J50" s="965"/>
    </row>
    <row r="51" spans="2:10">
      <c r="B51" s="985" t="str">
        <f>ProcessEnergy!B49</f>
        <v>&lt;empty&gt;</v>
      </c>
      <c r="C51" s="976"/>
      <c r="D51" s="978"/>
      <c r="E51" s="978"/>
      <c r="F51" s="978"/>
      <c r="G51" s="978"/>
      <c r="H51" s="978"/>
      <c r="I51" s="555"/>
      <c r="J51" s="965"/>
    </row>
    <row r="52" spans="2:10">
      <c r="B52" s="985" t="str">
        <f>ProcessEnergy!B50</f>
        <v>&lt;empty&gt;</v>
      </c>
      <c r="C52" s="976"/>
      <c r="D52" s="978"/>
      <c r="E52" s="978"/>
      <c r="F52" s="978"/>
      <c r="G52" s="978"/>
      <c r="H52" s="978"/>
      <c r="I52" s="555"/>
      <c r="J52" s="965"/>
    </row>
    <row r="53" spans="2:10">
      <c r="B53" s="985" t="str">
        <f>ProcessEnergy!B51</f>
        <v>Fodder (wheat like)</v>
      </c>
      <c r="C53" s="976"/>
      <c r="D53" s="984"/>
      <c r="E53" s="984"/>
      <c r="F53" s="984"/>
      <c r="G53" s="984"/>
      <c r="H53" s="984"/>
      <c r="I53" s="555"/>
      <c r="J53" s="965"/>
    </row>
    <row r="54" spans="2:10">
      <c r="B54" s="985" t="str">
        <f>ProcessEnergy!B52</f>
        <v>Rape seed cake</v>
      </c>
      <c r="C54" s="976"/>
      <c r="D54" s="984"/>
      <c r="E54" s="984"/>
      <c r="F54" s="984"/>
      <c r="G54" s="984"/>
      <c r="H54" s="984"/>
      <c r="I54" s="555"/>
      <c r="J54" s="965"/>
    </row>
    <row r="55" spans="2:10">
      <c r="B55" s="985" t="str">
        <f>ProcessEnergy!B53</f>
        <v>&lt;empty&gt;</v>
      </c>
      <c r="C55" s="976"/>
      <c r="D55" s="984"/>
      <c r="E55" s="984"/>
      <c r="F55" s="984"/>
      <c r="G55" s="984"/>
      <c r="H55" s="984"/>
      <c r="I55" s="555"/>
      <c r="J55" s="965"/>
    </row>
    <row r="56" spans="2:10">
      <c r="B56" s="985" t="str">
        <f>ProcessEnergy!B54</f>
        <v>DDGS</v>
      </c>
      <c r="C56" s="976" t="s">
        <v>1135</v>
      </c>
      <c r="D56" s="537">
        <f>D166/D161</f>
        <v>0.39080459770114945</v>
      </c>
      <c r="E56" s="1344">
        <f>D56</f>
        <v>0.39080459770114945</v>
      </c>
      <c r="F56" s="1344">
        <f>E56</f>
        <v>0.39080459770114945</v>
      </c>
      <c r="G56" s="1344">
        <f>F56</f>
        <v>0.39080459770114945</v>
      </c>
      <c r="H56" s="984"/>
      <c r="I56" s="555"/>
      <c r="J56" s="965"/>
    </row>
    <row r="57" spans="2:10">
      <c r="B57" s="964"/>
      <c r="C57" s="976"/>
      <c r="D57" s="984"/>
      <c r="E57" s="984"/>
      <c r="F57" s="984"/>
      <c r="G57" s="984"/>
      <c r="H57" s="984"/>
      <c r="I57" s="555"/>
      <c r="J57" s="965"/>
    </row>
    <row r="58" spans="2:10">
      <c r="B58" s="975" t="s">
        <v>873</v>
      </c>
      <c r="C58" s="976"/>
      <c r="D58" s="984"/>
      <c r="E58" s="984"/>
      <c r="F58" s="984"/>
      <c r="G58" s="984"/>
      <c r="H58" s="984"/>
      <c r="I58" s="555"/>
      <c r="J58" s="965"/>
    </row>
    <row r="59" spans="2:10">
      <c r="B59" s="964" t="str">
        <f>ProcessEnergy!B5</f>
        <v>EL - peakload</v>
      </c>
      <c r="C59" s="976" t="s">
        <v>1135</v>
      </c>
      <c r="D59" s="993">
        <f>D164/D161</f>
        <v>1.7816091954022988E-2</v>
      </c>
      <c r="E59" s="978">
        <f>$D59</f>
        <v>1.7816091954022988E-2</v>
      </c>
      <c r="F59" s="978">
        <f>$D59</f>
        <v>1.7816091954022988E-2</v>
      </c>
      <c r="G59" s="978">
        <f>$D59</f>
        <v>1.7816091954022988E-2</v>
      </c>
      <c r="H59" s="984"/>
      <c r="I59" s="555"/>
      <c r="J59" s="965"/>
    </row>
    <row r="60" spans="2:10">
      <c r="B60" s="964" t="str">
        <f>ProcessEnergy!B6</f>
        <v>El - baseload</v>
      </c>
      <c r="C60" s="976" t="s">
        <v>877</v>
      </c>
      <c r="D60" s="993"/>
      <c r="E60" s="993"/>
      <c r="F60" s="993"/>
      <c r="G60" s="993"/>
      <c r="H60" s="984"/>
      <c r="I60" s="555"/>
      <c r="J60" s="965"/>
    </row>
    <row r="61" spans="2:10">
      <c r="B61" s="964" t="str">
        <f>ProcessEnergy!B7</f>
        <v xml:space="preserve">Varme </v>
      </c>
      <c r="C61" s="976" t="s">
        <v>1135</v>
      </c>
      <c r="D61" s="993">
        <f>D165/D161</f>
        <v>0.2471264367816092</v>
      </c>
      <c r="E61" s="978">
        <f>$D61</f>
        <v>0.2471264367816092</v>
      </c>
      <c r="F61" s="978">
        <f>$D61</f>
        <v>0.2471264367816092</v>
      </c>
      <c r="G61" s="978">
        <f>$D61</f>
        <v>0.2471264367816092</v>
      </c>
      <c r="H61" s="984"/>
      <c r="I61" s="555"/>
      <c r="J61" s="965"/>
    </row>
    <row r="62" spans="2:10">
      <c r="B62" s="964" t="str">
        <f>ProcessEnergy!B8</f>
        <v>Damp</v>
      </c>
      <c r="C62" s="976" t="s">
        <v>877</v>
      </c>
      <c r="D62" s="984"/>
      <c r="E62" s="984"/>
      <c r="F62" s="984"/>
      <c r="G62" s="984"/>
      <c r="H62" s="984"/>
      <c r="I62" s="555"/>
      <c r="J62" s="965"/>
    </row>
    <row r="63" spans="2:10">
      <c r="B63" s="964" t="str">
        <f>ProcessEnergy!B9</f>
        <v xml:space="preserve">Olie </v>
      </c>
      <c r="C63" s="976" t="s">
        <v>877</v>
      </c>
      <c r="D63" s="984"/>
      <c r="E63" s="984"/>
      <c r="F63" s="984"/>
      <c r="G63" s="984"/>
      <c r="H63" s="984"/>
      <c r="I63" s="555"/>
      <c r="J63" s="965"/>
    </row>
    <row r="64" spans="2:10">
      <c r="B64" s="964" t="str">
        <f>ProcessEnergy!B10</f>
        <v>Kul</v>
      </c>
      <c r="C64" s="976" t="s">
        <v>877</v>
      </c>
      <c r="D64" s="984"/>
      <c r="E64" s="984"/>
      <c r="F64" s="984"/>
      <c r="G64" s="984"/>
      <c r="H64" s="984"/>
      <c r="I64" s="555"/>
      <c r="J64" s="965"/>
    </row>
    <row r="65" spans="2:10">
      <c r="B65" s="964" t="str">
        <f>ProcessEnergy!B11</f>
        <v>Naturgas kedel</v>
      </c>
      <c r="C65" s="976" t="s">
        <v>877</v>
      </c>
      <c r="D65" s="984"/>
      <c r="E65" s="984"/>
      <c r="F65" s="984"/>
      <c r="G65" s="984"/>
      <c r="H65" s="984"/>
      <c r="I65" s="555"/>
      <c r="J65" s="965"/>
    </row>
    <row r="66" spans="2:10">
      <c r="B66" s="964" t="str">
        <f>ProcessEnergy!B12</f>
        <v>Gylle</v>
      </c>
      <c r="C66" s="976" t="s">
        <v>877</v>
      </c>
      <c r="D66" s="984"/>
      <c r="E66" s="984"/>
      <c r="F66" s="984"/>
      <c r="G66" s="984"/>
      <c r="H66" s="984"/>
      <c r="I66" s="555"/>
      <c r="J66" s="965"/>
    </row>
    <row r="67" spans="2:10">
      <c r="B67" s="964" t="str">
        <f>ProcessEnergy!B13</f>
        <v>Affald</v>
      </c>
      <c r="C67" s="976" t="s">
        <v>877</v>
      </c>
      <c r="D67" s="984"/>
      <c r="E67" s="984"/>
      <c r="F67" s="984"/>
      <c r="G67" s="984"/>
      <c r="H67" s="984"/>
      <c r="I67" s="555"/>
      <c r="J67" s="965"/>
    </row>
    <row r="68" spans="2:10">
      <c r="B68" s="964" t="str">
        <f>ProcessEnergy!B14</f>
        <v>Hydrogen</v>
      </c>
      <c r="C68" s="976" t="s">
        <v>877</v>
      </c>
      <c r="D68" s="984"/>
      <c r="E68" s="984"/>
      <c r="F68" s="984"/>
      <c r="G68" s="984"/>
      <c r="H68" s="984"/>
      <c r="I68" s="555"/>
      <c r="J68" s="965"/>
    </row>
    <row r="69" spans="2:10">
      <c r="B69" s="964" t="str">
        <f>ProcessEnergy!B15</f>
        <v>Biomasse</v>
      </c>
      <c r="C69" s="976" t="s">
        <v>877</v>
      </c>
      <c r="D69" s="984"/>
      <c r="E69" s="984"/>
      <c r="F69" s="984"/>
      <c r="G69" s="984"/>
      <c r="H69" s="984"/>
      <c r="I69" s="555"/>
      <c r="J69" s="965"/>
    </row>
    <row r="70" spans="2:10">
      <c r="B70" s="964" t="str">
        <f>ProcessEnergy!B16</f>
        <v>Methanol</v>
      </c>
      <c r="C70" s="976"/>
      <c r="D70" s="984"/>
      <c r="E70" s="984"/>
      <c r="F70" s="984"/>
      <c r="G70" s="984"/>
      <c r="H70" s="984"/>
      <c r="I70" s="555"/>
      <c r="J70" s="965"/>
    </row>
    <row r="71" spans="2:10">
      <c r="B71" s="964" t="str">
        <f>ProcessEnergy!B17</f>
        <v>&lt;empty&gt;</v>
      </c>
      <c r="C71" s="976"/>
      <c r="D71" s="984"/>
      <c r="E71" s="984"/>
      <c r="F71" s="984"/>
      <c r="G71" s="984"/>
      <c r="H71" s="984"/>
      <c r="I71" s="555"/>
      <c r="J71" s="965"/>
    </row>
    <row r="72" spans="2:10">
      <c r="B72" s="964" t="str">
        <f>ProcessEnergy!B18</f>
        <v>&lt;empty&gt;</v>
      </c>
      <c r="C72" s="976"/>
      <c r="D72" s="984"/>
      <c r="E72" s="984"/>
      <c r="F72" s="984"/>
      <c r="G72" s="984"/>
      <c r="H72" s="984"/>
      <c r="I72" s="555"/>
      <c r="J72" s="965"/>
    </row>
    <row r="73" spans="2:10">
      <c r="B73" s="964" t="str">
        <f>ProcessEnergy!B19</f>
        <v>&lt;empty&gt;</v>
      </c>
      <c r="C73" s="976"/>
      <c r="D73" s="984"/>
      <c r="E73" s="984"/>
      <c r="F73" s="984"/>
      <c r="G73" s="984"/>
      <c r="H73" s="984"/>
      <c r="I73" s="555"/>
      <c r="J73" s="965"/>
    </row>
    <row r="74" spans="2:10">
      <c r="B74" s="964" t="str">
        <f>ProcessEnergy!B20</f>
        <v>&lt;empty&gt;</v>
      </c>
      <c r="C74" s="976"/>
      <c r="D74" s="984"/>
      <c r="E74" s="984"/>
      <c r="F74" s="984"/>
      <c r="G74" s="984"/>
      <c r="H74" s="984"/>
      <c r="I74" s="555"/>
      <c r="J74" s="965"/>
    </row>
    <row r="75" spans="2:10">
      <c r="B75" s="964" t="str">
        <f>ProcessEnergy!B21</f>
        <v>&lt;empty&gt;</v>
      </c>
      <c r="C75" s="976"/>
      <c r="D75" s="984"/>
      <c r="E75" s="984"/>
      <c r="F75" s="984"/>
      <c r="G75" s="984"/>
      <c r="H75" s="984"/>
      <c r="I75" s="555"/>
      <c r="J75" s="965"/>
    </row>
    <row r="76" spans="2:10">
      <c r="B76" s="964" t="str">
        <f>ProcessEnergy!B22</f>
        <v>&lt;empty&gt;</v>
      </c>
      <c r="C76" s="976"/>
      <c r="D76" s="984"/>
      <c r="E76" s="984"/>
      <c r="F76" s="984"/>
      <c r="G76" s="984"/>
      <c r="H76" s="984"/>
      <c r="I76" s="555"/>
      <c r="J76" s="965"/>
    </row>
    <row r="77" spans="2:10">
      <c r="B77" s="964" t="str">
        <f>ProcessEnergy!B23</f>
        <v>&lt;empty&gt;</v>
      </c>
      <c r="C77" s="976"/>
      <c r="D77" s="984"/>
      <c r="E77" s="984"/>
      <c r="F77" s="984"/>
      <c r="G77" s="984"/>
      <c r="H77" s="984"/>
      <c r="I77" s="555"/>
      <c r="J77" s="965"/>
    </row>
    <row r="78" spans="2:10">
      <c r="B78" s="964" t="str">
        <f>ProcessEnergy!B24</f>
        <v>&lt;empty&gt;</v>
      </c>
      <c r="C78" s="976" t="s">
        <v>877</v>
      </c>
      <c r="D78" s="993"/>
      <c r="E78" s="993"/>
      <c r="F78" s="993"/>
      <c r="G78" s="993"/>
      <c r="H78" s="984"/>
      <c r="I78" s="555"/>
      <c r="J78" s="965"/>
    </row>
    <row r="79" spans="2:10">
      <c r="B79" s="964"/>
      <c r="C79" s="976"/>
      <c r="D79" s="984"/>
      <c r="E79" s="984"/>
      <c r="F79" s="984"/>
      <c r="G79" s="984"/>
      <c r="H79" s="984"/>
      <c r="I79" s="555"/>
      <c r="J79" s="965"/>
    </row>
    <row r="80" spans="2:10">
      <c r="B80" s="964"/>
      <c r="C80" s="976"/>
      <c r="D80" s="984"/>
      <c r="E80" s="984"/>
      <c r="F80" s="984"/>
      <c r="G80" s="984"/>
      <c r="H80" s="984"/>
      <c r="I80" s="555"/>
      <c r="J80" s="965"/>
    </row>
    <row r="81" spans="1:17">
      <c r="B81" s="964"/>
      <c r="C81" s="976"/>
      <c r="D81" s="986"/>
      <c r="E81" s="986"/>
      <c r="F81" s="986"/>
      <c r="G81" s="986"/>
      <c r="H81" s="986"/>
      <c r="I81" s="555"/>
      <c r="J81" s="965"/>
    </row>
    <row r="82" spans="1:17">
      <c r="B82" s="975" t="s">
        <v>152</v>
      </c>
      <c r="C82" s="976"/>
      <c r="D82" s="986"/>
      <c r="E82" s="986"/>
      <c r="F82" s="986"/>
      <c r="G82" s="986"/>
      <c r="H82" s="986"/>
      <c r="I82" s="555"/>
      <c r="J82" s="965"/>
    </row>
    <row r="83" spans="1:17">
      <c r="A83" s="530">
        <v>4</v>
      </c>
      <c r="B83" s="964" t="s">
        <v>462</v>
      </c>
      <c r="C83" s="976" t="s">
        <v>725</v>
      </c>
      <c r="D83" s="1633">
        <v>1</v>
      </c>
      <c r="E83" s="978">
        <f t="shared" ref="E83:G89" si="1">$D83</f>
        <v>1</v>
      </c>
      <c r="F83" s="978">
        <f t="shared" si="1"/>
        <v>1</v>
      </c>
      <c r="G83" s="978">
        <f t="shared" si="1"/>
        <v>1</v>
      </c>
      <c r="H83" s="978"/>
      <c r="I83" s="555"/>
      <c r="J83" s="965"/>
    </row>
    <row r="84" spans="1:17">
      <c r="B84" s="964" t="s">
        <v>153</v>
      </c>
      <c r="C84" s="976" t="s">
        <v>725</v>
      </c>
      <c r="D84" s="987">
        <f>D83*(D59+D61)</f>
        <v>0.26494252873563218</v>
      </c>
      <c r="E84" s="978">
        <f t="shared" si="1"/>
        <v>0.26494252873563218</v>
      </c>
      <c r="F84" s="978">
        <f t="shared" si="1"/>
        <v>0.26494252873563218</v>
      </c>
      <c r="G84" s="978">
        <f t="shared" si="1"/>
        <v>0.26494252873563218</v>
      </c>
      <c r="H84" s="1334"/>
      <c r="I84" s="555"/>
      <c r="J84" s="965"/>
    </row>
    <row r="85" spans="1:17">
      <c r="B85" s="964" t="s">
        <v>154</v>
      </c>
      <c r="C85" s="976" t="s">
        <v>725</v>
      </c>
      <c r="D85" s="2270">
        <f>D83*(D43+D56)</f>
        <v>0.45025689655172418</v>
      </c>
      <c r="E85" s="987">
        <f>E83*(E43+E56)</f>
        <v>0.45025689655172418</v>
      </c>
      <c r="F85" s="987">
        <f>F83*(F43+F56)</f>
        <v>0.45025689655172418</v>
      </c>
      <c r="G85" s="987">
        <f>G83*(G43+G56)</f>
        <v>0.45025689655172418</v>
      </c>
      <c r="H85" s="978"/>
      <c r="I85" s="555"/>
      <c r="J85" s="965"/>
    </row>
    <row r="86" spans="1:17">
      <c r="B86" s="964" t="s">
        <v>1337</v>
      </c>
      <c r="C86" s="976" t="s">
        <v>725</v>
      </c>
      <c r="D86" s="2271">
        <f>(1/D161)*D83</f>
        <v>0.57471264367816088</v>
      </c>
      <c r="E86" s="978">
        <f t="shared" si="1"/>
        <v>0.57471264367816088</v>
      </c>
      <c r="F86" s="978">
        <f t="shared" si="1"/>
        <v>0.57471264367816088</v>
      </c>
      <c r="G86" s="978">
        <f t="shared" si="1"/>
        <v>0.57471264367816088</v>
      </c>
      <c r="H86" s="978"/>
      <c r="I86" s="555"/>
      <c r="J86" s="965"/>
    </row>
    <row r="87" spans="1:17">
      <c r="B87" s="985" t="s">
        <v>155</v>
      </c>
      <c r="C87" s="976" t="s">
        <v>725</v>
      </c>
      <c r="D87" s="987">
        <f>SUM(D83:D84)-SUM(D85:D86)</f>
        <v>0.23997298850574711</v>
      </c>
      <c r="E87" s="978">
        <f t="shared" si="1"/>
        <v>0.23997298850574711</v>
      </c>
      <c r="F87" s="978">
        <f t="shared" si="1"/>
        <v>0.23997298850574711</v>
      </c>
      <c r="G87" s="978">
        <f t="shared" si="1"/>
        <v>0.23997298850574711</v>
      </c>
      <c r="H87" s="978"/>
      <c r="I87" s="555"/>
      <c r="J87" s="965"/>
    </row>
    <row r="88" spans="1:17">
      <c r="B88" s="985" t="s">
        <v>156</v>
      </c>
      <c r="C88" s="988" t="s">
        <v>726</v>
      </c>
      <c r="D88" s="989">
        <f>SUM(D85:D86)/SUM(D83:D84)</f>
        <v>0.81028941390277143</v>
      </c>
      <c r="E88" s="989">
        <f>SUM(E85:E86)/SUM(E83:E84)</f>
        <v>0.81028941390277143</v>
      </c>
      <c r="F88" s="989">
        <f>SUM(F85:F86)/SUM(F83:F84)</f>
        <v>0.81028941390277143</v>
      </c>
      <c r="G88" s="989">
        <f>SUM(G85:G86)/SUM(G83:G84)</f>
        <v>0.81028941390277143</v>
      </c>
      <c r="H88" s="990"/>
      <c r="I88" s="555"/>
      <c r="J88" s="965" t="s">
        <v>1751</v>
      </c>
      <c r="N88" s="545"/>
    </row>
    <row r="89" spans="1:17">
      <c r="B89" s="964"/>
      <c r="C89" s="976"/>
      <c r="D89" s="1037">
        <f>D168/100</f>
        <v>0.76500000000000001</v>
      </c>
      <c r="E89" s="978">
        <f t="shared" si="1"/>
        <v>0.76500000000000001</v>
      </c>
      <c r="F89" s="978">
        <f t="shared" si="1"/>
        <v>0.76500000000000001</v>
      </c>
      <c r="G89" s="978">
        <f t="shared" si="1"/>
        <v>0.76500000000000001</v>
      </c>
      <c r="H89" s="990"/>
      <c r="I89" s="555"/>
      <c r="J89" s="965"/>
      <c r="N89" s="557"/>
    </row>
    <row r="90" spans="1:17">
      <c r="B90" s="975" t="s">
        <v>2116</v>
      </c>
      <c r="C90" s="976"/>
      <c r="D90" s="987"/>
      <c r="E90" s="987"/>
      <c r="F90" s="987"/>
      <c r="G90" s="987"/>
      <c r="H90" s="983"/>
      <c r="I90" s="555"/>
      <c r="J90" s="965"/>
      <c r="N90" s="991"/>
      <c r="O90" s="991"/>
      <c r="P90" s="991"/>
      <c r="Q90" s="991"/>
    </row>
    <row r="91" spans="1:17">
      <c r="B91" s="964" t="s">
        <v>157</v>
      </c>
      <c r="C91" s="976" t="s">
        <v>61</v>
      </c>
      <c r="D91" s="992">
        <f ca="1">HLOOKUP($H100,Supplementary!$C$44:$AF$46,3,FALSE)*D100*D$111</f>
        <v>790613343.66633236</v>
      </c>
      <c r="E91" s="992">
        <f ca="1">HLOOKUP($H100,Supplementary!$C$44:$AF$46,3,FALSE)*E100*E$111</f>
        <v>790613343.66633236</v>
      </c>
      <c r="F91" s="992">
        <f ca="1">HLOOKUP($H100,Supplementary!$C$44:$AF$46,3,FALSE)*F100*F$111</f>
        <v>751082676.48301566</v>
      </c>
      <c r="G91" s="992">
        <f ca="1">HLOOKUP($H100,Supplementary!$C$44:$AF$46,3,FALSE)*G100*G$111</f>
        <v>677852115.52592158</v>
      </c>
      <c r="H91" s="555">
        <f t="shared" ref="H91:H97" si="2">priceYear</f>
        <v>2015</v>
      </c>
      <c r="I91" s="555"/>
      <c r="J91" s="965"/>
      <c r="N91" s="991"/>
      <c r="O91" s="991"/>
      <c r="P91" s="991"/>
      <c r="Q91" s="991"/>
    </row>
    <row r="92" spans="1:17">
      <c r="B92" s="964" t="s">
        <v>160</v>
      </c>
      <c r="C92" s="976" t="s">
        <v>464</v>
      </c>
      <c r="D92" s="555">
        <f ca="1">SUM(D93:D97)</f>
        <v>-35.491932518219869</v>
      </c>
      <c r="E92" s="555">
        <f ca="1">SUM(E93:E97)</f>
        <v>-35.418116708299863</v>
      </c>
      <c r="F92" s="555">
        <f ca="1">SUM(F93:F97)</f>
        <v>-37.486838593567796</v>
      </c>
      <c r="G92" s="555">
        <f ca="1">SUM(G93:G97)</f>
        <v>-40.088950512529721</v>
      </c>
      <c r="H92" s="555">
        <f t="shared" si="2"/>
        <v>2015</v>
      </c>
      <c r="I92" s="555"/>
      <c r="J92" s="965"/>
      <c r="N92" s="991"/>
      <c r="O92" s="991"/>
      <c r="P92" s="991"/>
      <c r="Q92" s="991"/>
    </row>
    <row r="93" spans="1:17">
      <c r="B93" s="995" t="s">
        <v>162</v>
      </c>
      <c r="C93" s="976" t="s">
        <v>464</v>
      </c>
      <c r="D93" s="992">
        <f ca="1">HLOOKUP($H102,Supplementary!$C$44:$AF$46,3,FALSE)*D102*D$111</f>
        <v>11.835981373744342</v>
      </c>
      <c r="E93" s="555">
        <f ca="1">HLOOKUP($H102,Supplementary!$C$44:$AF$46,3,FALSE)*E102*E$111</f>
        <v>11.835981373744342</v>
      </c>
      <c r="F93" s="555">
        <f ca="1">HLOOKUP($H102,Supplementary!$C$44:$AF$46,3,FALSE)*F102*F$111</f>
        <v>11.244182305057125</v>
      </c>
      <c r="G93" s="555">
        <f ca="1">HLOOKUP($H102,Supplementary!$C$44:$AF$46,3,FALSE)*G102*G$111</f>
        <v>10.147874530314054</v>
      </c>
      <c r="H93" s="555">
        <f t="shared" si="2"/>
        <v>2015</v>
      </c>
      <c r="I93" s="555"/>
      <c r="J93" s="965"/>
      <c r="N93" s="991"/>
      <c r="O93" s="991"/>
      <c r="P93" s="991"/>
      <c r="Q93" s="991"/>
    </row>
    <row r="94" spans="1:17">
      <c r="B94" s="995" t="s">
        <v>163</v>
      </c>
      <c r="C94" s="976" t="s">
        <v>464</v>
      </c>
      <c r="D94" s="992">
        <f ca="1">HLOOKUP($H103,Supplementary!$C$44:$AF$46,3,FALSE)*D103*D$111</f>
        <v>16.256994809380323</v>
      </c>
      <c r="E94" s="555">
        <f ca="1">HLOOKUP($H103,Supplementary!$C$44:$AF$46,3,FALSE)*E103*E$111</f>
        <v>16.256994809380323</v>
      </c>
      <c r="F94" s="555">
        <f ca="1">HLOOKUP($H103,Supplementary!$C$44:$AF$46,3,FALSE)*F103*F$111</f>
        <v>15.444145068911306</v>
      </c>
      <c r="G94" s="555">
        <f ca="1">HLOOKUP($H103,Supplementary!$C$44:$AF$46,3,FALSE)*G103*G$111</f>
        <v>13.938340924692453</v>
      </c>
      <c r="H94" s="555">
        <f t="shared" si="2"/>
        <v>2015</v>
      </c>
      <c r="I94" s="555"/>
      <c r="J94" s="965"/>
      <c r="N94" s="991"/>
      <c r="O94" s="991"/>
      <c r="P94" s="991"/>
      <c r="Q94" s="991"/>
    </row>
    <row r="95" spans="1:17">
      <c r="B95" s="995" t="s">
        <v>164</v>
      </c>
      <c r="C95" s="976" t="s">
        <v>464</v>
      </c>
      <c r="D95" s="992">
        <f>HLOOKUP($H104,Supplementary!$C$44:$AF$46,3,FALSE)*D104</f>
        <v>0</v>
      </c>
      <c r="E95" s="555">
        <f>HLOOKUP($H104,Supplementary!$C$44:$AF$46,3,FALSE)*E104</f>
        <v>0</v>
      </c>
      <c r="F95" s="555">
        <f>HLOOKUP($H104,Supplementary!$C$44:$AF$46,3,FALSE)*F104</f>
        <v>0</v>
      </c>
      <c r="G95" s="555">
        <f>HLOOKUP($H104,Supplementary!$C$44:$AF$46,3,FALSE)*G104</f>
        <v>0</v>
      </c>
      <c r="H95" s="555">
        <f t="shared" si="2"/>
        <v>2015</v>
      </c>
      <c r="I95" s="555"/>
      <c r="J95" s="965"/>
      <c r="N95" s="991"/>
      <c r="O95" s="991"/>
      <c r="P95" s="991"/>
      <c r="Q95" s="991"/>
    </row>
    <row r="96" spans="1:17">
      <c r="B96" s="995" t="s">
        <v>264</v>
      </c>
      <c r="C96" s="976" t="s">
        <v>464</v>
      </c>
      <c r="D96" s="992">
        <f ca="1">HLOOKUP($H105,Supplementary!$C$44:$AF$46,3,FALSE)*D105*D$111</f>
        <v>0</v>
      </c>
      <c r="E96" s="555">
        <f ca="1">HLOOKUP($H105,Supplementary!$C$44:$AF$46,3,FALSE)*E105*E$111</f>
        <v>0</v>
      </c>
      <c r="F96" s="555">
        <f ca="1">HLOOKUP($H105,Supplementary!$C$44:$AF$46,3,FALSE)*F105*F$111</f>
        <v>0</v>
      </c>
      <c r="G96" s="555">
        <f ca="1">HLOOKUP($H105,Supplementary!$C$44:$AF$46,3,FALSE)*G105*G$111</f>
        <v>0</v>
      </c>
      <c r="H96" s="555">
        <f t="shared" si="2"/>
        <v>2015</v>
      </c>
      <c r="I96" s="555"/>
      <c r="J96" s="965"/>
      <c r="N96" s="991"/>
      <c r="O96" s="991"/>
      <c r="P96" s="991"/>
      <c r="Q96" s="991"/>
    </row>
    <row r="97" spans="1:17">
      <c r="B97" s="995" t="s">
        <v>165</v>
      </c>
      <c r="C97" s="976" t="s">
        <v>464</v>
      </c>
      <c r="D97" s="992">
        <f ca="1">HLOOKUP($H106,Supplementary!$C$44:$AF$46,3,FALSE)*D106</f>
        <v>-63.584908701344531</v>
      </c>
      <c r="E97" s="555">
        <f ca="1">HLOOKUP($H106,Supplementary!$C$44:$AF$46,3,FALSE)*E106</f>
        <v>-63.511092891424525</v>
      </c>
      <c r="F97" s="555">
        <f ca="1">HLOOKUP($H106,Supplementary!$C$44:$AF$46,3,FALSE)*F106</f>
        <v>-64.17516596753623</v>
      </c>
      <c r="G97" s="555">
        <f ca="1">HLOOKUP($H106,Supplementary!$C$44:$AF$46,3,FALSE)*G106</f>
        <v>-64.17516596753623</v>
      </c>
      <c r="H97" s="555">
        <f t="shared" si="2"/>
        <v>2015</v>
      </c>
      <c r="I97" s="555"/>
      <c r="J97" s="965"/>
      <c r="N97" s="991"/>
      <c r="O97" s="991"/>
      <c r="P97" s="991"/>
      <c r="Q97" s="991"/>
    </row>
    <row r="98" spans="1:17">
      <c r="B98" s="975"/>
      <c r="C98" s="976"/>
      <c r="D98" s="992"/>
      <c r="E98" s="983"/>
      <c r="F98" s="983"/>
      <c r="G98" s="983"/>
      <c r="H98" s="983"/>
      <c r="I98" s="555"/>
      <c r="J98" s="965"/>
      <c r="N98" s="991"/>
      <c r="O98" s="991"/>
      <c r="P98" s="991"/>
      <c r="Q98" s="991"/>
    </row>
    <row r="99" spans="1:17">
      <c r="B99" s="975" t="s">
        <v>2117</v>
      </c>
      <c r="C99" s="976"/>
      <c r="D99" s="992"/>
      <c r="E99" s="983"/>
      <c r="F99" s="983"/>
      <c r="G99" s="983"/>
      <c r="H99" s="983"/>
      <c r="I99" s="555"/>
      <c r="J99" s="965"/>
      <c r="N99" s="991"/>
      <c r="O99" s="991"/>
      <c r="P99" s="991"/>
      <c r="Q99" s="991"/>
    </row>
    <row r="100" spans="1:17">
      <c r="B100" s="964" t="s">
        <v>157</v>
      </c>
      <c r="C100" s="976" t="s">
        <v>61</v>
      </c>
      <c r="D100" s="992">
        <f>D160*D178*dkkPerEUR</f>
        <v>742735200.00000012</v>
      </c>
      <c r="E100" s="992">
        <f t="shared" ref="E100:G103" si="3">$D100</f>
        <v>742735200.00000012</v>
      </c>
      <c r="F100" s="992">
        <f t="shared" si="3"/>
        <v>742735200.00000012</v>
      </c>
      <c r="G100" s="992">
        <f t="shared" si="3"/>
        <v>742735200.00000012</v>
      </c>
      <c r="H100" s="1668">
        <v>2011</v>
      </c>
      <c r="I100" s="555"/>
      <c r="J100" s="965"/>
      <c r="N100" s="991"/>
      <c r="O100" s="991"/>
      <c r="P100" s="991"/>
      <c r="Q100" s="991"/>
    </row>
    <row r="101" spans="1:17">
      <c r="B101" s="964" t="s">
        <v>160</v>
      </c>
      <c r="C101" s="976" t="s">
        <v>464</v>
      </c>
      <c r="D101" s="993">
        <f ca="1">SUM(D102:D106)</f>
        <v>-33.342603952346003</v>
      </c>
      <c r="E101" s="978">
        <f t="shared" ca="1" si="3"/>
        <v>-33.342603952346003</v>
      </c>
      <c r="F101" s="978">
        <f t="shared" ca="1" si="3"/>
        <v>-33.342603952346003</v>
      </c>
      <c r="G101" s="978">
        <f t="shared" ca="1" si="3"/>
        <v>-33.342603952346003</v>
      </c>
      <c r="H101" s="1668">
        <v>2011</v>
      </c>
      <c r="I101" s="994"/>
      <c r="J101" s="965"/>
      <c r="N101" s="991"/>
      <c r="O101" s="991"/>
      <c r="P101" s="991"/>
      <c r="Q101" s="991"/>
    </row>
    <row r="102" spans="1:17">
      <c r="B102" s="995" t="s">
        <v>162</v>
      </c>
      <c r="C102" s="976" t="s">
        <v>464</v>
      </c>
      <c r="D102" s="480">
        <f ca="1">-PMT(rSØK,20,D100)/D160</f>
        <v>11.119215307014098</v>
      </c>
      <c r="E102" s="978">
        <f t="shared" ca="1" si="3"/>
        <v>11.119215307014098</v>
      </c>
      <c r="F102" s="978">
        <f t="shared" ca="1" si="3"/>
        <v>11.119215307014098</v>
      </c>
      <c r="G102" s="978">
        <f t="shared" ca="1" si="3"/>
        <v>11.119215307014098</v>
      </c>
      <c r="H102" s="1668">
        <v>2011</v>
      </c>
      <c r="I102" s="994"/>
      <c r="J102" s="965"/>
      <c r="N102" s="991"/>
      <c r="O102" s="991"/>
      <c r="P102" s="991"/>
      <c r="Q102" s="991"/>
    </row>
    <row r="103" spans="1:17">
      <c r="B103" s="995" t="s">
        <v>163</v>
      </c>
      <c r="C103" s="976" t="s">
        <v>464</v>
      </c>
      <c r="D103" s="480">
        <f>IF(D142&gt;0,D178*D142*dkkPerEUR,D179*dkkPerEUR)</f>
        <v>15.272499999999999</v>
      </c>
      <c r="E103" s="480">
        <f t="shared" si="3"/>
        <v>15.272499999999999</v>
      </c>
      <c r="F103" s="480">
        <f t="shared" si="3"/>
        <v>15.272499999999999</v>
      </c>
      <c r="G103" s="480">
        <f t="shared" si="3"/>
        <v>15.272499999999999</v>
      </c>
      <c r="H103" s="1668">
        <v>2011</v>
      </c>
      <c r="I103" s="555"/>
      <c r="J103" s="965"/>
      <c r="N103" s="991"/>
      <c r="O103" s="991"/>
      <c r="P103" s="991"/>
      <c r="Q103" s="991"/>
    </row>
    <row r="104" spans="1:17">
      <c r="A104" s="530">
        <v>6</v>
      </c>
      <c r="B104" s="995" t="s">
        <v>164</v>
      </c>
      <c r="C104" s="976" t="s">
        <v>464</v>
      </c>
      <c r="D104" s="987"/>
      <c r="E104" s="987"/>
      <c r="F104" s="987"/>
      <c r="G104" s="987"/>
      <c r="H104" s="1668">
        <v>2011</v>
      </c>
      <c r="I104" s="555"/>
      <c r="J104" s="965"/>
      <c r="N104" s="991"/>
      <c r="O104" s="991"/>
      <c r="P104" s="991"/>
      <c r="Q104" s="991"/>
    </row>
    <row r="105" spans="1:17">
      <c r="B105" s="995" t="s">
        <v>264</v>
      </c>
      <c r="C105" s="976" t="s">
        <v>464</v>
      </c>
      <c r="D105" s="997"/>
      <c r="E105" s="997"/>
      <c r="F105" s="997"/>
      <c r="G105" s="997"/>
      <c r="H105" s="1668">
        <v>2011</v>
      </c>
      <c r="I105" s="555"/>
      <c r="J105" s="965"/>
      <c r="N105" s="991"/>
      <c r="O105" s="991"/>
      <c r="P105" s="991"/>
      <c r="Q105" s="991"/>
    </row>
    <row r="106" spans="1:17">
      <c r="B106" s="995" t="s">
        <v>165</v>
      </c>
      <c r="C106" s="976" t="s">
        <v>464</v>
      </c>
      <c r="D106" s="1221">
        <f ca="1">-SUMPRODUCT(D37:D56,ProcessEnergy!M35:M54)/D86</f>
        <v>-59.734319259360099</v>
      </c>
      <c r="E106" s="1221">
        <f ca="1">-SUMPRODUCT(E37:E56,ProcessEnergy!N35:N54)/E86</f>
        <v>-59.664973604137721</v>
      </c>
      <c r="F106" s="1221">
        <f ca="1">-SUMPRODUCT(F37:F56,ProcessEnergy!O35:O54)/F86</f>
        <v>-60.288831591043397</v>
      </c>
      <c r="G106" s="1221">
        <f ca="1">-SUMPRODUCT(G37:G56,ProcessEnergy!P35:P54)/G86</f>
        <v>-60.288831591043397</v>
      </c>
      <c r="H106" s="1668">
        <v>2011</v>
      </c>
      <c r="I106" s="1057"/>
      <c r="J106" s="1059" t="s">
        <v>1602</v>
      </c>
      <c r="N106" s="991"/>
      <c r="O106" s="991"/>
      <c r="P106" s="991"/>
      <c r="Q106" s="991"/>
    </row>
    <row r="107" spans="1:17">
      <c r="B107" s="995"/>
      <c r="C107" s="976"/>
      <c r="D107" s="2311"/>
      <c r="E107" s="2311"/>
      <c r="F107" s="2311"/>
      <c r="G107" s="2311"/>
      <c r="H107" s="983"/>
      <c r="I107" s="994"/>
      <c r="J107" s="965"/>
      <c r="N107" s="991"/>
      <c r="O107" s="991"/>
      <c r="P107" s="991"/>
      <c r="Q107" s="991"/>
    </row>
    <row r="108" spans="1:17">
      <c r="B108" s="975" t="s">
        <v>2113</v>
      </c>
      <c r="C108" s="976"/>
      <c r="D108" s="983"/>
      <c r="E108" s="983"/>
      <c r="F108" s="983"/>
      <c r="G108" s="983"/>
      <c r="H108" s="983"/>
      <c r="I108" s="994"/>
      <c r="J108" s="965"/>
      <c r="N108" s="991"/>
      <c r="O108" s="991"/>
      <c r="P108" s="991"/>
      <c r="Q108" s="991"/>
    </row>
    <row r="109" spans="1:17">
      <c r="B109" s="995" t="s">
        <v>2114</v>
      </c>
      <c r="C109" s="976"/>
      <c r="D109" s="1696">
        <v>0.95</v>
      </c>
      <c r="E109" s="1696">
        <v>0.95</v>
      </c>
      <c r="F109" s="1696">
        <v>0.95</v>
      </c>
      <c r="G109" s="1696">
        <v>0.95</v>
      </c>
      <c r="H109" s="983"/>
      <c r="I109" s="994"/>
      <c r="J109" s="965"/>
      <c r="N109" s="991"/>
      <c r="O109" s="991"/>
      <c r="P109" s="991"/>
      <c r="Q109" s="991"/>
    </row>
    <row r="110" spans="1:17">
      <c r="B110" s="995" t="s">
        <v>2666</v>
      </c>
      <c r="C110" s="976"/>
      <c r="D110" s="478">
        <f ca="1">OFFSET(Supplementary!C$237,MATCH($C$19,Supplementary!$B$238:$B$241,0),0)</f>
        <v>1</v>
      </c>
      <c r="E110" s="478">
        <f ca="1">OFFSET(Supplementary!D$237,MATCH($C$19,Supplementary!$B$238:$B$241,0),0)</f>
        <v>1</v>
      </c>
      <c r="F110" s="478">
        <f ca="1">OFFSET(Supplementary!E$237,MATCH($C$19,Supplementary!$B$238:$B$241,0),0)</f>
        <v>2</v>
      </c>
      <c r="G110" s="478">
        <f ca="1">OFFSET(Supplementary!F$237,MATCH($C$19,Supplementary!$B$238:$B$241,0),0)</f>
        <v>4</v>
      </c>
      <c r="H110" s="983"/>
      <c r="I110" s="994"/>
      <c r="J110" s="965"/>
      <c r="N110" s="991"/>
      <c r="O110" s="991"/>
      <c r="P110" s="991"/>
      <c r="Q110" s="991"/>
    </row>
    <row r="111" spans="1:17">
      <c r="B111" s="995" t="s">
        <v>2115</v>
      </c>
      <c r="C111" s="976"/>
      <c r="D111" s="1698">
        <f ca="1">1*D109^(D110-1)</f>
        <v>1</v>
      </c>
      <c r="E111" s="1698">
        <f ca="1">1*E109^(E110-1)</f>
        <v>1</v>
      </c>
      <c r="F111" s="1698">
        <f ca="1">1*F109^(F110-1)</f>
        <v>0.95</v>
      </c>
      <c r="G111" s="1698">
        <f ca="1">1*G109^(G110-1)</f>
        <v>0.85737499999999989</v>
      </c>
      <c r="H111" s="983"/>
      <c r="I111" s="994"/>
      <c r="J111" s="965"/>
      <c r="N111" s="991"/>
      <c r="O111" s="991"/>
      <c r="P111" s="991"/>
      <c r="Q111" s="991"/>
    </row>
    <row r="112" spans="1:17">
      <c r="B112" s="995"/>
      <c r="C112" s="976"/>
      <c r="D112" s="983"/>
      <c r="E112" s="983"/>
      <c r="F112" s="983"/>
      <c r="G112" s="983"/>
      <c r="H112" s="983"/>
      <c r="I112" s="994"/>
      <c r="J112" s="965"/>
      <c r="N112" s="991"/>
      <c r="O112" s="991"/>
      <c r="P112" s="991"/>
      <c r="Q112" s="991"/>
    </row>
    <row r="113" spans="2:17">
      <c r="B113" s="975" t="s">
        <v>166</v>
      </c>
      <c r="C113" s="976"/>
      <c r="D113" s="983"/>
      <c r="E113" s="983"/>
      <c r="F113" s="983"/>
      <c r="G113" s="983"/>
      <c r="H113" s="983"/>
      <c r="I113" s="994"/>
      <c r="J113" s="965"/>
      <c r="N113" s="998"/>
      <c r="O113" s="998"/>
      <c r="P113" s="998"/>
      <c r="Q113" s="991"/>
    </row>
    <row r="114" spans="2:17">
      <c r="B114" s="964" t="s">
        <v>24</v>
      </c>
      <c r="C114" s="976" t="s">
        <v>465</v>
      </c>
      <c r="D114" s="999">
        <v>0</v>
      </c>
      <c r="E114" s="999">
        <v>0</v>
      </c>
      <c r="F114" s="999">
        <v>0</v>
      </c>
      <c r="G114" s="999"/>
      <c r="H114" s="999"/>
      <c r="I114" s="1335" t="s">
        <v>1747</v>
      </c>
      <c r="J114" s="965"/>
      <c r="N114" s="991"/>
      <c r="O114" s="991"/>
      <c r="P114" s="991"/>
      <c r="Q114" s="991"/>
    </row>
    <row r="115" spans="2:17">
      <c r="B115" s="964" t="s">
        <v>27</v>
      </c>
      <c r="C115" s="976" t="s">
        <v>465</v>
      </c>
      <c r="D115" s="999">
        <v>0</v>
      </c>
      <c r="E115" s="999">
        <v>0</v>
      </c>
      <c r="F115" s="999">
        <v>0</v>
      </c>
      <c r="G115" s="999"/>
      <c r="H115" s="999"/>
      <c r="I115" s="1335" t="s">
        <v>1747</v>
      </c>
      <c r="J115" s="965"/>
      <c r="N115" s="991"/>
      <c r="O115" s="991"/>
      <c r="P115" s="991"/>
      <c r="Q115" s="991"/>
    </row>
    <row r="116" spans="2:17">
      <c r="B116" s="964" t="s">
        <v>28</v>
      </c>
      <c r="C116" s="976" t="s">
        <v>465</v>
      </c>
      <c r="D116" s="999">
        <v>0</v>
      </c>
      <c r="E116" s="999">
        <v>0</v>
      </c>
      <c r="F116" s="999">
        <v>0</v>
      </c>
      <c r="G116" s="999"/>
      <c r="H116" s="999"/>
      <c r="I116" s="1335" t="s">
        <v>1747</v>
      </c>
      <c r="J116" s="965"/>
      <c r="N116" s="991"/>
      <c r="O116" s="991"/>
      <c r="P116" s="991"/>
      <c r="Q116" s="991"/>
    </row>
    <row r="117" spans="2:17">
      <c r="B117" s="964" t="s">
        <v>26</v>
      </c>
      <c r="C117" s="976" t="s">
        <v>465</v>
      </c>
      <c r="D117" s="999">
        <v>0</v>
      </c>
      <c r="E117" s="999">
        <v>0</v>
      </c>
      <c r="F117" s="999">
        <v>0</v>
      </c>
      <c r="G117" s="999"/>
      <c r="H117" s="999"/>
      <c r="I117" s="1335" t="s">
        <v>1747</v>
      </c>
      <c r="J117" s="965"/>
      <c r="N117" s="991"/>
      <c r="O117" s="991"/>
      <c r="P117" s="991"/>
      <c r="Q117" s="991"/>
    </row>
    <row r="118" spans="2:17">
      <c r="B118" s="964" t="s">
        <v>167</v>
      </c>
      <c r="C118" s="976" t="s">
        <v>465</v>
      </c>
      <c r="D118" s="999">
        <v>0</v>
      </c>
      <c r="E118" s="999">
        <v>0</v>
      </c>
      <c r="F118" s="999">
        <v>0</v>
      </c>
      <c r="G118" s="999"/>
      <c r="H118" s="999"/>
      <c r="I118" s="1335" t="s">
        <v>1747</v>
      </c>
      <c r="J118" s="965"/>
      <c r="N118" s="998"/>
      <c r="O118" s="998"/>
      <c r="P118" s="998"/>
      <c r="Q118" s="998"/>
    </row>
    <row r="119" spans="2:17">
      <c r="B119" s="964" t="s">
        <v>45</v>
      </c>
      <c r="C119" s="976" t="s">
        <v>465</v>
      </c>
      <c r="D119" s="1000"/>
      <c r="E119" s="1000"/>
      <c r="F119" s="1000"/>
      <c r="G119" s="1000"/>
      <c r="H119" s="1000"/>
      <c r="I119" s="555"/>
      <c r="J119" s="965"/>
      <c r="L119" s="527"/>
    </row>
    <row r="120" spans="2:17" ht="13.5" thickBot="1">
      <c r="B120" s="1001"/>
      <c r="C120" s="1002"/>
      <c r="D120" s="1003"/>
      <c r="E120" s="968"/>
      <c r="F120" s="968"/>
      <c r="G120" s="968"/>
      <c r="H120" s="968"/>
      <c r="I120" s="1004"/>
      <c r="J120" s="969"/>
    </row>
    <row r="123" spans="2:17" ht="18.75">
      <c r="B123" s="1005" t="s">
        <v>172</v>
      </c>
    </row>
    <row r="124" spans="2:17" ht="15.75">
      <c r="B124" s="1006"/>
      <c r="D124" s="1007"/>
    </row>
    <row r="125" spans="2:17">
      <c r="B125" s="555"/>
      <c r="C125" s="555"/>
      <c r="D125" s="555"/>
      <c r="E125" s="555"/>
      <c r="F125" s="555"/>
      <c r="G125" s="555"/>
      <c r="H125" s="555"/>
      <c r="I125" s="555"/>
      <c r="J125" s="555"/>
      <c r="K125" s="555"/>
      <c r="L125" s="555"/>
    </row>
    <row r="126" spans="2:17">
      <c r="B126" s="555"/>
      <c r="C126" s="977"/>
      <c r="D126" s="977"/>
      <c r="E126" s="977"/>
      <c r="F126" s="977"/>
      <c r="G126" s="977"/>
      <c r="H126" s="977"/>
      <c r="I126" s="555"/>
      <c r="J126" s="977"/>
      <c r="K126" s="977"/>
      <c r="L126" s="977"/>
    </row>
    <row r="127" spans="2:17">
      <c r="B127" s="555"/>
      <c r="C127" s="555"/>
      <c r="D127" s="993"/>
      <c r="E127" s="993"/>
      <c r="F127" s="993"/>
      <c r="G127" s="993"/>
      <c r="H127" s="993"/>
      <c r="I127" s="555"/>
      <c r="J127" s="993"/>
      <c r="K127" s="993"/>
      <c r="L127" s="993"/>
    </row>
    <row r="128" spans="2:17">
      <c r="B128" s="555"/>
      <c r="C128" s="555"/>
      <c r="D128" s="993"/>
      <c r="E128" s="993"/>
      <c r="F128" s="993"/>
      <c r="G128" s="993"/>
      <c r="H128" s="993"/>
      <c r="I128" s="555"/>
      <c r="J128" s="993"/>
      <c r="K128" s="993"/>
      <c r="L128" s="993"/>
    </row>
    <row r="129" spans="2:12">
      <c r="B129" s="555"/>
      <c r="C129" s="555"/>
      <c r="D129" s="993"/>
      <c r="E129" s="993"/>
      <c r="F129" s="993"/>
      <c r="G129" s="993"/>
      <c r="H129" s="993"/>
      <c r="I129" s="555"/>
      <c r="J129" s="993"/>
      <c r="K129" s="993"/>
      <c r="L129" s="993"/>
    </row>
    <row r="130" spans="2:12">
      <c r="B130" s="555"/>
      <c r="C130" s="555"/>
      <c r="D130" s="993"/>
      <c r="E130" s="993"/>
      <c r="F130" s="993"/>
      <c r="G130" s="993"/>
      <c r="H130" s="993"/>
      <c r="I130" s="555"/>
      <c r="J130" s="993"/>
      <c r="K130" s="993"/>
      <c r="L130" s="993"/>
    </row>
    <row r="131" spans="2:12">
      <c r="B131" s="555"/>
      <c r="C131" s="555"/>
      <c r="D131" s="993"/>
      <c r="E131" s="993"/>
      <c r="F131" s="993"/>
      <c r="G131" s="993"/>
      <c r="H131" s="993"/>
      <c r="I131" s="555"/>
      <c r="J131" s="993"/>
      <c r="K131" s="993"/>
      <c r="L131" s="993"/>
    </row>
    <row r="132" spans="2:12">
      <c r="B132" s="555"/>
      <c r="C132" s="555"/>
      <c r="D132" s="993"/>
      <c r="E132" s="993"/>
      <c r="F132" s="993"/>
      <c r="G132" s="993"/>
      <c r="H132" s="993"/>
      <c r="I132" s="555"/>
      <c r="J132" s="993"/>
      <c r="K132" s="993"/>
      <c r="L132" s="993"/>
    </row>
    <row r="133" spans="2:12">
      <c r="B133" s="555"/>
      <c r="C133" s="555"/>
      <c r="D133" s="993"/>
      <c r="E133" s="993"/>
      <c r="F133" s="993"/>
      <c r="G133" s="993"/>
      <c r="H133" s="993"/>
      <c r="I133" s="555"/>
      <c r="J133" s="993"/>
      <c r="K133" s="993"/>
      <c r="L133" s="993"/>
    </row>
    <row r="136" spans="2:12" ht="18.75">
      <c r="B136" s="1005" t="s">
        <v>168</v>
      </c>
    </row>
    <row r="137" spans="2:12" ht="15.75">
      <c r="B137" s="1006"/>
    </row>
    <row r="138" spans="2:12" ht="13.5" thickBot="1">
      <c r="B138" s="555"/>
      <c r="C138" s="555"/>
      <c r="D138" s="555"/>
      <c r="E138" s="555"/>
      <c r="F138" s="555"/>
      <c r="G138" s="555"/>
      <c r="H138" s="555"/>
      <c r="I138" s="555"/>
    </row>
    <row r="139" spans="2:12">
      <c r="B139" s="1008"/>
      <c r="C139" s="1009" t="s">
        <v>70</v>
      </c>
      <c r="D139" s="1010">
        <v>2015</v>
      </c>
      <c r="E139" s="1009">
        <v>2020</v>
      </c>
      <c r="F139" s="1009">
        <v>2035</v>
      </c>
      <c r="G139" s="1009"/>
      <c r="H139" s="1009"/>
      <c r="I139" s="1011" t="s">
        <v>145</v>
      </c>
      <c r="J139" s="1012" t="s">
        <v>146</v>
      </c>
    </row>
    <row r="140" spans="2:12">
      <c r="B140" s="964"/>
      <c r="C140" s="977"/>
      <c r="D140" s="1013"/>
      <c r="E140" s="1014"/>
      <c r="F140" s="1014"/>
      <c r="G140" s="1014"/>
      <c r="H140" s="1014"/>
      <c r="I140" s="555"/>
      <c r="J140" s="965"/>
    </row>
    <row r="141" spans="2:12">
      <c r="B141" s="964"/>
      <c r="C141" s="977"/>
      <c r="D141" s="1015"/>
      <c r="E141" s="1016"/>
      <c r="F141" s="1016"/>
      <c r="G141" s="1016"/>
      <c r="H141" s="1016"/>
      <c r="I141" s="555"/>
      <c r="J141" s="965"/>
    </row>
    <row r="142" spans="2:12">
      <c r="B142" s="964"/>
      <c r="C142" s="977"/>
      <c r="D142" s="1017"/>
      <c r="E142" s="1018"/>
      <c r="F142" s="1018"/>
      <c r="G142" s="1018"/>
      <c r="H142" s="1018"/>
      <c r="I142" s="555"/>
      <c r="J142" s="965"/>
    </row>
    <row r="143" spans="2:12">
      <c r="B143" s="964"/>
      <c r="C143" s="977"/>
      <c r="D143" s="1015"/>
      <c r="E143" s="1016"/>
      <c r="F143" s="1016"/>
      <c r="G143" s="1016"/>
      <c r="H143" s="1016"/>
      <c r="I143" s="555"/>
      <c r="J143" s="965"/>
    </row>
    <row r="144" spans="2:12">
      <c r="B144" s="964"/>
      <c r="C144" s="977"/>
      <c r="D144" s="1015"/>
      <c r="E144" s="1016"/>
      <c r="F144" s="1016"/>
      <c r="G144" s="1016"/>
      <c r="H144" s="1016"/>
      <c r="I144" s="555"/>
      <c r="J144" s="965"/>
    </row>
    <row r="145" spans="2:10">
      <c r="B145" s="964" t="s">
        <v>22</v>
      </c>
      <c r="C145" s="977" t="s">
        <v>249</v>
      </c>
      <c r="D145" s="1019"/>
      <c r="E145" s="979"/>
      <c r="F145" s="979"/>
      <c r="G145" s="979"/>
      <c r="H145" s="979"/>
      <c r="I145" s="555"/>
      <c r="J145" s="965"/>
    </row>
    <row r="146" spans="2:10">
      <c r="B146" s="964"/>
      <c r="C146" s="976"/>
      <c r="D146" s="1016"/>
      <c r="E146" s="1016"/>
      <c r="F146" s="1016"/>
      <c r="G146" s="1016"/>
      <c r="H146" s="1016"/>
      <c r="I146" s="555"/>
      <c r="J146" s="965"/>
    </row>
    <row r="147" spans="2:10" ht="13.5" thickBot="1">
      <c r="B147" s="967"/>
      <c r="C147" s="1020"/>
      <c r="D147" s="1021"/>
      <c r="E147" s="1021"/>
      <c r="F147" s="1021"/>
      <c r="G147" s="1021"/>
      <c r="H147" s="1021"/>
      <c r="I147" s="968"/>
      <c r="J147" s="969"/>
    </row>
    <row r="149" spans="2:10" ht="13.5" thickBot="1"/>
    <row r="150" spans="2:10">
      <c r="B150" s="1040"/>
      <c r="C150" s="1340"/>
      <c r="D150" s="1064" t="s">
        <v>1098</v>
      </c>
    </row>
    <row r="151" spans="2:10">
      <c r="B151" s="1065" t="s">
        <v>1095</v>
      </c>
      <c r="C151" s="1367">
        <v>0.2</v>
      </c>
      <c r="D151" s="1067" t="s">
        <v>1746</v>
      </c>
    </row>
    <row r="152" spans="2:10" ht="13.5" thickBot="1">
      <c r="B152" s="1022" t="s">
        <v>1137</v>
      </c>
      <c r="C152" s="1341">
        <f>D189%</f>
        <v>0.29726149425287351</v>
      </c>
      <c r="D152" s="1342" t="s">
        <v>1746</v>
      </c>
    </row>
    <row r="153" spans="2:10">
      <c r="B153" s="530" t="str">
        <f>CONCATENATE("Source: ",Referencer!$B$48)</f>
        <v>Source: 42, FORCE, Danish Energy Agency, 2013, Technology data for advanced bioenergy fuels.</v>
      </c>
      <c r="C153" s="527"/>
      <c r="D153" s="527"/>
      <c r="E153" s="527"/>
    </row>
    <row r="155" spans="2:10" ht="13.5" thickBot="1">
      <c r="B155" s="965"/>
    </row>
    <row r="156" spans="2:10" ht="18.75">
      <c r="B156" s="1041" t="s">
        <v>1138</v>
      </c>
      <c r="C156" s="1042"/>
      <c r="D156" s="1025"/>
      <c r="E156" s="1025"/>
      <c r="F156" s="1025"/>
      <c r="G156" s="1025"/>
      <c r="H156" s="1025"/>
      <c r="I156" s="1025"/>
      <c r="J156" s="1026"/>
    </row>
    <row r="157" spans="2:10" ht="15">
      <c r="B157" s="1026"/>
      <c r="C157" s="1027"/>
      <c r="D157" s="1028">
        <v>2015</v>
      </c>
      <c r="E157" s="1028">
        <v>2020</v>
      </c>
      <c r="F157" s="1028">
        <v>2035</v>
      </c>
      <c r="G157" s="1028">
        <v>2050</v>
      </c>
      <c r="H157" s="1028"/>
      <c r="I157" s="1028" t="s">
        <v>1098</v>
      </c>
      <c r="J157" s="1338"/>
    </row>
    <row r="158" spans="2:10" ht="15">
      <c r="B158" s="1043" t="s">
        <v>1099</v>
      </c>
      <c r="C158" s="1044"/>
      <c r="D158" s="1027"/>
      <c r="E158" s="1027"/>
      <c r="F158" s="1027"/>
      <c r="G158" s="1027"/>
      <c r="H158" s="1027"/>
      <c r="I158" s="1027"/>
      <c r="J158" s="1026"/>
    </row>
    <row r="159" spans="2:10" ht="15">
      <c r="B159" s="1026" t="s">
        <v>1139</v>
      </c>
      <c r="C159" s="1027"/>
      <c r="D159" s="1368">
        <v>200000</v>
      </c>
      <c r="E159" s="1284" t="s">
        <v>1101</v>
      </c>
      <c r="F159" s="1031"/>
      <c r="G159" s="1031"/>
      <c r="H159" s="1031"/>
      <c r="I159" s="1032"/>
      <c r="J159" s="1339"/>
    </row>
    <row r="160" spans="2:10" ht="15">
      <c r="B160" s="1026" t="s">
        <v>1140</v>
      </c>
      <c r="C160" s="1027"/>
      <c r="D160" s="1368">
        <v>5360000</v>
      </c>
      <c r="E160" s="1284" t="s">
        <v>1101</v>
      </c>
      <c r="F160" s="1031"/>
      <c r="G160" s="1031"/>
      <c r="H160" s="1031"/>
      <c r="I160" s="1032"/>
      <c r="J160" s="1339"/>
    </row>
    <row r="161" spans="2:10" ht="15">
      <c r="B161" s="1026" t="s">
        <v>1141</v>
      </c>
      <c r="C161" s="1027"/>
      <c r="D161" s="1375">
        <v>1.74</v>
      </c>
      <c r="E161" s="1284" t="s">
        <v>1101</v>
      </c>
      <c r="F161" s="1031"/>
      <c r="G161" s="1031"/>
      <c r="H161" s="1031"/>
      <c r="I161" s="1032"/>
      <c r="J161" s="1339"/>
    </row>
    <row r="162" spans="2:10" ht="15">
      <c r="B162" s="1026" t="s">
        <v>1142</v>
      </c>
      <c r="C162" s="1027"/>
      <c r="D162" s="1375">
        <v>3.1</v>
      </c>
      <c r="E162" s="1284" t="s">
        <v>1101</v>
      </c>
      <c r="F162" s="1031"/>
      <c r="G162" s="1031"/>
      <c r="H162" s="1031"/>
      <c r="I162" s="1032"/>
      <c r="J162" s="1339"/>
    </row>
    <row r="163" spans="2:10" ht="15">
      <c r="B163" s="1026" t="s">
        <v>1143</v>
      </c>
      <c r="C163" s="1027"/>
      <c r="D163" s="1375">
        <v>1.74</v>
      </c>
      <c r="E163" s="1284" t="s">
        <v>1101</v>
      </c>
      <c r="F163" s="1031"/>
      <c r="G163" s="1031"/>
      <c r="H163" s="1031"/>
      <c r="I163" s="1032"/>
      <c r="J163" s="1339"/>
    </row>
    <row r="164" spans="2:10" ht="15">
      <c r="B164" s="1026" t="s">
        <v>1144</v>
      </c>
      <c r="C164" s="1027"/>
      <c r="D164" s="1375">
        <v>3.1E-2</v>
      </c>
      <c r="E164" s="1284" t="s">
        <v>1101</v>
      </c>
      <c r="F164" s="1031"/>
      <c r="G164" s="1031"/>
      <c r="H164" s="1031"/>
      <c r="I164" s="1032"/>
      <c r="J164" s="1339"/>
    </row>
    <row r="165" spans="2:10" ht="15">
      <c r="B165" s="1026" t="s">
        <v>1145</v>
      </c>
      <c r="C165" s="1027"/>
      <c r="D165" s="1375">
        <v>0.43</v>
      </c>
      <c r="E165" s="1284" t="s">
        <v>1101</v>
      </c>
      <c r="F165" s="1031"/>
      <c r="G165" s="1031"/>
      <c r="H165" s="1031"/>
      <c r="I165" s="1032"/>
      <c r="J165" s="1339"/>
    </row>
    <row r="166" spans="2:10" ht="15">
      <c r="B166" s="1026" t="s">
        <v>1146</v>
      </c>
      <c r="C166" s="1027"/>
      <c r="D166" s="1375">
        <v>0.68</v>
      </c>
      <c r="E166" s="1284" t="s">
        <v>1101</v>
      </c>
      <c r="F166" s="1031"/>
      <c r="G166" s="1031"/>
      <c r="H166" s="1031"/>
      <c r="I166" s="1032"/>
      <c r="J166" s="1339"/>
    </row>
    <row r="167" spans="2:10" ht="15">
      <c r="B167" s="1026" t="s">
        <v>1147</v>
      </c>
      <c r="C167" s="1027"/>
      <c r="D167" s="1370">
        <v>45.5</v>
      </c>
      <c r="E167" s="1284" t="s">
        <v>1101</v>
      </c>
      <c r="F167" s="1031"/>
      <c r="G167" s="1031"/>
      <c r="H167" s="1031"/>
      <c r="I167" s="1032"/>
      <c r="J167" s="1339"/>
    </row>
    <row r="168" spans="2:10" ht="15">
      <c r="B168" s="1026" t="s">
        <v>1148</v>
      </c>
      <c r="C168" s="1027"/>
      <c r="D168" s="1370">
        <v>76.5</v>
      </c>
      <c r="E168" s="1284" t="s">
        <v>1101</v>
      </c>
      <c r="F168" s="1031"/>
      <c r="G168" s="1031"/>
      <c r="H168" s="1031"/>
      <c r="I168" s="1032"/>
      <c r="J168" s="1339"/>
    </row>
    <row r="169" spans="2:10" ht="15">
      <c r="B169" s="1026" t="s">
        <v>1108</v>
      </c>
      <c r="C169" s="1027"/>
      <c r="D169" s="1370">
        <v>80</v>
      </c>
      <c r="E169" s="1284" t="s">
        <v>1101</v>
      </c>
      <c r="F169" s="1031"/>
      <c r="G169" s="1031"/>
      <c r="H169" s="1031"/>
      <c r="I169" s="1032"/>
      <c r="J169" s="1339"/>
    </row>
    <row r="170" spans="2:10" ht="15">
      <c r="B170" s="1026"/>
      <c r="C170" s="1027"/>
      <c r="D170" s="1370"/>
      <c r="E170" s="1031"/>
      <c r="F170" s="1031"/>
      <c r="G170" s="1031"/>
      <c r="H170" s="1031"/>
      <c r="I170" s="1032"/>
      <c r="J170" s="1339"/>
    </row>
    <row r="171" spans="2:10" ht="15">
      <c r="B171" s="1026"/>
      <c r="C171" s="1027"/>
      <c r="D171" s="1370"/>
      <c r="E171" s="1031"/>
      <c r="F171" s="1031"/>
      <c r="G171" s="1031"/>
      <c r="H171" s="1031"/>
      <c r="I171" s="1032"/>
      <c r="J171" s="1339"/>
    </row>
    <row r="172" spans="2:10" ht="15">
      <c r="B172" s="1026"/>
      <c r="C172" s="1027"/>
      <c r="D172" s="1370"/>
      <c r="E172" s="1031"/>
      <c r="F172" s="1031"/>
      <c r="G172" s="1031"/>
      <c r="H172" s="1031"/>
      <c r="I172" s="1032"/>
      <c r="J172" s="1339"/>
    </row>
    <row r="173" spans="2:10" ht="15">
      <c r="B173" s="1026"/>
      <c r="C173" s="1027"/>
      <c r="D173" s="1370"/>
      <c r="E173" s="1031"/>
      <c r="F173" s="1031"/>
      <c r="G173" s="1031"/>
      <c r="H173" s="1031"/>
      <c r="I173" s="1032"/>
      <c r="J173" s="1339"/>
    </row>
    <row r="174" spans="2:10" ht="15">
      <c r="B174" s="1026"/>
      <c r="C174" s="1027"/>
      <c r="D174" s="1370"/>
      <c r="E174" s="1031"/>
      <c r="F174" s="1031"/>
      <c r="G174" s="1031"/>
      <c r="H174" s="1031"/>
      <c r="I174" s="1032"/>
      <c r="J174" s="1339"/>
    </row>
    <row r="175" spans="2:10" ht="15">
      <c r="B175" s="1026"/>
      <c r="C175" s="1027"/>
      <c r="D175" s="1370"/>
      <c r="E175" s="1031"/>
      <c r="F175" s="1031"/>
      <c r="G175" s="1031"/>
      <c r="H175" s="1031"/>
      <c r="I175" s="1032"/>
      <c r="J175" s="1339"/>
    </row>
    <row r="176" spans="2:10" ht="15">
      <c r="B176" s="1026"/>
      <c r="C176" s="1027"/>
      <c r="D176" s="1370"/>
      <c r="E176" s="1027"/>
      <c r="F176" s="1027"/>
      <c r="G176" s="1027"/>
      <c r="H176" s="1027"/>
      <c r="I176" s="1032"/>
      <c r="J176" s="1339"/>
    </row>
    <row r="177" spans="2:10" ht="15">
      <c r="B177" s="1029" t="s">
        <v>1109</v>
      </c>
      <c r="C177" s="1030"/>
      <c r="D177" s="1370"/>
      <c r="E177" s="1027"/>
      <c r="F177" s="1027"/>
      <c r="G177" s="1027"/>
      <c r="H177" s="1027"/>
      <c r="I177" s="1032"/>
      <c r="J177" s="1339"/>
    </row>
    <row r="178" spans="2:10" ht="15">
      <c r="B178" s="1026" t="s">
        <v>1149</v>
      </c>
      <c r="C178" s="1027"/>
      <c r="D178" s="1370">
        <v>18.600000000000001</v>
      </c>
      <c r="E178" s="1031" t="s">
        <v>1101</v>
      </c>
      <c r="F178" s="1031"/>
      <c r="G178" s="1031"/>
      <c r="H178" s="1031"/>
      <c r="I178" s="1032"/>
      <c r="J178" s="1339"/>
    </row>
    <row r="179" spans="2:10" ht="15.75" thickBot="1">
      <c r="B179" s="1033" t="s">
        <v>1150</v>
      </c>
      <c r="C179" s="1034"/>
      <c r="D179" s="1374">
        <v>2.0499999999999998</v>
      </c>
      <c r="E179" s="1035" t="s">
        <v>1101</v>
      </c>
      <c r="F179" s="1035"/>
      <c r="G179" s="1035"/>
      <c r="H179" s="1035"/>
      <c r="I179" s="1036"/>
      <c r="J179" s="1339"/>
    </row>
    <row r="180" spans="2:10">
      <c r="B180" s="530" t="str">
        <f>CONCATENATE("Source: ",Referencer!$B$48)</f>
        <v>Source: 42, FORCE, Danish Energy Agency, 2013, Technology data for advanced bioenergy fuels.</v>
      </c>
      <c r="D180" s="545">
        <f>D179/D178</f>
        <v>0.11021505376344085</v>
      </c>
    </row>
    <row r="182" spans="2:10" ht="13.5" thickBot="1"/>
    <row r="183" spans="2:10" ht="13.5" thickBot="1">
      <c r="B183" s="1045" t="s">
        <v>1151</v>
      </c>
      <c r="C183" s="1046" t="s">
        <v>1152</v>
      </c>
      <c r="D183" s="1047" t="s">
        <v>1153</v>
      </c>
    </row>
    <row r="184" spans="2:10">
      <c r="B184" s="1048" t="s">
        <v>1154</v>
      </c>
      <c r="C184" s="1376">
        <v>100</v>
      </c>
      <c r="D184" s="1049"/>
    </row>
    <row r="185" spans="2:10">
      <c r="B185" s="1050" t="s">
        <v>951</v>
      </c>
      <c r="C185" s="1051">
        <f>D164/D161*100</f>
        <v>1.7816091954022988</v>
      </c>
      <c r="D185" s="1052"/>
      <c r="E185" s="527"/>
    </row>
    <row r="186" spans="2:10">
      <c r="B186" s="1050" t="s">
        <v>964</v>
      </c>
      <c r="C186" s="1051">
        <f>D165/D161*100</f>
        <v>24.712643678160919</v>
      </c>
      <c r="D186" s="1052"/>
      <c r="E186" s="527"/>
    </row>
    <row r="187" spans="2:10">
      <c r="B187" s="1050" t="s">
        <v>88</v>
      </c>
      <c r="C187" s="1051"/>
      <c r="D187" s="1052">
        <f>1/D161*100</f>
        <v>57.47126436781609</v>
      </c>
      <c r="E187" s="527"/>
    </row>
    <row r="188" spans="2:10">
      <c r="B188" s="1050" t="s">
        <v>1006</v>
      </c>
      <c r="C188" s="1051"/>
      <c r="D188" s="1052">
        <f>D166/D161*100</f>
        <v>39.080459770114942</v>
      </c>
      <c r="E188" s="527"/>
    </row>
    <row r="189" spans="2:10" ht="13.5" thickBot="1">
      <c r="B189" s="1053" t="s">
        <v>1155</v>
      </c>
      <c r="C189" s="1054"/>
      <c r="D189" s="1055">
        <f>(100-D168)*SUM(C184:C186)/100</f>
        <v>29.726149425287353</v>
      </c>
      <c r="E189" s="527"/>
    </row>
    <row r="190" spans="2:10">
      <c r="B190" s="530" t="str">
        <f>CONCATENATE("Source: ",Referencer!$B$48)</f>
        <v>Source: 42, FORCE, Danish Energy Agency, 2013, Technology data for advanced bioenergy fuels.</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Supplementary!$B$238:$B$241</xm:f>
          </x14:formula1>
          <xm:sqref>C19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tabColor rgb="FF00B0F0"/>
  </sheetPr>
  <dimension ref="A1:S180"/>
  <sheetViews>
    <sheetView zoomScale="85" zoomScaleNormal="85" workbookViewId="0">
      <selection activeCell="D29" sqref="D29"/>
    </sheetView>
  </sheetViews>
  <sheetFormatPr defaultRowHeight="12.75"/>
  <cols>
    <col min="1" max="1" width="3.28515625" style="530" customWidth="1"/>
    <col min="2" max="2" width="36" style="530" customWidth="1"/>
    <col min="3" max="3" width="28.7109375" style="530" customWidth="1"/>
    <col min="4" max="8" width="15.7109375" style="530" customWidth="1"/>
    <col min="9" max="9" width="9.42578125" style="530" customWidth="1"/>
    <col min="10" max="10" width="12.7109375" style="530" customWidth="1"/>
    <col min="11" max="17" width="9.140625" style="530"/>
    <col min="18" max="19" width="9.42578125" style="530" bestFit="1" customWidth="1"/>
    <col min="20" max="16384" width="9.140625" style="530"/>
  </cols>
  <sheetData>
    <row r="1" spans="1:19" s="465" customFormat="1" ht="21">
      <c r="B1" s="465" t="s">
        <v>1156</v>
      </c>
      <c r="Q1" s="467">
        <f ca="1">'Log2015'!M1</f>
        <v>-8.0112614142160741</v>
      </c>
      <c r="R1" s="468">
        <f ca="1">'Log2015'!N1</f>
        <v>-160807.124977848</v>
      </c>
    </row>
    <row r="2" spans="1:19">
      <c r="B2" s="530" t="s">
        <v>1157</v>
      </c>
      <c r="Q2" s="958">
        <f ca="1">Q1</f>
        <v>-8.0112614142160741</v>
      </c>
      <c r="R2" s="958">
        <f ca="1">R1</f>
        <v>-160807.124977848</v>
      </c>
      <c r="S2" s="959">
        <f>S1</f>
        <v>0</v>
      </c>
    </row>
    <row r="3" spans="1:19">
      <c r="A3" s="530" t="s">
        <v>1078</v>
      </c>
    </row>
    <row r="4" spans="1:19">
      <c r="B4" s="960" t="s">
        <v>81</v>
      </c>
    </row>
    <row r="5" spans="1:19" ht="13.5" thickBot="1"/>
    <row r="6" spans="1:19">
      <c r="B6" s="961" t="s">
        <v>137</v>
      </c>
      <c r="C6" s="962"/>
      <c r="D6" s="962"/>
      <c r="E6" s="962"/>
      <c r="F6" s="962"/>
      <c r="G6" s="962"/>
      <c r="H6" s="962"/>
      <c r="I6" s="962"/>
      <c r="J6" s="962"/>
      <c r="K6" s="962"/>
      <c r="L6" s="962"/>
      <c r="M6" s="962"/>
      <c r="N6" s="963"/>
    </row>
    <row r="7" spans="1:19">
      <c r="B7" s="964"/>
      <c r="C7" s="555"/>
      <c r="D7" s="555"/>
      <c r="E7" s="555"/>
      <c r="F7" s="555"/>
      <c r="G7" s="555"/>
      <c r="H7" s="555"/>
      <c r="I7" s="555"/>
      <c r="J7" s="555"/>
      <c r="K7" s="555"/>
      <c r="L7" s="555"/>
      <c r="M7" s="555"/>
      <c r="N7" s="965"/>
    </row>
    <row r="8" spans="1:19">
      <c r="B8" s="964"/>
      <c r="C8" s="555"/>
      <c r="D8" s="555"/>
      <c r="E8" s="555"/>
      <c r="F8" s="555"/>
      <c r="G8" s="555"/>
      <c r="H8" s="555"/>
      <c r="I8" s="555"/>
      <c r="J8" s="555"/>
      <c r="K8" s="555"/>
      <c r="L8" s="555"/>
      <c r="M8" s="555"/>
      <c r="N8" s="965"/>
    </row>
    <row r="9" spans="1:19">
      <c r="B9" s="964"/>
      <c r="C9" s="555"/>
      <c r="D9" s="555"/>
      <c r="E9" s="555"/>
      <c r="F9" s="555"/>
      <c r="G9" s="555"/>
      <c r="H9" s="555"/>
      <c r="I9" s="555"/>
      <c r="J9" s="555"/>
      <c r="K9" s="555"/>
      <c r="L9" s="555"/>
      <c r="M9" s="555"/>
      <c r="N9" s="965"/>
    </row>
    <row r="10" spans="1:19">
      <c r="B10" s="964"/>
      <c r="C10" s="555"/>
      <c r="D10" s="555"/>
      <c r="E10" s="555"/>
      <c r="F10" s="555"/>
      <c r="G10" s="555"/>
      <c r="H10" s="555"/>
      <c r="I10" s="555"/>
      <c r="J10" s="555"/>
      <c r="K10" s="555"/>
      <c r="L10" s="555"/>
      <c r="M10" s="555"/>
      <c r="N10" s="965"/>
    </row>
    <row r="11" spans="1:19">
      <c r="B11" s="964" t="s">
        <v>138</v>
      </c>
      <c r="C11" s="966" t="s">
        <v>1158</v>
      </c>
      <c r="D11" s="555"/>
      <c r="E11" s="555"/>
      <c r="F11" s="555"/>
      <c r="G11" s="555"/>
      <c r="H11" s="555"/>
      <c r="I11" s="555"/>
      <c r="J11" s="555"/>
      <c r="K11" s="555"/>
      <c r="L11" s="555"/>
      <c r="M11" s="555"/>
      <c r="N11" s="965"/>
    </row>
    <row r="12" spans="1:19">
      <c r="B12" s="964"/>
      <c r="C12" s="555"/>
      <c r="D12" s="555"/>
      <c r="E12" s="555"/>
      <c r="F12" s="555"/>
      <c r="G12" s="555"/>
      <c r="H12" s="555"/>
      <c r="I12" s="555"/>
      <c r="J12" s="555"/>
      <c r="K12" s="555"/>
      <c r="L12" s="555"/>
      <c r="M12" s="555"/>
      <c r="N12" s="965"/>
    </row>
    <row r="13" spans="1:19">
      <c r="B13" s="964" t="s">
        <v>140</v>
      </c>
      <c r="C13" s="555" t="s">
        <v>88</v>
      </c>
      <c r="D13" s="555"/>
      <c r="E13" s="555"/>
      <c r="F13" s="555"/>
      <c r="G13" s="555"/>
      <c r="H13" s="555"/>
      <c r="I13" s="555"/>
      <c r="J13" s="555"/>
      <c r="K13" s="555"/>
      <c r="L13" s="555"/>
      <c r="M13" s="555"/>
      <c r="N13" s="965"/>
    </row>
    <row r="14" spans="1:19">
      <c r="B14" s="964"/>
      <c r="C14" s="555"/>
      <c r="D14" s="555"/>
      <c r="E14" s="555"/>
      <c r="F14" s="555"/>
      <c r="G14" s="555"/>
      <c r="H14" s="555"/>
      <c r="I14" s="555"/>
      <c r="J14" s="555"/>
      <c r="K14" s="555"/>
      <c r="L14" s="555"/>
      <c r="M14" s="555"/>
      <c r="N14" s="965"/>
    </row>
    <row r="15" spans="1:19">
      <c r="B15" s="964" t="s">
        <v>141</v>
      </c>
      <c r="C15" s="555"/>
      <c r="D15" s="555"/>
      <c r="E15" s="555"/>
      <c r="F15" s="555"/>
      <c r="G15" s="555"/>
      <c r="H15" s="555"/>
      <c r="I15" s="555"/>
      <c r="J15" s="555"/>
      <c r="K15" s="555"/>
      <c r="L15" s="555"/>
      <c r="M15" s="555"/>
      <c r="N15" s="965"/>
    </row>
    <row r="16" spans="1:19">
      <c r="B16" s="964"/>
      <c r="C16" s="555"/>
      <c r="D16" s="555"/>
      <c r="E16" s="555"/>
      <c r="F16" s="555"/>
      <c r="G16" s="555"/>
      <c r="H16" s="555"/>
      <c r="I16" s="555"/>
      <c r="J16" s="555"/>
      <c r="K16" s="555"/>
      <c r="L16" s="555"/>
      <c r="M16" s="555"/>
      <c r="N16" s="965"/>
    </row>
    <row r="17" spans="2:14">
      <c r="B17" s="964" t="s">
        <v>142</v>
      </c>
      <c r="C17" s="555"/>
      <c r="D17" s="555"/>
      <c r="E17" s="555"/>
      <c r="F17" s="555"/>
      <c r="G17" s="555"/>
      <c r="H17" s="555"/>
      <c r="I17" s="555"/>
      <c r="J17" s="555"/>
      <c r="K17" s="555"/>
      <c r="L17" s="555"/>
      <c r="M17" s="555"/>
      <c r="N17" s="965"/>
    </row>
    <row r="18" spans="2:14">
      <c r="B18" s="964"/>
      <c r="C18" s="555"/>
      <c r="D18" s="555"/>
      <c r="E18" s="555"/>
      <c r="F18" s="555"/>
      <c r="G18" s="555"/>
      <c r="H18" s="555"/>
      <c r="I18" s="555"/>
      <c r="J18" s="555"/>
      <c r="K18" s="555"/>
      <c r="L18" s="555"/>
      <c r="M18" s="555"/>
      <c r="N18" s="965"/>
    </row>
    <row r="19" spans="2:14">
      <c r="B19" s="964" t="s">
        <v>2131</v>
      </c>
      <c r="C19" s="1693" t="s">
        <v>2121</v>
      </c>
      <c r="D19" s="555"/>
      <c r="E19" s="555"/>
      <c r="F19" s="555"/>
      <c r="G19" s="555"/>
      <c r="H19" s="555"/>
      <c r="I19" s="555"/>
      <c r="J19" s="555"/>
      <c r="K19" s="555"/>
      <c r="L19" s="555"/>
      <c r="M19" s="555"/>
      <c r="N19" s="965"/>
    </row>
    <row r="20" spans="2:14">
      <c r="B20" s="964"/>
      <c r="C20" s="555"/>
      <c r="D20" s="555"/>
      <c r="E20" s="555"/>
      <c r="F20" s="555"/>
      <c r="G20" s="555"/>
      <c r="H20" s="555"/>
      <c r="I20" s="555"/>
      <c r="J20" s="555"/>
      <c r="K20" s="555"/>
      <c r="L20" s="555"/>
      <c r="M20" s="555"/>
      <c r="N20" s="965"/>
    </row>
    <row r="21" spans="2:14">
      <c r="B21" s="964"/>
      <c r="C21" s="555"/>
      <c r="D21" s="555"/>
      <c r="E21" s="555"/>
      <c r="F21" s="555"/>
      <c r="G21" s="555"/>
      <c r="H21" s="555"/>
      <c r="I21" s="555"/>
      <c r="J21" s="555"/>
      <c r="K21" s="555"/>
      <c r="L21" s="555"/>
      <c r="M21" s="555"/>
      <c r="N21" s="965"/>
    </row>
    <row r="22" spans="2:14">
      <c r="B22" s="964" t="s">
        <v>143</v>
      </c>
      <c r="C22" s="555"/>
      <c r="D22" s="555"/>
      <c r="E22" s="555"/>
      <c r="F22" s="555"/>
      <c r="G22" s="555"/>
      <c r="H22" s="555"/>
      <c r="I22" s="555"/>
      <c r="J22" s="555"/>
      <c r="K22" s="555"/>
      <c r="L22" s="555"/>
      <c r="M22" s="555"/>
      <c r="N22" s="965"/>
    </row>
    <row r="23" spans="2:14">
      <c r="B23" s="964"/>
      <c r="C23" s="555"/>
      <c r="D23" s="555"/>
      <c r="E23" s="555"/>
      <c r="F23" s="555"/>
      <c r="G23" s="555"/>
      <c r="H23" s="555"/>
      <c r="I23" s="555"/>
      <c r="J23" s="555"/>
      <c r="K23" s="555"/>
      <c r="L23" s="555"/>
      <c r="M23" s="555"/>
      <c r="N23" s="965"/>
    </row>
    <row r="24" spans="2:14" ht="13.5" thickBot="1">
      <c r="B24" s="967"/>
      <c r="C24" s="968"/>
      <c r="D24" s="968"/>
      <c r="E24" s="968"/>
      <c r="F24" s="968"/>
      <c r="G24" s="968"/>
      <c r="H24" s="968"/>
      <c r="I24" s="968"/>
      <c r="J24" s="968"/>
      <c r="K24" s="968"/>
      <c r="L24" s="968"/>
      <c r="M24" s="968"/>
      <c r="N24" s="969"/>
    </row>
    <row r="25" spans="2:14">
      <c r="F25" s="529"/>
      <c r="G25" s="529"/>
      <c r="H25" s="529"/>
    </row>
    <row r="26" spans="2:14">
      <c r="B26" s="960" t="s">
        <v>144</v>
      </c>
    </row>
    <row r="27" spans="2:14" ht="13.5" thickBot="1"/>
    <row r="28" spans="2:14">
      <c r="B28" s="961"/>
      <c r="C28" s="970"/>
      <c r="D28" s="962"/>
      <c r="E28" s="962"/>
      <c r="F28" s="962"/>
      <c r="G28" s="962"/>
      <c r="H28" s="962"/>
      <c r="I28" s="962"/>
      <c r="J28" s="963"/>
    </row>
    <row r="29" spans="2:14">
      <c r="B29" s="971"/>
      <c r="C29" s="972" t="s">
        <v>70</v>
      </c>
      <c r="D29" s="973">
        <v>2015</v>
      </c>
      <c r="E29" s="973">
        <v>2020</v>
      </c>
      <c r="F29" s="973">
        <v>2035</v>
      </c>
      <c r="G29" s="973">
        <v>2050</v>
      </c>
      <c r="H29" s="973" t="s">
        <v>978</v>
      </c>
      <c r="I29" s="556" t="s">
        <v>145</v>
      </c>
      <c r="J29" s="974" t="s">
        <v>146</v>
      </c>
    </row>
    <row r="30" spans="2:14">
      <c r="B30" s="975" t="s">
        <v>147</v>
      </c>
      <c r="C30" s="976"/>
      <c r="D30" s="977"/>
      <c r="E30" s="977"/>
      <c r="F30" s="977"/>
      <c r="G30" s="977"/>
      <c r="H30" s="977"/>
      <c r="I30" s="555"/>
      <c r="J30" s="965"/>
    </row>
    <row r="31" spans="2:14">
      <c r="B31" s="964" t="s">
        <v>148</v>
      </c>
      <c r="C31" s="976" t="s">
        <v>1159</v>
      </c>
      <c r="D31" s="1345">
        <f>1/D162</f>
        <v>0.22222222222222221</v>
      </c>
      <c r="E31" s="1345">
        <f>$D31</f>
        <v>0.22222222222222221</v>
      </c>
      <c r="F31" s="1345">
        <f>$D31</f>
        <v>0.22222222222222221</v>
      </c>
      <c r="G31" s="1345">
        <f>$D31</f>
        <v>0.22222222222222221</v>
      </c>
      <c r="H31" s="1333"/>
      <c r="I31" s="555"/>
      <c r="J31" s="965"/>
    </row>
    <row r="32" spans="2:14">
      <c r="B32" s="964" t="s">
        <v>67</v>
      </c>
      <c r="C32" s="976" t="s">
        <v>442</v>
      </c>
      <c r="D32" s="979">
        <f>D160/D159</f>
        <v>26.8</v>
      </c>
      <c r="E32" s="978">
        <f t="shared" ref="E32:G34" si="0">$D32</f>
        <v>26.8</v>
      </c>
      <c r="F32" s="978">
        <f t="shared" si="0"/>
        <v>26.8</v>
      </c>
      <c r="G32" s="978">
        <f t="shared" si="0"/>
        <v>26.8</v>
      </c>
      <c r="H32" s="978"/>
      <c r="I32" s="555"/>
      <c r="J32" s="965"/>
    </row>
    <row r="33" spans="2:10">
      <c r="B33" s="964" t="s">
        <v>149</v>
      </c>
      <c r="C33" s="976" t="s">
        <v>1160</v>
      </c>
      <c r="D33" s="1396">
        <f>D159</f>
        <v>200000</v>
      </c>
      <c r="E33" s="1396">
        <f t="shared" si="0"/>
        <v>200000</v>
      </c>
      <c r="F33" s="1396">
        <f t="shared" si="0"/>
        <v>200000</v>
      </c>
      <c r="G33" s="1396">
        <f t="shared" si="0"/>
        <v>200000</v>
      </c>
      <c r="H33" s="1397"/>
      <c r="I33" s="1107"/>
      <c r="J33" s="965"/>
    </row>
    <row r="34" spans="2:10">
      <c r="B34" s="964" t="s">
        <v>150</v>
      </c>
      <c r="C34" s="976" t="s">
        <v>34</v>
      </c>
      <c r="D34" s="980">
        <f>20</f>
        <v>20</v>
      </c>
      <c r="E34" s="1346">
        <f t="shared" si="0"/>
        <v>20</v>
      </c>
      <c r="F34" s="1346">
        <f t="shared" si="0"/>
        <v>20</v>
      </c>
      <c r="G34" s="1346">
        <f t="shared" si="0"/>
        <v>20</v>
      </c>
      <c r="H34" s="1332"/>
      <c r="I34" s="555"/>
      <c r="J34" s="965" t="s">
        <v>1087</v>
      </c>
    </row>
    <row r="35" spans="2:10">
      <c r="B35" s="964"/>
      <c r="C35" s="981"/>
      <c r="D35" s="982"/>
      <c r="E35" s="983"/>
      <c r="F35" s="983"/>
      <c r="G35" s="983"/>
      <c r="H35" s="983"/>
      <c r="I35" s="555"/>
      <c r="J35" s="965"/>
    </row>
    <row r="36" spans="2:10">
      <c r="B36" s="975" t="s">
        <v>151</v>
      </c>
      <c r="C36" s="981"/>
      <c r="D36" s="982"/>
      <c r="E36" s="983"/>
      <c r="F36" s="983"/>
      <c r="G36" s="983"/>
      <c r="H36" s="983"/>
      <c r="I36" s="555"/>
      <c r="J36" s="965"/>
    </row>
    <row r="37" spans="2:10">
      <c r="B37" s="964" t="str">
        <f>ProcessEnergy!B35</f>
        <v xml:space="preserve">Green diesel </v>
      </c>
      <c r="C37" s="976" t="s">
        <v>463</v>
      </c>
      <c r="D37" s="984"/>
      <c r="E37" s="984"/>
      <c r="F37" s="984"/>
      <c r="G37" s="984"/>
      <c r="H37" s="984"/>
      <c r="I37" s="555"/>
      <c r="J37" s="965"/>
    </row>
    <row r="38" spans="2:10">
      <c r="B38" s="985" t="str">
        <f>ProcessEnergy!B36</f>
        <v>Green gasoline</v>
      </c>
      <c r="C38" s="976"/>
      <c r="D38" s="984"/>
      <c r="E38" s="984"/>
      <c r="F38" s="984"/>
      <c r="G38" s="984"/>
      <c r="H38" s="984"/>
      <c r="I38" s="555"/>
      <c r="J38" s="965"/>
    </row>
    <row r="39" spans="2:10">
      <c r="B39" s="985" t="str">
        <f>ProcessEnergy!B37</f>
        <v>Electricity - balancing</v>
      </c>
      <c r="C39" s="976"/>
      <c r="D39" s="984"/>
      <c r="E39" s="984"/>
      <c r="F39" s="984"/>
      <c r="G39" s="984"/>
      <c r="H39" s="984"/>
      <c r="I39" s="555"/>
      <c r="J39" s="965"/>
    </row>
    <row r="40" spans="2:10">
      <c r="B40" s="985" t="str">
        <f>ProcessEnergy!B38</f>
        <v>Electricity  - continous</v>
      </c>
      <c r="C40" s="976" t="s">
        <v>1161</v>
      </c>
      <c r="D40" s="1334">
        <v>0</v>
      </c>
      <c r="E40" s="1334">
        <f>$D40</f>
        <v>0</v>
      </c>
      <c r="F40" s="1334">
        <f>$D40</f>
        <v>0</v>
      </c>
      <c r="G40" s="1334">
        <f>$D40</f>
        <v>0</v>
      </c>
      <c r="H40" s="984"/>
      <c r="I40" s="530" t="str">
        <f>CONCATENATE("Source: ",Referencer!$B$48)</f>
        <v>Source: 42, FORCE, Danish Energy Agency, 2013, Technology data for advanced bioenergy fuels.</v>
      </c>
      <c r="J40" s="965" t="s">
        <v>1753</v>
      </c>
    </row>
    <row r="41" spans="2:10">
      <c r="B41" s="985" t="str">
        <f>ProcessEnergy!B39</f>
        <v>Elec/heat fuel</v>
      </c>
      <c r="C41" s="976"/>
      <c r="D41" s="984"/>
      <c r="E41" s="984"/>
      <c r="F41" s="984"/>
      <c r="G41" s="984"/>
      <c r="H41" s="984"/>
      <c r="I41" s="555"/>
      <c r="J41" s="965"/>
    </row>
    <row r="42" spans="2:10">
      <c r="B42" s="985" t="str">
        <f>ProcessEnergy!B40</f>
        <v>Biogas (100% CH4)</v>
      </c>
      <c r="C42" s="976"/>
      <c r="D42" s="984"/>
      <c r="E42" s="984"/>
      <c r="F42" s="984"/>
      <c r="G42" s="984"/>
      <c r="H42" s="984"/>
      <c r="I42" s="555"/>
      <c r="J42" s="965"/>
    </row>
    <row r="43" spans="2:10">
      <c r="B43" s="985" t="str">
        <f>ProcessEnergy!B41</f>
        <v>District heating</v>
      </c>
      <c r="C43" s="976" t="s">
        <v>1161</v>
      </c>
      <c r="D43" s="978">
        <f>C151*C152</f>
        <v>0.26831999999999995</v>
      </c>
      <c r="E43" s="978">
        <f>$D43</f>
        <v>0.26831999999999995</v>
      </c>
      <c r="F43" s="978">
        <f>$D43</f>
        <v>0.26831999999999995</v>
      </c>
      <c r="G43" s="978">
        <f>$D43</f>
        <v>0.26831999999999995</v>
      </c>
      <c r="H43" s="978"/>
      <c r="I43" s="555"/>
      <c r="J43" s="965"/>
    </row>
    <row r="44" spans="2:10">
      <c r="B44" s="985" t="str">
        <f>ProcessEnergy!B42</f>
        <v>&lt;empty&gt;</v>
      </c>
      <c r="C44" s="976"/>
      <c r="D44" s="978"/>
      <c r="E44" s="978"/>
      <c r="F44" s="978"/>
      <c r="G44" s="978"/>
      <c r="H44" s="978"/>
      <c r="I44" s="555"/>
      <c r="J44" s="965"/>
    </row>
    <row r="45" spans="2:10">
      <c r="B45" s="985" t="str">
        <f>ProcessEnergy!B43</f>
        <v>&lt;empty&gt;</v>
      </c>
      <c r="C45" s="976"/>
      <c r="D45" s="978"/>
      <c r="E45" s="978"/>
      <c r="F45" s="978"/>
      <c r="G45" s="978"/>
      <c r="H45" s="978"/>
      <c r="I45" s="555"/>
      <c r="J45" s="965"/>
    </row>
    <row r="46" spans="2:10">
      <c r="B46" s="985" t="str">
        <f>ProcessEnergy!B44</f>
        <v>&lt;empty&gt;</v>
      </c>
      <c r="C46" s="976"/>
      <c r="D46" s="978"/>
      <c r="E46" s="978"/>
      <c r="F46" s="978"/>
      <c r="G46" s="978"/>
      <c r="H46" s="978"/>
      <c r="I46" s="555"/>
      <c r="J46" s="965"/>
    </row>
    <row r="47" spans="2:10">
      <c r="B47" s="985" t="str">
        <f>ProcessEnergy!B45</f>
        <v>&lt;empty&gt;</v>
      </c>
      <c r="C47" s="976"/>
      <c r="D47" s="978"/>
      <c r="E47" s="978"/>
      <c r="F47" s="978"/>
      <c r="G47" s="978"/>
      <c r="H47" s="978"/>
      <c r="I47" s="555"/>
      <c r="J47" s="965"/>
    </row>
    <row r="48" spans="2:10">
      <c r="B48" s="985" t="str">
        <f>ProcessEnergy!B46</f>
        <v>&lt;empty&gt;</v>
      </c>
      <c r="C48" s="976"/>
      <c r="D48" s="978"/>
      <c r="E48" s="978"/>
      <c r="F48" s="978"/>
      <c r="G48" s="978"/>
      <c r="H48" s="978"/>
      <c r="I48" s="555"/>
      <c r="J48" s="965"/>
    </row>
    <row r="49" spans="2:10">
      <c r="B49" s="985" t="str">
        <f>ProcessEnergy!B47</f>
        <v>&lt;empty&gt;</v>
      </c>
      <c r="C49" s="976"/>
      <c r="D49" s="978"/>
      <c r="E49" s="978"/>
      <c r="F49" s="978"/>
      <c r="G49" s="978"/>
      <c r="H49" s="978"/>
      <c r="I49" s="555"/>
      <c r="J49" s="965"/>
    </row>
    <row r="50" spans="2:10">
      <c r="B50" s="985" t="str">
        <f>ProcessEnergy!B48</f>
        <v>Glycerol</v>
      </c>
      <c r="C50" s="976"/>
      <c r="D50" s="978"/>
      <c r="E50" s="978"/>
      <c r="F50" s="978"/>
      <c r="G50" s="978"/>
      <c r="H50" s="978"/>
      <c r="I50" s="555"/>
      <c r="J50" s="965"/>
    </row>
    <row r="51" spans="2:10">
      <c r="B51" s="985" t="str">
        <f>ProcessEnergy!B49</f>
        <v>&lt;empty&gt;</v>
      </c>
      <c r="C51" s="976"/>
      <c r="D51" s="978"/>
      <c r="E51" s="978"/>
      <c r="F51" s="978"/>
      <c r="G51" s="978"/>
      <c r="H51" s="978"/>
      <c r="I51" s="555"/>
      <c r="J51" s="965"/>
    </row>
    <row r="52" spans="2:10">
      <c r="B52" s="985" t="str">
        <f>ProcessEnergy!B50</f>
        <v>&lt;empty&gt;</v>
      </c>
      <c r="C52" s="976"/>
      <c r="D52" s="978"/>
      <c r="E52" s="978"/>
      <c r="F52" s="978"/>
      <c r="G52" s="978"/>
      <c r="H52" s="978"/>
      <c r="I52" s="555"/>
      <c r="J52" s="965"/>
    </row>
    <row r="53" spans="2:10">
      <c r="B53" s="985" t="str">
        <f>ProcessEnergy!B51</f>
        <v>Fodder (wheat like)</v>
      </c>
      <c r="C53" s="976"/>
      <c r="D53" s="984"/>
      <c r="E53" s="984"/>
      <c r="F53" s="984"/>
      <c r="G53" s="984"/>
      <c r="H53" s="984"/>
      <c r="I53" s="555"/>
      <c r="J53" s="965"/>
    </row>
    <row r="54" spans="2:10">
      <c r="B54" s="985" t="str">
        <f>ProcessEnergy!B52</f>
        <v>Rape seed cake</v>
      </c>
      <c r="C54" s="976"/>
      <c r="D54" s="978"/>
      <c r="E54" s="984"/>
      <c r="F54" s="984"/>
      <c r="G54" s="984"/>
      <c r="H54" s="984"/>
      <c r="I54" s="555"/>
      <c r="J54" s="965"/>
    </row>
    <row r="55" spans="2:10">
      <c r="B55" s="985" t="str">
        <f>ProcessEnergy!B53</f>
        <v>&lt;empty&gt;</v>
      </c>
      <c r="C55" s="976"/>
      <c r="D55" s="984"/>
      <c r="E55" s="984"/>
      <c r="F55" s="984"/>
      <c r="G55" s="984"/>
      <c r="H55" s="984"/>
      <c r="I55" s="555"/>
      <c r="J55" s="965"/>
    </row>
    <row r="56" spans="2:10">
      <c r="B56" s="985" t="str">
        <f>ProcessEnergy!B54</f>
        <v>DDGS</v>
      </c>
      <c r="C56" s="976"/>
      <c r="D56" s="984"/>
      <c r="E56" s="984"/>
      <c r="F56" s="984"/>
      <c r="G56" s="984"/>
      <c r="H56" s="984"/>
      <c r="I56" s="555"/>
      <c r="J56" s="965"/>
    </row>
    <row r="57" spans="2:10">
      <c r="B57" s="964"/>
      <c r="C57" s="976"/>
      <c r="D57" s="984"/>
      <c r="E57" s="984"/>
      <c r="F57" s="984"/>
      <c r="G57" s="984"/>
      <c r="H57" s="984"/>
      <c r="I57" s="555"/>
      <c r="J57" s="965"/>
    </row>
    <row r="58" spans="2:10">
      <c r="B58" s="975" t="s">
        <v>873</v>
      </c>
      <c r="C58" s="976"/>
      <c r="D58" s="984"/>
      <c r="E58" s="984"/>
      <c r="F58" s="984"/>
      <c r="G58" s="984"/>
      <c r="H58" s="984"/>
      <c r="I58" s="555"/>
      <c r="J58" s="965"/>
    </row>
    <row r="59" spans="2:10">
      <c r="B59" s="964" t="str">
        <f>ProcessEnergy!B5</f>
        <v>EL - peakload</v>
      </c>
      <c r="C59" s="976" t="s">
        <v>877</v>
      </c>
      <c r="D59" s="984"/>
      <c r="E59" s="984"/>
      <c r="F59" s="984"/>
      <c r="G59" s="984"/>
      <c r="H59" s="984"/>
      <c r="I59" s="555"/>
      <c r="J59" s="965"/>
    </row>
    <row r="60" spans="2:10">
      <c r="B60" s="964" t="str">
        <f>ProcessEnergy!B6</f>
        <v>El - baseload</v>
      </c>
      <c r="C60" s="976" t="s">
        <v>877</v>
      </c>
      <c r="D60" s="984"/>
      <c r="E60" s="984"/>
      <c r="F60" s="984"/>
      <c r="G60" s="984"/>
      <c r="H60" s="984"/>
      <c r="I60" s="555"/>
      <c r="J60" s="965"/>
    </row>
    <row r="61" spans="2:10">
      <c r="B61" s="964" t="str">
        <f>ProcessEnergy!B7</f>
        <v xml:space="preserve">Varme </v>
      </c>
      <c r="C61" s="976" t="s">
        <v>877</v>
      </c>
      <c r="D61" s="984"/>
      <c r="E61" s="984"/>
      <c r="F61" s="984"/>
      <c r="G61" s="984"/>
      <c r="H61" s="984"/>
      <c r="I61" s="555"/>
      <c r="J61" s="965"/>
    </row>
    <row r="62" spans="2:10">
      <c r="B62" s="964" t="str">
        <f>ProcessEnergy!B8</f>
        <v>Damp</v>
      </c>
      <c r="C62" s="976" t="s">
        <v>877</v>
      </c>
      <c r="D62" s="984"/>
      <c r="E62" s="984"/>
      <c r="F62" s="984"/>
      <c r="G62" s="984"/>
      <c r="H62" s="984"/>
      <c r="I62" s="555"/>
      <c r="J62" s="965"/>
    </row>
    <row r="63" spans="2:10">
      <c r="B63" s="964" t="str">
        <f>ProcessEnergy!B9</f>
        <v xml:space="preserve">Olie </v>
      </c>
      <c r="C63" s="976" t="s">
        <v>877</v>
      </c>
      <c r="D63" s="984"/>
      <c r="E63" s="984"/>
      <c r="F63" s="984"/>
      <c r="G63" s="984"/>
      <c r="H63" s="984"/>
      <c r="I63" s="555"/>
      <c r="J63" s="965"/>
    </row>
    <row r="64" spans="2:10">
      <c r="B64" s="964" t="str">
        <f>ProcessEnergy!B10</f>
        <v>Kul</v>
      </c>
      <c r="C64" s="976" t="s">
        <v>877</v>
      </c>
      <c r="D64" s="984"/>
      <c r="E64" s="984"/>
      <c r="F64" s="984"/>
      <c r="G64" s="984"/>
      <c r="H64" s="984"/>
      <c r="I64" s="555"/>
      <c r="J64" s="965"/>
    </row>
    <row r="65" spans="2:10">
      <c r="B65" s="964" t="str">
        <f>ProcessEnergy!B11</f>
        <v>Naturgas kedel</v>
      </c>
      <c r="C65" s="976" t="s">
        <v>877</v>
      </c>
      <c r="D65" s="984"/>
      <c r="E65" s="984"/>
      <c r="F65" s="984"/>
      <c r="G65" s="984"/>
      <c r="H65" s="984"/>
      <c r="I65" s="555"/>
      <c r="J65" s="965"/>
    </row>
    <row r="66" spans="2:10">
      <c r="B66" s="964" t="str">
        <f>ProcessEnergy!B12</f>
        <v>Gylle</v>
      </c>
      <c r="C66" s="976" t="s">
        <v>877</v>
      </c>
      <c r="D66" s="984"/>
      <c r="E66" s="984"/>
      <c r="F66" s="984"/>
      <c r="G66" s="984"/>
      <c r="H66" s="984"/>
      <c r="I66" s="555"/>
      <c r="J66" s="965"/>
    </row>
    <row r="67" spans="2:10">
      <c r="B67" s="964" t="str">
        <f>ProcessEnergy!B13</f>
        <v>Affald</v>
      </c>
      <c r="C67" s="976" t="s">
        <v>877</v>
      </c>
      <c r="D67" s="984"/>
      <c r="E67" s="984"/>
      <c r="F67" s="984"/>
      <c r="G67" s="984"/>
      <c r="H67" s="984"/>
      <c r="I67" s="555"/>
      <c r="J67" s="965"/>
    </row>
    <row r="68" spans="2:10">
      <c r="B68" s="964" t="str">
        <f>ProcessEnergy!B14</f>
        <v>Hydrogen</v>
      </c>
      <c r="C68" s="976" t="s">
        <v>877</v>
      </c>
      <c r="D68" s="984"/>
      <c r="E68" s="984"/>
      <c r="F68" s="984"/>
      <c r="G68" s="984"/>
      <c r="H68" s="984"/>
      <c r="I68" s="555"/>
      <c r="J68" s="965"/>
    </row>
    <row r="69" spans="2:10">
      <c r="B69" s="964" t="str">
        <f>ProcessEnergy!B15</f>
        <v>Biomasse</v>
      </c>
      <c r="C69" s="976" t="s">
        <v>877</v>
      </c>
      <c r="D69" s="984"/>
      <c r="E69" s="984"/>
      <c r="F69" s="984"/>
      <c r="G69" s="984"/>
      <c r="H69" s="984"/>
      <c r="I69" s="555"/>
      <c r="J69" s="965"/>
    </row>
    <row r="70" spans="2:10">
      <c r="B70" s="964" t="str">
        <f>ProcessEnergy!B16</f>
        <v>Methanol</v>
      </c>
      <c r="C70" s="976"/>
      <c r="D70" s="984"/>
      <c r="E70" s="984"/>
      <c r="F70" s="984"/>
      <c r="G70" s="984"/>
      <c r="H70" s="984"/>
      <c r="I70" s="555"/>
      <c r="J70" s="965"/>
    </row>
    <row r="71" spans="2:10">
      <c r="B71" s="964" t="str">
        <f>ProcessEnergy!B17</f>
        <v>&lt;empty&gt;</v>
      </c>
      <c r="C71" s="976"/>
      <c r="D71" s="984"/>
      <c r="E71" s="984"/>
      <c r="F71" s="984"/>
      <c r="G71" s="984"/>
      <c r="H71" s="984"/>
      <c r="I71" s="555"/>
      <c r="J71" s="965"/>
    </row>
    <row r="72" spans="2:10">
      <c r="B72" s="964" t="str">
        <f>ProcessEnergy!B18</f>
        <v>&lt;empty&gt;</v>
      </c>
      <c r="C72" s="976"/>
      <c r="D72" s="984"/>
      <c r="E72" s="984"/>
      <c r="F72" s="984"/>
      <c r="G72" s="984"/>
      <c r="H72" s="984"/>
      <c r="I72" s="555"/>
      <c r="J72" s="965"/>
    </row>
    <row r="73" spans="2:10">
      <c r="B73" s="964" t="str">
        <f>ProcessEnergy!B19</f>
        <v>&lt;empty&gt;</v>
      </c>
      <c r="C73" s="976"/>
      <c r="D73" s="984"/>
      <c r="E73" s="984"/>
      <c r="F73" s="984"/>
      <c r="G73" s="984"/>
      <c r="H73" s="984"/>
      <c r="I73" s="555"/>
      <c r="J73" s="965"/>
    </row>
    <row r="74" spans="2:10">
      <c r="B74" s="964" t="str">
        <f>ProcessEnergy!B20</f>
        <v>&lt;empty&gt;</v>
      </c>
      <c r="C74" s="976"/>
      <c r="D74" s="984"/>
      <c r="E74" s="984"/>
      <c r="F74" s="984"/>
      <c r="G74" s="984"/>
      <c r="H74" s="984"/>
      <c r="I74" s="555"/>
      <c r="J74" s="965"/>
    </row>
    <row r="75" spans="2:10">
      <c r="B75" s="964" t="str">
        <f>ProcessEnergy!B21</f>
        <v>&lt;empty&gt;</v>
      </c>
      <c r="C75" s="976"/>
      <c r="D75" s="984"/>
      <c r="E75" s="984"/>
      <c r="F75" s="984"/>
      <c r="G75" s="984"/>
      <c r="H75" s="984"/>
      <c r="I75" s="555"/>
      <c r="J75" s="965"/>
    </row>
    <row r="76" spans="2:10">
      <c r="B76" s="964" t="str">
        <f>ProcessEnergy!B22</f>
        <v>&lt;empty&gt;</v>
      </c>
      <c r="C76" s="976"/>
      <c r="D76" s="984"/>
      <c r="E76" s="984"/>
      <c r="F76" s="984"/>
      <c r="G76" s="984"/>
      <c r="H76" s="984"/>
      <c r="I76" s="555"/>
      <c r="J76" s="965"/>
    </row>
    <row r="77" spans="2:10">
      <c r="B77" s="964" t="str">
        <f>ProcessEnergy!B23</f>
        <v>&lt;empty&gt;</v>
      </c>
      <c r="C77" s="976"/>
      <c r="D77" s="984"/>
      <c r="E77" s="984"/>
      <c r="F77" s="984"/>
      <c r="G77" s="984"/>
      <c r="H77" s="984"/>
      <c r="I77" s="555"/>
      <c r="J77" s="965"/>
    </row>
    <row r="78" spans="2:10">
      <c r="B78" s="964" t="str">
        <f>ProcessEnergy!B24</f>
        <v>&lt;empty&gt;</v>
      </c>
      <c r="C78" s="976" t="s">
        <v>877</v>
      </c>
      <c r="D78" s="984"/>
      <c r="E78" s="984"/>
      <c r="F78" s="984"/>
      <c r="G78" s="984"/>
      <c r="H78" s="984"/>
      <c r="I78" s="555"/>
      <c r="J78" s="965"/>
    </row>
    <row r="79" spans="2:10">
      <c r="B79" s="964"/>
      <c r="C79" s="976"/>
      <c r="D79" s="984"/>
      <c r="E79" s="984"/>
      <c r="F79" s="984"/>
      <c r="G79" s="984"/>
      <c r="H79" s="984"/>
      <c r="I79" s="555"/>
      <c r="J79" s="965"/>
    </row>
    <row r="80" spans="2:10">
      <c r="B80" s="964"/>
      <c r="C80" s="976"/>
      <c r="D80" s="984"/>
      <c r="E80" s="984"/>
      <c r="F80" s="984"/>
      <c r="G80" s="984"/>
      <c r="H80" s="984"/>
      <c r="I80" s="555"/>
      <c r="J80" s="965"/>
    </row>
    <row r="81" spans="1:17">
      <c r="B81" s="964"/>
      <c r="C81" s="976"/>
      <c r="D81" s="986"/>
      <c r="E81" s="986"/>
      <c r="F81" s="986"/>
      <c r="G81" s="986"/>
      <c r="H81" s="986"/>
      <c r="I81" s="555"/>
      <c r="J81" s="965"/>
    </row>
    <row r="82" spans="1:17">
      <c r="B82" s="975" t="s">
        <v>152</v>
      </c>
      <c r="C82" s="976"/>
      <c r="D82" s="986"/>
      <c r="E82" s="986"/>
      <c r="F82" s="986"/>
      <c r="G82" s="986"/>
      <c r="H82" s="986"/>
      <c r="I82" s="555"/>
      <c r="J82" s="965"/>
    </row>
    <row r="83" spans="1:17">
      <c r="A83" s="530">
        <v>4</v>
      </c>
      <c r="B83" s="964" t="s">
        <v>462</v>
      </c>
      <c r="C83" s="976" t="s">
        <v>725</v>
      </c>
      <c r="D83" s="1633">
        <v>1</v>
      </c>
      <c r="E83" s="978">
        <f t="shared" ref="E83:G89" si="1">$D83</f>
        <v>1</v>
      </c>
      <c r="F83" s="978">
        <f t="shared" si="1"/>
        <v>1</v>
      </c>
      <c r="G83" s="978">
        <f t="shared" si="1"/>
        <v>1</v>
      </c>
      <c r="H83" s="978"/>
      <c r="I83" s="555"/>
      <c r="J83" s="965"/>
    </row>
    <row r="84" spans="1:17">
      <c r="B84" s="964" t="s">
        <v>153</v>
      </c>
      <c r="C84" s="976" t="s">
        <v>725</v>
      </c>
      <c r="D84" s="1346">
        <v>0</v>
      </c>
      <c r="E84" s="1346">
        <f t="shared" si="1"/>
        <v>0</v>
      </c>
      <c r="F84" s="1346">
        <f t="shared" si="1"/>
        <v>0</v>
      </c>
      <c r="G84" s="1346">
        <f t="shared" si="1"/>
        <v>0</v>
      </c>
      <c r="H84" s="1334"/>
      <c r="I84" s="1347" t="s">
        <v>1747</v>
      </c>
      <c r="J84" s="965"/>
    </row>
    <row r="85" spans="1:17">
      <c r="B85" s="964" t="s">
        <v>154</v>
      </c>
      <c r="C85" s="976" t="s">
        <v>725</v>
      </c>
      <c r="D85" s="987">
        <f>D83*D43</f>
        <v>0.26831999999999995</v>
      </c>
      <c r="E85" s="978">
        <f t="shared" si="1"/>
        <v>0.26831999999999995</v>
      </c>
      <c r="F85" s="978">
        <f t="shared" si="1"/>
        <v>0.26831999999999995</v>
      </c>
      <c r="G85" s="978">
        <f t="shared" si="1"/>
        <v>0.26831999999999995</v>
      </c>
      <c r="H85" s="978"/>
      <c r="I85" s="555"/>
      <c r="J85" s="965"/>
    </row>
    <row r="86" spans="1:17">
      <c r="B86" s="964" t="s">
        <v>1162</v>
      </c>
      <c r="C86" s="976" t="s">
        <v>725</v>
      </c>
      <c r="D86" s="987">
        <f>(1/D163)*D83</f>
        <v>0.41666666666666669</v>
      </c>
      <c r="E86" s="978">
        <f t="shared" si="1"/>
        <v>0.41666666666666669</v>
      </c>
      <c r="F86" s="978">
        <f t="shared" si="1"/>
        <v>0.41666666666666669</v>
      </c>
      <c r="G86" s="978">
        <f t="shared" si="1"/>
        <v>0.41666666666666669</v>
      </c>
      <c r="H86" s="978"/>
      <c r="I86" s="555"/>
      <c r="J86" s="965"/>
    </row>
    <row r="87" spans="1:17">
      <c r="B87" s="985" t="s">
        <v>155</v>
      </c>
      <c r="C87" s="976" t="s">
        <v>725</v>
      </c>
      <c r="D87" s="987">
        <f>SUM(D83:D84)-SUM(D85:D86)</f>
        <v>0.31501333333333337</v>
      </c>
      <c r="E87" s="978">
        <f t="shared" si="1"/>
        <v>0.31501333333333337</v>
      </c>
      <c r="F87" s="978">
        <f t="shared" si="1"/>
        <v>0.31501333333333337</v>
      </c>
      <c r="G87" s="978">
        <f t="shared" si="1"/>
        <v>0.31501333333333337</v>
      </c>
      <c r="H87" s="978"/>
      <c r="I87" s="555"/>
      <c r="J87" s="965"/>
    </row>
    <row r="88" spans="1:17">
      <c r="B88" s="985" t="s">
        <v>156</v>
      </c>
      <c r="C88" s="988" t="s">
        <v>726</v>
      </c>
      <c r="D88" s="989">
        <f>SUM(D85:D86)/SUM(D83:D84)</f>
        <v>0.68498666666666663</v>
      </c>
      <c r="E88" s="978">
        <f t="shared" si="1"/>
        <v>0.68498666666666663</v>
      </c>
      <c r="F88" s="978">
        <f t="shared" si="1"/>
        <v>0.68498666666666663</v>
      </c>
      <c r="G88" s="978">
        <f t="shared" si="1"/>
        <v>0.68498666666666663</v>
      </c>
      <c r="H88" s="990"/>
      <c r="I88" s="555"/>
      <c r="J88" s="965"/>
    </row>
    <row r="89" spans="1:17">
      <c r="B89" s="964"/>
      <c r="C89" s="976"/>
      <c r="D89" s="1037">
        <f>D167/100</f>
        <v>0.71</v>
      </c>
      <c r="E89" s="978">
        <f t="shared" si="1"/>
        <v>0.71</v>
      </c>
      <c r="F89" s="978">
        <f t="shared" si="1"/>
        <v>0.71</v>
      </c>
      <c r="G89" s="978">
        <f t="shared" si="1"/>
        <v>0.71</v>
      </c>
      <c r="H89" s="990"/>
      <c r="I89" s="555"/>
      <c r="J89" s="965"/>
      <c r="N89" s="557"/>
    </row>
    <row r="90" spans="1:17">
      <c r="B90" s="975" t="s">
        <v>2116</v>
      </c>
      <c r="C90" s="976"/>
      <c r="D90" s="983"/>
      <c r="E90" s="983"/>
      <c r="F90" s="983"/>
      <c r="G90" s="983"/>
      <c r="H90" s="983"/>
      <c r="I90" s="555"/>
      <c r="J90" s="965"/>
      <c r="N90" s="991"/>
      <c r="O90" s="991"/>
      <c r="P90" s="991"/>
      <c r="Q90" s="991"/>
    </row>
    <row r="91" spans="1:17">
      <c r="B91" s="964" t="s">
        <v>157</v>
      </c>
      <c r="C91" s="976" t="s">
        <v>61</v>
      </c>
      <c r="D91" s="992">
        <f ca="1">HLOOKUP($H100,Supplementary!$C$44:$AF$46,3,FALSE)*D100*D$111</f>
        <v>2932920468.4396195</v>
      </c>
      <c r="E91" s="992">
        <f ca="1">HLOOKUP($H100,Supplementary!$C$44:$AF$46,3,FALSE)*E100*E$111</f>
        <v>2786274445.0176382</v>
      </c>
      <c r="F91" s="992">
        <f ca="1">HLOOKUP($H100,Supplementary!$C$44:$AF$46,3,FALSE)*F100*F$111</f>
        <v>2514612686.6284184</v>
      </c>
      <c r="G91" s="992">
        <f ca="1">HLOOKUP($H100,Supplementary!$C$44:$AF$46,3,FALSE)*G100*G$111</f>
        <v>2048167749.5881383</v>
      </c>
      <c r="H91" s="555">
        <f t="shared" ref="H91:H97" si="2">priceYear</f>
        <v>2015</v>
      </c>
      <c r="I91" s="555"/>
      <c r="J91" s="965"/>
      <c r="N91" s="991"/>
      <c r="O91" s="991"/>
      <c r="P91" s="991"/>
      <c r="Q91" s="991"/>
    </row>
    <row r="92" spans="1:17">
      <c r="B92" s="964" t="s">
        <v>160</v>
      </c>
      <c r="C92" s="976" t="s">
        <v>464</v>
      </c>
      <c r="D92" s="555">
        <f ca="1">SUM(D93:D97)</f>
        <v>55.414717482044111</v>
      </c>
      <c r="E92" s="555">
        <f ca="1">SUM(E93:E97)</f>
        <v>51.57733073260821</v>
      </c>
      <c r="F92" s="555">
        <f ca="1">SUM(F93:F97)</f>
        <v>39.483406097634742</v>
      </c>
      <c r="G92" s="555">
        <f ca="1">SUM(G93:G97)</f>
        <v>25.816031517029188</v>
      </c>
      <c r="H92" s="555">
        <f t="shared" si="2"/>
        <v>2015</v>
      </c>
      <c r="I92" s="555"/>
      <c r="J92" s="965"/>
      <c r="N92" s="991"/>
      <c r="O92" s="991"/>
      <c r="P92" s="991"/>
      <c r="Q92" s="991"/>
    </row>
    <row r="93" spans="1:17">
      <c r="B93" s="995" t="s">
        <v>162</v>
      </c>
      <c r="C93" s="976" t="s">
        <v>464</v>
      </c>
      <c r="D93" s="992">
        <f ca="1">HLOOKUP($H102,Supplementary!$C$44:$AF$46,3,FALSE)*D102*D$111</f>
        <v>43.90767283808384</v>
      </c>
      <c r="E93" s="555">
        <f ca="1">HLOOKUP($H102,Supplementary!$C$44:$AF$46,3,FALSE)*E102*E$111</f>
        <v>41.712289196179647</v>
      </c>
      <c r="F93" s="555">
        <f ca="1">HLOOKUP($H102,Supplementary!$C$44:$AF$46,3,FALSE)*F102*F$111</f>
        <v>37.645340999552126</v>
      </c>
      <c r="G93" s="555">
        <f ca="1">HLOOKUP($H102,Supplementary!$C$44:$AF$46,3,FALSE)*G102*G$111</f>
        <v>30.662365527516457</v>
      </c>
      <c r="H93" s="555">
        <f t="shared" si="2"/>
        <v>2015</v>
      </c>
      <c r="I93" s="555"/>
      <c r="J93" s="965"/>
      <c r="N93" s="991"/>
      <c r="O93" s="991"/>
      <c r="P93" s="991"/>
      <c r="Q93" s="991"/>
    </row>
    <row r="94" spans="1:17">
      <c r="B94" s="995" t="s">
        <v>163</v>
      </c>
      <c r="C94" s="976" t="s">
        <v>464</v>
      </c>
      <c r="D94" s="992">
        <f ca="1">HLOOKUP($H103,Supplementary!$C$44:$AF$46,3,FALSE)*D103*D$111</f>
        <v>42.030279263275965</v>
      </c>
      <c r="E94" s="555">
        <f ca="1">HLOOKUP($H103,Supplementary!$C$44:$AF$46,3,FALSE)*E103*E$111</f>
        <v>39.928765300112161</v>
      </c>
      <c r="F94" s="555">
        <f ca="1">HLOOKUP($H103,Supplementary!$C$44:$AF$46,3,FALSE)*F103*F$111</f>
        <v>36.035710683351226</v>
      </c>
      <c r="G94" s="555">
        <f ca="1">HLOOKUP($H103,Supplementary!$C$44:$AF$46,3,FALSE)*G103*G$111</f>
        <v>29.351311574781345</v>
      </c>
      <c r="H94" s="555">
        <f t="shared" si="2"/>
        <v>2015</v>
      </c>
      <c r="I94" s="555"/>
      <c r="J94" s="965"/>
      <c r="N94" s="991"/>
      <c r="O94" s="991"/>
      <c r="P94" s="991"/>
      <c r="Q94" s="991"/>
    </row>
    <row r="95" spans="1:17">
      <c r="B95" s="995" t="s">
        <v>164</v>
      </c>
      <c r="C95" s="976" t="s">
        <v>464</v>
      </c>
      <c r="D95" s="992">
        <f>HLOOKUP($H104,Supplementary!$C$44:$AF$46,3,FALSE)*D104</f>
        <v>0</v>
      </c>
      <c r="E95" s="555">
        <f>HLOOKUP($H104,Supplementary!$C$44:$AF$46,3,FALSE)*E104</f>
        <v>0</v>
      </c>
      <c r="F95" s="555">
        <f>HLOOKUP($H104,Supplementary!$C$44:$AF$46,3,FALSE)*F104</f>
        <v>0</v>
      </c>
      <c r="G95" s="555">
        <f>HLOOKUP($H104,Supplementary!$C$44:$AF$46,3,FALSE)*G104</f>
        <v>0</v>
      </c>
      <c r="H95" s="555">
        <f t="shared" si="2"/>
        <v>2015</v>
      </c>
      <c r="I95" s="555"/>
      <c r="J95" s="965"/>
      <c r="N95" s="991"/>
      <c r="O95" s="991"/>
      <c r="P95" s="991"/>
      <c r="Q95" s="991"/>
    </row>
    <row r="96" spans="1:17">
      <c r="B96" s="995" t="s">
        <v>264</v>
      </c>
      <c r="C96" s="976" t="s">
        <v>464</v>
      </c>
      <c r="D96" s="992">
        <f ca="1">HLOOKUP($H105,Supplementary!$C$44:$AF$46,3,FALSE)*D105*D$111</f>
        <v>0</v>
      </c>
      <c r="E96" s="555">
        <f ca="1">HLOOKUP($H105,Supplementary!$C$44:$AF$46,3,FALSE)*E105*E$111</f>
        <v>0</v>
      </c>
      <c r="F96" s="555">
        <f ca="1">HLOOKUP($H105,Supplementary!$C$44:$AF$46,3,FALSE)*F105*F$111</f>
        <v>0</v>
      </c>
      <c r="G96" s="555">
        <f ca="1">HLOOKUP($H105,Supplementary!$C$44:$AF$46,3,FALSE)*G105*G$111</f>
        <v>0</v>
      </c>
      <c r="H96" s="555">
        <f t="shared" si="2"/>
        <v>2015</v>
      </c>
      <c r="I96" s="555"/>
      <c r="J96" s="965"/>
      <c r="N96" s="991"/>
      <c r="O96" s="991"/>
      <c r="P96" s="991"/>
      <c r="Q96" s="991"/>
    </row>
    <row r="97" spans="1:17">
      <c r="B97" s="995" t="s">
        <v>165</v>
      </c>
      <c r="C97" s="976" t="s">
        <v>464</v>
      </c>
      <c r="D97" s="992">
        <f ca="1">HLOOKUP($H106,Supplementary!$C$44:$AF$46,3,FALSE)*D106</f>
        <v>-30.523234619315691</v>
      </c>
      <c r="E97" s="555">
        <f ca="1">HLOOKUP($H106,Supplementary!$C$44:$AF$46,3,FALSE)*E106</f>
        <v>-30.063723763683605</v>
      </c>
      <c r="F97" s="555">
        <f ca="1">HLOOKUP($H106,Supplementary!$C$44:$AF$46,3,FALSE)*F106</f>
        <v>-34.197645585268617</v>
      </c>
      <c r="G97" s="555">
        <f ca="1">HLOOKUP($H106,Supplementary!$C$44:$AF$46,3,FALSE)*G106</f>
        <v>-34.197645585268617</v>
      </c>
      <c r="H97" s="555">
        <f t="shared" si="2"/>
        <v>2015</v>
      </c>
      <c r="I97" s="555"/>
      <c r="J97" s="965"/>
      <c r="N97" s="991"/>
      <c r="O97" s="991"/>
      <c r="P97" s="991"/>
      <c r="Q97" s="991"/>
    </row>
    <row r="98" spans="1:17">
      <c r="B98" s="975"/>
      <c r="C98" s="976"/>
      <c r="D98" s="992"/>
      <c r="E98" s="983"/>
      <c r="F98" s="983"/>
      <c r="G98" s="983"/>
      <c r="H98" s="983"/>
      <c r="I98" s="555"/>
      <c r="J98" s="965"/>
      <c r="N98" s="991"/>
      <c r="O98" s="991"/>
      <c r="P98" s="991"/>
      <c r="Q98" s="991"/>
    </row>
    <row r="99" spans="1:17">
      <c r="B99" s="975" t="s">
        <v>2117</v>
      </c>
      <c r="C99" s="976"/>
      <c r="D99" s="992"/>
      <c r="E99" s="983"/>
      <c r="F99" s="983"/>
      <c r="G99" s="983"/>
      <c r="H99" s="983"/>
      <c r="I99" s="555"/>
      <c r="J99" s="965"/>
      <c r="N99" s="991"/>
      <c r="O99" s="991"/>
      <c r="P99" s="991"/>
      <c r="Q99" s="991"/>
    </row>
    <row r="100" spans="1:17">
      <c r="B100" s="964" t="s">
        <v>157</v>
      </c>
      <c r="C100" s="976" t="s">
        <v>61</v>
      </c>
      <c r="D100" s="992">
        <f>D160*D178*dkkPerEUR</f>
        <v>2755308000</v>
      </c>
      <c r="E100" s="992">
        <f t="shared" ref="E100:G103" si="3">$D100</f>
        <v>2755308000</v>
      </c>
      <c r="F100" s="992">
        <f t="shared" si="3"/>
        <v>2755308000</v>
      </c>
      <c r="G100" s="992">
        <f t="shared" si="3"/>
        <v>2755308000</v>
      </c>
      <c r="H100" s="1668">
        <v>2011</v>
      </c>
      <c r="I100" s="555"/>
      <c r="J100" s="965"/>
      <c r="N100" s="991"/>
      <c r="O100" s="991"/>
      <c r="P100" s="991"/>
      <c r="Q100" s="991"/>
    </row>
    <row r="101" spans="1:17">
      <c r="B101" s="964" t="s">
        <v>160</v>
      </c>
      <c r="C101" s="976" t="s">
        <v>464</v>
      </c>
      <c r="D101" s="993">
        <f ca="1">SUM(D102:D106)</f>
        <v>52.058900348309706</v>
      </c>
      <c r="E101" s="978">
        <f t="shared" ca="1" si="3"/>
        <v>52.058900348309706</v>
      </c>
      <c r="F101" s="978">
        <f t="shared" ca="1" si="3"/>
        <v>52.058900348309706</v>
      </c>
      <c r="G101" s="978">
        <f t="shared" ca="1" si="3"/>
        <v>52.058900348309706</v>
      </c>
      <c r="H101" s="1668">
        <v>2011</v>
      </c>
      <c r="I101" s="994"/>
      <c r="J101" s="965"/>
      <c r="N101" s="991"/>
      <c r="O101" s="991"/>
      <c r="P101" s="991"/>
      <c r="Q101" s="991"/>
    </row>
    <row r="102" spans="1:17">
      <c r="B102" s="995" t="s">
        <v>162</v>
      </c>
      <c r="C102" s="976" t="s">
        <v>464</v>
      </c>
      <c r="D102" s="480">
        <f ca="1">-PMT(rSØK,20,D100)/D160</f>
        <v>41.248701945374869</v>
      </c>
      <c r="E102" s="978">
        <f t="shared" ca="1" si="3"/>
        <v>41.248701945374869</v>
      </c>
      <c r="F102" s="978">
        <f t="shared" ca="1" si="3"/>
        <v>41.248701945374869</v>
      </c>
      <c r="G102" s="978">
        <f t="shared" ca="1" si="3"/>
        <v>41.248701945374869</v>
      </c>
      <c r="H102" s="1668">
        <v>2011</v>
      </c>
      <c r="I102" s="994"/>
      <c r="J102" s="965"/>
      <c r="N102" s="991"/>
      <c r="O102" s="991"/>
      <c r="P102" s="991"/>
      <c r="Q102" s="991"/>
    </row>
    <row r="103" spans="1:17">
      <c r="B103" s="995" t="s">
        <v>163</v>
      </c>
      <c r="C103" s="976" t="s">
        <v>464</v>
      </c>
      <c r="D103" s="480">
        <f>IF(D142&gt;0,D178*D142*dkkPerEUR,D179*dkkPerEUR)</f>
        <v>39.484999999999999</v>
      </c>
      <c r="E103" s="480">
        <f t="shared" si="3"/>
        <v>39.484999999999999</v>
      </c>
      <c r="F103" s="480">
        <f t="shared" si="3"/>
        <v>39.484999999999999</v>
      </c>
      <c r="G103" s="480">
        <f t="shared" si="3"/>
        <v>39.484999999999999</v>
      </c>
      <c r="H103" s="1668">
        <v>2011</v>
      </c>
      <c r="I103" s="555"/>
      <c r="J103" s="965"/>
      <c r="N103" s="991"/>
      <c r="O103" s="991"/>
      <c r="P103" s="991"/>
      <c r="Q103" s="991"/>
    </row>
    <row r="104" spans="1:17">
      <c r="A104" s="530">
        <v>6</v>
      </c>
      <c r="B104" s="995" t="s">
        <v>164</v>
      </c>
      <c r="C104" s="976" t="s">
        <v>464</v>
      </c>
      <c r="D104" s="997"/>
      <c r="E104" s="997"/>
      <c r="F104" s="997"/>
      <c r="G104" s="997"/>
      <c r="H104" s="1668">
        <v>2011</v>
      </c>
      <c r="I104" s="555"/>
      <c r="J104" s="965"/>
      <c r="N104" s="991"/>
      <c r="O104" s="991"/>
      <c r="P104" s="991"/>
      <c r="Q104" s="991"/>
    </row>
    <row r="105" spans="1:17">
      <c r="B105" s="995" t="s">
        <v>264</v>
      </c>
      <c r="C105" s="976" t="s">
        <v>464</v>
      </c>
      <c r="D105" s="997"/>
      <c r="E105" s="997"/>
      <c r="F105" s="997"/>
      <c r="G105" s="997"/>
      <c r="H105" s="1668">
        <v>2011</v>
      </c>
      <c r="I105" s="555"/>
      <c r="J105" s="965"/>
      <c r="N105" s="991"/>
      <c r="O105" s="991"/>
      <c r="P105" s="991"/>
      <c r="Q105" s="991"/>
    </row>
    <row r="106" spans="1:17">
      <c r="B106" s="995" t="s">
        <v>165</v>
      </c>
      <c r="C106" s="976" t="s">
        <v>464</v>
      </c>
      <c r="D106" s="480">
        <f ca="1">-SUMPRODUCT(D37:D56,ProcessEnergy!M35:M54)/D86</f>
        <v>-28.674801597065155</v>
      </c>
      <c r="E106" s="480">
        <f ca="1">-SUMPRODUCT(E37:E56,ProcessEnergy!N35:N54)/E86</f>
        <v>-28.243117904911195</v>
      </c>
      <c r="F106" s="480">
        <f ca="1">-SUMPRODUCT(F37:F56,ProcessEnergy!O35:O54)/F86</f>
        <v>-32.126696743463071</v>
      </c>
      <c r="G106" s="480">
        <f ca="1">-SUMPRODUCT(G37:G56,ProcessEnergy!P35:P54)/G86</f>
        <v>-32.126696743463071</v>
      </c>
      <c r="H106" s="1668">
        <v>2011</v>
      </c>
      <c r="I106" s="555"/>
      <c r="J106" s="965"/>
      <c r="N106" s="991"/>
      <c r="O106" s="991"/>
      <c r="P106" s="991"/>
      <c r="Q106" s="991"/>
    </row>
    <row r="107" spans="1:17">
      <c r="B107" s="995"/>
      <c r="C107" s="976"/>
      <c r="D107" s="2311"/>
      <c r="E107" s="2311"/>
      <c r="F107" s="2311"/>
      <c r="G107" s="2311"/>
      <c r="H107" s="983"/>
      <c r="I107" s="994"/>
      <c r="J107" s="965"/>
      <c r="N107" s="991"/>
      <c r="O107" s="991"/>
      <c r="P107" s="991"/>
      <c r="Q107" s="991"/>
    </row>
    <row r="108" spans="1:17">
      <c r="B108" s="975" t="s">
        <v>2113</v>
      </c>
      <c r="C108" s="976"/>
      <c r="D108" s="983"/>
      <c r="E108" s="983"/>
      <c r="F108" s="983"/>
      <c r="G108" s="983"/>
      <c r="H108" s="983"/>
      <c r="I108" s="994"/>
      <c r="J108" s="965"/>
      <c r="N108" s="991"/>
      <c r="O108" s="991"/>
      <c r="P108" s="991"/>
      <c r="Q108" s="991"/>
    </row>
    <row r="109" spans="1:17">
      <c r="B109" s="995" t="s">
        <v>2114</v>
      </c>
      <c r="C109" s="976"/>
      <c r="D109" s="1696">
        <v>0.95</v>
      </c>
      <c r="E109" s="1696">
        <v>0.95</v>
      </c>
      <c r="F109" s="1696">
        <v>0.95</v>
      </c>
      <c r="G109" s="1696">
        <v>0.95</v>
      </c>
      <c r="H109" s="983"/>
      <c r="I109" s="994"/>
      <c r="J109" s="965"/>
      <c r="N109" s="991"/>
      <c r="O109" s="991"/>
      <c r="P109" s="991"/>
      <c r="Q109" s="991"/>
    </row>
    <row r="110" spans="1:17">
      <c r="B110" s="995" t="s">
        <v>2666</v>
      </c>
      <c r="C110" s="976"/>
      <c r="D110" s="478">
        <f ca="1">OFFSET(Supplementary!C$237,MATCH($C$19,Supplementary!$B$238:$B$241,0),0)</f>
        <v>1</v>
      </c>
      <c r="E110" s="478">
        <f ca="1">OFFSET(Supplementary!D$237,MATCH($C$19,Supplementary!$B$238:$B$241,0),0)</f>
        <v>2</v>
      </c>
      <c r="F110" s="478">
        <f ca="1">OFFSET(Supplementary!E$237,MATCH($C$19,Supplementary!$B$238:$B$241,0),0)</f>
        <v>4</v>
      </c>
      <c r="G110" s="478">
        <f ca="1">OFFSET(Supplementary!F$237,MATCH($C$19,Supplementary!$B$238:$B$241,0),0)</f>
        <v>8</v>
      </c>
      <c r="H110" s="983"/>
      <c r="I110" s="994"/>
      <c r="J110" s="965"/>
      <c r="N110" s="991"/>
      <c r="O110" s="991"/>
      <c r="P110" s="991"/>
      <c r="Q110" s="991"/>
    </row>
    <row r="111" spans="1:17">
      <c r="B111" s="995" t="s">
        <v>2115</v>
      </c>
      <c r="C111" s="976"/>
      <c r="D111" s="1698">
        <f ca="1">1*D109^(D110-1)</f>
        <v>1</v>
      </c>
      <c r="E111" s="1698">
        <f ca="1">1*E109^(E110-1)</f>
        <v>0.95</v>
      </c>
      <c r="F111" s="1698">
        <f ca="1">1*F109^(F110-1)</f>
        <v>0.85737499999999989</v>
      </c>
      <c r="G111" s="1698">
        <f ca="1">1*G109^(G110-1)</f>
        <v>0.69833729609374995</v>
      </c>
      <c r="H111" s="983"/>
      <c r="I111" s="994"/>
      <c r="J111" s="965"/>
      <c r="N111" s="991"/>
      <c r="O111" s="991"/>
      <c r="P111" s="991"/>
      <c r="Q111" s="991"/>
    </row>
    <row r="112" spans="1:17">
      <c r="B112" s="995"/>
      <c r="C112" s="976"/>
      <c r="D112" s="983"/>
      <c r="E112" s="983"/>
      <c r="F112" s="983"/>
      <c r="G112" s="983"/>
      <c r="H112" s="983"/>
      <c r="I112" s="994"/>
      <c r="J112" s="965"/>
      <c r="N112" s="991"/>
      <c r="O112" s="991"/>
      <c r="P112" s="991"/>
      <c r="Q112" s="991"/>
    </row>
    <row r="113" spans="2:17">
      <c r="B113" s="975" t="s">
        <v>166</v>
      </c>
      <c r="C113" s="976"/>
      <c r="D113" s="983"/>
      <c r="E113" s="983"/>
      <c r="F113" s="983"/>
      <c r="G113" s="983"/>
      <c r="H113" s="983"/>
      <c r="I113" s="994"/>
      <c r="J113" s="965"/>
      <c r="N113" s="998"/>
      <c r="O113" s="998"/>
      <c r="P113" s="998"/>
      <c r="Q113" s="991"/>
    </row>
    <row r="114" spans="2:17">
      <c r="B114" s="964" t="s">
        <v>24</v>
      </c>
      <c r="C114" s="976" t="s">
        <v>465</v>
      </c>
      <c r="D114" s="999">
        <v>0</v>
      </c>
      <c r="E114" s="999">
        <v>0</v>
      </c>
      <c r="F114" s="999">
        <v>0</v>
      </c>
      <c r="G114" s="999"/>
      <c r="H114" s="999"/>
      <c r="I114" s="1347" t="s">
        <v>1747</v>
      </c>
      <c r="J114" s="965"/>
      <c r="N114" s="991"/>
      <c r="O114" s="991"/>
      <c r="P114" s="991"/>
      <c r="Q114" s="991"/>
    </row>
    <row r="115" spans="2:17">
      <c r="B115" s="964" t="s">
        <v>27</v>
      </c>
      <c r="C115" s="976" t="s">
        <v>465</v>
      </c>
      <c r="D115" s="999">
        <v>0</v>
      </c>
      <c r="E115" s="999">
        <v>0</v>
      </c>
      <c r="F115" s="999">
        <v>0</v>
      </c>
      <c r="G115" s="999"/>
      <c r="H115" s="999"/>
      <c r="I115" s="1347" t="s">
        <v>1747</v>
      </c>
      <c r="J115" s="965"/>
      <c r="N115" s="991"/>
      <c r="O115" s="991"/>
      <c r="P115" s="991"/>
      <c r="Q115" s="991"/>
    </row>
    <row r="116" spans="2:17">
      <c r="B116" s="964" t="s">
        <v>28</v>
      </c>
      <c r="C116" s="976" t="s">
        <v>465</v>
      </c>
      <c r="D116" s="999">
        <v>0</v>
      </c>
      <c r="E116" s="999">
        <v>0</v>
      </c>
      <c r="F116" s="999">
        <v>0</v>
      </c>
      <c r="G116" s="999"/>
      <c r="H116" s="999"/>
      <c r="I116" s="1347" t="s">
        <v>1747</v>
      </c>
      <c r="J116" s="965"/>
      <c r="N116" s="991"/>
      <c r="O116" s="991"/>
      <c r="P116" s="991"/>
      <c r="Q116" s="991"/>
    </row>
    <row r="117" spans="2:17">
      <c r="B117" s="964" t="s">
        <v>26</v>
      </c>
      <c r="C117" s="976" t="s">
        <v>465</v>
      </c>
      <c r="D117" s="999">
        <v>0</v>
      </c>
      <c r="E117" s="999">
        <v>0</v>
      </c>
      <c r="F117" s="999">
        <v>0</v>
      </c>
      <c r="G117" s="999"/>
      <c r="H117" s="999"/>
      <c r="I117" s="1347" t="s">
        <v>1747</v>
      </c>
      <c r="J117" s="965"/>
      <c r="N117" s="991"/>
      <c r="O117" s="991"/>
      <c r="P117" s="991"/>
      <c r="Q117" s="991"/>
    </row>
    <row r="118" spans="2:17">
      <c r="B118" s="964" t="s">
        <v>167</v>
      </c>
      <c r="C118" s="976" t="s">
        <v>465</v>
      </c>
      <c r="D118" s="999">
        <v>0</v>
      </c>
      <c r="E118" s="999">
        <v>0</v>
      </c>
      <c r="F118" s="999">
        <v>0</v>
      </c>
      <c r="G118" s="999"/>
      <c r="H118" s="999"/>
      <c r="I118" s="1347" t="s">
        <v>1747</v>
      </c>
      <c r="J118" s="965"/>
      <c r="N118" s="998"/>
      <c r="O118" s="998"/>
      <c r="P118" s="998"/>
      <c r="Q118" s="998"/>
    </row>
    <row r="119" spans="2:17">
      <c r="B119" s="964" t="s">
        <v>45</v>
      </c>
      <c r="C119" s="976" t="s">
        <v>465</v>
      </c>
      <c r="D119" s="1000"/>
      <c r="E119" s="1000"/>
      <c r="F119" s="1000"/>
      <c r="G119" s="1000"/>
      <c r="H119" s="1000"/>
      <c r="I119" s="555"/>
      <c r="J119" s="965"/>
    </row>
    <row r="120" spans="2:17" ht="13.5" thickBot="1">
      <c r="B120" s="1001"/>
      <c r="C120" s="1002"/>
      <c r="D120" s="1003"/>
      <c r="E120" s="968"/>
      <c r="F120" s="968"/>
      <c r="G120" s="968"/>
      <c r="H120" s="968"/>
      <c r="I120" s="1004"/>
      <c r="J120" s="969"/>
    </row>
    <row r="123" spans="2:17" ht="18.75">
      <c r="B123" s="1005" t="s">
        <v>172</v>
      </c>
    </row>
    <row r="124" spans="2:17" ht="15.75">
      <c r="B124" s="1006"/>
      <c r="D124" s="1007"/>
    </row>
    <row r="125" spans="2:17">
      <c r="B125" s="555"/>
      <c r="C125" s="555"/>
      <c r="D125" s="555"/>
      <c r="E125" s="555"/>
      <c r="F125" s="555"/>
      <c r="G125" s="555"/>
      <c r="H125" s="555"/>
      <c r="I125" s="555"/>
      <c r="J125" s="555"/>
      <c r="K125" s="555"/>
      <c r="L125" s="555"/>
    </row>
    <row r="126" spans="2:17">
      <c r="B126" s="555"/>
      <c r="C126" s="977"/>
      <c r="D126" s="977"/>
      <c r="E126" s="977"/>
      <c r="F126" s="977"/>
      <c r="G126" s="977"/>
      <c r="H126" s="977"/>
      <c r="I126" s="555"/>
      <c r="J126" s="977"/>
      <c r="K126" s="977"/>
      <c r="L126" s="977"/>
    </row>
    <row r="127" spans="2:17">
      <c r="B127" s="555"/>
      <c r="C127" s="555"/>
      <c r="D127" s="993"/>
      <c r="E127" s="993"/>
      <c r="F127" s="993"/>
      <c r="G127" s="993"/>
      <c r="H127" s="993"/>
      <c r="I127" s="555"/>
      <c r="J127" s="993"/>
      <c r="K127" s="993"/>
      <c r="L127" s="993"/>
    </row>
    <row r="128" spans="2:17">
      <c r="B128" s="555"/>
      <c r="C128" s="555"/>
      <c r="D128" s="993"/>
      <c r="E128" s="993"/>
      <c r="F128" s="993"/>
      <c r="G128" s="993"/>
      <c r="H128" s="993"/>
      <c r="I128" s="555"/>
      <c r="J128" s="993"/>
      <c r="K128" s="993"/>
      <c r="L128" s="993"/>
    </row>
    <row r="129" spans="2:12">
      <c r="B129" s="555"/>
      <c r="C129" s="555"/>
      <c r="D129" s="993"/>
      <c r="E129" s="993"/>
      <c r="F129" s="993"/>
      <c r="G129" s="993"/>
      <c r="H129" s="993"/>
      <c r="I129" s="555"/>
      <c r="J129" s="993"/>
      <c r="K129" s="993"/>
      <c r="L129" s="993"/>
    </row>
    <row r="130" spans="2:12">
      <c r="B130" s="555"/>
      <c r="C130" s="555"/>
      <c r="D130" s="993"/>
      <c r="E130" s="993"/>
      <c r="F130" s="993"/>
      <c r="G130" s="993"/>
      <c r="H130" s="993"/>
      <c r="I130" s="555"/>
      <c r="J130" s="993"/>
      <c r="K130" s="993"/>
      <c r="L130" s="993"/>
    </row>
    <row r="131" spans="2:12">
      <c r="B131" s="555"/>
      <c r="C131" s="555"/>
      <c r="D131" s="993"/>
      <c r="E131" s="993"/>
      <c r="F131" s="993"/>
      <c r="G131" s="993"/>
      <c r="H131" s="993"/>
      <c r="I131" s="555"/>
      <c r="J131" s="993"/>
      <c r="K131" s="993"/>
      <c r="L131" s="993"/>
    </row>
    <row r="132" spans="2:12">
      <c r="B132" s="555"/>
      <c r="C132" s="555"/>
      <c r="D132" s="993"/>
      <c r="E132" s="993"/>
      <c r="F132" s="993"/>
      <c r="G132" s="993"/>
      <c r="H132" s="993"/>
      <c r="I132" s="555"/>
      <c r="J132" s="993"/>
      <c r="K132" s="993"/>
      <c r="L132" s="993"/>
    </row>
    <row r="133" spans="2:12">
      <c r="B133" s="555"/>
      <c r="C133" s="555"/>
      <c r="D133" s="993"/>
      <c r="E133" s="993"/>
      <c r="F133" s="993"/>
      <c r="G133" s="993"/>
      <c r="H133" s="993"/>
      <c r="I133" s="555"/>
      <c r="J133" s="993"/>
      <c r="K133" s="993"/>
      <c r="L133" s="993"/>
    </row>
    <row r="136" spans="2:12" ht="18.75">
      <c r="B136" s="1005" t="s">
        <v>168</v>
      </c>
    </row>
    <row r="137" spans="2:12" ht="15.75">
      <c r="B137" s="1006"/>
    </row>
    <row r="138" spans="2:12" ht="13.5" thickBot="1">
      <c r="B138" s="555"/>
      <c r="C138" s="555"/>
      <c r="D138" s="555"/>
      <c r="E138" s="555"/>
      <c r="F138" s="555"/>
      <c r="G138" s="555"/>
      <c r="H138" s="555"/>
      <c r="I138" s="555"/>
    </row>
    <row r="139" spans="2:12">
      <c r="B139" s="1008"/>
      <c r="C139" s="1009" t="s">
        <v>70</v>
      </c>
      <c r="D139" s="1010">
        <v>2015</v>
      </c>
      <c r="E139" s="1009">
        <v>2020</v>
      </c>
      <c r="F139" s="1009">
        <v>2035</v>
      </c>
      <c r="G139" s="1009"/>
      <c r="H139" s="1009"/>
      <c r="I139" s="1011" t="s">
        <v>145</v>
      </c>
      <c r="J139" s="1012" t="s">
        <v>146</v>
      </c>
    </row>
    <row r="140" spans="2:12">
      <c r="B140" s="964"/>
      <c r="C140" s="977"/>
      <c r="D140" s="1013"/>
      <c r="E140" s="1014"/>
      <c r="F140" s="1014"/>
      <c r="G140" s="1014"/>
      <c r="H140" s="1014"/>
      <c r="I140" s="555"/>
      <c r="J140" s="965"/>
    </row>
    <row r="141" spans="2:12">
      <c r="B141" s="964"/>
      <c r="C141" s="977"/>
      <c r="D141" s="1015"/>
      <c r="E141" s="1016"/>
      <c r="F141" s="1016"/>
      <c r="G141" s="1016"/>
      <c r="H141" s="1016"/>
      <c r="I141" s="555"/>
      <c r="J141" s="965"/>
    </row>
    <row r="142" spans="2:12">
      <c r="B142" s="964"/>
      <c r="C142" s="977"/>
      <c r="D142" s="1017"/>
      <c r="E142" s="1018"/>
      <c r="F142" s="1018"/>
      <c r="G142" s="1018"/>
      <c r="H142" s="1018"/>
      <c r="I142" s="555"/>
      <c r="J142" s="965"/>
    </row>
    <row r="143" spans="2:12">
      <c r="B143" s="964"/>
      <c r="C143" s="977"/>
      <c r="D143" s="1015"/>
      <c r="E143" s="1016"/>
      <c r="F143" s="1016"/>
      <c r="G143" s="1016"/>
      <c r="H143" s="1016"/>
      <c r="I143" s="555"/>
      <c r="J143" s="965"/>
    </row>
    <row r="144" spans="2:12">
      <c r="B144" s="964"/>
      <c r="C144" s="977"/>
      <c r="D144" s="1015"/>
      <c r="E144" s="1016"/>
      <c r="F144" s="1016"/>
      <c r="G144" s="1016"/>
      <c r="H144" s="1016"/>
      <c r="I144" s="555"/>
      <c r="J144" s="965"/>
    </row>
    <row r="145" spans="2:10">
      <c r="B145" s="964" t="s">
        <v>22</v>
      </c>
      <c r="C145" s="977" t="s">
        <v>249</v>
      </c>
      <c r="D145" s="1019"/>
      <c r="E145" s="979"/>
      <c r="F145" s="979"/>
      <c r="G145" s="979"/>
      <c r="H145" s="979"/>
      <c r="I145" s="555"/>
      <c r="J145" s="965"/>
    </row>
    <row r="146" spans="2:10">
      <c r="B146" s="964"/>
      <c r="C146" s="976"/>
      <c r="D146" s="1016"/>
      <c r="E146" s="1016"/>
      <c r="F146" s="1016"/>
      <c r="G146" s="1016"/>
      <c r="H146" s="1016"/>
      <c r="I146" s="555"/>
      <c r="J146" s="965"/>
    </row>
    <row r="147" spans="2:10" ht="13.5" thickBot="1">
      <c r="B147" s="967"/>
      <c r="C147" s="1020"/>
      <c r="D147" s="1021"/>
      <c r="E147" s="1021"/>
      <c r="F147" s="1021"/>
      <c r="G147" s="1021"/>
      <c r="H147" s="1021"/>
      <c r="I147" s="968"/>
      <c r="J147" s="969"/>
    </row>
    <row r="149" spans="2:10" ht="13.5" thickBot="1"/>
    <row r="150" spans="2:10">
      <c r="B150" s="1040"/>
      <c r="C150" s="1340"/>
      <c r="D150" s="1064" t="s">
        <v>1098</v>
      </c>
    </row>
    <row r="151" spans="2:10">
      <c r="B151" s="1065" t="s">
        <v>1095</v>
      </c>
      <c r="C151" s="1367">
        <v>0.48</v>
      </c>
      <c r="D151" s="1067" t="s">
        <v>1753</v>
      </c>
    </row>
    <row r="152" spans="2:10" ht="13.5" thickBot="1">
      <c r="B152" s="1022" t="s">
        <v>1163</v>
      </c>
      <c r="C152" s="1341">
        <f>(100-D166)%</f>
        <v>0.55899999999999994</v>
      </c>
      <c r="D152" s="1342" t="s">
        <v>1752</v>
      </c>
    </row>
    <row r="153" spans="2:10">
      <c r="B153" s="530" t="str">
        <f>CONCATENATE("Source: ",Referencer!$B$48)</f>
        <v>Source: 42, FORCE, Danish Energy Agency, 2013, Technology data for advanced bioenergy fuels.</v>
      </c>
    </row>
    <row r="155" spans="2:10" ht="13.5" thickBot="1">
      <c r="B155" s="555"/>
      <c r="C155" s="968"/>
    </row>
    <row r="156" spans="2:10" ht="18.75">
      <c r="B156" s="1041" t="s">
        <v>1164</v>
      </c>
      <c r="C156" s="1042"/>
      <c r="D156" s="1025"/>
      <c r="E156" s="1025"/>
      <c r="F156" s="1025"/>
      <c r="G156" s="1025"/>
      <c r="H156" s="1025"/>
      <c r="I156" s="1025"/>
      <c r="J156" s="1026"/>
    </row>
    <row r="157" spans="2:10" ht="15">
      <c r="B157" s="1026"/>
      <c r="C157" s="1027"/>
      <c r="D157" s="1028">
        <v>2015</v>
      </c>
      <c r="E157" s="1028">
        <v>2020</v>
      </c>
      <c r="F157" s="1028">
        <v>2035</v>
      </c>
      <c r="G157" s="1028">
        <v>2050</v>
      </c>
      <c r="H157" s="1028"/>
      <c r="I157" s="1028" t="s">
        <v>1098</v>
      </c>
      <c r="J157" s="1338"/>
    </row>
    <row r="158" spans="2:10" ht="15">
      <c r="B158" s="1043" t="s">
        <v>1099</v>
      </c>
      <c r="C158" s="1044"/>
      <c r="D158" s="1027"/>
      <c r="E158" s="1027"/>
      <c r="F158" s="1027"/>
      <c r="G158" s="1027"/>
      <c r="H158" s="1027"/>
      <c r="I158" s="1027"/>
      <c r="J158" s="1026"/>
    </row>
    <row r="159" spans="2:10" ht="15">
      <c r="B159" s="1026" t="s">
        <v>1139</v>
      </c>
      <c r="C159" s="1027"/>
      <c r="D159" s="1368">
        <v>200000</v>
      </c>
      <c r="E159" s="1284" t="s">
        <v>1101</v>
      </c>
      <c r="F159" s="1031"/>
      <c r="G159" s="1031"/>
      <c r="H159" s="1031"/>
      <c r="I159" s="1032" t="s">
        <v>1752</v>
      </c>
      <c r="J159" s="1339"/>
    </row>
    <row r="160" spans="2:10" ht="15">
      <c r="B160" s="1026" t="s">
        <v>1140</v>
      </c>
      <c r="C160" s="1027"/>
      <c r="D160" s="1368">
        <v>5360000</v>
      </c>
      <c r="E160" s="1284" t="s">
        <v>1101</v>
      </c>
      <c r="F160" s="1031"/>
      <c r="G160" s="1031"/>
      <c r="H160" s="1031"/>
      <c r="I160" s="1032"/>
      <c r="J160" s="1339"/>
    </row>
    <row r="161" spans="2:10" ht="15">
      <c r="B161" s="1026" t="s">
        <v>1165</v>
      </c>
      <c r="C161" s="1027"/>
      <c r="D161" s="1373">
        <v>2.4</v>
      </c>
      <c r="E161" s="1284" t="s">
        <v>1101</v>
      </c>
      <c r="F161" s="1031"/>
      <c r="G161" s="1031"/>
      <c r="H161" s="1031"/>
      <c r="I161" s="1032"/>
      <c r="J161" s="1339"/>
    </row>
    <row r="162" spans="2:10" ht="15">
      <c r="B162" s="1026" t="s">
        <v>1166</v>
      </c>
      <c r="C162" s="1027"/>
      <c r="D162" s="1373">
        <v>4.5</v>
      </c>
      <c r="E162" s="1284" t="s">
        <v>1101</v>
      </c>
      <c r="F162" s="1031"/>
      <c r="G162" s="1031"/>
      <c r="H162" s="1031"/>
      <c r="I162" s="1032"/>
      <c r="J162" s="1339"/>
    </row>
    <row r="163" spans="2:10" ht="15">
      <c r="B163" s="1026" t="s">
        <v>1143</v>
      </c>
      <c r="C163" s="1027"/>
      <c r="D163" s="1373">
        <v>2.4</v>
      </c>
      <c r="E163" s="1284" t="s">
        <v>1101</v>
      </c>
      <c r="F163" s="1031"/>
      <c r="G163" s="1031"/>
      <c r="H163" s="1031"/>
      <c r="I163" s="1032"/>
      <c r="J163" s="1339"/>
    </row>
    <row r="164" spans="2:10" ht="15">
      <c r="B164" s="1026" t="s">
        <v>1167</v>
      </c>
      <c r="C164" s="1027"/>
      <c r="D164" s="1373">
        <v>7.0000000000000007E-2</v>
      </c>
      <c r="E164" s="1284" t="s">
        <v>1101</v>
      </c>
      <c r="F164" s="1031"/>
      <c r="G164" s="1031"/>
      <c r="H164" s="1031"/>
      <c r="I164" s="1032"/>
      <c r="J164" s="1339"/>
    </row>
    <row r="165" spans="2:10" ht="15">
      <c r="B165" s="1026" t="s">
        <v>1147</v>
      </c>
      <c r="C165" s="1027"/>
      <c r="D165" s="1373">
        <v>41.1</v>
      </c>
      <c r="E165" s="1284" t="s">
        <v>1101</v>
      </c>
      <c r="F165" s="1031"/>
      <c r="G165" s="1031"/>
      <c r="H165" s="1031"/>
      <c r="I165" s="1032"/>
      <c r="J165" s="1339"/>
    </row>
    <row r="166" spans="2:10" ht="15">
      <c r="B166" s="1026" t="s">
        <v>1168</v>
      </c>
      <c r="C166" s="1027"/>
      <c r="D166" s="1373">
        <v>44.1</v>
      </c>
      <c r="E166" s="1284" t="s">
        <v>1101</v>
      </c>
      <c r="F166" s="1031"/>
      <c r="G166" s="1031"/>
      <c r="H166" s="1031"/>
      <c r="I166" s="1032"/>
      <c r="J166" s="1339"/>
    </row>
    <row r="167" spans="2:10" ht="15">
      <c r="B167" s="1026" t="s">
        <v>1108</v>
      </c>
      <c r="C167" s="1027"/>
      <c r="D167" s="1373">
        <v>71</v>
      </c>
      <c r="E167" s="1284" t="s">
        <v>1101</v>
      </c>
      <c r="F167" s="1031"/>
      <c r="G167" s="1031"/>
      <c r="H167" s="1031"/>
      <c r="I167" s="1032"/>
      <c r="J167" s="1339"/>
    </row>
    <row r="168" spans="2:10" ht="15">
      <c r="B168" s="1026"/>
      <c r="C168" s="1027"/>
      <c r="D168" s="1370"/>
      <c r="E168" s="1284"/>
      <c r="F168" s="1031"/>
      <c r="G168" s="1031"/>
      <c r="H168" s="1031"/>
      <c r="I168" s="1032"/>
      <c r="J168" s="1339"/>
    </row>
    <row r="169" spans="2:10" ht="15">
      <c r="B169" s="1026"/>
      <c r="C169" s="1027"/>
      <c r="D169" s="1370"/>
      <c r="E169" s="1031"/>
      <c r="F169" s="1031"/>
      <c r="G169" s="1031"/>
      <c r="H169" s="1031"/>
      <c r="I169" s="1032"/>
      <c r="J169" s="1339"/>
    </row>
    <row r="170" spans="2:10" ht="15">
      <c r="B170" s="1026"/>
      <c r="C170" s="1027"/>
      <c r="D170" s="1370"/>
      <c r="E170" s="1031"/>
      <c r="F170" s="1031"/>
      <c r="G170" s="1031"/>
      <c r="H170" s="1031"/>
      <c r="I170" s="1032"/>
      <c r="J170" s="1339"/>
    </row>
    <row r="171" spans="2:10" ht="15">
      <c r="B171" s="1026"/>
      <c r="C171" s="1027"/>
      <c r="D171" s="1370"/>
      <c r="E171" s="1031"/>
      <c r="F171" s="1031"/>
      <c r="G171" s="1031"/>
      <c r="H171" s="1031"/>
      <c r="I171" s="1032"/>
      <c r="J171" s="1339"/>
    </row>
    <row r="172" spans="2:10" ht="15">
      <c r="B172" s="1026"/>
      <c r="C172" s="1027"/>
      <c r="D172" s="1370"/>
      <c r="E172" s="1031"/>
      <c r="F172" s="1031"/>
      <c r="G172" s="1031"/>
      <c r="H172" s="1031"/>
      <c r="I172" s="1032"/>
      <c r="J172" s="1339"/>
    </row>
    <row r="173" spans="2:10" ht="15">
      <c r="B173" s="1026"/>
      <c r="C173" s="1027"/>
      <c r="D173" s="1370"/>
      <c r="E173" s="1031"/>
      <c r="F173" s="1031"/>
      <c r="G173" s="1031"/>
      <c r="H173" s="1031"/>
      <c r="I173" s="1032"/>
      <c r="J173" s="1339"/>
    </row>
    <row r="174" spans="2:10" ht="15">
      <c r="B174" s="1026"/>
      <c r="C174" s="1027"/>
      <c r="D174" s="1370"/>
      <c r="E174" s="1031"/>
      <c r="F174" s="1031"/>
      <c r="G174" s="1031"/>
      <c r="H174" s="1031"/>
      <c r="I174" s="1032"/>
      <c r="J174" s="1339"/>
    </row>
    <row r="175" spans="2:10" ht="15">
      <c r="B175" s="1026"/>
      <c r="C175" s="1027"/>
      <c r="D175" s="1370"/>
      <c r="E175" s="1031"/>
      <c r="F175" s="1031"/>
      <c r="G175" s="1031"/>
      <c r="H175" s="1031"/>
      <c r="I175" s="1032"/>
      <c r="J175" s="1339"/>
    </row>
    <row r="176" spans="2:10" ht="15">
      <c r="B176" s="1026"/>
      <c r="C176" s="1027"/>
      <c r="D176" s="1370"/>
      <c r="E176" s="1031"/>
      <c r="F176" s="1031"/>
      <c r="G176" s="1031"/>
      <c r="H176" s="1027"/>
      <c r="I176" s="1032"/>
      <c r="J176" s="1339"/>
    </row>
    <row r="177" spans="2:10" ht="15">
      <c r="B177" s="1029" t="s">
        <v>1109</v>
      </c>
      <c r="C177" s="1030"/>
      <c r="D177" s="1370"/>
      <c r="E177" s="1031"/>
      <c r="F177" s="1031"/>
      <c r="G177" s="1031"/>
      <c r="H177" s="1027"/>
      <c r="I177" s="1032"/>
      <c r="J177" s="1339"/>
    </row>
    <row r="178" spans="2:10" ht="15">
      <c r="B178" s="1026" t="s">
        <v>1149</v>
      </c>
      <c r="C178" s="1027"/>
      <c r="D178" s="1370">
        <v>69</v>
      </c>
      <c r="E178" s="1031" t="s">
        <v>1101</v>
      </c>
      <c r="F178" s="1031"/>
      <c r="G178" s="1031"/>
      <c r="H178" s="1031"/>
      <c r="I178" s="1032"/>
      <c r="J178" s="1339"/>
    </row>
    <row r="179" spans="2:10" ht="15.75" thickBot="1">
      <c r="B179" s="1033" t="s">
        <v>1150</v>
      </c>
      <c r="C179" s="1034"/>
      <c r="D179" s="1374">
        <v>5.3</v>
      </c>
      <c r="E179" s="1035" t="s">
        <v>1101</v>
      </c>
      <c r="F179" s="1035"/>
      <c r="G179" s="1035"/>
      <c r="H179" s="1035"/>
      <c r="I179" s="1036"/>
      <c r="J179" s="1339"/>
    </row>
    <row r="180" spans="2:10">
      <c r="B180" s="530" t="str">
        <f>CONCATENATE("Source: ",Referencer!$B$48)</f>
        <v>Source: 42, FORCE, Danish Energy Agency, 2013, Technology data for advanced bioenergy fuels.</v>
      </c>
      <c r="D180" s="545">
        <f>D179/D178</f>
        <v>7.6811594202898542E-2</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Supplementary!$B$238:$B$241</xm:f>
          </x14:formula1>
          <xm:sqref>C19</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0">
    <tabColor rgb="FF00B0F0"/>
  </sheetPr>
  <dimension ref="A1:S183"/>
  <sheetViews>
    <sheetView topLeftCell="A113" zoomScale="80" zoomScaleNormal="80" workbookViewId="0">
      <selection activeCell="D157" sqref="D157"/>
    </sheetView>
  </sheetViews>
  <sheetFormatPr defaultRowHeight="12.75"/>
  <cols>
    <col min="1" max="1" width="3.28515625" style="530" customWidth="1"/>
    <col min="2" max="2" width="36" style="530" customWidth="1"/>
    <col min="3" max="3" width="16.5703125" style="530" customWidth="1"/>
    <col min="4" max="8" width="15.7109375" style="530" customWidth="1"/>
    <col min="9" max="9" width="9.42578125" style="530" customWidth="1"/>
    <col min="10" max="10" width="12.7109375" style="530" customWidth="1"/>
    <col min="11" max="17" width="9.140625" style="530"/>
    <col min="18" max="19" width="9.42578125" style="530" bestFit="1" customWidth="1"/>
    <col min="20" max="16384" width="9.140625" style="530"/>
  </cols>
  <sheetData>
    <row r="1" spans="1:19" s="465" customFormat="1" ht="21">
      <c r="B1" s="465" t="s">
        <v>1219</v>
      </c>
      <c r="Q1" s="467">
        <f ca="1">'Log2015'!M1</f>
        <v>-8.0112614142160741</v>
      </c>
      <c r="R1" s="468">
        <f ca="1">'Log2015'!N1</f>
        <v>-160807.124977848</v>
      </c>
    </row>
    <row r="2" spans="1:19">
      <c r="B2" s="530" t="s">
        <v>1220</v>
      </c>
      <c r="Q2" s="958">
        <f ca="1">Q1</f>
        <v>-8.0112614142160741</v>
      </c>
      <c r="R2" s="958">
        <f ca="1">R1</f>
        <v>-160807.124977848</v>
      </c>
      <c r="S2" s="959">
        <f>S1</f>
        <v>0</v>
      </c>
    </row>
    <row r="3" spans="1:19">
      <c r="A3" s="530" t="s">
        <v>1078</v>
      </c>
    </row>
    <row r="4" spans="1:19">
      <c r="B4" s="960" t="s">
        <v>81</v>
      </c>
    </row>
    <row r="5" spans="1:19" ht="13.5" thickBot="1"/>
    <row r="6" spans="1:19">
      <c r="B6" s="961" t="s">
        <v>137</v>
      </c>
      <c r="C6" s="962"/>
      <c r="D6" s="962"/>
      <c r="E6" s="962"/>
      <c r="F6" s="962"/>
      <c r="G6" s="962"/>
      <c r="H6" s="962"/>
      <c r="I6" s="962"/>
      <c r="J6" s="962"/>
      <c r="K6" s="962"/>
      <c r="L6" s="962"/>
      <c r="M6" s="962"/>
      <c r="N6" s="963"/>
    </row>
    <row r="7" spans="1:19">
      <c r="B7" s="964"/>
      <c r="C7" s="555"/>
      <c r="D7" s="555"/>
      <c r="E7" s="555"/>
      <c r="F7" s="555"/>
      <c r="G7" s="555"/>
      <c r="H7" s="555"/>
      <c r="I7" s="555"/>
      <c r="J7" s="555"/>
      <c r="K7" s="555"/>
      <c r="L7" s="555"/>
      <c r="M7" s="555"/>
      <c r="N7" s="965"/>
    </row>
    <row r="8" spans="1:19">
      <c r="B8" s="964"/>
      <c r="C8" s="555"/>
      <c r="D8" s="555"/>
      <c r="E8" s="555"/>
      <c r="F8" s="555"/>
      <c r="G8" s="555"/>
      <c r="H8" s="555"/>
      <c r="I8" s="555"/>
      <c r="J8" s="555"/>
      <c r="K8" s="555"/>
      <c r="L8" s="555"/>
      <c r="M8" s="555"/>
      <c r="N8" s="965"/>
    </row>
    <row r="9" spans="1:19">
      <c r="B9" s="964"/>
      <c r="C9" s="555"/>
      <c r="D9" s="555"/>
      <c r="E9" s="555"/>
      <c r="F9" s="555"/>
      <c r="G9" s="555"/>
      <c r="H9" s="555"/>
      <c r="I9" s="555"/>
      <c r="J9" s="555"/>
      <c r="K9" s="555"/>
      <c r="L9" s="555"/>
      <c r="M9" s="555"/>
      <c r="N9" s="965"/>
    </row>
    <row r="10" spans="1:19">
      <c r="B10" s="964"/>
      <c r="C10" s="555"/>
      <c r="D10" s="555"/>
      <c r="E10" s="555"/>
      <c r="F10" s="555"/>
      <c r="G10" s="555"/>
      <c r="H10" s="555"/>
      <c r="I10" s="555"/>
      <c r="J10" s="555"/>
      <c r="K10" s="555"/>
      <c r="L10" s="555"/>
      <c r="M10" s="555"/>
      <c r="N10" s="965"/>
    </row>
    <row r="11" spans="1:19">
      <c r="B11" s="964" t="s">
        <v>138</v>
      </c>
      <c r="C11" s="966" t="s">
        <v>1158</v>
      </c>
      <c r="D11" s="555"/>
      <c r="E11" s="555"/>
      <c r="F11" s="555"/>
      <c r="G11" s="555"/>
      <c r="H11" s="555"/>
      <c r="I11" s="555"/>
      <c r="J11" s="555"/>
      <c r="K11" s="555"/>
      <c r="L11" s="555"/>
      <c r="M11" s="555"/>
      <c r="N11" s="965"/>
    </row>
    <row r="12" spans="1:19">
      <c r="B12" s="964"/>
      <c r="C12" s="555"/>
      <c r="D12" s="555"/>
      <c r="E12" s="555"/>
      <c r="F12" s="555"/>
      <c r="G12" s="555"/>
      <c r="H12" s="555"/>
      <c r="I12" s="555"/>
      <c r="J12" s="555"/>
      <c r="K12" s="555"/>
      <c r="L12" s="555"/>
      <c r="M12" s="555"/>
      <c r="N12" s="965"/>
    </row>
    <row r="13" spans="1:19">
      <c r="B13" s="964" t="s">
        <v>140</v>
      </c>
      <c r="C13" s="555" t="s">
        <v>1221</v>
      </c>
      <c r="D13" s="555"/>
      <c r="E13" s="555"/>
      <c r="F13" s="555"/>
      <c r="G13" s="555"/>
      <c r="H13" s="555"/>
      <c r="I13" s="555"/>
      <c r="J13" s="555"/>
      <c r="K13" s="555"/>
      <c r="L13" s="555"/>
      <c r="M13" s="555"/>
      <c r="N13" s="965"/>
    </row>
    <row r="14" spans="1:19">
      <c r="B14" s="964"/>
      <c r="C14" s="555"/>
      <c r="D14" s="555"/>
      <c r="E14" s="555"/>
      <c r="F14" s="555"/>
      <c r="G14" s="555"/>
      <c r="H14" s="555"/>
      <c r="I14" s="555"/>
      <c r="J14" s="555"/>
      <c r="K14" s="555"/>
      <c r="L14" s="555"/>
      <c r="M14" s="555"/>
      <c r="N14" s="965"/>
    </row>
    <row r="15" spans="1:19">
      <c r="B15" s="964" t="s">
        <v>141</v>
      </c>
      <c r="C15" s="555"/>
      <c r="D15" s="555"/>
      <c r="E15" s="555"/>
      <c r="F15" s="555"/>
      <c r="G15" s="555"/>
      <c r="H15" s="555"/>
      <c r="I15" s="555"/>
      <c r="J15" s="555"/>
      <c r="K15" s="555"/>
      <c r="L15" s="555"/>
      <c r="M15" s="555"/>
      <c r="N15" s="965"/>
    </row>
    <row r="16" spans="1:19">
      <c r="B16" s="964"/>
      <c r="C16" s="555"/>
      <c r="D16" s="555"/>
      <c r="E16" s="555"/>
      <c r="F16" s="555"/>
      <c r="G16" s="555"/>
      <c r="H16" s="555"/>
      <c r="I16" s="555"/>
      <c r="J16" s="555"/>
      <c r="K16" s="555"/>
      <c r="L16" s="555"/>
      <c r="M16" s="555"/>
      <c r="N16" s="965"/>
    </row>
    <row r="17" spans="2:14">
      <c r="B17" s="964" t="s">
        <v>142</v>
      </c>
      <c r="C17" s="555"/>
      <c r="D17" s="555"/>
      <c r="E17" s="555"/>
      <c r="F17" s="555"/>
      <c r="G17" s="555"/>
      <c r="H17" s="555"/>
      <c r="I17" s="555"/>
      <c r="J17" s="555"/>
      <c r="K17" s="555"/>
      <c r="L17" s="555"/>
      <c r="M17" s="555"/>
      <c r="N17" s="965"/>
    </row>
    <row r="18" spans="2:14">
      <c r="B18" s="964"/>
      <c r="C18" s="555"/>
      <c r="D18" s="555"/>
      <c r="E18" s="555"/>
      <c r="F18" s="555"/>
      <c r="G18" s="555"/>
      <c r="H18" s="555"/>
      <c r="I18" s="555"/>
      <c r="J18" s="555"/>
      <c r="K18" s="555"/>
      <c r="L18" s="555"/>
      <c r="M18" s="555"/>
      <c r="N18" s="965"/>
    </row>
    <row r="19" spans="2:14">
      <c r="B19" s="964" t="s">
        <v>2131</v>
      </c>
      <c r="C19" s="1693" t="s">
        <v>2121</v>
      </c>
      <c r="D19" s="555"/>
      <c r="E19" s="555"/>
      <c r="F19" s="555"/>
      <c r="G19" s="555"/>
      <c r="H19" s="555"/>
      <c r="I19" s="555"/>
      <c r="J19" s="555"/>
      <c r="K19" s="555"/>
      <c r="L19" s="555"/>
      <c r="M19" s="555"/>
      <c r="N19" s="965"/>
    </row>
    <row r="20" spans="2:14">
      <c r="B20" s="964"/>
      <c r="C20" s="555"/>
      <c r="D20" s="555"/>
      <c r="E20" s="555"/>
      <c r="F20" s="555"/>
      <c r="G20" s="555"/>
      <c r="H20" s="555"/>
      <c r="I20" s="555"/>
      <c r="J20" s="555"/>
      <c r="K20" s="555"/>
      <c r="L20" s="555"/>
      <c r="M20" s="555"/>
      <c r="N20" s="965"/>
    </row>
    <row r="21" spans="2:14">
      <c r="B21" s="964"/>
      <c r="C21" s="555"/>
      <c r="D21" s="555"/>
      <c r="E21" s="555"/>
      <c r="F21" s="555"/>
      <c r="G21" s="555"/>
      <c r="H21" s="555"/>
      <c r="I21" s="555"/>
      <c r="J21" s="555"/>
      <c r="K21" s="555"/>
      <c r="L21" s="555"/>
      <c r="M21" s="555"/>
      <c r="N21" s="965"/>
    </row>
    <row r="22" spans="2:14">
      <c r="B22" s="964" t="s">
        <v>143</v>
      </c>
      <c r="C22" s="555"/>
      <c r="D22" s="555"/>
      <c r="E22" s="555"/>
      <c r="F22" s="555"/>
      <c r="G22" s="555"/>
      <c r="H22" s="555"/>
      <c r="I22" s="555"/>
      <c r="J22" s="555"/>
      <c r="K22" s="555"/>
      <c r="L22" s="555"/>
      <c r="M22" s="555"/>
      <c r="N22" s="965"/>
    </row>
    <row r="23" spans="2:14">
      <c r="B23" s="964"/>
      <c r="C23" s="555"/>
      <c r="D23" s="555"/>
      <c r="E23" s="555"/>
      <c r="F23" s="555"/>
      <c r="G23" s="555"/>
      <c r="H23" s="555"/>
      <c r="I23" s="555"/>
      <c r="J23" s="555"/>
      <c r="K23" s="555"/>
      <c r="L23" s="555"/>
      <c r="M23" s="555"/>
      <c r="N23" s="965"/>
    </row>
    <row r="24" spans="2:14" ht="13.5" thickBot="1">
      <c r="B24" s="967"/>
      <c r="C24" s="968"/>
      <c r="D24" s="968"/>
      <c r="E24" s="968"/>
      <c r="F24" s="968"/>
      <c r="G24" s="968"/>
      <c r="H24" s="968"/>
      <c r="I24" s="968"/>
      <c r="J24" s="968"/>
      <c r="K24" s="968"/>
      <c r="L24" s="968"/>
      <c r="M24" s="968"/>
      <c r="N24" s="969"/>
    </row>
    <row r="25" spans="2:14">
      <c r="F25" s="529"/>
      <c r="G25" s="529"/>
      <c r="H25" s="529"/>
    </row>
    <row r="26" spans="2:14">
      <c r="B26" s="960" t="s">
        <v>144</v>
      </c>
    </row>
    <row r="27" spans="2:14" ht="13.5" thickBot="1"/>
    <row r="28" spans="2:14">
      <c r="B28" s="961"/>
      <c r="C28" s="970"/>
      <c r="D28" s="962"/>
      <c r="E28" s="962"/>
      <c r="F28" s="962"/>
      <c r="G28" s="962"/>
      <c r="H28" s="962"/>
      <c r="I28" s="962"/>
      <c r="J28" s="963"/>
    </row>
    <row r="29" spans="2:14">
      <c r="B29" s="971"/>
      <c r="C29" s="972" t="s">
        <v>70</v>
      </c>
      <c r="D29" s="973">
        <v>2015</v>
      </c>
      <c r="E29" s="973">
        <v>2020</v>
      </c>
      <c r="F29" s="973">
        <v>2035</v>
      </c>
      <c r="G29" s="973">
        <v>2050</v>
      </c>
      <c r="H29" s="973" t="s">
        <v>978</v>
      </c>
      <c r="I29" s="556" t="s">
        <v>145</v>
      </c>
      <c r="J29" s="974" t="s">
        <v>146</v>
      </c>
    </row>
    <row r="30" spans="2:14">
      <c r="B30" s="975" t="s">
        <v>147</v>
      </c>
      <c r="C30" s="976"/>
      <c r="D30" s="977"/>
      <c r="E30" s="977"/>
      <c r="F30" s="977"/>
      <c r="G30" s="977"/>
      <c r="H30" s="977"/>
      <c r="I30" s="555"/>
      <c r="J30" s="965"/>
    </row>
    <row r="31" spans="2:14">
      <c r="B31" s="964" t="s">
        <v>148</v>
      </c>
      <c r="C31" s="976" t="s">
        <v>1222</v>
      </c>
      <c r="D31" s="1333">
        <f>1/D162</f>
        <v>0.12987012987012986</v>
      </c>
      <c r="E31" s="1333">
        <f>$D31</f>
        <v>0.12987012987012986</v>
      </c>
      <c r="F31" s="1333">
        <f>$D31</f>
        <v>0.12987012987012986</v>
      </c>
      <c r="G31" s="1333">
        <f>$D31</f>
        <v>0.12987012987012986</v>
      </c>
      <c r="H31" s="1333"/>
      <c r="I31" s="555"/>
      <c r="J31" s="965"/>
    </row>
    <row r="32" spans="2:14">
      <c r="B32" s="964" t="s">
        <v>67</v>
      </c>
      <c r="C32" s="976" t="s">
        <v>1223</v>
      </c>
      <c r="D32" s="979">
        <f>D160/D159</f>
        <v>44</v>
      </c>
      <c r="E32" s="978">
        <f t="shared" ref="E32:G34" si="0">$D32</f>
        <v>44</v>
      </c>
      <c r="F32" s="978">
        <f t="shared" si="0"/>
        <v>44</v>
      </c>
      <c r="G32" s="978">
        <f t="shared" si="0"/>
        <v>44</v>
      </c>
      <c r="H32" s="978"/>
      <c r="I32" s="555"/>
      <c r="J32" s="965"/>
    </row>
    <row r="33" spans="2:10">
      <c r="B33" s="964" t="s">
        <v>149</v>
      </c>
      <c r="C33" s="976" t="s">
        <v>1224</v>
      </c>
      <c r="D33" s="1396">
        <f>D159</f>
        <v>105000</v>
      </c>
      <c r="E33" s="1396">
        <f t="shared" si="0"/>
        <v>105000</v>
      </c>
      <c r="F33" s="1396">
        <f t="shared" si="0"/>
        <v>105000</v>
      </c>
      <c r="G33" s="1396">
        <f t="shared" si="0"/>
        <v>105000</v>
      </c>
      <c r="H33" s="1397"/>
      <c r="I33" s="555"/>
      <c r="J33" s="965"/>
    </row>
    <row r="34" spans="2:10">
      <c r="B34" s="964" t="s">
        <v>150</v>
      </c>
      <c r="C34" s="976" t="s">
        <v>34</v>
      </c>
      <c r="D34" s="1332">
        <f>20</f>
        <v>20</v>
      </c>
      <c r="E34" s="1332">
        <f t="shared" si="0"/>
        <v>20</v>
      </c>
      <c r="F34" s="1332">
        <f t="shared" si="0"/>
        <v>20</v>
      </c>
      <c r="G34" s="1332">
        <f t="shared" si="0"/>
        <v>20</v>
      </c>
      <c r="H34" s="1332"/>
      <c r="I34" s="555"/>
      <c r="J34" s="965" t="s">
        <v>1087</v>
      </c>
    </row>
    <row r="35" spans="2:10">
      <c r="B35" s="964"/>
      <c r="C35" s="981"/>
      <c r="D35" s="982"/>
      <c r="E35" s="983"/>
      <c r="F35" s="983"/>
      <c r="G35" s="983"/>
      <c r="H35" s="983"/>
      <c r="I35" s="555"/>
      <c r="J35" s="965"/>
    </row>
    <row r="36" spans="2:10">
      <c r="B36" s="975" t="s">
        <v>151</v>
      </c>
      <c r="C36" s="981"/>
      <c r="D36" s="982"/>
      <c r="E36" s="983"/>
      <c r="F36" s="983"/>
      <c r="G36" s="983"/>
      <c r="H36" s="983"/>
      <c r="I36" s="555"/>
      <c r="J36" s="965"/>
    </row>
    <row r="37" spans="2:10">
      <c r="B37" s="964" t="str">
        <f>ProcessEnergy!B35</f>
        <v xml:space="preserve">Green diesel </v>
      </c>
      <c r="C37" s="976" t="s">
        <v>463</v>
      </c>
      <c r="D37" s="984"/>
      <c r="E37" s="984"/>
      <c r="F37" s="984"/>
      <c r="G37" s="984"/>
      <c r="H37" s="984"/>
      <c r="I37" s="555"/>
      <c r="J37" s="965"/>
    </row>
    <row r="38" spans="2:10">
      <c r="B38" s="985" t="str">
        <f>ProcessEnergy!B36</f>
        <v>Green gasoline</v>
      </c>
      <c r="C38" s="976"/>
      <c r="D38" s="978">
        <f>$D$165/$D$161</f>
        <v>0.16799999999999998</v>
      </c>
      <c r="E38" s="2309">
        <f>$D38</f>
        <v>0.16799999999999998</v>
      </c>
      <c r="F38" s="2309">
        <f>$D38</f>
        <v>0.16799999999999998</v>
      </c>
      <c r="G38" s="2309">
        <f>$D38</f>
        <v>0.16799999999999998</v>
      </c>
      <c r="H38" s="984"/>
      <c r="I38" s="555" t="s">
        <v>2437</v>
      </c>
      <c r="J38" s="965" t="s">
        <v>2438</v>
      </c>
    </row>
    <row r="39" spans="2:10">
      <c r="B39" s="985" t="str">
        <f>ProcessEnergy!B37</f>
        <v>Electricity - balancing</v>
      </c>
      <c r="C39" s="976"/>
      <c r="D39" s="978"/>
      <c r="E39" s="984"/>
      <c r="F39" s="984"/>
      <c r="G39" s="984"/>
      <c r="H39" s="984"/>
      <c r="I39" s="555"/>
      <c r="J39" s="965"/>
    </row>
    <row r="40" spans="2:10">
      <c r="B40" s="985" t="str">
        <f>ProcessEnergy!B38</f>
        <v>Electricity  - continous</v>
      </c>
      <c r="C40" s="976" t="s">
        <v>1225</v>
      </c>
      <c r="D40" s="978">
        <f>D164/D161</f>
        <v>3.5999999999999997E-2</v>
      </c>
      <c r="E40" s="978">
        <f>$D40</f>
        <v>3.5999999999999997E-2</v>
      </c>
      <c r="F40" s="978">
        <f>$D40</f>
        <v>3.5999999999999997E-2</v>
      </c>
      <c r="G40" s="978">
        <f>$D40</f>
        <v>3.5999999999999997E-2</v>
      </c>
      <c r="H40" s="984"/>
      <c r="I40" s="555"/>
      <c r="J40" s="965"/>
    </row>
    <row r="41" spans="2:10">
      <c r="B41" s="985" t="str">
        <f>ProcessEnergy!B39</f>
        <v>Elec/heat fuel</v>
      </c>
      <c r="C41" s="976"/>
      <c r="D41" s="978"/>
      <c r="E41" s="984"/>
      <c r="F41" s="984"/>
      <c r="G41" s="984"/>
      <c r="H41" s="984"/>
      <c r="I41" s="555"/>
      <c r="J41" s="965"/>
    </row>
    <row r="42" spans="2:10">
      <c r="B42" s="985" t="str">
        <f>ProcessEnergy!B40</f>
        <v>Biogas (100% CH4)</v>
      </c>
      <c r="C42" s="976"/>
      <c r="D42" s="978"/>
      <c r="E42" s="984"/>
      <c r="F42" s="984"/>
      <c r="G42" s="984"/>
      <c r="H42" s="984"/>
      <c r="I42" s="555"/>
      <c r="J42" s="965"/>
    </row>
    <row r="43" spans="2:10">
      <c r="B43" s="985" t="str">
        <f>ProcessEnergy!B41</f>
        <v>District heating</v>
      </c>
      <c r="C43" s="976" t="s">
        <v>1226</v>
      </c>
      <c r="D43" s="978">
        <f>C151*C152</f>
        <v>0.21268000000000001</v>
      </c>
      <c r="E43" s="978">
        <f>$D43</f>
        <v>0.21268000000000001</v>
      </c>
      <c r="F43" s="978">
        <f>$D43</f>
        <v>0.21268000000000001</v>
      </c>
      <c r="G43" s="978">
        <f>$D43</f>
        <v>0.21268000000000001</v>
      </c>
      <c r="H43" s="978"/>
      <c r="I43" s="555"/>
      <c r="J43" s="965"/>
    </row>
    <row r="44" spans="2:10">
      <c r="B44" s="985" t="str">
        <f>ProcessEnergy!B42</f>
        <v>&lt;empty&gt;</v>
      </c>
      <c r="C44" s="976"/>
      <c r="D44" s="978"/>
      <c r="E44" s="978"/>
      <c r="F44" s="978"/>
      <c r="G44" s="978"/>
      <c r="H44" s="978"/>
      <c r="I44" s="555"/>
      <c r="J44" s="965"/>
    </row>
    <row r="45" spans="2:10">
      <c r="B45" s="985" t="str">
        <f>ProcessEnergy!B43</f>
        <v>&lt;empty&gt;</v>
      </c>
      <c r="C45" s="976"/>
      <c r="D45" s="978"/>
      <c r="E45" s="978"/>
      <c r="F45" s="978"/>
      <c r="G45" s="978"/>
      <c r="H45" s="978"/>
      <c r="I45" s="555"/>
      <c r="J45" s="965"/>
    </row>
    <row r="46" spans="2:10">
      <c r="B46" s="985" t="str">
        <f>ProcessEnergy!B44</f>
        <v>&lt;empty&gt;</v>
      </c>
      <c r="C46" s="976"/>
      <c r="D46" s="978"/>
      <c r="E46" s="978"/>
      <c r="F46" s="978"/>
      <c r="G46" s="978"/>
      <c r="H46" s="978"/>
      <c r="I46" s="555"/>
      <c r="J46" s="965"/>
    </row>
    <row r="47" spans="2:10">
      <c r="B47" s="985" t="str">
        <f>ProcessEnergy!B45</f>
        <v>&lt;empty&gt;</v>
      </c>
      <c r="C47" s="976"/>
      <c r="D47" s="978"/>
      <c r="E47" s="978"/>
      <c r="F47" s="978"/>
      <c r="G47" s="978"/>
      <c r="H47" s="978"/>
      <c r="I47" s="555"/>
      <c r="J47" s="965"/>
    </row>
    <row r="48" spans="2:10">
      <c r="B48" s="985" t="str">
        <f>ProcessEnergy!B46</f>
        <v>&lt;empty&gt;</v>
      </c>
      <c r="C48" s="976"/>
      <c r="D48" s="978"/>
      <c r="E48" s="978"/>
      <c r="F48" s="978"/>
      <c r="G48" s="978"/>
      <c r="H48" s="978"/>
      <c r="I48" s="555"/>
      <c r="J48" s="965"/>
    </row>
    <row r="49" spans="2:10">
      <c r="B49" s="985" t="str">
        <f>ProcessEnergy!B47</f>
        <v>&lt;empty&gt;</v>
      </c>
      <c r="C49" s="976"/>
      <c r="D49" s="978"/>
      <c r="E49" s="978"/>
      <c r="F49" s="978"/>
      <c r="G49" s="978"/>
      <c r="H49" s="978"/>
      <c r="I49" s="555"/>
      <c r="J49" s="965"/>
    </row>
    <row r="50" spans="2:10">
      <c r="B50" s="985" t="str">
        <f>ProcessEnergy!B48</f>
        <v>Glycerol</v>
      </c>
      <c r="C50" s="976"/>
      <c r="D50" s="978"/>
      <c r="E50" s="978"/>
      <c r="F50" s="978"/>
      <c r="G50" s="978"/>
      <c r="H50" s="978"/>
      <c r="I50" s="555"/>
      <c r="J50" s="965"/>
    </row>
    <row r="51" spans="2:10">
      <c r="B51" s="985" t="str">
        <f>ProcessEnergy!B49</f>
        <v>&lt;empty&gt;</v>
      </c>
      <c r="C51" s="976"/>
      <c r="D51" s="978"/>
      <c r="E51" s="978"/>
      <c r="F51" s="978"/>
      <c r="G51" s="978"/>
      <c r="H51" s="978"/>
      <c r="I51" s="555"/>
      <c r="J51" s="965"/>
    </row>
    <row r="52" spans="2:10">
      <c r="B52" s="985" t="str">
        <f>ProcessEnergy!B50</f>
        <v>&lt;empty&gt;</v>
      </c>
      <c r="C52" s="976"/>
      <c r="D52" s="978"/>
      <c r="E52" s="978"/>
      <c r="F52" s="978"/>
      <c r="G52" s="978"/>
      <c r="H52" s="978"/>
      <c r="I52" s="555"/>
      <c r="J52" s="965"/>
    </row>
    <row r="53" spans="2:10">
      <c r="B53" s="985" t="str">
        <f>ProcessEnergy!B51</f>
        <v>Fodder (wheat like)</v>
      </c>
      <c r="C53" s="976"/>
      <c r="D53" s="984"/>
      <c r="E53" s="984"/>
      <c r="F53" s="984"/>
      <c r="G53" s="984"/>
      <c r="H53" s="984"/>
      <c r="I53" s="555"/>
      <c r="J53" s="965"/>
    </row>
    <row r="54" spans="2:10">
      <c r="B54" s="985" t="str">
        <f>ProcessEnergy!B52</f>
        <v>Rape seed cake</v>
      </c>
      <c r="C54" s="976"/>
      <c r="D54" s="984"/>
      <c r="E54" s="984"/>
      <c r="F54" s="984"/>
      <c r="G54" s="984"/>
      <c r="H54" s="984"/>
      <c r="I54" s="555"/>
      <c r="J54" s="965"/>
    </row>
    <row r="55" spans="2:10">
      <c r="B55" s="985" t="str">
        <f>ProcessEnergy!B53</f>
        <v>&lt;empty&gt;</v>
      </c>
      <c r="C55" s="976"/>
      <c r="D55" s="984"/>
      <c r="E55" s="984"/>
      <c r="F55" s="984"/>
      <c r="G55" s="984"/>
      <c r="H55" s="984"/>
      <c r="I55" s="555"/>
      <c r="J55" s="965"/>
    </row>
    <row r="56" spans="2:10">
      <c r="B56" s="985" t="str">
        <f>ProcessEnergy!B54</f>
        <v>DDGS</v>
      </c>
      <c r="C56" s="976"/>
      <c r="D56" s="984"/>
      <c r="E56" s="984"/>
      <c r="F56" s="984"/>
      <c r="G56" s="984"/>
      <c r="H56" s="984"/>
      <c r="I56" s="555"/>
      <c r="J56" s="965"/>
    </row>
    <row r="57" spans="2:10">
      <c r="B57" s="964"/>
      <c r="C57" s="976"/>
      <c r="D57" s="984"/>
      <c r="E57" s="984"/>
      <c r="F57" s="984"/>
      <c r="G57" s="984"/>
      <c r="H57" s="984"/>
      <c r="I57" s="555"/>
      <c r="J57" s="965"/>
    </row>
    <row r="58" spans="2:10">
      <c r="B58" s="975" t="s">
        <v>873</v>
      </c>
      <c r="C58" s="976"/>
      <c r="D58" s="984"/>
      <c r="E58" s="984"/>
      <c r="F58" s="984"/>
      <c r="G58" s="984"/>
      <c r="H58" s="984"/>
      <c r="I58" s="555"/>
      <c r="J58" s="965"/>
    </row>
    <row r="59" spans="2:10">
      <c r="B59" s="964" t="str">
        <f>ProcessEnergy!B5</f>
        <v>EL - peakload</v>
      </c>
      <c r="C59" s="976" t="s">
        <v>877</v>
      </c>
      <c r="D59" s="984"/>
      <c r="E59" s="984"/>
      <c r="F59" s="984"/>
      <c r="G59" s="984"/>
      <c r="H59" s="984"/>
      <c r="I59" s="555"/>
      <c r="J59" s="965"/>
    </row>
    <row r="60" spans="2:10">
      <c r="B60" s="964" t="str">
        <f>ProcessEnergy!B6</f>
        <v>El - baseload</v>
      </c>
      <c r="C60" s="976" t="s">
        <v>877</v>
      </c>
      <c r="D60" s="984"/>
      <c r="E60" s="984"/>
      <c r="F60" s="984"/>
      <c r="G60" s="984"/>
      <c r="H60" s="984"/>
      <c r="I60" s="555"/>
      <c r="J60" s="965"/>
    </row>
    <row r="61" spans="2:10">
      <c r="B61" s="964" t="str">
        <f>ProcessEnergy!B7</f>
        <v xml:space="preserve">Varme </v>
      </c>
      <c r="C61" s="976" t="s">
        <v>877</v>
      </c>
      <c r="D61" s="984"/>
      <c r="E61" s="984"/>
      <c r="F61" s="984"/>
      <c r="G61" s="984"/>
      <c r="H61" s="984"/>
      <c r="I61" s="555"/>
      <c r="J61" s="965"/>
    </row>
    <row r="62" spans="2:10">
      <c r="B62" s="964" t="str">
        <f>ProcessEnergy!B8</f>
        <v>Damp</v>
      </c>
      <c r="C62" s="976" t="s">
        <v>877</v>
      </c>
      <c r="D62" s="984"/>
      <c r="E62" s="984"/>
      <c r="F62" s="984"/>
      <c r="G62" s="984"/>
      <c r="H62" s="984"/>
      <c r="I62" s="555"/>
      <c r="J62" s="965"/>
    </row>
    <row r="63" spans="2:10">
      <c r="B63" s="964" t="str">
        <f>ProcessEnergy!B9</f>
        <v xml:space="preserve">Olie </v>
      </c>
      <c r="C63" s="976" t="s">
        <v>877</v>
      </c>
      <c r="D63" s="984"/>
      <c r="E63" s="984"/>
      <c r="F63" s="984"/>
      <c r="G63" s="984"/>
      <c r="H63" s="984"/>
      <c r="I63" s="555"/>
      <c r="J63" s="965"/>
    </row>
    <row r="64" spans="2:10">
      <c r="B64" s="964" t="str">
        <f>ProcessEnergy!B10</f>
        <v>Kul</v>
      </c>
      <c r="C64" s="976" t="s">
        <v>877</v>
      </c>
      <c r="D64" s="984"/>
      <c r="E64" s="984"/>
      <c r="F64" s="984"/>
      <c r="G64" s="984"/>
      <c r="H64" s="984"/>
      <c r="I64" s="555"/>
      <c r="J64" s="965"/>
    </row>
    <row r="65" spans="2:10">
      <c r="B65" s="964" t="str">
        <f>ProcessEnergy!B11</f>
        <v>Naturgas kedel</v>
      </c>
      <c r="C65" s="976" t="s">
        <v>877</v>
      </c>
      <c r="D65" s="984"/>
      <c r="E65" s="984"/>
      <c r="F65" s="984"/>
      <c r="G65" s="984"/>
      <c r="H65" s="984"/>
      <c r="I65" s="555"/>
      <c r="J65" s="965"/>
    </row>
    <row r="66" spans="2:10">
      <c r="B66" s="964" t="str">
        <f>ProcessEnergy!B12</f>
        <v>Gylle</v>
      </c>
      <c r="C66" s="976" t="s">
        <v>877</v>
      </c>
      <c r="D66" s="984"/>
      <c r="E66" s="984"/>
      <c r="F66" s="984"/>
      <c r="G66" s="984"/>
      <c r="H66" s="984"/>
      <c r="I66" s="555"/>
      <c r="J66" s="965"/>
    </row>
    <row r="67" spans="2:10">
      <c r="B67" s="964" t="str">
        <f>ProcessEnergy!B13</f>
        <v>Affald</v>
      </c>
      <c r="C67" s="976" t="s">
        <v>877</v>
      </c>
      <c r="D67" s="984"/>
      <c r="E67" s="984"/>
      <c r="F67" s="984"/>
      <c r="G67" s="984"/>
      <c r="H67" s="984"/>
      <c r="I67" s="555"/>
      <c r="J67" s="965"/>
    </row>
    <row r="68" spans="2:10">
      <c r="B68" s="964" t="str">
        <f>ProcessEnergy!B14</f>
        <v>Hydrogen</v>
      </c>
      <c r="C68" s="976" t="s">
        <v>877</v>
      </c>
      <c r="D68" s="984"/>
      <c r="E68" s="984"/>
      <c r="F68" s="984"/>
      <c r="G68" s="984"/>
      <c r="H68" s="984"/>
      <c r="I68" s="555"/>
      <c r="J68" s="965"/>
    </row>
    <row r="69" spans="2:10">
      <c r="B69" s="964" t="str">
        <f>ProcessEnergy!B15</f>
        <v>Biomasse</v>
      </c>
      <c r="C69" s="976" t="s">
        <v>877</v>
      </c>
      <c r="D69" s="984"/>
      <c r="E69" s="984"/>
      <c r="F69" s="984"/>
      <c r="G69" s="984"/>
      <c r="H69" s="984"/>
      <c r="I69" s="555"/>
      <c r="J69" s="965"/>
    </row>
    <row r="70" spans="2:10">
      <c r="B70" s="964" t="str">
        <f>ProcessEnergy!B16</f>
        <v>Methanol</v>
      </c>
      <c r="C70" s="976"/>
      <c r="D70" s="984"/>
      <c r="E70" s="984"/>
      <c r="F70" s="984"/>
      <c r="G70" s="984"/>
      <c r="H70" s="984"/>
      <c r="I70" s="555"/>
      <c r="J70" s="965"/>
    </row>
    <row r="71" spans="2:10">
      <c r="B71" s="964" t="str">
        <f>ProcessEnergy!B17</f>
        <v>&lt;empty&gt;</v>
      </c>
      <c r="C71" s="976"/>
      <c r="D71" s="984"/>
      <c r="E71" s="984"/>
      <c r="F71" s="984"/>
      <c r="G71" s="984"/>
      <c r="H71" s="984"/>
      <c r="I71" s="555"/>
      <c r="J71" s="965"/>
    </row>
    <row r="72" spans="2:10">
      <c r="B72" s="964" t="str">
        <f>ProcessEnergy!B18</f>
        <v>&lt;empty&gt;</v>
      </c>
      <c r="C72" s="976"/>
      <c r="D72" s="984"/>
      <c r="E72" s="984"/>
      <c r="F72" s="984"/>
      <c r="G72" s="984"/>
      <c r="H72" s="984"/>
      <c r="I72" s="555"/>
      <c r="J72" s="965"/>
    </row>
    <row r="73" spans="2:10">
      <c r="B73" s="964" t="str">
        <f>ProcessEnergy!B19</f>
        <v>&lt;empty&gt;</v>
      </c>
      <c r="C73" s="976"/>
      <c r="D73" s="984"/>
      <c r="E73" s="984"/>
      <c r="F73" s="984"/>
      <c r="G73" s="984"/>
      <c r="H73" s="984"/>
      <c r="I73" s="555"/>
      <c r="J73" s="965"/>
    </row>
    <row r="74" spans="2:10">
      <c r="B74" s="964" t="str">
        <f>ProcessEnergy!B20</f>
        <v>&lt;empty&gt;</v>
      </c>
      <c r="C74" s="976"/>
      <c r="D74" s="984"/>
      <c r="E74" s="984"/>
      <c r="F74" s="984"/>
      <c r="G74" s="984"/>
      <c r="H74" s="984"/>
      <c r="I74" s="555"/>
      <c r="J74" s="965"/>
    </row>
    <row r="75" spans="2:10">
      <c r="B75" s="964" t="str">
        <f>ProcessEnergy!B21</f>
        <v>&lt;empty&gt;</v>
      </c>
      <c r="C75" s="976"/>
      <c r="D75" s="984"/>
      <c r="E75" s="984"/>
      <c r="F75" s="984"/>
      <c r="G75" s="984"/>
      <c r="H75" s="984"/>
      <c r="I75" s="555"/>
      <c r="J75" s="965"/>
    </row>
    <row r="76" spans="2:10">
      <c r="B76" s="964" t="str">
        <f>ProcessEnergy!B22</f>
        <v>&lt;empty&gt;</v>
      </c>
      <c r="C76" s="976"/>
      <c r="D76" s="984"/>
      <c r="E76" s="984"/>
      <c r="F76" s="984"/>
      <c r="G76" s="984"/>
      <c r="H76" s="984"/>
      <c r="I76" s="555"/>
      <c r="J76" s="965"/>
    </row>
    <row r="77" spans="2:10">
      <c r="B77" s="964" t="str">
        <f>ProcessEnergy!B23</f>
        <v>&lt;empty&gt;</v>
      </c>
      <c r="C77" s="976"/>
      <c r="D77" s="984"/>
      <c r="E77" s="984"/>
      <c r="F77" s="984"/>
      <c r="G77" s="984"/>
      <c r="H77" s="984"/>
      <c r="I77" s="555"/>
      <c r="J77" s="965"/>
    </row>
    <row r="78" spans="2:10">
      <c r="B78" s="964" t="str">
        <f>ProcessEnergy!B24</f>
        <v>&lt;empty&gt;</v>
      </c>
      <c r="C78" s="976" t="s">
        <v>877</v>
      </c>
      <c r="D78" s="984"/>
      <c r="E78" s="984"/>
      <c r="F78" s="984"/>
      <c r="G78" s="984"/>
      <c r="H78" s="984"/>
      <c r="I78" s="555"/>
      <c r="J78" s="965"/>
    </row>
    <row r="79" spans="2:10">
      <c r="B79" s="964"/>
      <c r="C79" s="976"/>
      <c r="D79" s="984"/>
      <c r="E79" s="984"/>
      <c r="F79" s="984"/>
      <c r="G79" s="984"/>
      <c r="H79" s="984"/>
      <c r="I79" s="555"/>
      <c r="J79" s="965"/>
    </row>
    <row r="80" spans="2:10">
      <c r="B80" s="964"/>
      <c r="C80" s="976"/>
      <c r="D80" s="984"/>
      <c r="E80" s="984"/>
      <c r="F80" s="984"/>
      <c r="G80" s="984"/>
      <c r="H80" s="984"/>
      <c r="I80" s="555"/>
      <c r="J80" s="965"/>
    </row>
    <row r="81" spans="1:17">
      <c r="B81" s="964"/>
      <c r="C81" s="976"/>
      <c r="D81" s="986"/>
      <c r="E81" s="986"/>
      <c r="F81" s="986"/>
      <c r="G81" s="986"/>
      <c r="H81" s="986"/>
      <c r="I81" s="555"/>
      <c r="J81" s="965"/>
    </row>
    <row r="82" spans="1:17">
      <c r="B82" s="975" t="s">
        <v>152</v>
      </c>
      <c r="C82" s="976"/>
      <c r="D82" s="986"/>
      <c r="E82" s="986"/>
      <c r="F82" s="986"/>
      <c r="G82" s="986"/>
      <c r="H82" s="986"/>
      <c r="I82" s="555"/>
      <c r="J82" s="965"/>
    </row>
    <row r="83" spans="1:17">
      <c r="A83" s="530">
        <v>4</v>
      </c>
      <c r="B83" s="964" t="s">
        <v>462</v>
      </c>
      <c r="C83" s="976" t="s">
        <v>725</v>
      </c>
      <c r="D83" s="1635">
        <v>1</v>
      </c>
      <c r="E83" s="978">
        <f t="shared" ref="E83:G89" si="1">$D83</f>
        <v>1</v>
      </c>
      <c r="F83" s="978">
        <f t="shared" si="1"/>
        <v>1</v>
      </c>
      <c r="G83" s="978">
        <f t="shared" si="1"/>
        <v>1</v>
      </c>
      <c r="H83" s="978"/>
      <c r="I83" s="555"/>
      <c r="J83" s="965"/>
    </row>
    <row r="84" spans="1:17">
      <c r="B84" s="964" t="s">
        <v>153</v>
      </c>
      <c r="C84" s="976" t="s">
        <v>725</v>
      </c>
      <c r="D84" s="1334">
        <v>0</v>
      </c>
      <c r="E84" s="1334">
        <f t="shared" si="1"/>
        <v>0</v>
      </c>
      <c r="F84" s="1334">
        <f t="shared" si="1"/>
        <v>0</v>
      </c>
      <c r="G84" s="1334">
        <f t="shared" si="1"/>
        <v>0</v>
      </c>
      <c r="H84" s="1334"/>
      <c r="I84" s="530" t="str">
        <f>CONCATENATE("Source: ",Referencer!$B$48)</f>
        <v>Source: 42, FORCE, Danish Energy Agency, 2013, Technology data for advanced bioenergy fuels.</v>
      </c>
      <c r="J84" s="965" t="s">
        <v>1758</v>
      </c>
    </row>
    <row r="85" spans="1:17">
      <c r="B85" s="964" t="s">
        <v>1092</v>
      </c>
      <c r="C85" s="976" t="s">
        <v>725</v>
      </c>
      <c r="D85" s="237">
        <f>D83*(D38+D40+D43)</f>
        <v>0.41667999999999999</v>
      </c>
      <c r="E85" s="978">
        <f t="shared" si="1"/>
        <v>0.41667999999999999</v>
      </c>
      <c r="F85" s="978">
        <f t="shared" si="1"/>
        <v>0.41667999999999999</v>
      </c>
      <c r="G85" s="978">
        <f t="shared" si="1"/>
        <v>0.41667999999999999</v>
      </c>
      <c r="H85" s="978"/>
      <c r="I85" s="555"/>
      <c r="J85" s="965"/>
    </row>
    <row r="86" spans="1:17">
      <c r="B86" s="964" t="s">
        <v>1227</v>
      </c>
      <c r="C86" s="976" t="s">
        <v>725</v>
      </c>
      <c r="D86" s="237">
        <f>1/D163*D83</f>
        <v>0.4</v>
      </c>
      <c r="E86" s="978">
        <f t="shared" si="1"/>
        <v>0.4</v>
      </c>
      <c r="F86" s="978">
        <f t="shared" si="1"/>
        <v>0.4</v>
      </c>
      <c r="G86" s="978">
        <f t="shared" si="1"/>
        <v>0.4</v>
      </c>
      <c r="H86" s="978"/>
      <c r="I86" s="555"/>
      <c r="J86" s="965"/>
    </row>
    <row r="87" spans="1:17">
      <c r="B87" s="985" t="s">
        <v>155</v>
      </c>
      <c r="C87" s="976" t="s">
        <v>725</v>
      </c>
      <c r="D87" s="987">
        <f>SUM(D83:D84)-SUM(D85:D86)</f>
        <v>0.18331999999999993</v>
      </c>
      <c r="E87" s="978">
        <f t="shared" si="1"/>
        <v>0.18331999999999993</v>
      </c>
      <c r="F87" s="978">
        <f t="shared" si="1"/>
        <v>0.18331999999999993</v>
      </c>
      <c r="G87" s="978">
        <f t="shared" si="1"/>
        <v>0.18331999999999993</v>
      </c>
      <c r="H87" s="978"/>
      <c r="I87" s="555"/>
      <c r="J87" s="965"/>
    </row>
    <row r="88" spans="1:17">
      <c r="B88" s="985" t="s">
        <v>156</v>
      </c>
      <c r="C88" s="988" t="s">
        <v>726</v>
      </c>
      <c r="D88" s="989">
        <f>SUM(D85:D86)/SUM(D83:D84)</f>
        <v>0.81668000000000007</v>
      </c>
      <c r="E88" s="978">
        <f t="shared" si="1"/>
        <v>0.81668000000000007</v>
      </c>
      <c r="F88" s="978">
        <f t="shared" si="1"/>
        <v>0.81668000000000007</v>
      </c>
      <c r="G88" s="978">
        <f t="shared" si="1"/>
        <v>0.81668000000000007</v>
      </c>
      <c r="H88" s="990"/>
      <c r="I88" s="555"/>
      <c r="J88" s="965"/>
    </row>
    <row r="89" spans="1:17">
      <c r="B89" s="1336" t="s">
        <v>1747</v>
      </c>
      <c r="C89" s="1351" t="s">
        <v>1747</v>
      </c>
      <c r="D89" s="1037">
        <f>D168/100</f>
        <v>0.8</v>
      </c>
      <c r="E89" s="978">
        <f t="shared" si="1"/>
        <v>0.8</v>
      </c>
      <c r="F89" s="978">
        <f t="shared" si="1"/>
        <v>0.8</v>
      </c>
      <c r="G89" s="978">
        <f t="shared" si="1"/>
        <v>0.8</v>
      </c>
      <c r="H89" s="990"/>
      <c r="I89" s="555"/>
      <c r="J89" s="965"/>
      <c r="N89" s="557"/>
    </row>
    <row r="90" spans="1:17">
      <c r="B90" s="975" t="s">
        <v>2116</v>
      </c>
      <c r="C90" s="976"/>
      <c r="D90" s="983"/>
      <c r="E90" s="983"/>
      <c r="F90" s="983"/>
      <c r="G90" s="983"/>
      <c r="H90" s="983"/>
      <c r="I90" s="555"/>
      <c r="J90" s="965"/>
      <c r="N90" s="991"/>
      <c r="O90" s="991"/>
      <c r="P90" s="991"/>
      <c r="Q90" s="991"/>
    </row>
    <row r="91" spans="1:17">
      <c r="B91" s="964" t="s">
        <v>157</v>
      </c>
      <c r="C91" s="976" t="s">
        <v>61</v>
      </c>
      <c r="D91" s="992">
        <f ca="1">HLOOKUP($H100,Supplementary!$C$44:$AF$46,3,FALSE)*D100*D$111</f>
        <v>4136398038.3332486</v>
      </c>
      <c r="E91" s="992">
        <f ca="1">HLOOKUP($H100,Supplementary!$C$44:$AF$46,3,FALSE)*E100*E$111</f>
        <v>3929578136.4165859</v>
      </c>
      <c r="F91" s="992">
        <f ca="1">HLOOKUP($H100,Supplementary!$C$44:$AF$46,3,FALSE)*F100*F$111</f>
        <v>3546444268.1159687</v>
      </c>
      <c r="G91" s="992">
        <f ca="1">HLOOKUP($H100,Supplementary!$C$44:$AF$46,3,FALSE)*G100*G$111</f>
        <v>2888601021.6571321</v>
      </c>
      <c r="H91" s="555">
        <f t="shared" ref="H91:H97" si="2">priceYear</f>
        <v>2015</v>
      </c>
      <c r="I91" s="555"/>
      <c r="J91" s="965"/>
      <c r="N91" s="991"/>
      <c r="O91" s="991"/>
      <c r="P91" s="991"/>
      <c r="Q91" s="991"/>
    </row>
    <row r="92" spans="1:17">
      <c r="B92" s="964" t="s">
        <v>160</v>
      </c>
      <c r="C92" s="976" t="s">
        <v>464</v>
      </c>
      <c r="D92" s="555">
        <f ca="1">SUM(D93:D97)</f>
        <v>71.932800345776968</v>
      </c>
      <c r="E92" s="555">
        <f ca="1">SUM(E93:E97)</f>
        <v>59.418757125043243</v>
      </c>
      <c r="F92" s="555">
        <f ca="1">SUM(F93:F97)</f>
        <v>31.842516690954071</v>
      </c>
      <c r="G92" s="555">
        <f ca="1">SUM(G93:G97)</f>
        <v>6.1777182693817139</v>
      </c>
      <c r="H92" s="555">
        <f t="shared" si="2"/>
        <v>2015</v>
      </c>
      <c r="I92" s="555"/>
      <c r="J92" s="965"/>
      <c r="N92" s="991"/>
      <c r="O92" s="991"/>
      <c r="P92" s="991"/>
      <c r="Q92" s="991"/>
    </row>
    <row r="93" spans="1:17">
      <c r="B93" s="995" t="s">
        <v>162</v>
      </c>
      <c r="C93" s="976" t="s">
        <v>464</v>
      </c>
      <c r="D93" s="992">
        <f ca="1">HLOOKUP($H102,Supplementary!$C$44:$AF$46,3,FALSE)*D102*D$111</f>
        <v>71.843134252458924</v>
      </c>
      <c r="E93" s="555">
        <f ca="1">HLOOKUP($H102,Supplementary!$C$44:$AF$46,3,FALSE)*E102*E$111</f>
        <v>68.250977539835972</v>
      </c>
      <c r="F93" s="555">
        <f ca="1">HLOOKUP($H102,Supplementary!$C$44:$AF$46,3,FALSE)*F102*F$111</f>
        <v>61.596507229701963</v>
      </c>
      <c r="G93" s="555">
        <f ca="1">HLOOKUP($H102,Supplementary!$C$44:$AF$46,3,FALSE)*G102*G$111</f>
        <v>50.170740116762438</v>
      </c>
      <c r="H93" s="555">
        <f t="shared" si="2"/>
        <v>2015</v>
      </c>
      <c r="I93" s="555"/>
      <c r="J93" s="965"/>
      <c r="N93" s="991"/>
      <c r="O93" s="991"/>
      <c r="P93" s="991"/>
      <c r="Q93" s="991"/>
    </row>
    <row r="94" spans="1:17">
      <c r="B94" s="995" t="s">
        <v>163</v>
      </c>
      <c r="C94" s="976" t="s">
        <v>464</v>
      </c>
      <c r="D94" s="992">
        <f ca="1">HLOOKUP($H103,Supplementary!$C$44:$AF$46,3,FALSE)*D103*D$111</f>
        <v>89.532425072148243</v>
      </c>
      <c r="E94" s="555">
        <f ca="1">HLOOKUP($H103,Supplementary!$C$44:$AF$46,3,FALSE)*E103*E$111</f>
        <v>85.055803818540824</v>
      </c>
      <c r="F94" s="555">
        <f ca="1">HLOOKUP($H103,Supplementary!$C$44:$AF$46,3,FALSE)*F103*F$111</f>
        <v>76.762862946233085</v>
      </c>
      <c r="G94" s="555">
        <f ca="1">HLOOKUP($H103,Supplementary!$C$44:$AF$46,3,FALSE)*G103*G$111</f>
        <v>62.523831637600267</v>
      </c>
      <c r="H94" s="555">
        <f t="shared" si="2"/>
        <v>2015</v>
      </c>
      <c r="I94" s="555"/>
      <c r="J94" s="965"/>
      <c r="N94" s="991"/>
      <c r="O94" s="991"/>
      <c r="P94" s="991"/>
      <c r="Q94" s="991"/>
    </row>
    <row r="95" spans="1:17">
      <c r="B95" s="995" t="s">
        <v>164</v>
      </c>
      <c r="C95" s="976" t="s">
        <v>464</v>
      </c>
      <c r="D95" s="992">
        <f>HLOOKUP($H104,Supplementary!$C$44:$AF$46,3,FALSE)*D104</f>
        <v>0</v>
      </c>
      <c r="E95" s="555">
        <f>HLOOKUP($H104,Supplementary!$C$44:$AF$46,3,FALSE)*E104</f>
        <v>0</v>
      </c>
      <c r="F95" s="555">
        <f>HLOOKUP($H104,Supplementary!$C$44:$AF$46,3,FALSE)*F104</f>
        <v>0</v>
      </c>
      <c r="G95" s="555">
        <f>HLOOKUP($H104,Supplementary!$C$44:$AF$46,3,FALSE)*G104</f>
        <v>0</v>
      </c>
      <c r="H95" s="555">
        <f t="shared" si="2"/>
        <v>2015</v>
      </c>
      <c r="I95" s="555"/>
      <c r="J95" s="965"/>
      <c r="N95" s="991"/>
      <c r="O95" s="991"/>
      <c r="P95" s="991"/>
      <c r="Q95" s="991"/>
    </row>
    <row r="96" spans="1:17">
      <c r="B96" s="995" t="s">
        <v>264</v>
      </c>
      <c r="C96" s="976" t="s">
        <v>464</v>
      </c>
      <c r="D96" s="992">
        <f ca="1">HLOOKUP($H105,Supplementary!$C$44:$AF$46,3,FALSE)*D105*D$111</f>
        <v>0</v>
      </c>
      <c r="E96" s="555">
        <f ca="1">HLOOKUP($H105,Supplementary!$C$44:$AF$46,3,FALSE)*E105*E$111</f>
        <v>0</v>
      </c>
      <c r="F96" s="555">
        <f ca="1">HLOOKUP($H105,Supplementary!$C$44:$AF$46,3,FALSE)*F105*F$111</f>
        <v>0</v>
      </c>
      <c r="G96" s="555">
        <f ca="1">HLOOKUP($H105,Supplementary!$C$44:$AF$46,3,FALSE)*G105*G$111</f>
        <v>0</v>
      </c>
      <c r="H96" s="555">
        <f t="shared" si="2"/>
        <v>2015</v>
      </c>
      <c r="I96" s="555"/>
      <c r="J96" s="965"/>
      <c r="N96" s="991"/>
      <c r="O96" s="991"/>
      <c r="P96" s="991"/>
      <c r="Q96" s="991"/>
    </row>
    <row r="97" spans="1:17">
      <c r="B97" s="995" t="s">
        <v>165</v>
      </c>
      <c r="C97" s="976" t="s">
        <v>464</v>
      </c>
      <c r="D97" s="992">
        <f ca="1">HLOOKUP($H106,Supplementary!$C$44:$AF$46,3,FALSE)*D106</f>
        <v>-89.442758978830199</v>
      </c>
      <c r="E97" s="555">
        <f ca="1">HLOOKUP($H106,Supplementary!$C$44:$AF$46,3,FALSE)*E106</f>
        <v>-93.888024233333539</v>
      </c>
      <c r="F97" s="555">
        <f ca="1">HLOOKUP($H106,Supplementary!$C$44:$AF$46,3,FALSE)*F106</f>
        <v>-106.51685348498098</v>
      </c>
      <c r="G97" s="555">
        <f ca="1">HLOOKUP($H106,Supplementary!$C$44:$AF$46,3,FALSE)*G106</f>
        <v>-106.51685348498098</v>
      </c>
      <c r="H97" s="555">
        <f t="shared" si="2"/>
        <v>2015</v>
      </c>
      <c r="I97" s="555"/>
      <c r="J97" s="965"/>
      <c r="N97" s="991"/>
      <c r="O97" s="991"/>
      <c r="P97" s="991"/>
      <c r="Q97" s="991"/>
    </row>
    <row r="98" spans="1:17">
      <c r="B98" s="975"/>
      <c r="C98" s="976"/>
      <c r="D98" s="992"/>
      <c r="E98" s="983"/>
      <c r="F98" s="983"/>
      <c r="G98" s="983"/>
      <c r="H98" s="983"/>
      <c r="I98" s="555"/>
      <c r="J98" s="965"/>
      <c r="N98" s="991"/>
      <c r="O98" s="991"/>
      <c r="P98" s="991"/>
      <c r="Q98" s="991"/>
    </row>
    <row r="99" spans="1:17">
      <c r="B99" s="975" t="s">
        <v>2117</v>
      </c>
      <c r="C99" s="976"/>
      <c r="D99" s="992"/>
      <c r="E99" s="983"/>
      <c r="F99" s="983"/>
      <c r="G99" s="983"/>
      <c r="H99" s="983"/>
      <c r="I99" s="555"/>
      <c r="J99" s="965"/>
      <c r="N99" s="991"/>
      <c r="O99" s="991"/>
      <c r="P99" s="991"/>
      <c r="Q99" s="991"/>
    </row>
    <row r="100" spans="1:17">
      <c r="B100" s="964" t="s">
        <v>157</v>
      </c>
      <c r="C100" s="976" t="s">
        <v>61</v>
      </c>
      <c r="D100" s="992">
        <f>D160*D178*dkkPerEUR</f>
        <v>3885905100</v>
      </c>
      <c r="E100" s="992">
        <f t="shared" ref="E100:G101" si="3">$D100</f>
        <v>3885905100</v>
      </c>
      <c r="F100" s="992">
        <f t="shared" si="3"/>
        <v>3885905100</v>
      </c>
      <c r="G100" s="992">
        <f t="shared" si="3"/>
        <v>3885905100</v>
      </c>
      <c r="H100" s="1668">
        <v>2011</v>
      </c>
      <c r="I100" s="555"/>
      <c r="J100" s="965"/>
      <c r="N100" s="991"/>
      <c r="O100" s="991"/>
      <c r="P100" s="991"/>
      <c r="Q100" s="991"/>
    </row>
    <row r="101" spans="1:17">
      <c r="B101" s="964" t="s">
        <v>160</v>
      </c>
      <c r="C101" s="976" t="s">
        <v>464</v>
      </c>
      <c r="D101" s="993">
        <f ca="1">SUM(D102:D106)</f>
        <v>67.576677372560127</v>
      </c>
      <c r="E101" s="978">
        <f t="shared" ca="1" si="3"/>
        <v>67.576677372560127</v>
      </c>
      <c r="F101" s="978">
        <f t="shared" ca="1" si="3"/>
        <v>67.576677372560127</v>
      </c>
      <c r="G101" s="978">
        <f t="shared" ca="1" si="3"/>
        <v>67.576677372560127</v>
      </c>
      <c r="H101" s="1668">
        <v>2011</v>
      </c>
      <c r="I101" s="994"/>
      <c r="J101" s="965"/>
      <c r="N101" s="991"/>
      <c r="O101" s="991"/>
      <c r="P101" s="991"/>
      <c r="Q101" s="991"/>
    </row>
    <row r="102" spans="1:17">
      <c r="B102" s="995" t="s">
        <v>162</v>
      </c>
      <c r="C102" s="976" t="s">
        <v>464</v>
      </c>
      <c r="D102" s="993">
        <f ca="1">-PMT(rSØK,D34,D100)/$D$160</f>
        <v>67.492441299026424</v>
      </c>
      <c r="E102" s="993">
        <f ca="1">-PMT(rSØK,E34,E100)/$D$160</f>
        <v>67.492441299026424</v>
      </c>
      <c r="F102" s="993">
        <f ca="1">-PMT(rSØK,F34,F100)/$D$160</f>
        <v>67.492441299026424</v>
      </c>
      <c r="G102" s="993">
        <f ca="1">-PMT(rSØK,G34,G100)/$D$160</f>
        <v>67.492441299026424</v>
      </c>
      <c r="H102" s="1668">
        <v>2011</v>
      </c>
      <c r="I102" s="994"/>
      <c r="J102" s="965"/>
      <c r="N102" s="991"/>
      <c r="O102" s="991"/>
      <c r="P102" s="991"/>
      <c r="Q102" s="991"/>
    </row>
    <row r="103" spans="1:17">
      <c r="B103" s="995" t="s">
        <v>163</v>
      </c>
      <c r="C103" s="976" t="s">
        <v>464</v>
      </c>
      <c r="D103" s="480">
        <f>IF(D142&gt;0,D178*D142*dkkPerEUR,D179*dkkPerEUR)</f>
        <v>84.110500000000002</v>
      </c>
      <c r="E103" s="480">
        <f>$D103</f>
        <v>84.110500000000002</v>
      </c>
      <c r="F103" s="480">
        <f>$D103</f>
        <v>84.110500000000002</v>
      </c>
      <c r="G103" s="480">
        <f>$D103</f>
        <v>84.110500000000002</v>
      </c>
      <c r="H103" s="1668">
        <v>2011</v>
      </c>
      <c r="I103" s="555"/>
      <c r="J103" s="965"/>
      <c r="N103" s="991"/>
      <c r="O103" s="991"/>
      <c r="P103" s="991"/>
      <c r="Q103" s="991"/>
    </row>
    <row r="104" spans="1:17">
      <c r="A104" s="530">
        <v>6</v>
      </c>
      <c r="B104" s="995" t="s">
        <v>164</v>
      </c>
      <c r="C104" s="976" t="s">
        <v>464</v>
      </c>
      <c r="D104" s="997"/>
      <c r="E104" s="997"/>
      <c r="F104" s="997"/>
      <c r="G104" s="997"/>
      <c r="H104" s="1668">
        <v>2011</v>
      </c>
      <c r="I104" s="555"/>
      <c r="J104" s="965"/>
      <c r="N104" s="991"/>
      <c r="O104" s="991"/>
      <c r="P104" s="991"/>
      <c r="Q104" s="991"/>
    </row>
    <row r="105" spans="1:17">
      <c r="B105" s="995" t="s">
        <v>264</v>
      </c>
      <c r="C105" s="976" t="s">
        <v>464</v>
      </c>
      <c r="D105" s="997"/>
      <c r="E105" s="997"/>
      <c r="F105" s="997"/>
      <c r="G105" s="997"/>
      <c r="H105" s="1668">
        <v>2011</v>
      </c>
      <c r="I105" s="555"/>
      <c r="J105" s="965"/>
      <c r="N105" s="991"/>
      <c r="O105" s="991"/>
      <c r="P105" s="991"/>
      <c r="Q105" s="991"/>
    </row>
    <row r="106" spans="1:17">
      <c r="B106" s="995" t="s">
        <v>165</v>
      </c>
      <c r="C106" s="976" t="s">
        <v>464</v>
      </c>
      <c r="D106" s="996">
        <f ca="1">-SUMPRODUCT(D37:D56,ProcessEnergy!M35:M54)/D86</f>
        <v>-84.026263926466314</v>
      </c>
      <c r="E106" s="996">
        <f ca="1">-SUMPRODUCT(E37:E56,ProcessEnergy!N35:N54)/E86</f>
        <v>-88.202331791126596</v>
      </c>
      <c r="F106" s="996">
        <f ca="1">-SUMPRODUCT(F37:F56,ProcessEnergy!O35:O54)/F86</f>
        <v>-100.06638151294216</v>
      </c>
      <c r="G106" s="996">
        <f ca="1">-SUMPRODUCT(G37:G56,ProcessEnergy!P35:P54)/G86</f>
        <v>-100.06638151294216</v>
      </c>
      <c r="H106" s="1668">
        <v>2011</v>
      </c>
      <c r="I106" s="555"/>
      <c r="J106" s="965"/>
      <c r="O106" s="991"/>
      <c r="P106" s="991"/>
      <c r="Q106" s="991"/>
    </row>
    <row r="107" spans="1:17">
      <c r="B107" s="995"/>
      <c r="C107" s="976"/>
      <c r="D107" s="2311"/>
      <c r="E107" s="2311"/>
      <c r="F107" s="2311"/>
      <c r="G107" s="2311"/>
      <c r="H107" s="983"/>
      <c r="I107" s="994"/>
      <c r="J107" s="965"/>
      <c r="N107" s="991"/>
      <c r="O107" s="991"/>
      <c r="P107" s="991"/>
      <c r="Q107" s="991"/>
    </row>
    <row r="108" spans="1:17">
      <c r="B108" s="975" t="s">
        <v>2113</v>
      </c>
      <c r="C108" s="976"/>
      <c r="D108" s="983"/>
      <c r="E108" s="983"/>
      <c r="F108" s="983"/>
      <c r="G108" s="983"/>
      <c r="H108" s="983"/>
      <c r="I108" s="994"/>
      <c r="J108" s="965"/>
      <c r="N108" s="991"/>
      <c r="O108" s="991"/>
      <c r="P108" s="991"/>
      <c r="Q108" s="991"/>
    </row>
    <row r="109" spans="1:17">
      <c r="B109" s="995" t="s">
        <v>2114</v>
      </c>
      <c r="C109" s="976"/>
      <c r="D109" s="1696">
        <v>0.95</v>
      </c>
      <c r="E109" s="1696">
        <v>0.95</v>
      </c>
      <c r="F109" s="1696">
        <v>0.95</v>
      </c>
      <c r="G109" s="1696">
        <v>0.95</v>
      </c>
      <c r="H109" s="983"/>
      <c r="I109" s="994"/>
      <c r="J109" s="965"/>
      <c r="N109" s="991"/>
      <c r="O109" s="991"/>
      <c r="P109" s="991"/>
      <c r="Q109" s="991"/>
    </row>
    <row r="110" spans="1:17">
      <c r="B110" s="995" t="s">
        <v>2666</v>
      </c>
      <c r="C110" s="976"/>
      <c r="D110" s="478">
        <f ca="1">OFFSET(Supplementary!C$237,MATCH($C$19,Supplementary!$B$238:$B$241,0),0)</f>
        <v>1</v>
      </c>
      <c r="E110" s="478">
        <f ca="1">OFFSET(Supplementary!D$237,MATCH($C$19,Supplementary!$B$238:$B$241,0),0)</f>
        <v>2</v>
      </c>
      <c r="F110" s="478">
        <f ca="1">OFFSET(Supplementary!E$237,MATCH($C$19,Supplementary!$B$238:$B$241,0),0)</f>
        <v>4</v>
      </c>
      <c r="G110" s="478">
        <f ca="1">OFFSET(Supplementary!F$237,MATCH($C$19,Supplementary!$B$238:$B$241,0),0)</f>
        <v>8</v>
      </c>
      <c r="H110" s="983"/>
      <c r="I110" s="994"/>
      <c r="J110" s="965"/>
      <c r="N110" s="991"/>
      <c r="O110" s="991"/>
      <c r="P110" s="991"/>
      <c r="Q110" s="991"/>
    </row>
    <row r="111" spans="1:17">
      <c r="B111" s="995" t="s">
        <v>2115</v>
      </c>
      <c r="C111" s="976"/>
      <c r="D111" s="1698">
        <f ca="1">1*D109^(D110-1)</f>
        <v>1</v>
      </c>
      <c r="E111" s="1698">
        <f ca="1">1*E109^(E110-1)</f>
        <v>0.95</v>
      </c>
      <c r="F111" s="1698">
        <f ca="1">1*F109^(F110-1)</f>
        <v>0.85737499999999989</v>
      </c>
      <c r="G111" s="1698">
        <f ca="1">1*G109^(G110-1)</f>
        <v>0.69833729609374995</v>
      </c>
      <c r="H111" s="983"/>
      <c r="I111" s="994"/>
      <c r="J111" s="965"/>
      <c r="N111" s="991"/>
      <c r="O111" s="991"/>
      <c r="P111" s="991"/>
      <c r="Q111" s="991"/>
    </row>
    <row r="112" spans="1:17">
      <c r="B112" s="995"/>
      <c r="C112" s="976"/>
      <c r="D112" s="983"/>
      <c r="E112" s="983"/>
      <c r="F112" s="983"/>
      <c r="G112" s="983"/>
      <c r="H112" s="983"/>
      <c r="I112" s="994"/>
      <c r="J112" s="965"/>
      <c r="N112" s="991"/>
      <c r="O112" s="991"/>
      <c r="P112" s="991"/>
      <c r="Q112" s="991"/>
    </row>
    <row r="113" spans="2:17">
      <c r="B113" s="975" t="s">
        <v>166</v>
      </c>
      <c r="C113" s="976"/>
      <c r="D113" s="983"/>
      <c r="E113" s="983"/>
      <c r="F113" s="983"/>
      <c r="G113" s="983"/>
      <c r="H113" s="983"/>
      <c r="I113" s="994"/>
      <c r="J113" s="965"/>
      <c r="N113" s="998"/>
      <c r="O113" s="998"/>
      <c r="P113" s="998"/>
      <c r="Q113" s="991"/>
    </row>
    <row r="114" spans="2:17">
      <c r="B114" s="964" t="s">
        <v>24</v>
      </c>
      <c r="C114" s="976" t="s">
        <v>465</v>
      </c>
      <c r="D114" s="999">
        <v>0</v>
      </c>
      <c r="E114" s="999">
        <v>0</v>
      </c>
      <c r="F114" s="999">
        <v>0</v>
      </c>
      <c r="G114" s="999"/>
      <c r="H114" s="999"/>
      <c r="I114" s="1335" t="s">
        <v>1747</v>
      </c>
      <c r="J114" s="965"/>
      <c r="N114" s="991"/>
      <c r="O114" s="991"/>
      <c r="P114" s="991"/>
      <c r="Q114" s="991"/>
    </row>
    <row r="115" spans="2:17">
      <c r="B115" s="964" t="s">
        <v>27</v>
      </c>
      <c r="C115" s="976" t="s">
        <v>465</v>
      </c>
      <c r="D115" s="999">
        <v>0</v>
      </c>
      <c r="E115" s="999">
        <v>0</v>
      </c>
      <c r="F115" s="999">
        <v>0</v>
      </c>
      <c r="G115" s="999"/>
      <c r="H115" s="999"/>
      <c r="I115" s="1335" t="s">
        <v>1747</v>
      </c>
      <c r="J115" s="965"/>
      <c r="N115" s="991"/>
      <c r="O115" s="991"/>
      <c r="P115" s="991"/>
      <c r="Q115" s="991"/>
    </row>
    <row r="116" spans="2:17">
      <c r="B116" s="964" t="s">
        <v>28</v>
      </c>
      <c r="C116" s="976" t="s">
        <v>465</v>
      </c>
      <c r="D116" s="999">
        <v>0</v>
      </c>
      <c r="E116" s="999">
        <v>0</v>
      </c>
      <c r="F116" s="999">
        <v>0</v>
      </c>
      <c r="G116" s="999"/>
      <c r="H116" s="999"/>
      <c r="I116" s="1335" t="s">
        <v>1747</v>
      </c>
      <c r="J116" s="965"/>
      <c r="N116" s="991"/>
      <c r="O116" s="991"/>
      <c r="P116" s="991"/>
      <c r="Q116" s="991"/>
    </row>
    <row r="117" spans="2:17">
      <c r="B117" s="964" t="s">
        <v>26</v>
      </c>
      <c r="C117" s="976" t="s">
        <v>465</v>
      </c>
      <c r="D117" s="999">
        <v>0</v>
      </c>
      <c r="E117" s="999">
        <v>0</v>
      </c>
      <c r="F117" s="999">
        <v>0</v>
      </c>
      <c r="G117" s="999"/>
      <c r="H117" s="999"/>
      <c r="I117" s="1335" t="s">
        <v>1747</v>
      </c>
      <c r="J117" s="965"/>
      <c r="N117" s="991"/>
      <c r="O117" s="991"/>
      <c r="P117" s="991"/>
      <c r="Q117" s="991"/>
    </row>
    <row r="118" spans="2:17">
      <c r="B118" s="964" t="s">
        <v>167</v>
      </c>
      <c r="C118" s="976" t="s">
        <v>465</v>
      </c>
      <c r="D118" s="999">
        <v>0</v>
      </c>
      <c r="E118" s="999">
        <v>0</v>
      </c>
      <c r="F118" s="999">
        <v>0</v>
      </c>
      <c r="G118" s="999"/>
      <c r="H118" s="999"/>
      <c r="I118" s="1335" t="s">
        <v>1747</v>
      </c>
      <c r="J118" s="965"/>
      <c r="N118" s="998"/>
      <c r="O118" s="998"/>
      <c r="P118" s="998"/>
      <c r="Q118" s="998"/>
    </row>
    <row r="119" spans="2:17">
      <c r="B119" s="964" t="s">
        <v>45</v>
      </c>
      <c r="C119" s="976" t="s">
        <v>465</v>
      </c>
      <c r="D119" s="1000"/>
      <c r="E119" s="1000"/>
      <c r="F119" s="1000"/>
      <c r="G119" s="1000"/>
      <c r="H119" s="1000"/>
      <c r="I119" s="555"/>
      <c r="J119" s="965"/>
    </row>
    <row r="120" spans="2:17" ht="13.5" thickBot="1">
      <c r="B120" s="1001"/>
      <c r="C120" s="1002"/>
      <c r="D120" s="1003"/>
      <c r="E120" s="968"/>
      <c r="F120" s="968"/>
      <c r="G120" s="968"/>
      <c r="H120" s="968"/>
      <c r="I120" s="1004"/>
      <c r="J120" s="969"/>
    </row>
    <row r="123" spans="2:17" ht="18.75">
      <c r="B123" s="1005" t="s">
        <v>172</v>
      </c>
    </row>
    <row r="124" spans="2:17" ht="15.75">
      <c r="B124" s="1006"/>
      <c r="D124" s="1007"/>
    </row>
    <row r="125" spans="2:17">
      <c r="B125" s="555"/>
      <c r="C125" s="555"/>
      <c r="D125" s="555"/>
      <c r="E125" s="555"/>
      <c r="F125" s="555"/>
      <c r="G125" s="555"/>
      <c r="H125" s="555"/>
      <c r="I125" s="555"/>
      <c r="J125" s="555"/>
      <c r="K125" s="555"/>
      <c r="L125" s="555"/>
    </row>
    <row r="126" spans="2:17">
      <c r="B126" s="555"/>
      <c r="C126" s="977"/>
      <c r="D126" s="977"/>
      <c r="E126" s="977"/>
      <c r="F126" s="977"/>
      <c r="G126" s="977"/>
      <c r="H126" s="977"/>
      <c r="I126" s="555"/>
      <c r="J126" s="977"/>
      <c r="K126" s="977"/>
      <c r="L126" s="977"/>
    </row>
    <row r="127" spans="2:17">
      <c r="B127" s="555"/>
      <c r="C127" s="555"/>
      <c r="D127" s="993"/>
      <c r="E127" s="993"/>
      <c r="F127" s="993"/>
      <c r="G127" s="993"/>
      <c r="H127" s="993"/>
      <c r="I127" s="555"/>
      <c r="J127" s="993"/>
      <c r="K127" s="993"/>
      <c r="L127" s="993"/>
    </row>
    <row r="128" spans="2:17">
      <c r="B128" s="555"/>
      <c r="C128" s="555"/>
      <c r="D128" s="993"/>
      <c r="E128" s="993"/>
      <c r="F128" s="993"/>
      <c r="G128" s="993"/>
      <c r="H128" s="993"/>
      <c r="I128" s="555"/>
      <c r="J128" s="993"/>
      <c r="K128" s="993"/>
      <c r="L128" s="993"/>
    </row>
    <row r="129" spans="2:12">
      <c r="B129" s="555"/>
      <c r="C129" s="555"/>
      <c r="D129" s="993"/>
      <c r="E129" s="993"/>
      <c r="F129" s="993"/>
      <c r="G129" s="993"/>
      <c r="H129" s="993"/>
      <c r="I129" s="555"/>
      <c r="J129" s="993"/>
      <c r="K129" s="993"/>
      <c r="L129" s="993"/>
    </row>
    <row r="130" spans="2:12">
      <c r="B130" s="555"/>
      <c r="C130" s="555"/>
      <c r="D130" s="993"/>
      <c r="E130" s="993"/>
      <c r="F130" s="993"/>
      <c r="G130" s="993"/>
      <c r="H130" s="993"/>
      <c r="I130" s="555"/>
      <c r="J130" s="993"/>
      <c r="K130" s="993"/>
      <c r="L130" s="993"/>
    </row>
    <row r="131" spans="2:12">
      <c r="B131" s="555"/>
      <c r="C131" s="555"/>
      <c r="D131" s="993"/>
      <c r="E131" s="993"/>
      <c r="F131" s="993"/>
      <c r="G131" s="993"/>
      <c r="H131" s="993"/>
      <c r="I131" s="555"/>
      <c r="J131" s="993"/>
      <c r="K131" s="993"/>
      <c r="L131" s="993"/>
    </row>
    <row r="132" spans="2:12">
      <c r="B132" s="555"/>
      <c r="C132" s="555"/>
      <c r="D132" s="993"/>
      <c r="E132" s="993"/>
      <c r="F132" s="993"/>
      <c r="G132" s="993"/>
      <c r="H132" s="993"/>
      <c r="I132" s="555"/>
      <c r="J132" s="993"/>
      <c r="K132" s="993"/>
      <c r="L132" s="993"/>
    </row>
    <row r="133" spans="2:12">
      <c r="B133" s="555"/>
      <c r="C133" s="555"/>
      <c r="D133" s="993"/>
      <c r="E133" s="993"/>
      <c r="F133" s="993"/>
      <c r="G133" s="993"/>
      <c r="H133" s="993"/>
      <c r="I133" s="555"/>
      <c r="J133" s="993"/>
      <c r="K133" s="993"/>
      <c r="L133" s="993"/>
    </row>
    <row r="136" spans="2:12" ht="18.75">
      <c r="B136" s="1005" t="s">
        <v>168</v>
      </c>
    </row>
    <row r="137" spans="2:12" ht="15.75">
      <c r="B137" s="1006"/>
    </row>
    <row r="138" spans="2:12" ht="13.5" thickBot="1">
      <c r="B138" s="555"/>
      <c r="C138" s="555"/>
      <c r="D138" s="555"/>
      <c r="E138" s="555"/>
      <c r="F138" s="555"/>
      <c r="G138" s="555"/>
      <c r="H138" s="555"/>
      <c r="I138" s="555"/>
    </row>
    <row r="139" spans="2:12">
      <c r="B139" s="1008"/>
      <c r="C139" s="1009" t="s">
        <v>70</v>
      </c>
      <c r="D139" s="1010">
        <v>2015</v>
      </c>
      <c r="E139" s="1009">
        <v>2020</v>
      </c>
      <c r="F139" s="1009">
        <v>2035</v>
      </c>
      <c r="G139" s="1009"/>
      <c r="H139" s="1009"/>
      <c r="I139" s="1011" t="s">
        <v>145</v>
      </c>
      <c r="J139" s="1012" t="s">
        <v>146</v>
      </c>
    </row>
    <row r="140" spans="2:12">
      <c r="B140" s="964"/>
      <c r="C140" s="977"/>
      <c r="D140" s="1013"/>
      <c r="E140" s="1014"/>
      <c r="F140" s="1014"/>
      <c r="G140" s="1014"/>
      <c r="H140" s="1014"/>
      <c r="I140" s="555"/>
      <c r="J140" s="965"/>
    </row>
    <row r="141" spans="2:12">
      <c r="B141" s="964"/>
      <c r="C141" s="977"/>
      <c r="D141" s="1015"/>
      <c r="E141" s="1016"/>
      <c r="F141" s="1016"/>
      <c r="G141" s="1016"/>
      <c r="H141" s="1016"/>
      <c r="I141" s="555"/>
      <c r="J141" s="965"/>
    </row>
    <row r="142" spans="2:12">
      <c r="B142" s="964" t="s">
        <v>2096</v>
      </c>
      <c r="C142" s="555" t="s">
        <v>29</v>
      </c>
      <c r="D142" s="1681">
        <v>0.1</v>
      </c>
      <c r="E142" s="1682">
        <v>0.1</v>
      </c>
      <c r="F142" s="1682">
        <v>0.1</v>
      </c>
      <c r="G142" s="1682">
        <v>0.1</v>
      </c>
      <c r="H142" s="1018"/>
      <c r="I142" s="1335"/>
      <c r="J142" s="965" t="s">
        <v>2097</v>
      </c>
    </row>
    <row r="143" spans="2:12">
      <c r="B143" s="964"/>
      <c r="C143" s="977"/>
      <c r="D143" s="1015"/>
      <c r="E143" s="1016"/>
      <c r="F143" s="1016"/>
      <c r="G143" s="1016"/>
      <c r="H143" s="1016"/>
      <c r="I143" s="555"/>
      <c r="J143" s="965"/>
    </row>
    <row r="144" spans="2:12">
      <c r="B144" s="964"/>
      <c r="C144" s="977"/>
      <c r="D144" s="1015"/>
      <c r="E144" s="1016"/>
      <c r="F144" s="1016"/>
      <c r="G144" s="1016"/>
      <c r="H144" s="1016"/>
      <c r="I144" s="555"/>
      <c r="J144" s="965"/>
    </row>
    <row r="145" spans="2:10">
      <c r="B145" s="964" t="s">
        <v>22</v>
      </c>
      <c r="C145" s="977" t="s">
        <v>249</v>
      </c>
      <c r="D145" s="1019"/>
      <c r="E145" s="979"/>
      <c r="F145" s="979"/>
      <c r="G145" s="979"/>
      <c r="H145" s="979"/>
      <c r="I145" s="555"/>
      <c r="J145" s="965"/>
    </row>
    <row r="146" spans="2:10">
      <c r="B146" s="964"/>
      <c r="C146" s="976"/>
      <c r="D146" s="1016"/>
      <c r="E146" s="1016"/>
      <c r="F146" s="1016"/>
      <c r="G146" s="1016"/>
      <c r="H146" s="1016"/>
      <c r="I146" s="555"/>
      <c r="J146" s="965"/>
    </row>
    <row r="147" spans="2:10" ht="13.5" thickBot="1">
      <c r="B147" s="967"/>
      <c r="C147" s="1020"/>
      <c r="D147" s="1021"/>
      <c r="E147" s="1021"/>
      <c r="F147" s="1021"/>
      <c r="G147" s="1021"/>
      <c r="H147" s="1021"/>
      <c r="I147" s="968"/>
      <c r="J147" s="969"/>
    </row>
    <row r="149" spans="2:10" ht="13.5" thickBot="1"/>
    <row r="150" spans="2:10">
      <c r="B150" s="1040"/>
      <c r="C150" s="1340"/>
      <c r="D150" s="1064" t="s">
        <v>1098</v>
      </c>
    </row>
    <row r="151" spans="2:10">
      <c r="B151" s="1065" t="s">
        <v>1095</v>
      </c>
      <c r="C151" s="1367">
        <v>0.52</v>
      </c>
      <c r="D151" s="1067" t="s">
        <v>1758</v>
      </c>
    </row>
    <row r="152" spans="2:10" ht="13.5" thickBot="1">
      <c r="B152" s="1022" t="s">
        <v>1163</v>
      </c>
      <c r="C152" s="1341">
        <f>(100-D167)%</f>
        <v>0.40899999999999997</v>
      </c>
      <c r="D152" s="1342" t="s">
        <v>1758</v>
      </c>
    </row>
    <row r="153" spans="2:10">
      <c r="B153" s="530" t="str">
        <f>CONCATENATE("Source: ",Referencer!$B$48)</f>
        <v>Source: 42, FORCE, Danish Energy Agency, 2013, Technology data for advanced bioenergy fuels.</v>
      </c>
    </row>
    <row r="155" spans="2:10" ht="13.5" thickBot="1">
      <c r="B155" s="555"/>
      <c r="C155" s="968"/>
    </row>
    <row r="156" spans="2:10" ht="18.75">
      <c r="B156" s="1041" t="s">
        <v>1228</v>
      </c>
      <c r="C156" s="1042"/>
      <c r="D156" s="1025"/>
      <c r="E156" s="1025"/>
      <c r="F156" s="1025"/>
      <c r="G156" s="1025"/>
      <c r="H156" s="1025"/>
      <c r="I156" s="1025"/>
      <c r="J156" s="1026"/>
    </row>
    <row r="157" spans="2:10" ht="15">
      <c r="B157" s="1026"/>
      <c r="C157" s="1027"/>
      <c r="D157" s="1028">
        <v>2015</v>
      </c>
      <c r="E157" s="1028">
        <v>2020</v>
      </c>
      <c r="F157" s="1028">
        <v>2035</v>
      </c>
      <c r="G157" s="1028">
        <v>2050</v>
      </c>
      <c r="H157" s="1028"/>
      <c r="I157" s="1028" t="s">
        <v>1098</v>
      </c>
      <c r="J157" s="1338"/>
    </row>
    <row r="158" spans="2:10" ht="15">
      <c r="B158" s="1043" t="s">
        <v>1099</v>
      </c>
      <c r="C158" s="1044"/>
      <c r="D158" s="1027"/>
      <c r="E158" s="1027"/>
      <c r="F158" s="1027"/>
      <c r="G158" s="1027"/>
      <c r="H158" s="1027"/>
      <c r="I158" s="1027"/>
      <c r="J158" s="1026"/>
    </row>
    <row r="159" spans="2:10" ht="15">
      <c r="B159" s="1026" t="s">
        <v>1229</v>
      </c>
      <c r="C159" s="1027"/>
      <c r="D159" s="1368">
        <v>105000</v>
      </c>
      <c r="E159" s="1284" t="s">
        <v>1101</v>
      </c>
      <c r="F159" s="1031"/>
      <c r="G159" s="1031"/>
      <c r="H159" s="1031"/>
      <c r="I159" s="1032" t="s">
        <v>1758</v>
      </c>
      <c r="J159" s="1339"/>
    </row>
    <row r="160" spans="2:10" ht="15">
      <c r="B160" s="1026" t="s">
        <v>1230</v>
      </c>
      <c r="C160" s="1027"/>
      <c r="D160" s="1368">
        <v>4620000</v>
      </c>
      <c r="E160" s="1284" t="s">
        <v>1101</v>
      </c>
      <c r="F160" s="1031"/>
      <c r="G160" s="1031"/>
      <c r="H160" s="1031"/>
      <c r="I160" s="1032"/>
      <c r="J160" s="1339"/>
    </row>
    <row r="161" spans="2:10" ht="15">
      <c r="B161" s="1026" t="s">
        <v>1231</v>
      </c>
      <c r="C161" s="1027"/>
      <c r="D161" s="1373">
        <v>2.5</v>
      </c>
      <c r="E161" s="1284" t="s">
        <v>1101</v>
      </c>
      <c r="F161" s="1031"/>
      <c r="G161" s="1031"/>
      <c r="H161" s="1031"/>
      <c r="I161" s="1032"/>
      <c r="J161" s="1339"/>
    </row>
    <row r="162" spans="2:10" ht="15">
      <c r="B162" s="1026" t="s">
        <v>1232</v>
      </c>
      <c r="C162" s="1027"/>
      <c r="D162" s="1373">
        <v>7.7</v>
      </c>
      <c r="E162" s="1284" t="s">
        <v>1101</v>
      </c>
      <c r="F162" s="1031"/>
      <c r="G162" s="1031"/>
      <c r="H162" s="1031"/>
      <c r="I162" s="1032"/>
      <c r="J162" s="1339"/>
    </row>
    <row r="163" spans="2:10" ht="15">
      <c r="B163" s="1026" t="s">
        <v>1210</v>
      </c>
      <c r="C163" s="1027"/>
      <c r="D163" s="1373">
        <v>2.5</v>
      </c>
      <c r="E163" s="1284" t="s">
        <v>1101</v>
      </c>
      <c r="F163" s="1031"/>
      <c r="G163" s="1031"/>
      <c r="H163" s="1031"/>
      <c r="I163" s="1032"/>
      <c r="J163" s="1339"/>
    </row>
    <row r="164" spans="2:10" ht="15">
      <c r="B164" s="1026" t="s">
        <v>1212</v>
      </c>
      <c r="C164" s="1027"/>
      <c r="D164" s="1373">
        <v>0.09</v>
      </c>
      <c r="E164" s="1284" t="s">
        <v>1101</v>
      </c>
      <c r="F164" s="1031"/>
      <c r="G164" s="1031"/>
      <c r="H164" s="1031"/>
      <c r="I164" s="1032"/>
      <c r="J164" s="1339"/>
    </row>
    <row r="165" spans="2:10" ht="15">
      <c r="B165" s="1026" t="s">
        <v>1233</v>
      </c>
      <c r="C165" s="1027"/>
      <c r="D165" s="1373">
        <v>0.42</v>
      </c>
      <c r="E165" s="1284" t="s">
        <v>1101</v>
      </c>
      <c r="F165" s="1031"/>
      <c r="G165" s="1031"/>
      <c r="H165" s="1031"/>
      <c r="I165" s="1032"/>
      <c r="J165" s="1339"/>
    </row>
    <row r="166" spans="2:10" ht="15">
      <c r="B166" s="1026" t="s">
        <v>1214</v>
      </c>
      <c r="C166" s="1027"/>
      <c r="D166" s="1373">
        <v>39.299999999999997</v>
      </c>
      <c r="E166" s="1284" t="s">
        <v>1101</v>
      </c>
      <c r="F166" s="1031"/>
      <c r="G166" s="1031"/>
      <c r="H166" s="1031"/>
      <c r="I166" s="1032"/>
      <c r="J166" s="1339"/>
    </row>
    <row r="167" spans="2:10" ht="15">
      <c r="B167" s="1026" t="s">
        <v>1234</v>
      </c>
      <c r="C167" s="1027"/>
      <c r="D167" s="1373">
        <v>59.1</v>
      </c>
      <c r="E167" s="1284" t="s">
        <v>1101</v>
      </c>
      <c r="F167" s="1031"/>
      <c r="G167" s="1031"/>
      <c r="H167" s="1031"/>
      <c r="I167" s="1032"/>
      <c r="J167" s="1339"/>
    </row>
    <row r="168" spans="2:10" ht="15">
      <c r="B168" s="1026" t="s">
        <v>1108</v>
      </c>
      <c r="C168" s="1027"/>
      <c r="D168" s="1373">
        <v>80</v>
      </c>
      <c r="E168" s="1284" t="s">
        <v>1101</v>
      </c>
      <c r="F168" s="1031"/>
      <c r="G168" s="1031"/>
      <c r="H168" s="1031"/>
      <c r="I168" s="1032"/>
      <c r="J168" s="1339"/>
    </row>
    <row r="169" spans="2:10" ht="15">
      <c r="B169" s="1026"/>
      <c r="C169" s="1027"/>
      <c r="D169" s="1370"/>
      <c r="E169" s="1031"/>
      <c r="F169" s="1031"/>
      <c r="G169" s="1031"/>
      <c r="H169" s="1031"/>
      <c r="I169" s="1032"/>
      <c r="J169" s="1339"/>
    </row>
    <row r="170" spans="2:10" ht="15">
      <c r="B170" s="1026"/>
      <c r="C170" s="1027"/>
      <c r="D170" s="1370"/>
      <c r="E170" s="1031"/>
      <c r="F170" s="1031"/>
      <c r="G170" s="1031"/>
      <c r="H170" s="1031"/>
      <c r="I170" s="1032"/>
      <c r="J170" s="1339"/>
    </row>
    <row r="171" spans="2:10" ht="15">
      <c r="B171" s="1026"/>
      <c r="C171" s="1027"/>
      <c r="D171" s="1370"/>
      <c r="E171" s="1031"/>
      <c r="F171" s="1031"/>
      <c r="G171" s="1031"/>
      <c r="H171" s="1031"/>
      <c r="I171" s="1032"/>
      <c r="J171" s="1339"/>
    </row>
    <row r="172" spans="2:10" ht="15">
      <c r="B172" s="1026"/>
      <c r="C172" s="1027"/>
      <c r="D172" s="1370"/>
      <c r="E172" s="1031"/>
      <c r="F172" s="1031"/>
      <c r="G172" s="1031"/>
      <c r="H172" s="1031"/>
      <c r="I172" s="1032"/>
      <c r="J172" s="1339"/>
    </row>
    <row r="173" spans="2:10" ht="15">
      <c r="B173" s="1026"/>
      <c r="C173" s="1027"/>
      <c r="D173" s="1370"/>
      <c r="E173" s="1031"/>
      <c r="F173" s="1031"/>
      <c r="G173" s="1031"/>
      <c r="H173" s="1031"/>
      <c r="I173" s="1032"/>
      <c r="J173" s="1339"/>
    </row>
    <row r="174" spans="2:10" ht="15">
      <c r="B174" s="1026"/>
      <c r="C174" s="1027"/>
      <c r="D174" s="1370"/>
      <c r="E174" s="1031"/>
      <c r="F174" s="1031"/>
      <c r="G174" s="1031"/>
      <c r="H174" s="1031"/>
      <c r="I174" s="1032"/>
      <c r="J174" s="1339"/>
    </row>
    <row r="175" spans="2:10" ht="15">
      <c r="B175" s="1026"/>
      <c r="C175" s="1027"/>
      <c r="D175" s="1370"/>
      <c r="E175" s="1031"/>
      <c r="F175" s="1031"/>
      <c r="G175" s="1031"/>
      <c r="H175" s="1031"/>
      <c r="I175" s="1032"/>
      <c r="J175" s="1339"/>
    </row>
    <row r="176" spans="2:10" ht="15">
      <c r="B176" s="1026"/>
      <c r="C176" s="1027"/>
      <c r="D176" s="1370"/>
      <c r="E176" s="1031"/>
      <c r="F176" s="1031"/>
      <c r="G176" s="1031"/>
      <c r="H176" s="1027"/>
      <c r="I176" s="1032"/>
      <c r="J176" s="1339"/>
    </row>
    <row r="177" spans="2:10" ht="15">
      <c r="B177" s="1029" t="s">
        <v>1109</v>
      </c>
      <c r="C177" s="1030"/>
      <c r="D177" s="1370"/>
      <c r="E177" s="1031"/>
      <c r="F177" s="1031"/>
      <c r="G177" s="1031"/>
      <c r="H177" s="1027"/>
      <c r="I177" s="1032"/>
      <c r="J177" s="1339"/>
    </row>
    <row r="178" spans="2:10" ht="15">
      <c r="B178" s="1026" t="s">
        <v>1235</v>
      </c>
      <c r="C178" s="1027"/>
      <c r="D178" s="1370">
        <v>112.9</v>
      </c>
      <c r="E178" s="1031" t="s">
        <v>1101</v>
      </c>
      <c r="F178" s="1031"/>
      <c r="G178" s="1031"/>
      <c r="H178" s="1031"/>
      <c r="I178" s="1032"/>
      <c r="J178" s="1339"/>
    </row>
    <row r="179" spans="2:10" ht="15.75" thickBot="1">
      <c r="B179" s="1033" t="s">
        <v>1236</v>
      </c>
      <c r="C179" s="1034"/>
      <c r="D179" s="1374">
        <v>3.4</v>
      </c>
      <c r="E179" s="1035" t="s">
        <v>1101</v>
      </c>
      <c r="F179" s="1035"/>
      <c r="G179" s="1035"/>
      <c r="H179" s="1035"/>
      <c r="I179" s="1036"/>
      <c r="J179" s="1339"/>
    </row>
    <row r="180" spans="2:10">
      <c r="B180" s="530" t="str">
        <f>CONCATENATE("Source: ",Referencer!$B$48)</f>
        <v>Source: 42, FORCE, Danish Energy Agency, 2013, Technology data for advanced bioenergy fuels.</v>
      </c>
    </row>
    <row r="183" spans="2:10">
      <c r="D183" s="1222"/>
    </row>
  </sheetData>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Supplementary!$B$238:$B$241</xm:f>
          </x14:formula1>
          <xm:sqref>C19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tabColor rgb="FF00B0F0"/>
  </sheetPr>
  <dimension ref="A1:S180"/>
  <sheetViews>
    <sheetView topLeftCell="A113" zoomScale="80" zoomScaleNormal="80" workbookViewId="0">
      <selection activeCell="D157" sqref="D157"/>
    </sheetView>
  </sheetViews>
  <sheetFormatPr defaultRowHeight="12.75"/>
  <cols>
    <col min="1" max="1" width="3.28515625" style="530" customWidth="1"/>
    <col min="2" max="2" width="36" style="530" customWidth="1"/>
    <col min="3" max="3" width="16.5703125" style="530" customWidth="1"/>
    <col min="4" max="8" width="15.7109375" style="530" customWidth="1"/>
    <col min="9" max="9" width="7.28515625" style="530" customWidth="1"/>
    <col min="10" max="10" width="12.7109375" style="530" customWidth="1"/>
    <col min="11" max="14" width="9.140625" style="530"/>
    <col min="15" max="17" width="9.28515625" style="530" bestFit="1" customWidth="1"/>
    <col min="18" max="19" width="9.42578125" style="530" bestFit="1" customWidth="1"/>
    <col min="20" max="16384" width="9.140625" style="530"/>
  </cols>
  <sheetData>
    <row r="1" spans="1:19" s="465" customFormat="1" ht="21">
      <c r="B1" s="465" t="str">
        <f>B156</f>
        <v>DME by BTL technology</v>
      </c>
      <c r="Q1" s="467">
        <f ca="1">'Log2015'!M1</f>
        <v>-8.0112614142160741</v>
      </c>
      <c r="R1" s="468">
        <f ca="1">'Log2015'!N1</f>
        <v>-160807.124977848</v>
      </c>
    </row>
    <row r="2" spans="1:19">
      <c r="B2" s="530" t="s">
        <v>1257</v>
      </c>
      <c r="Q2" s="958">
        <f ca="1">Q1</f>
        <v>-8.0112614142160741</v>
      </c>
      <c r="R2" s="958">
        <f ca="1">R1</f>
        <v>-160807.124977848</v>
      </c>
      <c r="S2" s="959">
        <f>S1</f>
        <v>0</v>
      </c>
    </row>
    <row r="3" spans="1:19">
      <c r="A3" s="530" t="s">
        <v>1078</v>
      </c>
    </row>
    <row r="4" spans="1:19">
      <c r="B4" s="960" t="s">
        <v>81</v>
      </c>
    </row>
    <row r="5" spans="1:19" ht="13.5" thickBot="1"/>
    <row r="6" spans="1:19">
      <c r="B6" s="961" t="s">
        <v>137</v>
      </c>
      <c r="C6" s="962"/>
      <c r="D6" s="962"/>
      <c r="E6" s="962"/>
      <c r="F6" s="962"/>
      <c r="G6" s="962"/>
      <c r="H6" s="962"/>
      <c r="I6" s="962"/>
      <c r="J6" s="962"/>
      <c r="K6" s="962"/>
      <c r="L6" s="962"/>
      <c r="M6" s="962"/>
      <c r="N6" s="963"/>
    </row>
    <row r="7" spans="1:19">
      <c r="B7" s="964"/>
      <c r="C7" s="555"/>
      <c r="D7" s="555"/>
      <c r="E7" s="555"/>
      <c r="F7" s="555"/>
      <c r="G7" s="555"/>
      <c r="H7" s="555"/>
      <c r="I7" s="555"/>
      <c r="J7" s="555"/>
      <c r="K7" s="555"/>
      <c r="L7" s="555"/>
      <c r="M7" s="555"/>
      <c r="N7" s="965"/>
    </row>
    <row r="8" spans="1:19">
      <c r="B8" s="964"/>
      <c r="C8" s="555"/>
      <c r="D8" s="555"/>
      <c r="E8" s="555"/>
      <c r="F8" s="555"/>
      <c r="G8" s="555"/>
      <c r="H8" s="555"/>
      <c r="I8" s="555"/>
      <c r="J8" s="555"/>
      <c r="K8" s="555"/>
      <c r="L8" s="555"/>
      <c r="M8" s="555"/>
      <c r="N8" s="965"/>
    </row>
    <row r="9" spans="1:19">
      <c r="B9" s="964"/>
      <c r="C9" s="555"/>
      <c r="D9" s="555"/>
      <c r="E9" s="555"/>
      <c r="F9" s="555"/>
      <c r="G9" s="555"/>
      <c r="H9" s="555"/>
      <c r="I9" s="555"/>
      <c r="J9" s="555"/>
      <c r="K9" s="555"/>
      <c r="L9" s="555"/>
      <c r="M9" s="555"/>
      <c r="N9" s="965"/>
    </row>
    <row r="10" spans="1:19">
      <c r="B10" s="964"/>
      <c r="C10" s="555"/>
      <c r="D10" s="555"/>
      <c r="E10" s="555"/>
      <c r="F10" s="555"/>
      <c r="G10" s="555"/>
      <c r="H10" s="555"/>
      <c r="I10" s="555"/>
      <c r="J10" s="555"/>
      <c r="K10" s="555"/>
      <c r="L10" s="555"/>
      <c r="M10" s="555"/>
      <c r="N10" s="965"/>
    </row>
    <row r="11" spans="1:19">
      <c r="B11" s="964" t="s">
        <v>138</v>
      </c>
      <c r="C11" s="1056" t="s">
        <v>1079</v>
      </c>
      <c r="D11" s="555"/>
      <c r="E11" s="555"/>
      <c r="F11" s="555"/>
      <c r="G11" s="555"/>
      <c r="H11" s="555"/>
      <c r="I11" s="555"/>
      <c r="J11" s="555"/>
      <c r="K11" s="555"/>
      <c r="L11" s="555"/>
      <c r="M11" s="555"/>
      <c r="N11" s="965"/>
    </row>
    <row r="12" spans="1:19">
      <c r="B12" s="964"/>
      <c r="C12" s="555"/>
      <c r="D12" s="555"/>
      <c r="E12" s="555"/>
      <c r="F12" s="555"/>
      <c r="G12" s="555"/>
      <c r="H12" s="555"/>
      <c r="I12" s="555"/>
      <c r="J12" s="555"/>
      <c r="K12" s="555"/>
      <c r="L12" s="555"/>
      <c r="M12" s="555"/>
      <c r="N12" s="965"/>
    </row>
    <row r="13" spans="1:19">
      <c r="B13" s="964" t="s">
        <v>140</v>
      </c>
      <c r="C13" s="1057" t="s">
        <v>11</v>
      </c>
      <c r="D13" s="555"/>
      <c r="E13" s="555"/>
      <c r="F13" s="555"/>
      <c r="G13" s="555"/>
      <c r="H13" s="555"/>
      <c r="I13" s="555"/>
      <c r="J13" s="555"/>
      <c r="K13" s="555"/>
      <c r="L13" s="555"/>
      <c r="M13" s="555"/>
      <c r="N13" s="965"/>
    </row>
    <row r="14" spans="1:19">
      <c r="B14" s="964"/>
      <c r="C14" s="555"/>
      <c r="D14" s="555"/>
      <c r="E14" s="555"/>
      <c r="F14" s="555"/>
      <c r="G14" s="555"/>
      <c r="H14" s="555"/>
      <c r="I14" s="555"/>
      <c r="J14" s="555"/>
      <c r="K14" s="555"/>
      <c r="L14" s="555"/>
      <c r="M14" s="555"/>
      <c r="N14" s="965"/>
    </row>
    <row r="15" spans="1:19">
      <c r="B15" s="964" t="s">
        <v>141</v>
      </c>
      <c r="C15" s="555"/>
      <c r="D15" s="555"/>
      <c r="E15" s="555"/>
      <c r="F15" s="555"/>
      <c r="G15" s="555"/>
      <c r="H15" s="555"/>
      <c r="I15" s="555"/>
      <c r="J15" s="555"/>
      <c r="K15" s="555"/>
      <c r="L15" s="555"/>
      <c r="M15" s="555"/>
      <c r="N15" s="965"/>
    </row>
    <row r="16" spans="1:19">
      <c r="B16" s="964"/>
      <c r="C16" s="555"/>
      <c r="D16" s="555"/>
      <c r="E16" s="555"/>
      <c r="F16" s="555"/>
      <c r="G16" s="555"/>
      <c r="H16" s="555"/>
      <c r="I16" s="555"/>
      <c r="J16" s="555"/>
      <c r="K16" s="555"/>
      <c r="L16" s="555"/>
      <c r="M16" s="555"/>
      <c r="N16" s="965"/>
    </row>
    <row r="17" spans="2:14">
      <c r="B17" s="964" t="s">
        <v>142</v>
      </c>
      <c r="C17" s="555"/>
      <c r="D17" s="555"/>
      <c r="E17" s="555"/>
      <c r="F17" s="555"/>
      <c r="G17" s="555"/>
      <c r="H17" s="555"/>
      <c r="I17" s="555"/>
      <c r="J17" s="555"/>
      <c r="K17" s="555"/>
      <c r="L17" s="555"/>
      <c r="M17" s="555"/>
      <c r="N17" s="965"/>
    </row>
    <row r="18" spans="2:14">
      <c r="B18" s="964"/>
      <c r="C18" s="555"/>
      <c r="D18" s="555"/>
      <c r="E18" s="555"/>
      <c r="F18" s="555"/>
      <c r="G18" s="555"/>
      <c r="H18" s="555"/>
      <c r="I18" s="555"/>
      <c r="J18" s="555"/>
      <c r="K18" s="555"/>
      <c r="L18" s="555"/>
      <c r="M18" s="555"/>
      <c r="N18" s="965"/>
    </row>
    <row r="19" spans="2:14">
      <c r="B19" s="964" t="s">
        <v>2131</v>
      </c>
      <c r="C19" s="1693" t="s">
        <v>2122</v>
      </c>
      <c r="D19" s="555"/>
      <c r="E19" s="555"/>
      <c r="F19" s="555"/>
      <c r="G19" s="555"/>
      <c r="H19" s="555"/>
      <c r="I19" s="555"/>
      <c r="J19" s="555"/>
      <c r="K19" s="555"/>
      <c r="L19" s="555"/>
      <c r="M19" s="555"/>
      <c r="N19" s="965"/>
    </row>
    <row r="20" spans="2:14">
      <c r="B20" s="964"/>
      <c r="C20" s="555"/>
      <c r="D20" s="555"/>
      <c r="E20" s="555"/>
      <c r="F20" s="555"/>
      <c r="G20" s="555"/>
      <c r="H20" s="555"/>
      <c r="I20" s="555"/>
      <c r="J20" s="555"/>
      <c r="K20" s="555"/>
      <c r="L20" s="555"/>
      <c r="M20" s="555"/>
      <c r="N20" s="965"/>
    </row>
    <row r="21" spans="2:14">
      <c r="B21" s="964"/>
      <c r="C21" s="555"/>
      <c r="D21" s="555"/>
      <c r="E21" s="555"/>
      <c r="F21" s="555"/>
      <c r="G21" s="555"/>
      <c r="H21" s="555"/>
      <c r="I21" s="555"/>
      <c r="J21" s="555"/>
      <c r="K21" s="555"/>
      <c r="L21" s="555"/>
      <c r="M21" s="555"/>
      <c r="N21" s="965"/>
    </row>
    <row r="22" spans="2:14">
      <c r="B22" s="964" t="s">
        <v>143</v>
      </c>
      <c r="C22" s="555"/>
      <c r="D22" s="555"/>
      <c r="E22" s="555"/>
      <c r="F22" s="555"/>
      <c r="G22" s="555"/>
      <c r="H22" s="555"/>
      <c r="I22" s="555"/>
      <c r="J22" s="555"/>
      <c r="K22" s="555"/>
      <c r="L22" s="555"/>
      <c r="M22" s="555"/>
      <c r="N22" s="965"/>
    </row>
    <row r="23" spans="2:14">
      <c r="B23" s="964"/>
      <c r="C23" s="555"/>
      <c r="D23" s="555"/>
      <c r="E23" s="555"/>
      <c r="F23" s="555"/>
      <c r="G23" s="555"/>
      <c r="H23" s="555"/>
      <c r="I23" s="555"/>
      <c r="J23" s="555"/>
      <c r="K23" s="555"/>
      <c r="L23" s="555"/>
      <c r="M23" s="555"/>
      <c r="N23" s="965"/>
    </row>
    <row r="24" spans="2:14" ht="13.5" thickBot="1">
      <c r="B24" s="967"/>
      <c r="C24" s="968"/>
      <c r="D24" s="968"/>
      <c r="E24" s="968"/>
      <c r="F24" s="968"/>
      <c r="G24" s="968"/>
      <c r="H24" s="968"/>
      <c r="I24" s="968"/>
      <c r="J24" s="968"/>
      <c r="K24" s="968"/>
      <c r="L24" s="968"/>
      <c r="M24" s="968"/>
      <c r="N24" s="969"/>
    </row>
    <row r="25" spans="2:14">
      <c r="F25" s="529"/>
      <c r="G25" s="529"/>
      <c r="H25" s="529"/>
    </row>
    <row r="26" spans="2:14">
      <c r="B26" s="960" t="s">
        <v>144</v>
      </c>
    </row>
    <row r="27" spans="2:14" ht="13.5" thickBot="1"/>
    <row r="28" spans="2:14">
      <c r="B28" s="961"/>
      <c r="C28" s="970"/>
      <c r="D28" s="962"/>
      <c r="E28" s="962"/>
      <c r="F28" s="962"/>
      <c r="G28" s="962"/>
      <c r="H28" s="962"/>
      <c r="I28" s="962"/>
      <c r="J28" s="963"/>
    </row>
    <row r="29" spans="2:14">
      <c r="B29" s="971"/>
      <c r="C29" s="972" t="s">
        <v>70</v>
      </c>
      <c r="D29" s="973">
        <v>2015</v>
      </c>
      <c r="E29" s="973">
        <v>2020</v>
      </c>
      <c r="F29" s="973">
        <v>2035</v>
      </c>
      <c r="G29" s="973">
        <v>2050</v>
      </c>
      <c r="H29" s="973" t="s">
        <v>978</v>
      </c>
      <c r="I29" s="556" t="s">
        <v>145</v>
      </c>
      <c r="J29" s="974" t="s">
        <v>146</v>
      </c>
    </row>
    <row r="30" spans="2:14">
      <c r="B30" s="975" t="s">
        <v>147</v>
      </c>
      <c r="C30" s="976"/>
      <c r="D30" s="977"/>
      <c r="E30" s="977"/>
      <c r="F30" s="977"/>
      <c r="G30" s="977"/>
      <c r="H30" s="977"/>
      <c r="I30" s="555"/>
      <c r="J30" s="965"/>
    </row>
    <row r="31" spans="2:14">
      <c r="B31" s="964" t="s">
        <v>148</v>
      </c>
      <c r="C31" s="976" t="s">
        <v>1258</v>
      </c>
      <c r="D31" s="978">
        <f>1/D162</f>
        <v>0.14925373134328357</v>
      </c>
      <c r="E31" s="978">
        <f>$D31</f>
        <v>0.14925373134328357</v>
      </c>
      <c r="F31" s="978">
        <f>$D31</f>
        <v>0.14925373134328357</v>
      </c>
      <c r="G31" s="978">
        <f>$D31</f>
        <v>0.14925373134328357</v>
      </c>
      <c r="H31" s="1333"/>
      <c r="I31" s="555"/>
      <c r="J31" s="965"/>
    </row>
    <row r="32" spans="2:14">
      <c r="B32" s="964" t="s">
        <v>67</v>
      </c>
      <c r="C32" s="976" t="s">
        <v>1259</v>
      </c>
      <c r="D32" s="979">
        <f>D160/D159</f>
        <v>28.4</v>
      </c>
      <c r="E32" s="978">
        <f t="shared" ref="E32:G34" si="0">$D32</f>
        <v>28.4</v>
      </c>
      <c r="F32" s="978">
        <f t="shared" si="0"/>
        <v>28.4</v>
      </c>
      <c r="G32" s="978">
        <f t="shared" si="0"/>
        <v>28.4</v>
      </c>
      <c r="H32" s="978"/>
      <c r="I32" s="555"/>
      <c r="J32" s="965"/>
    </row>
    <row r="33" spans="2:10">
      <c r="B33" s="964" t="s">
        <v>149</v>
      </c>
      <c r="C33" s="976" t="s">
        <v>441</v>
      </c>
      <c r="D33" s="1396">
        <f>D159</f>
        <v>220000</v>
      </c>
      <c r="E33" s="1396">
        <f t="shared" si="0"/>
        <v>220000</v>
      </c>
      <c r="F33" s="1396">
        <f t="shared" si="0"/>
        <v>220000</v>
      </c>
      <c r="G33" s="1396">
        <f t="shared" si="0"/>
        <v>220000</v>
      </c>
      <c r="H33" s="1397"/>
      <c r="I33" s="1296"/>
      <c r="J33" s="965"/>
    </row>
    <row r="34" spans="2:10">
      <c r="B34" s="964" t="s">
        <v>150</v>
      </c>
      <c r="C34" s="976" t="s">
        <v>34</v>
      </c>
      <c r="D34" s="1360">
        <f>20</f>
        <v>20</v>
      </c>
      <c r="E34" s="1360">
        <f t="shared" si="0"/>
        <v>20</v>
      </c>
      <c r="F34" s="1360">
        <f t="shared" si="0"/>
        <v>20</v>
      </c>
      <c r="G34" s="1360">
        <f t="shared" si="0"/>
        <v>20</v>
      </c>
      <c r="H34" s="1332"/>
      <c r="I34" s="555"/>
      <c r="J34" s="965" t="s">
        <v>1087</v>
      </c>
    </row>
    <row r="35" spans="2:10">
      <c r="B35" s="964"/>
      <c r="C35" s="981"/>
      <c r="D35" s="982"/>
      <c r="E35" s="983"/>
      <c r="F35" s="983"/>
      <c r="G35" s="983"/>
      <c r="H35" s="983"/>
      <c r="I35" s="555"/>
      <c r="J35" s="965"/>
    </row>
    <row r="36" spans="2:10">
      <c r="B36" s="975" t="s">
        <v>151</v>
      </c>
      <c r="C36" s="981"/>
      <c r="D36" s="982"/>
      <c r="E36" s="983"/>
      <c r="F36" s="983"/>
      <c r="G36" s="983"/>
      <c r="H36" s="983"/>
      <c r="I36" s="555"/>
      <c r="J36" s="965"/>
    </row>
    <row r="37" spans="2:10">
      <c r="B37" s="964" t="str">
        <f>ProcessEnergy!B35</f>
        <v xml:space="preserve">Green diesel </v>
      </c>
      <c r="C37" s="976" t="s">
        <v>463</v>
      </c>
      <c r="D37" s="984"/>
      <c r="E37" s="984"/>
      <c r="F37" s="984"/>
      <c r="G37" s="984"/>
      <c r="H37" s="984"/>
      <c r="I37" s="555"/>
      <c r="J37" s="965"/>
    </row>
    <row r="38" spans="2:10">
      <c r="B38" s="985" t="str">
        <f>ProcessEnergy!B36</f>
        <v>Green gasoline</v>
      </c>
      <c r="C38" s="976"/>
      <c r="D38" s="984"/>
      <c r="E38" s="984"/>
      <c r="F38" s="984"/>
      <c r="G38" s="984"/>
      <c r="H38" s="984"/>
      <c r="I38" s="555"/>
      <c r="J38" s="965"/>
    </row>
    <row r="39" spans="2:10">
      <c r="B39" s="985" t="str">
        <f>ProcessEnergy!B37</f>
        <v>Electricity - balancing</v>
      </c>
      <c r="C39" s="976"/>
      <c r="D39" s="984"/>
      <c r="E39" s="984"/>
      <c r="F39" s="984"/>
      <c r="G39" s="984"/>
      <c r="H39" s="984"/>
      <c r="I39" s="555"/>
      <c r="J39" s="965"/>
    </row>
    <row r="40" spans="2:10">
      <c r="B40" s="985" t="str">
        <f>ProcessEnergy!B38</f>
        <v>Electricity  - continous</v>
      </c>
      <c r="C40" s="976"/>
      <c r="D40" s="984"/>
      <c r="E40" s="984"/>
      <c r="F40" s="984"/>
      <c r="G40" s="984"/>
      <c r="H40" s="984"/>
      <c r="I40" s="555"/>
      <c r="J40" s="965"/>
    </row>
    <row r="41" spans="2:10">
      <c r="B41" s="985" t="str">
        <f>ProcessEnergy!B39</f>
        <v>Elec/heat fuel</v>
      </c>
      <c r="C41" s="976"/>
      <c r="D41" s="984"/>
      <c r="E41" s="984"/>
      <c r="F41" s="984"/>
      <c r="G41" s="984"/>
      <c r="H41" s="984"/>
      <c r="I41" s="555"/>
      <c r="J41" s="965"/>
    </row>
    <row r="42" spans="2:10">
      <c r="B42" s="985" t="str">
        <f>ProcessEnergy!B40</f>
        <v>Biogas (100% CH4)</v>
      </c>
      <c r="C42" s="976"/>
      <c r="D42" s="984"/>
      <c r="E42" s="984"/>
      <c r="F42" s="984"/>
      <c r="G42" s="984"/>
      <c r="H42" s="984"/>
      <c r="I42" s="555"/>
      <c r="J42" s="965"/>
    </row>
    <row r="43" spans="2:10">
      <c r="B43" s="985" t="str">
        <f>ProcessEnergy!B41</f>
        <v>District heating</v>
      </c>
      <c r="C43" s="976" t="s">
        <v>1091</v>
      </c>
      <c r="D43" s="978">
        <f>C152*C153</f>
        <v>0.35099999999999998</v>
      </c>
      <c r="E43" s="978">
        <f>$D43</f>
        <v>0.35099999999999998</v>
      </c>
      <c r="F43" s="978">
        <f>$D43</f>
        <v>0.35099999999999998</v>
      </c>
      <c r="G43" s="978">
        <f>$D43</f>
        <v>0.35099999999999998</v>
      </c>
      <c r="H43" s="978"/>
      <c r="I43" s="555"/>
      <c r="J43" s="965"/>
    </row>
    <row r="44" spans="2:10">
      <c r="B44" s="985" t="str">
        <f>ProcessEnergy!B42</f>
        <v>&lt;empty&gt;</v>
      </c>
      <c r="C44" s="976"/>
      <c r="D44" s="978"/>
      <c r="E44" s="978"/>
      <c r="F44" s="978"/>
      <c r="G44" s="978"/>
      <c r="H44" s="978"/>
      <c r="I44" s="555"/>
      <c r="J44" s="965"/>
    </row>
    <row r="45" spans="2:10">
      <c r="B45" s="985" t="str">
        <f>ProcessEnergy!B43</f>
        <v>&lt;empty&gt;</v>
      </c>
      <c r="C45" s="976"/>
      <c r="D45" s="978"/>
      <c r="E45" s="978"/>
      <c r="F45" s="978"/>
      <c r="G45" s="978"/>
      <c r="H45" s="978"/>
      <c r="I45" s="555"/>
      <c r="J45" s="965"/>
    </row>
    <row r="46" spans="2:10">
      <c r="B46" s="985" t="str">
        <f>ProcessEnergy!B44</f>
        <v>&lt;empty&gt;</v>
      </c>
      <c r="C46" s="976"/>
      <c r="D46" s="978"/>
      <c r="E46" s="978"/>
      <c r="F46" s="978"/>
      <c r="G46" s="978"/>
      <c r="H46" s="978"/>
      <c r="I46" s="555"/>
      <c r="J46" s="965"/>
    </row>
    <row r="47" spans="2:10">
      <c r="B47" s="985" t="str">
        <f>ProcessEnergy!B45</f>
        <v>&lt;empty&gt;</v>
      </c>
      <c r="C47" s="976"/>
      <c r="D47" s="978"/>
      <c r="E47" s="978"/>
      <c r="F47" s="978"/>
      <c r="G47" s="978"/>
      <c r="H47" s="978"/>
      <c r="I47" s="555"/>
      <c r="J47" s="965"/>
    </row>
    <row r="48" spans="2:10">
      <c r="B48" s="985" t="str">
        <f>ProcessEnergy!B46</f>
        <v>&lt;empty&gt;</v>
      </c>
      <c r="C48" s="976"/>
      <c r="D48" s="978"/>
      <c r="E48" s="978"/>
      <c r="F48" s="978"/>
      <c r="G48" s="978"/>
      <c r="H48" s="978"/>
      <c r="I48" s="555"/>
      <c r="J48" s="965"/>
    </row>
    <row r="49" spans="2:10">
      <c r="B49" s="985" t="str">
        <f>ProcessEnergy!B47</f>
        <v>&lt;empty&gt;</v>
      </c>
      <c r="C49" s="976"/>
      <c r="D49" s="978"/>
      <c r="E49" s="978"/>
      <c r="F49" s="978"/>
      <c r="G49" s="978"/>
      <c r="H49" s="978"/>
      <c r="I49" s="555"/>
      <c r="J49" s="965"/>
    </row>
    <row r="50" spans="2:10">
      <c r="B50" s="985" t="str">
        <f>ProcessEnergy!B48</f>
        <v>Glycerol</v>
      </c>
      <c r="C50" s="976"/>
      <c r="D50" s="978"/>
      <c r="E50" s="978"/>
      <c r="F50" s="978"/>
      <c r="G50" s="978"/>
      <c r="H50" s="978"/>
      <c r="I50" s="555"/>
      <c r="J50" s="965"/>
    </row>
    <row r="51" spans="2:10">
      <c r="B51" s="985" t="str">
        <f>ProcessEnergy!B49</f>
        <v>&lt;empty&gt;</v>
      </c>
      <c r="C51" s="976"/>
      <c r="D51" s="978"/>
      <c r="E51" s="978"/>
      <c r="F51" s="978"/>
      <c r="G51" s="978"/>
      <c r="H51" s="978"/>
      <c r="I51" s="555"/>
      <c r="J51" s="965"/>
    </row>
    <row r="52" spans="2:10">
      <c r="B52" s="985" t="str">
        <f>ProcessEnergy!B50</f>
        <v>&lt;empty&gt;</v>
      </c>
      <c r="C52" s="976"/>
      <c r="D52" s="978"/>
      <c r="E52" s="978"/>
      <c r="F52" s="978"/>
      <c r="G52" s="978"/>
      <c r="H52" s="978"/>
      <c r="I52" s="555"/>
      <c r="J52" s="965"/>
    </row>
    <row r="53" spans="2:10">
      <c r="B53" s="985" t="str">
        <f>ProcessEnergy!B51</f>
        <v>Fodder (wheat like)</v>
      </c>
      <c r="C53" s="976"/>
      <c r="D53" s="984"/>
      <c r="E53" s="984"/>
      <c r="F53" s="984"/>
      <c r="G53" s="984"/>
      <c r="H53" s="984"/>
      <c r="I53" s="555"/>
      <c r="J53" s="965"/>
    </row>
    <row r="54" spans="2:10">
      <c r="B54" s="985" t="str">
        <f>ProcessEnergy!B52</f>
        <v>Rape seed cake</v>
      </c>
      <c r="C54" s="976"/>
      <c r="D54" s="984"/>
      <c r="E54" s="984"/>
      <c r="F54" s="984"/>
      <c r="G54" s="984"/>
      <c r="H54" s="984"/>
      <c r="I54" s="555"/>
      <c r="J54" s="965"/>
    </row>
    <row r="55" spans="2:10">
      <c r="B55" s="985" t="str">
        <f>ProcessEnergy!B53</f>
        <v>&lt;empty&gt;</v>
      </c>
      <c r="C55" s="976"/>
      <c r="D55" s="984"/>
      <c r="E55" s="984"/>
      <c r="F55" s="984"/>
      <c r="G55" s="984"/>
      <c r="H55" s="984"/>
      <c r="I55" s="555"/>
      <c r="J55" s="965"/>
    </row>
    <row r="56" spans="2:10">
      <c r="B56" s="985" t="str">
        <f>ProcessEnergy!B54</f>
        <v>DDGS</v>
      </c>
      <c r="C56" s="976"/>
      <c r="D56" s="984"/>
      <c r="E56" s="984"/>
      <c r="F56" s="984"/>
      <c r="G56" s="984"/>
      <c r="H56" s="984"/>
      <c r="I56" s="555"/>
      <c r="J56" s="965"/>
    </row>
    <row r="57" spans="2:10">
      <c r="B57" s="964"/>
      <c r="C57" s="976"/>
      <c r="D57" s="984"/>
      <c r="E57" s="984"/>
      <c r="F57" s="984"/>
      <c r="G57" s="984"/>
      <c r="H57" s="984"/>
      <c r="I57" s="555"/>
      <c r="J57" s="965"/>
    </row>
    <row r="58" spans="2:10">
      <c r="B58" s="975" t="s">
        <v>873</v>
      </c>
      <c r="C58" s="976"/>
      <c r="D58" s="984"/>
      <c r="E58" s="984"/>
      <c r="F58" s="984"/>
      <c r="G58" s="984"/>
      <c r="H58" s="984"/>
      <c r="I58" s="555"/>
      <c r="J58" s="965"/>
    </row>
    <row r="59" spans="2:10">
      <c r="B59" s="964" t="str">
        <f>ProcessEnergy!B5</f>
        <v>EL - peakload</v>
      </c>
      <c r="C59" s="976" t="s">
        <v>877</v>
      </c>
      <c r="D59" s="984"/>
      <c r="E59" s="984"/>
      <c r="F59" s="984"/>
      <c r="G59" s="984"/>
      <c r="H59" s="984"/>
      <c r="I59" s="555"/>
      <c r="J59" s="965"/>
    </row>
    <row r="60" spans="2:10">
      <c r="B60" s="964" t="str">
        <f>ProcessEnergy!B6</f>
        <v>El - baseload</v>
      </c>
      <c r="C60" s="976" t="s">
        <v>877</v>
      </c>
      <c r="D60" s="984"/>
      <c r="E60" s="984"/>
      <c r="F60" s="984"/>
      <c r="G60" s="984"/>
      <c r="H60" s="984"/>
      <c r="I60" s="555"/>
      <c r="J60" s="965"/>
    </row>
    <row r="61" spans="2:10">
      <c r="B61" s="964" t="str">
        <f>ProcessEnergy!B7</f>
        <v xml:space="preserve">Varme </v>
      </c>
      <c r="C61" s="976" t="s">
        <v>877</v>
      </c>
      <c r="D61" s="984"/>
      <c r="E61" s="984"/>
      <c r="F61" s="984"/>
      <c r="G61" s="984"/>
      <c r="H61" s="984"/>
      <c r="I61" s="555"/>
      <c r="J61" s="965"/>
    </row>
    <row r="62" spans="2:10">
      <c r="B62" s="964" t="str">
        <f>ProcessEnergy!B8</f>
        <v>Damp</v>
      </c>
      <c r="C62" s="976" t="s">
        <v>877</v>
      </c>
      <c r="D62" s="984"/>
      <c r="E62" s="984"/>
      <c r="F62" s="984"/>
      <c r="G62" s="984"/>
      <c r="H62" s="984"/>
      <c r="I62" s="555"/>
      <c r="J62" s="965"/>
    </row>
    <row r="63" spans="2:10">
      <c r="B63" s="964" t="str">
        <f>ProcessEnergy!B9</f>
        <v xml:space="preserve">Olie </v>
      </c>
      <c r="C63" s="976" t="s">
        <v>877</v>
      </c>
      <c r="D63" s="984"/>
      <c r="E63" s="984"/>
      <c r="F63" s="984"/>
      <c r="G63" s="984"/>
      <c r="H63" s="984"/>
      <c r="I63" s="555"/>
      <c r="J63" s="965"/>
    </row>
    <row r="64" spans="2:10">
      <c r="B64" s="964" t="str">
        <f>ProcessEnergy!B10</f>
        <v>Kul</v>
      </c>
      <c r="C64" s="976" t="s">
        <v>877</v>
      </c>
      <c r="D64" s="984"/>
      <c r="E64" s="984"/>
      <c r="F64" s="984"/>
      <c r="G64" s="984"/>
      <c r="H64" s="984"/>
      <c r="I64" s="555"/>
      <c r="J64" s="965"/>
    </row>
    <row r="65" spans="2:10">
      <c r="B65" s="964" t="str">
        <f>ProcessEnergy!B11</f>
        <v>Naturgas kedel</v>
      </c>
      <c r="C65" s="976" t="s">
        <v>877</v>
      </c>
      <c r="D65" s="984"/>
      <c r="E65" s="984"/>
      <c r="F65" s="984"/>
      <c r="G65" s="984"/>
      <c r="H65" s="984"/>
      <c r="I65" s="555"/>
      <c r="J65" s="965"/>
    </row>
    <row r="66" spans="2:10">
      <c r="B66" s="964" t="str">
        <f>ProcessEnergy!B12</f>
        <v>Gylle</v>
      </c>
      <c r="C66" s="976" t="s">
        <v>877</v>
      </c>
      <c r="D66" s="984"/>
      <c r="E66" s="984"/>
      <c r="F66" s="984"/>
      <c r="G66" s="984"/>
      <c r="H66" s="984"/>
      <c r="I66" s="555"/>
      <c r="J66" s="965"/>
    </row>
    <row r="67" spans="2:10">
      <c r="B67" s="964" t="str">
        <f>ProcessEnergy!B13</f>
        <v>Affald</v>
      </c>
      <c r="C67" s="976" t="s">
        <v>877</v>
      </c>
      <c r="D67" s="984"/>
      <c r="E67" s="984"/>
      <c r="F67" s="984"/>
      <c r="G67" s="984"/>
      <c r="H67" s="984"/>
      <c r="I67" s="555"/>
      <c r="J67" s="965"/>
    </row>
    <row r="68" spans="2:10">
      <c r="B68" s="964" t="str">
        <f>ProcessEnergy!B14</f>
        <v>Hydrogen</v>
      </c>
      <c r="C68" s="976" t="s">
        <v>877</v>
      </c>
      <c r="D68" s="984"/>
      <c r="E68" s="984"/>
      <c r="F68" s="984"/>
      <c r="G68" s="984"/>
      <c r="H68" s="984"/>
      <c r="I68" s="555"/>
      <c r="J68" s="965"/>
    </row>
    <row r="69" spans="2:10">
      <c r="B69" s="964" t="str">
        <f>ProcessEnergy!B15</f>
        <v>Biomasse</v>
      </c>
      <c r="C69" s="976" t="s">
        <v>877</v>
      </c>
      <c r="D69" s="984"/>
      <c r="E69" s="984"/>
      <c r="F69" s="984"/>
      <c r="G69" s="984"/>
      <c r="H69" s="984"/>
      <c r="I69" s="555"/>
      <c r="J69" s="965"/>
    </row>
    <row r="70" spans="2:10">
      <c r="B70" s="964" t="str">
        <f>ProcessEnergy!B16</f>
        <v>Methanol</v>
      </c>
      <c r="C70" s="976"/>
      <c r="D70" s="984"/>
      <c r="E70" s="984"/>
      <c r="F70" s="984"/>
      <c r="G70" s="984"/>
      <c r="H70" s="984"/>
      <c r="I70" s="555"/>
      <c r="J70" s="965"/>
    </row>
    <row r="71" spans="2:10">
      <c r="B71" s="964" t="str">
        <f>ProcessEnergy!B17</f>
        <v>&lt;empty&gt;</v>
      </c>
      <c r="C71" s="976"/>
      <c r="D71" s="984"/>
      <c r="E71" s="984"/>
      <c r="F71" s="984"/>
      <c r="G71" s="984"/>
      <c r="H71" s="984"/>
      <c r="I71" s="555"/>
      <c r="J71" s="965"/>
    </row>
    <row r="72" spans="2:10">
      <c r="B72" s="964" t="str">
        <f>ProcessEnergy!B18</f>
        <v>&lt;empty&gt;</v>
      </c>
      <c r="C72" s="976"/>
      <c r="D72" s="984"/>
      <c r="E72" s="984"/>
      <c r="F72" s="984"/>
      <c r="G72" s="984"/>
      <c r="H72" s="984"/>
      <c r="I72" s="555"/>
      <c r="J72" s="965"/>
    </row>
    <row r="73" spans="2:10">
      <c r="B73" s="964" t="str">
        <f>ProcessEnergy!B19</f>
        <v>&lt;empty&gt;</v>
      </c>
      <c r="C73" s="976"/>
      <c r="D73" s="984"/>
      <c r="E73" s="984"/>
      <c r="F73" s="984"/>
      <c r="G73" s="984"/>
      <c r="H73" s="984"/>
      <c r="I73" s="555"/>
      <c r="J73" s="965"/>
    </row>
    <row r="74" spans="2:10">
      <c r="B74" s="964" t="str">
        <f>ProcessEnergy!B20</f>
        <v>&lt;empty&gt;</v>
      </c>
      <c r="C74" s="976"/>
      <c r="D74" s="984"/>
      <c r="E74" s="984"/>
      <c r="F74" s="984"/>
      <c r="G74" s="984"/>
      <c r="H74" s="984"/>
      <c r="I74" s="555"/>
      <c r="J74" s="965"/>
    </row>
    <row r="75" spans="2:10">
      <c r="B75" s="964" t="str">
        <f>ProcessEnergy!B21</f>
        <v>&lt;empty&gt;</v>
      </c>
      <c r="C75" s="976"/>
      <c r="D75" s="984"/>
      <c r="E75" s="984"/>
      <c r="F75" s="984"/>
      <c r="G75" s="984"/>
      <c r="H75" s="984"/>
      <c r="I75" s="555"/>
      <c r="J75" s="965"/>
    </row>
    <row r="76" spans="2:10">
      <c r="B76" s="964" t="str">
        <f>ProcessEnergy!B22</f>
        <v>&lt;empty&gt;</v>
      </c>
      <c r="C76" s="976"/>
      <c r="D76" s="984"/>
      <c r="E76" s="984"/>
      <c r="F76" s="984"/>
      <c r="G76" s="984"/>
      <c r="H76" s="984"/>
      <c r="I76" s="555"/>
      <c r="J76" s="965"/>
    </row>
    <row r="77" spans="2:10">
      <c r="B77" s="964" t="str">
        <f>ProcessEnergy!B23</f>
        <v>&lt;empty&gt;</v>
      </c>
      <c r="C77" s="976"/>
      <c r="D77" s="984"/>
      <c r="E77" s="984"/>
      <c r="F77" s="984"/>
      <c r="G77" s="984"/>
      <c r="H77" s="984"/>
      <c r="I77" s="555"/>
      <c r="J77" s="965"/>
    </row>
    <row r="78" spans="2:10">
      <c r="B78" s="964" t="str">
        <f>ProcessEnergy!B24</f>
        <v>&lt;empty&gt;</v>
      </c>
      <c r="C78" s="976" t="s">
        <v>877</v>
      </c>
      <c r="D78" s="984"/>
      <c r="E78" s="984"/>
      <c r="F78" s="984"/>
      <c r="G78" s="984"/>
      <c r="H78" s="984"/>
      <c r="I78" s="555"/>
      <c r="J78" s="965"/>
    </row>
    <row r="79" spans="2:10">
      <c r="B79" s="964"/>
      <c r="C79" s="976"/>
      <c r="D79" s="984"/>
      <c r="E79" s="984"/>
      <c r="F79" s="984"/>
      <c r="G79" s="984"/>
      <c r="H79" s="984"/>
      <c r="I79" s="555"/>
      <c r="J79" s="965"/>
    </row>
    <row r="80" spans="2:10">
      <c r="B80" s="964"/>
      <c r="C80" s="976"/>
      <c r="D80" s="984"/>
      <c r="E80" s="984"/>
      <c r="F80" s="984"/>
      <c r="G80" s="984"/>
      <c r="H80" s="984"/>
      <c r="I80" s="555"/>
      <c r="J80" s="965"/>
    </row>
    <row r="81" spans="1:17">
      <c r="B81" s="964"/>
      <c r="C81" s="976"/>
      <c r="D81" s="986"/>
      <c r="E81" s="986"/>
      <c r="F81" s="986"/>
      <c r="G81" s="986"/>
      <c r="H81" s="986"/>
      <c r="I81" s="555"/>
      <c r="J81" s="965"/>
    </row>
    <row r="82" spans="1:17">
      <c r="B82" s="975" t="s">
        <v>152</v>
      </c>
      <c r="C82" s="976"/>
      <c r="D82" s="986"/>
      <c r="E82" s="986"/>
      <c r="F82" s="986"/>
      <c r="G82" s="986"/>
      <c r="H82" s="986"/>
      <c r="I82" s="555"/>
      <c r="J82" s="965"/>
    </row>
    <row r="83" spans="1:17">
      <c r="A83" s="530">
        <v>4</v>
      </c>
      <c r="B83" s="964" t="s">
        <v>462</v>
      </c>
      <c r="C83" s="976" t="s">
        <v>725</v>
      </c>
      <c r="D83" s="1633">
        <v>1</v>
      </c>
      <c r="E83" s="978">
        <f t="shared" ref="E83:G89" si="1">$D83</f>
        <v>1</v>
      </c>
      <c r="F83" s="978">
        <f t="shared" si="1"/>
        <v>1</v>
      </c>
      <c r="G83" s="978">
        <f t="shared" si="1"/>
        <v>1</v>
      </c>
      <c r="H83" s="978"/>
      <c r="I83" s="555"/>
      <c r="J83" s="965"/>
    </row>
    <row r="84" spans="1:17">
      <c r="B84" s="964" t="s">
        <v>153</v>
      </c>
      <c r="C84" s="976" t="s">
        <v>725</v>
      </c>
      <c r="D84" s="978">
        <f>D83*SUM(D59:D78)</f>
        <v>0</v>
      </c>
      <c r="E84" s="978">
        <f t="shared" si="1"/>
        <v>0</v>
      </c>
      <c r="F84" s="978">
        <f t="shared" si="1"/>
        <v>0</v>
      </c>
      <c r="G84" s="978">
        <f t="shared" si="1"/>
        <v>0</v>
      </c>
      <c r="H84" s="1334"/>
      <c r="I84" s="555"/>
      <c r="J84" s="965"/>
    </row>
    <row r="85" spans="1:17">
      <c r="B85" s="964" t="s">
        <v>1092</v>
      </c>
      <c r="C85" s="976" t="s">
        <v>725</v>
      </c>
      <c r="D85" s="987">
        <f>D83*D43</f>
        <v>0.35099999999999998</v>
      </c>
      <c r="E85" s="978">
        <f t="shared" si="1"/>
        <v>0.35099999999999998</v>
      </c>
      <c r="F85" s="978">
        <f t="shared" si="1"/>
        <v>0.35099999999999998</v>
      </c>
      <c r="G85" s="978">
        <f t="shared" si="1"/>
        <v>0.35099999999999998</v>
      </c>
      <c r="H85" s="978"/>
      <c r="I85" s="555"/>
      <c r="J85" s="965"/>
    </row>
    <row r="86" spans="1:17">
      <c r="B86" s="964" t="s">
        <v>1240</v>
      </c>
      <c r="C86" s="976" t="s">
        <v>725</v>
      </c>
      <c r="D86" s="987">
        <f>(1/D163)*D83</f>
        <v>0.52631578947368418</v>
      </c>
      <c r="E86" s="978">
        <f t="shared" si="1"/>
        <v>0.52631578947368418</v>
      </c>
      <c r="F86" s="978">
        <f t="shared" si="1"/>
        <v>0.52631578947368418</v>
      </c>
      <c r="G86" s="978">
        <f t="shared" si="1"/>
        <v>0.52631578947368418</v>
      </c>
      <c r="H86" s="978"/>
      <c r="I86" s="555"/>
      <c r="J86" s="965"/>
    </row>
    <row r="87" spans="1:17">
      <c r="B87" s="985" t="s">
        <v>155</v>
      </c>
      <c r="C87" s="976" t="s">
        <v>725</v>
      </c>
      <c r="D87" s="987">
        <f>SUM(D83:D84)-SUM(D85:D86)</f>
        <v>0.12268421052631584</v>
      </c>
      <c r="E87" s="978">
        <f t="shared" si="1"/>
        <v>0.12268421052631584</v>
      </c>
      <c r="F87" s="978">
        <f t="shared" si="1"/>
        <v>0.12268421052631584</v>
      </c>
      <c r="G87" s="978">
        <f t="shared" si="1"/>
        <v>0.12268421052631584</v>
      </c>
      <c r="H87" s="978"/>
      <c r="I87" s="555"/>
      <c r="J87" s="965"/>
    </row>
    <row r="88" spans="1:17">
      <c r="B88" s="985" t="s">
        <v>156</v>
      </c>
      <c r="C88" s="988" t="s">
        <v>726</v>
      </c>
      <c r="D88" s="989">
        <f>SUM(D85:D86)/SUM(D83:D84)</f>
        <v>0.87731578947368416</v>
      </c>
      <c r="E88" s="990">
        <f t="shared" si="1"/>
        <v>0.87731578947368416</v>
      </c>
      <c r="F88" s="990">
        <f t="shared" si="1"/>
        <v>0.87731578947368416</v>
      </c>
      <c r="G88" s="990">
        <f t="shared" si="1"/>
        <v>0.87731578947368416</v>
      </c>
      <c r="H88" s="990"/>
      <c r="I88" s="555"/>
      <c r="J88" s="965"/>
    </row>
    <row r="89" spans="1:17">
      <c r="B89" s="964"/>
      <c r="C89" s="976"/>
      <c r="D89" s="989">
        <f>D166/100</f>
        <v>0.88</v>
      </c>
      <c r="E89" s="990">
        <f t="shared" si="1"/>
        <v>0.88</v>
      </c>
      <c r="F89" s="990">
        <f t="shared" si="1"/>
        <v>0.88</v>
      </c>
      <c r="G89" s="990">
        <f t="shared" si="1"/>
        <v>0.88</v>
      </c>
      <c r="H89" s="990"/>
      <c r="I89" s="555"/>
      <c r="J89" s="965"/>
      <c r="N89" s="557"/>
    </row>
    <row r="90" spans="1:17">
      <c r="B90" s="975" t="s">
        <v>2116</v>
      </c>
      <c r="C90" s="976"/>
      <c r="D90" s="983"/>
      <c r="E90" s="983"/>
      <c r="F90" s="983"/>
      <c r="G90" s="983"/>
      <c r="H90" s="983"/>
      <c r="I90" s="555"/>
      <c r="J90" s="965"/>
      <c r="N90" s="991"/>
      <c r="O90" s="991"/>
      <c r="P90" s="991"/>
      <c r="Q90" s="991"/>
    </row>
    <row r="91" spans="1:17">
      <c r="B91" s="964" t="s">
        <v>157</v>
      </c>
      <c r="C91" s="976" t="s">
        <v>61</v>
      </c>
      <c r="D91" s="992">
        <f ca="1">HLOOKUP($H100,Supplementary!$C$44:$AF$46,3,FALSE)*D100*D$111</f>
        <v>2165254071.2027621</v>
      </c>
      <c r="E91" s="992">
        <f ca="1">HLOOKUP($H100,Supplementary!$C$44:$AF$46,3,FALSE)*E100*E$111</f>
        <v>2056991367.6426239</v>
      </c>
      <c r="F91" s="992">
        <f ca="1">HLOOKUP($H100,Supplementary!$C$44:$AF$46,3,FALSE)*F100*F$111</f>
        <v>1675432325.140965</v>
      </c>
      <c r="G91" s="992">
        <f ca="1">HLOOKUP($H100,Supplementary!$C$44:$AF$46,3,FALSE)*G100*G$111</f>
        <v>1231596715.5021114</v>
      </c>
      <c r="H91" s="555">
        <f t="shared" ref="H91:H97" si="2">priceYear</f>
        <v>2015</v>
      </c>
      <c r="I91" s="555"/>
      <c r="J91" s="965"/>
      <c r="N91" s="991"/>
      <c r="O91" s="991"/>
      <c r="P91" s="991"/>
      <c r="Q91" s="991"/>
    </row>
    <row r="92" spans="1:17">
      <c r="B92" s="964" t="s">
        <v>160</v>
      </c>
      <c r="C92" s="976" t="s">
        <v>464</v>
      </c>
      <c r="D92" s="555">
        <f ca="1">SUM(D93:D97)</f>
        <v>30.853166385266857</v>
      </c>
      <c r="E92" s="555">
        <f ca="1">SUM(E93:E97)</f>
        <v>28.205873256882498</v>
      </c>
      <c r="F92" s="555">
        <f ca="1">SUM(F93:F97)</f>
        <v>12.917508004219471</v>
      </c>
      <c r="G92" s="555">
        <f ca="1">SUM(G93:G97)</f>
        <v>0.11371822050233504</v>
      </c>
      <c r="H92" s="555">
        <f t="shared" si="2"/>
        <v>2015</v>
      </c>
      <c r="I92" s="555"/>
      <c r="J92" s="965"/>
      <c r="N92" s="991"/>
      <c r="O92" s="991"/>
      <c r="P92" s="991"/>
      <c r="Q92" s="991"/>
    </row>
    <row r="93" spans="1:17">
      <c r="B93" s="995" t="s">
        <v>162</v>
      </c>
      <c r="C93" s="976" t="s">
        <v>464</v>
      </c>
      <c r="D93" s="992">
        <f ca="1">HLOOKUP($H102,Supplementary!$C$44:$AF$46,3,FALSE)*D102*D$111</f>
        <v>27.808192797453103</v>
      </c>
      <c r="E93" s="555">
        <f ca="1">HLOOKUP($H102,Supplementary!$C$44:$AF$46,3,FALSE)*E102*E$111</f>
        <v>26.417783157580445</v>
      </c>
      <c r="F93" s="555">
        <f ca="1">HLOOKUP($H102,Supplementary!$C$44:$AF$46,3,FALSE)*F102*F$111</f>
        <v>21.517449492994007</v>
      </c>
      <c r="G93" s="555">
        <f ca="1">HLOOKUP($H102,Supplementary!$C$44:$AF$46,3,FALSE)*G102*G$111</f>
        <v>15.817302629232913</v>
      </c>
      <c r="H93" s="555">
        <f t="shared" si="2"/>
        <v>2015</v>
      </c>
      <c r="I93" s="555"/>
      <c r="J93" s="965"/>
      <c r="N93" s="991"/>
      <c r="O93" s="991"/>
      <c r="P93" s="991"/>
      <c r="Q93" s="991"/>
    </row>
    <row r="94" spans="1:17">
      <c r="B94" s="995" t="s">
        <v>163</v>
      </c>
      <c r="C94" s="976" t="s">
        <v>464</v>
      </c>
      <c r="D94" s="992">
        <f ca="1">HLOOKUP($H103,Supplementary!$C$44:$AF$46,3,FALSE)*D103*D$111</f>
        <v>34.655154788776599</v>
      </c>
      <c r="E94" s="555">
        <f ca="1">HLOOKUP($H103,Supplementary!$C$44:$AF$46,3,FALSE)*E103*E$111</f>
        <v>32.922397049337768</v>
      </c>
      <c r="F94" s="555">
        <f ca="1">HLOOKUP($H103,Supplementary!$C$44:$AF$46,3,FALSE)*F103*F$111</f>
        <v>26.815498161667172</v>
      </c>
      <c r="G94" s="555">
        <f ca="1">HLOOKUP($H103,Supplementary!$C$44:$AF$46,3,FALSE)*G103*G$111</f>
        <v>19.711855241711131</v>
      </c>
      <c r="H94" s="555">
        <f t="shared" si="2"/>
        <v>2015</v>
      </c>
      <c r="I94" s="555"/>
      <c r="J94" s="965"/>
      <c r="N94" s="991"/>
      <c r="O94" s="991"/>
      <c r="P94" s="991"/>
      <c r="Q94" s="991"/>
    </row>
    <row r="95" spans="1:17">
      <c r="B95" s="995" t="s">
        <v>164</v>
      </c>
      <c r="C95" s="976" t="s">
        <v>464</v>
      </c>
      <c r="D95" s="992">
        <f>HLOOKUP($H104,Supplementary!$C$44:$AF$46,3,FALSE)*D104</f>
        <v>0</v>
      </c>
      <c r="E95" s="555">
        <f>HLOOKUP($H104,Supplementary!$C$44:$AF$46,3,FALSE)*E104</f>
        <v>0</v>
      </c>
      <c r="F95" s="555">
        <f>HLOOKUP($H104,Supplementary!$C$44:$AF$46,3,FALSE)*F104</f>
        <v>0</v>
      </c>
      <c r="G95" s="555">
        <f>HLOOKUP($H104,Supplementary!$C$44:$AF$46,3,FALSE)*G104</f>
        <v>0</v>
      </c>
      <c r="H95" s="555">
        <f t="shared" si="2"/>
        <v>2015</v>
      </c>
      <c r="I95" s="555"/>
      <c r="J95" s="965"/>
      <c r="N95" s="991"/>
      <c r="O95" s="991"/>
      <c r="P95" s="991"/>
      <c r="Q95" s="991"/>
    </row>
    <row r="96" spans="1:17">
      <c r="B96" s="995" t="s">
        <v>264</v>
      </c>
      <c r="C96" s="976" t="s">
        <v>464</v>
      </c>
      <c r="D96" s="992">
        <f ca="1">HLOOKUP($H105,Supplementary!$C$44:$AF$46,3,FALSE)*D105*D$111</f>
        <v>0</v>
      </c>
      <c r="E96" s="555">
        <f ca="1">HLOOKUP($H105,Supplementary!$C$44:$AF$46,3,FALSE)*E105*E$111</f>
        <v>0</v>
      </c>
      <c r="F96" s="555">
        <f ca="1">HLOOKUP($H105,Supplementary!$C$44:$AF$46,3,FALSE)*F105*F$111</f>
        <v>0</v>
      </c>
      <c r="G96" s="555">
        <f ca="1">HLOOKUP($H105,Supplementary!$C$44:$AF$46,3,FALSE)*G105*G$111</f>
        <v>0</v>
      </c>
      <c r="H96" s="555">
        <f t="shared" si="2"/>
        <v>2015</v>
      </c>
      <c r="I96" s="555"/>
      <c r="J96" s="965"/>
      <c r="N96" s="991"/>
      <c r="O96" s="991"/>
      <c r="P96" s="991"/>
      <c r="Q96" s="991"/>
    </row>
    <row r="97" spans="1:17">
      <c r="B97" s="995" t="s">
        <v>165</v>
      </c>
      <c r="C97" s="976" t="s">
        <v>464</v>
      </c>
      <c r="D97" s="992">
        <f ca="1">HLOOKUP($H106,Supplementary!$C$44:$AF$46,3,FALSE)*D106</f>
        <v>-31.610181200962845</v>
      </c>
      <c r="E97" s="555">
        <f ca="1">HLOOKUP($H106,Supplementary!$C$44:$AF$46,3,FALSE)*E106</f>
        <v>-31.134306950035715</v>
      </c>
      <c r="F97" s="555">
        <f ca="1">HLOOKUP($H106,Supplementary!$C$44:$AF$46,3,FALSE)*F106</f>
        <v>-35.415439650441712</v>
      </c>
      <c r="G97" s="555">
        <f ca="1">HLOOKUP($H106,Supplementary!$C$44:$AF$46,3,FALSE)*G106</f>
        <v>-35.415439650441712</v>
      </c>
      <c r="H97" s="555">
        <f t="shared" si="2"/>
        <v>2015</v>
      </c>
      <c r="I97" s="555"/>
      <c r="J97" s="965"/>
      <c r="N97" s="991"/>
      <c r="O97" s="991"/>
      <c r="P97" s="991"/>
      <c r="Q97" s="991"/>
    </row>
    <row r="98" spans="1:17">
      <c r="B98" s="975"/>
      <c r="C98" s="976"/>
      <c r="D98" s="992"/>
      <c r="E98" s="983"/>
      <c r="F98" s="983"/>
      <c r="G98" s="983"/>
      <c r="H98" s="983"/>
      <c r="I98" s="555"/>
      <c r="J98" s="965"/>
      <c r="N98" s="991"/>
      <c r="O98" s="991"/>
      <c r="P98" s="991"/>
      <c r="Q98" s="991"/>
    </row>
    <row r="99" spans="1:17">
      <c r="B99" s="975" t="s">
        <v>2117</v>
      </c>
      <c r="C99" s="976"/>
      <c r="D99" s="992"/>
      <c r="E99" s="983"/>
      <c r="F99" s="983"/>
      <c r="G99" s="983"/>
      <c r="H99" s="983"/>
      <c r="I99" s="555"/>
      <c r="J99" s="965"/>
      <c r="N99" s="991"/>
      <c r="O99" s="991"/>
      <c r="P99" s="991"/>
      <c r="Q99" s="991"/>
    </row>
    <row r="100" spans="1:17">
      <c r="B100" s="964" t="s">
        <v>157</v>
      </c>
      <c r="C100" s="976" t="s">
        <v>61</v>
      </c>
      <c r="D100" s="992">
        <f>D178*dkkPerEUR*D160</f>
        <v>2034130120.0000002</v>
      </c>
      <c r="E100" s="992">
        <f t="shared" ref="E100:G103" si="3">$D100</f>
        <v>2034130120.0000002</v>
      </c>
      <c r="F100" s="992">
        <f t="shared" si="3"/>
        <v>2034130120.0000002</v>
      </c>
      <c r="G100" s="992">
        <f t="shared" si="3"/>
        <v>2034130120.0000002</v>
      </c>
      <c r="H100" s="1668">
        <v>2011</v>
      </c>
      <c r="I100" s="555"/>
      <c r="J100" s="965"/>
      <c r="N100" s="991"/>
      <c r="O100" s="991"/>
      <c r="P100" s="991"/>
      <c r="Q100" s="991"/>
    </row>
    <row r="101" spans="1:17">
      <c r="B101" s="964" t="s">
        <v>160</v>
      </c>
      <c r="C101" s="976" t="s">
        <v>464</v>
      </c>
      <c r="D101" s="993">
        <f ca="1">SUM(D102:D106)</f>
        <v>28.984753279683744</v>
      </c>
      <c r="E101" s="978">
        <f t="shared" ca="1" si="3"/>
        <v>28.984753279683744</v>
      </c>
      <c r="F101" s="978">
        <f t="shared" ca="1" si="3"/>
        <v>28.984753279683744</v>
      </c>
      <c r="G101" s="978">
        <f t="shared" ca="1" si="3"/>
        <v>28.984753279683744</v>
      </c>
      <c r="H101" s="1668">
        <v>2011</v>
      </c>
      <c r="I101" s="994"/>
      <c r="J101" s="965"/>
      <c r="N101" s="991"/>
      <c r="O101" s="991"/>
      <c r="P101" s="991"/>
      <c r="Q101" s="991"/>
    </row>
    <row r="102" spans="1:17">
      <c r="B102" s="995" t="s">
        <v>162</v>
      </c>
      <c r="C102" s="976" t="s">
        <v>464</v>
      </c>
      <c r="D102" s="993">
        <f ca="1">PMT(rSØK,D34,-D100)/(D32*D33)</f>
        <v>26.124177898737422</v>
      </c>
      <c r="E102" s="978">
        <f t="shared" ca="1" si="3"/>
        <v>26.124177898737422</v>
      </c>
      <c r="F102" s="978">
        <f t="shared" ca="1" si="3"/>
        <v>26.124177898737422</v>
      </c>
      <c r="G102" s="978">
        <f t="shared" ca="1" si="3"/>
        <v>26.124177898737422</v>
      </c>
      <c r="H102" s="1668">
        <v>2011</v>
      </c>
      <c r="I102" s="994"/>
      <c r="J102" s="965"/>
      <c r="N102" s="991"/>
      <c r="O102" s="991"/>
      <c r="P102" s="991"/>
      <c r="Q102" s="991"/>
    </row>
    <row r="103" spans="1:17">
      <c r="B103" s="995" t="s">
        <v>163</v>
      </c>
      <c r="C103" s="976" t="s">
        <v>464</v>
      </c>
      <c r="D103" s="480">
        <f>IF(D142&gt;0,D178*D142*dkkPerEUR,D179*dkkPerEUR)</f>
        <v>32.5565</v>
      </c>
      <c r="E103" s="480">
        <f t="shared" si="3"/>
        <v>32.5565</v>
      </c>
      <c r="F103" s="480">
        <f t="shared" si="3"/>
        <v>32.5565</v>
      </c>
      <c r="G103" s="480">
        <f t="shared" si="3"/>
        <v>32.5565</v>
      </c>
      <c r="H103" s="1668">
        <v>2011</v>
      </c>
      <c r="I103" s="555"/>
      <c r="J103" s="965"/>
      <c r="N103" s="991"/>
      <c r="O103" s="991"/>
      <c r="P103" s="991"/>
      <c r="Q103" s="991"/>
    </row>
    <row r="104" spans="1:17">
      <c r="A104" s="530">
        <v>6</v>
      </c>
      <c r="B104" s="995" t="s">
        <v>164</v>
      </c>
      <c r="C104" s="976" t="s">
        <v>464</v>
      </c>
      <c r="D104" s="997"/>
      <c r="E104" s="997"/>
      <c r="F104" s="997"/>
      <c r="G104" s="997"/>
      <c r="H104" s="1668">
        <v>2011</v>
      </c>
      <c r="I104" s="555"/>
      <c r="J104" s="965"/>
      <c r="N104" s="991"/>
      <c r="O104" s="991"/>
      <c r="P104" s="991"/>
      <c r="Q104" s="991"/>
    </row>
    <row r="105" spans="1:17">
      <c r="B105" s="995" t="s">
        <v>264</v>
      </c>
      <c r="C105" s="976" t="s">
        <v>464</v>
      </c>
      <c r="D105" s="997"/>
      <c r="E105" s="997"/>
      <c r="F105" s="997"/>
      <c r="G105" s="997"/>
      <c r="H105" s="1668">
        <v>2011</v>
      </c>
      <c r="I105" s="555"/>
      <c r="J105" s="965"/>
      <c r="N105" s="991"/>
      <c r="O105" s="991"/>
      <c r="P105" s="991"/>
      <c r="Q105" s="991"/>
    </row>
    <row r="106" spans="1:17">
      <c r="B106" s="995" t="s">
        <v>165</v>
      </c>
      <c r="C106" s="976" t="s">
        <v>464</v>
      </c>
      <c r="D106" s="996">
        <f ca="1">-SUMPRODUCT(D37:D56,ProcessEnergy!M35:M54)/D86</f>
        <v>-29.695924619053677</v>
      </c>
      <c r="E106" s="996">
        <f ca="1">-SUMPRODUCT(E37:E56,ProcessEnergy!N35:N54)/E86</f>
        <v>-29.248868469838996</v>
      </c>
      <c r="F106" s="996">
        <f ca="1">-SUMPRODUCT(F37:F56,ProcessEnergy!O35:O54)/F86</f>
        <v>-33.270743357147452</v>
      </c>
      <c r="G106" s="996">
        <f ca="1">-SUMPRODUCT(G37:G56,ProcessEnergy!P35:P54)/G86</f>
        <v>-33.270743357147452</v>
      </c>
      <c r="H106" s="1668">
        <v>2011</v>
      </c>
      <c r="I106" s="555"/>
      <c r="J106" s="965"/>
      <c r="N106" s="991"/>
      <c r="O106" s="991"/>
      <c r="P106" s="991"/>
      <c r="Q106" s="991"/>
    </row>
    <row r="107" spans="1:17">
      <c r="B107" s="995"/>
      <c r="C107" s="976"/>
      <c r="D107" s="2311"/>
      <c r="E107" s="2311"/>
      <c r="F107" s="2311"/>
      <c r="G107" s="2311"/>
      <c r="H107" s="983"/>
      <c r="I107" s="994"/>
      <c r="J107" s="965"/>
      <c r="N107" s="991"/>
      <c r="O107" s="991"/>
      <c r="P107" s="991"/>
      <c r="Q107" s="991"/>
    </row>
    <row r="108" spans="1:17">
      <c r="B108" s="975" t="s">
        <v>2113</v>
      </c>
      <c r="C108" s="976"/>
      <c r="D108" s="983"/>
      <c r="E108" s="983"/>
      <c r="F108" s="983"/>
      <c r="G108" s="983"/>
      <c r="H108" s="983"/>
      <c r="I108" s="994"/>
      <c r="J108" s="965"/>
      <c r="N108" s="991"/>
      <c r="O108" s="991"/>
      <c r="P108" s="991"/>
      <c r="Q108" s="991"/>
    </row>
    <row r="109" spans="1:17">
      <c r="B109" s="995" t="s">
        <v>2114</v>
      </c>
      <c r="C109" s="976"/>
      <c r="D109" s="1696">
        <v>0.95</v>
      </c>
      <c r="E109" s="1696">
        <v>0.95</v>
      </c>
      <c r="F109" s="1696">
        <v>0.95</v>
      </c>
      <c r="G109" s="1696">
        <v>0.95</v>
      </c>
      <c r="H109" s="983"/>
      <c r="I109" s="994"/>
      <c r="J109" s="965"/>
      <c r="N109" s="991"/>
      <c r="O109" s="991"/>
      <c r="P109" s="991"/>
      <c r="Q109" s="991"/>
    </row>
    <row r="110" spans="1:17">
      <c r="B110" s="995" t="s">
        <v>2666</v>
      </c>
      <c r="C110" s="976"/>
      <c r="D110" s="478">
        <f ca="1">OFFSET(Supplementary!C$237,MATCH($C$19,Supplementary!$B$238:$B$241,0),0)</f>
        <v>1</v>
      </c>
      <c r="E110" s="478">
        <f ca="1">OFFSET(Supplementary!D$237,MATCH($C$19,Supplementary!$B$238:$B$241,0),0)</f>
        <v>2</v>
      </c>
      <c r="F110" s="478">
        <f ca="1">OFFSET(Supplementary!E$237,MATCH($C$19,Supplementary!$B$238:$B$241,0),0)</f>
        <v>6</v>
      </c>
      <c r="G110" s="478">
        <f ca="1">OFFSET(Supplementary!F$237,MATCH($C$19,Supplementary!$B$238:$B$241,0),0)</f>
        <v>12</v>
      </c>
      <c r="H110" s="983"/>
      <c r="I110" s="994"/>
      <c r="J110" s="965"/>
      <c r="N110" s="991"/>
      <c r="O110" s="991"/>
      <c r="P110" s="991"/>
      <c r="Q110" s="991"/>
    </row>
    <row r="111" spans="1:17">
      <c r="B111" s="995" t="s">
        <v>2115</v>
      </c>
      <c r="C111" s="976"/>
      <c r="D111" s="1698">
        <f ca="1">1*D109^(D110-1)</f>
        <v>1</v>
      </c>
      <c r="E111" s="1698">
        <f ca="1">1*E109^(E110-1)</f>
        <v>0.95</v>
      </c>
      <c r="F111" s="1698">
        <f ca="1">1*F109^(F110-1)</f>
        <v>0.77378093749999999</v>
      </c>
      <c r="G111" s="1698">
        <f ca="1">1*G109^(G110-1)</f>
        <v>0.56880009227645989</v>
      </c>
      <c r="H111" s="983"/>
      <c r="I111" s="994"/>
      <c r="J111" s="965"/>
      <c r="N111" s="991"/>
      <c r="O111" s="991"/>
      <c r="P111" s="991"/>
      <c r="Q111" s="991"/>
    </row>
    <row r="112" spans="1:17">
      <c r="B112" s="995"/>
      <c r="C112" s="976"/>
      <c r="D112" s="983"/>
      <c r="E112" s="983"/>
      <c r="F112" s="983"/>
      <c r="G112" s="983"/>
      <c r="H112" s="983"/>
      <c r="I112" s="994"/>
      <c r="J112" s="965"/>
      <c r="N112" s="991"/>
      <c r="O112" s="991"/>
      <c r="P112" s="991"/>
      <c r="Q112" s="991"/>
    </row>
    <row r="113" spans="2:17">
      <c r="B113" s="975" t="s">
        <v>166</v>
      </c>
      <c r="C113" s="976"/>
      <c r="D113" s="983"/>
      <c r="E113" s="983"/>
      <c r="F113" s="983"/>
      <c r="G113" s="983"/>
      <c r="H113" s="983"/>
      <c r="I113" s="994"/>
      <c r="J113" s="965"/>
      <c r="N113" s="998"/>
      <c r="O113" s="998"/>
      <c r="P113" s="998"/>
      <c r="Q113" s="991"/>
    </row>
    <row r="114" spans="2:17">
      <c r="B114" s="964" t="s">
        <v>24</v>
      </c>
      <c r="C114" s="976" t="s">
        <v>465</v>
      </c>
      <c r="D114" s="999">
        <v>0</v>
      </c>
      <c r="E114" s="999">
        <v>0</v>
      </c>
      <c r="F114" s="999">
        <v>0</v>
      </c>
      <c r="G114" s="999"/>
      <c r="H114" s="999"/>
      <c r="I114" s="1335" t="s">
        <v>1747</v>
      </c>
      <c r="J114" s="965"/>
      <c r="N114" s="991"/>
      <c r="O114" s="991"/>
      <c r="P114" s="991"/>
      <c r="Q114" s="991"/>
    </row>
    <row r="115" spans="2:17">
      <c r="B115" s="964" t="s">
        <v>27</v>
      </c>
      <c r="C115" s="976" t="s">
        <v>465</v>
      </c>
      <c r="D115" s="999">
        <v>0</v>
      </c>
      <c r="E115" s="999">
        <v>0</v>
      </c>
      <c r="F115" s="999">
        <v>0</v>
      </c>
      <c r="G115" s="999"/>
      <c r="H115" s="999"/>
      <c r="I115" s="1335" t="s">
        <v>1747</v>
      </c>
      <c r="J115" s="965"/>
      <c r="N115" s="991"/>
      <c r="O115" s="991"/>
      <c r="P115" s="991"/>
      <c r="Q115" s="991"/>
    </row>
    <row r="116" spans="2:17">
      <c r="B116" s="964" t="s">
        <v>28</v>
      </c>
      <c r="C116" s="976" t="s">
        <v>465</v>
      </c>
      <c r="D116" s="999">
        <v>0</v>
      </c>
      <c r="E116" s="999">
        <v>0</v>
      </c>
      <c r="F116" s="999">
        <v>0</v>
      </c>
      <c r="G116" s="999"/>
      <c r="H116" s="999"/>
      <c r="I116" s="1335" t="s">
        <v>1747</v>
      </c>
      <c r="J116" s="965"/>
      <c r="N116" s="991"/>
      <c r="O116" s="991"/>
      <c r="P116" s="991"/>
      <c r="Q116" s="991"/>
    </row>
    <row r="117" spans="2:17">
      <c r="B117" s="964" t="s">
        <v>26</v>
      </c>
      <c r="C117" s="976" t="s">
        <v>465</v>
      </c>
      <c r="D117" s="999">
        <v>0</v>
      </c>
      <c r="E117" s="999">
        <v>0</v>
      </c>
      <c r="F117" s="999">
        <v>0</v>
      </c>
      <c r="G117" s="999"/>
      <c r="H117" s="999"/>
      <c r="I117" s="1335" t="s">
        <v>1747</v>
      </c>
      <c r="J117" s="965"/>
      <c r="N117" s="991"/>
      <c r="O117" s="991"/>
      <c r="P117" s="991"/>
      <c r="Q117" s="991"/>
    </row>
    <row r="118" spans="2:17">
      <c r="B118" s="964" t="s">
        <v>167</v>
      </c>
      <c r="C118" s="976" t="s">
        <v>465</v>
      </c>
      <c r="D118" s="999">
        <v>0</v>
      </c>
      <c r="E118" s="999">
        <v>0</v>
      </c>
      <c r="F118" s="999">
        <v>0</v>
      </c>
      <c r="G118" s="999"/>
      <c r="H118" s="999"/>
      <c r="I118" s="1335" t="s">
        <v>1747</v>
      </c>
      <c r="J118" s="965"/>
      <c r="N118" s="998"/>
      <c r="O118" s="998"/>
      <c r="P118" s="998"/>
      <c r="Q118" s="998"/>
    </row>
    <row r="119" spans="2:17">
      <c r="B119" s="964" t="s">
        <v>45</v>
      </c>
      <c r="C119" s="976" t="s">
        <v>465</v>
      </c>
      <c r="D119" s="1000"/>
      <c r="E119" s="1000"/>
      <c r="F119" s="1000"/>
      <c r="G119" s="1000"/>
      <c r="H119" s="1000"/>
      <c r="I119" s="555"/>
      <c r="J119" s="965"/>
    </row>
    <row r="120" spans="2:17" ht="13.5" thickBot="1">
      <c r="B120" s="1001"/>
      <c r="C120" s="1002"/>
      <c r="D120" s="1003"/>
      <c r="E120" s="968"/>
      <c r="F120" s="968"/>
      <c r="G120" s="968"/>
      <c r="H120" s="968"/>
      <c r="I120" s="1004"/>
      <c r="J120" s="969"/>
    </row>
    <row r="123" spans="2:17" ht="18.75">
      <c r="B123" s="1005" t="s">
        <v>172</v>
      </c>
    </row>
    <row r="124" spans="2:17" ht="15.75">
      <c r="B124" s="1006"/>
      <c r="D124" s="1007"/>
    </row>
    <row r="125" spans="2:17">
      <c r="B125" s="555"/>
      <c r="C125" s="555"/>
      <c r="D125" s="555"/>
      <c r="E125" s="555"/>
      <c r="F125" s="555"/>
      <c r="G125" s="555"/>
      <c r="H125" s="555"/>
      <c r="I125" s="555"/>
      <c r="J125" s="555"/>
      <c r="K125" s="555"/>
      <c r="L125" s="555"/>
    </row>
    <row r="126" spans="2:17">
      <c r="B126" s="555"/>
      <c r="C126" s="977"/>
      <c r="D126" s="977"/>
      <c r="E126" s="977"/>
      <c r="F126" s="977"/>
      <c r="G126" s="977"/>
      <c r="H126" s="977"/>
      <c r="I126" s="555"/>
      <c r="J126" s="977"/>
      <c r="K126" s="977"/>
      <c r="L126" s="977"/>
    </row>
    <row r="127" spans="2:17">
      <c r="B127" s="555"/>
      <c r="C127" s="555"/>
      <c r="D127" s="993"/>
      <c r="E127" s="993"/>
      <c r="F127" s="993"/>
      <c r="G127" s="993"/>
      <c r="H127" s="993"/>
      <c r="I127" s="555"/>
      <c r="J127" s="993"/>
      <c r="K127" s="993"/>
      <c r="L127" s="993"/>
    </row>
    <row r="128" spans="2:17">
      <c r="B128" s="555"/>
      <c r="C128" s="555"/>
      <c r="D128" s="993"/>
      <c r="E128" s="993"/>
      <c r="F128" s="993"/>
      <c r="G128" s="993"/>
      <c r="H128" s="993"/>
      <c r="I128" s="555"/>
      <c r="J128" s="993"/>
      <c r="K128" s="993"/>
      <c r="L128" s="993"/>
    </row>
    <row r="129" spans="2:12">
      <c r="B129" s="555"/>
      <c r="C129" s="555"/>
      <c r="D129" s="993"/>
      <c r="E129" s="993"/>
      <c r="F129" s="993"/>
      <c r="G129" s="993"/>
      <c r="H129" s="993"/>
      <c r="I129" s="555"/>
      <c r="J129" s="993"/>
      <c r="K129" s="993"/>
      <c r="L129" s="993"/>
    </row>
    <row r="130" spans="2:12">
      <c r="D130" s="993"/>
      <c r="E130" s="993"/>
      <c r="F130" s="993"/>
      <c r="G130" s="993"/>
      <c r="H130" s="993"/>
      <c r="I130" s="555"/>
      <c r="J130" s="993"/>
      <c r="K130" s="993"/>
      <c r="L130" s="993"/>
    </row>
    <row r="131" spans="2:12">
      <c r="D131" s="993"/>
      <c r="E131" s="993"/>
      <c r="F131" s="993"/>
      <c r="G131" s="993"/>
      <c r="H131" s="993"/>
      <c r="I131" s="555"/>
      <c r="J131" s="993"/>
      <c r="K131" s="993"/>
      <c r="L131" s="993"/>
    </row>
    <row r="132" spans="2:12">
      <c r="B132" s="555"/>
      <c r="C132" s="555"/>
      <c r="D132" s="993"/>
      <c r="E132" s="993"/>
      <c r="F132" s="993"/>
      <c r="G132" s="993"/>
      <c r="H132" s="993"/>
      <c r="I132" s="555"/>
      <c r="J132" s="993"/>
      <c r="K132" s="993"/>
      <c r="L132" s="993"/>
    </row>
    <row r="133" spans="2:12">
      <c r="B133" s="555"/>
      <c r="C133" s="555"/>
      <c r="D133" s="993"/>
      <c r="E133" s="993"/>
      <c r="F133" s="993"/>
      <c r="G133" s="993"/>
      <c r="H133" s="993"/>
      <c r="I133" s="555"/>
      <c r="J133" s="993"/>
      <c r="K133" s="993"/>
      <c r="L133" s="993"/>
    </row>
    <row r="134" spans="2:12">
      <c r="D134" s="993"/>
    </row>
    <row r="136" spans="2:12" ht="18.75">
      <c r="B136" s="1005" t="s">
        <v>168</v>
      </c>
    </row>
    <row r="137" spans="2:12" ht="15.75">
      <c r="B137" s="1006"/>
    </row>
    <row r="138" spans="2:12" ht="13.5" thickBot="1">
      <c r="B138" s="555"/>
      <c r="C138" s="555"/>
      <c r="D138" s="555"/>
      <c r="E138" s="555"/>
      <c r="F138" s="555"/>
      <c r="G138" s="555"/>
      <c r="H138" s="555"/>
      <c r="I138" s="555"/>
    </row>
    <row r="139" spans="2:12">
      <c r="B139" s="1008"/>
      <c r="C139" s="1009" t="s">
        <v>70</v>
      </c>
      <c r="D139" s="1010">
        <v>2015</v>
      </c>
      <c r="E139" s="1009">
        <v>2020</v>
      </c>
      <c r="F139" s="1009">
        <v>2035</v>
      </c>
      <c r="G139" s="1009"/>
      <c r="H139" s="1009"/>
      <c r="I139" s="1011" t="s">
        <v>145</v>
      </c>
      <c r="J139" s="1012" t="s">
        <v>146</v>
      </c>
    </row>
    <row r="140" spans="2:12">
      <c r="B140" s="964"/>
      <c r="C140" s="977"/>
      <c r="D140" s="1013"/>
      <c r="E140" s="1014"/>
      <c r="F140" s="1014"/>
      <c r="G140" s="1014"/>
      <c r="H140" s="1014"/>
      <c r="I140" s="555"/>
      <c r="J140" s="965"/>
    </row>
    <row r="141" spans="2:12">
      <c r="B141" s="964"/>
      <c r="C141" s="977"/>
      <c r="D141" s="1015"/>
      <c r="E141" s="1016"/>
      <c r="F141" s="1016"/>
      <c r="G141" s="1016"/>
      <c r="H141" s="1016"/>
      <c r="I141" s="555"/>
      <c r="J141" s="965"/>
    </row>
    <row r="142" spans="2:12">
      <c r="B142" s="964" t="s">
        <v>2096</v>
      </c>
      <c r="C142" s="555" t="s">
        <v>29</v>
      </c>
      <c r="D142" s="1681">
        <v>0.1</v>
      </c>
      <c r="E142" s="1682">
        <v>0.1</v>
      </c>
      <c r="F142" s="1682">
        <v>0.1</v>
      </c>
      <c r="G142" s="1682">
        <v>0.1</v>
      </c>
      <c r="H142" s="1018"/>
      <c r="I142" s="1335"/>
      <c r="J142" s="965" t="s">
        <v>2097</v>
      </c>
    </row>
    <row r="143" spans="2:12">
      <c r="B143" s="964"/>
      <c r="C143" s="977"/>
      <c r="D143" s="1015"/>
      <c r="E143" s="1016"/>
      <c r="F143" s="1016"/>
      <c r="G143" s="1016"/>
      <c r="H143" s="1016"/>
      <c r="I143" s="555"/>
      <c r="J143" s="965"/>
    </row>
    <row r="144" spans="2:12">
      <c r="B144" s="964"/>
      <c r="C144" s="977"/>
      <c r="D144" s="1015"/>
      <c r="E144" s="1016"/>
      <c r="F144" s="1016"/>
      <c r="G144" s="1016"/>
      <c r="H144" s="1016"/>
      <c r="I144" s="555"/>
      <c r="J144" s="965"/>
    </row>
    <row r="145" spans="2:10">
      <c r="B145" s="964" t="s">
        <v>22</v>
      </c>
      <c r="C145" s="977" t="s">
        <v>249</v>
      </c>
      <c r="D145" s="1019"/>
      <c r="E145" s="979"/>
      <c r="F145" s="979"/>
      <c r="G145" s="979"/>
      <c r="H145" s="979"/>
      <c r="I145" s="555"/>
      <c r="J145" s="965"/>
    </row>
    <row r="146" spans="2:10">
      <c r="B146" s="964"/>
      <c r="C146" s="976"/>
      <c r="D146" s="1016"/>
      <c r="E146" s="1016"/>
      <c r="F146" s="1016"/>
      <c r="G146" s="1016"/>
      <c r="H146" s="1016"/>
      <c r="I146" s="555"/>
      <c r="J146" s="965"/>
    </row>
    <row r="147" spans="2:10" ht="13.5" thickBot="1">
      <c r="B147" s="967"/>
      <c r="C147" s="1020"/>
      <c r="D147" s="1021"/>
      <c r="E147" s="1021"/>
      <c r="F147" s="1021"/>
      <c r="G147" s="1021"/>
      <c r="H147" s="1021"/>
      <c r="I147" s="968"/>
      <c r="J147" s="969"/>
    </row>
    <row r="150" spans="2:10" ht="13.5" thickBot="1"/>
    <row r="151" spans="2:10">
      <c r="B151" s="1040"/>
      <c r="C151" s="1340"/>
      <c r="D151" s="1064"/>
    </row>
    <row r="152" spans="2:10">
      <c r="B152" s="1065" t="s">
        <v>1095</v>
      </c>
      <c r="C152" s="1367">
        <v>0.75</v>
      </c>
      <c r="D152" s="1067" t="s">
        <v>1762</v>
      </c>
    </row>
    <row r="153" spans="2:10" ht="13.5" thickBot="1">
      <c r="B153" s="1022" t="s">
        <v>1096</v>
      </c>
      <c r="C153" s="1341">
        <f>(100-D165)/100</f>
        <v>0.46799999999999997</v>
      </c>
      <c r="D153" s="1342" t="s">
        <v>1762</v>
      </c>
    </row>
    <row r="154" spans="2:10">
      <c r="B154" s="530" t="str">
        <f>CONCATENATE("Source: ",Referencer!$B$48)</f>
        <v>Source: 42, FORCE, Danish Energy Agency, 2013, Technology data for advanced bioenergy fuels.</v>
      </c>
    </row>
    <row r="155" spans="2:10" ht="13.5" thickBot="1">
      <c r="B155" s="555"/>
      <c r="C155" s="968"/>
    </row>
    <row r="156" spans="2:10" ht="18.75">
      <c r="B156" s="1023" t="s">
        <v>1260</v>
      </c>
      <c r="C156" s="1024"/>
      <c r="D156" s="1025"/>
      <c r="E156" s="1025"/>
      <c r="F156" s="1025"/>
      <c r="G156" s="1025"/>
      <c r="H156" s="1025"/>
      <c r="I156" s="1025"/>
      <c r="J156" s="1026"/>
    </row>
    <row r="157" spans="2:10" ht="15">
      <c r="B157" s="1026"/>
      <c r="C157" s="1027"/>
      <c r="D157" s="1028">
        <v>2015</v>
      </c>
      <c r="E157" s="1028">
        <v>2020</v>
      </c>
      <c r="F157" s="1028">
        <v>2035</v>
      </c>
      <c r="G157" s="1028">
        <v>2050</v>
      </c>
      <c r="H157" s="1028"/>
      <c r="I157" s="1028" t="s">
        <v>1098</v>
      </c>
      <c r="J157" s="1338"/>
    </row>
    <row r="158" spans="2:10" ht="15">
      <c r="B158" s="1029" t="s">
        <v>1099</v>
      </c>
      <c r="C158" s="1030"/>
      <c r="D158" s="1027"/>
      <c r="E158" s="1027"/>
      <c r="F158" s="1027"/>
      <c r="G158" s="1027"/>
      <c r="H158" s="1027"/>
      <c r="I158" s="1027"/>
      <c r="J158" s="1026"/>
    </row>
    <row r="159" spans="2:10" ht="15">
      <c r="B159" s="1026" t="s">
        <v>1261</v>
      </c>
      <c r="C159" s="1027"/>
      <c r="D159" s="1368">
        <v>220000</v>
      </c>
      <c r="E159" s="1284" t="s">
        <v>1101</v>
      </c>
      <c r="F159" s="1031"/>
      <c r="G159" s="1031"/>
      <c r="H159" s="1031"/>
      <c r="I159" s="1032" t="s">
        <v>1762</v>
      </c>
      <c r="J159" s="1339"/>
    </row>
    <row r="160" spans="2:10" ht="15">
      <c r="B160" s="1026" t="s">
        <v>1262</v>
      </c>
      <c r="C160" s="1027"/>
      <c r="D160" s="1368">
        <v>6248000</v>
      </c>
      <c r="E160" s="1284" t="s">
        <v>1101</v>
      </c>
      <c r="F160" s="1031"/>
      <c r="G160" s="1031"/>
      <c r="H160" s="1031"/>
      <c r="I160" s="1032"/>
      <c r="J160" s="1339"/>
    </row>
    <row r="161" spans="2:10" ht="15">
      <c r="B161" s="1026" t="s">
        <v>1263</v>
      </c>
      <c r="C161" s="1027"/>
      <c r="D161" s="1375">
        <v>1.9</v>
      </c>
      <c r="E161" s="1284" t="s">
        <v>1101</v>
      </c>
      <c r="F161" s="1031"/>
      <c r="G161" s="1031"/>
      <c r="H161" s="1031"/>
      <c r="I161" s="1032"/>
      <c r="J161" s="1339"/>
    </row>
    <row r="162" spans="2:10" ht="15">
      <c r="B162" s="1026" t="s">
        <v>1264</v>
      </c>
      <c r="C162" s="1027"/>
      <c r="D162" s="1375">
        <v>6.7</v>
      </c>
      <c r="E162" s="1284" t="s">
        <v>1101</v>
      </c>
      <c r="F162" s="1031"/>
      <c r="G162" s="1031"/>
      <c r="H162" s="1031"/>
      <c r="I162" s="1032"/>
      <c r="J162" s="1339"/>
    </row>
    <row r="163" spans="2:10" ht="15">
      <c r="B163" s="1026" t="s">
        <v>1265</v>
      </c>
      <c r="C163" s="1027"/>
      <c r="D163" s="1375">
        <v>1.9</v>
      </c>
      <c r="E163" s="1284" t="s">
        <v>1101</v>
      </c>
      <c r="F163" s="1031"/>
      <c r="G163" s="1031"/>
      <c r="H163" s="1031"/>
      <c r="I163" s="1032"/>
      <c r="J163" s="1339"/>
    </row>
    <row r="164" spans="2:10" ht="15">
      <c r="B164" s="1026" t="s">
        <v>1266</v>
      </c>
      <c r="C164" s="1027"/>
      <c r="D164" s="1370">
        <v>53.2</v>
      </c>
      <c r="E164" s="1284" t="s">
        <v>1101</v>
      </c>
      <c r="F164" s="1031"/>
      <c r="G164" s="1031"/>
      <c r="H164" s="1031"/>
      <c r="I164" s="1032"/>
      <c r="J164" s="1339"/>
    </row>
    <row r="165" spans="2:10" ht="15">
      <c r="B165" s="1026" t="s">
        <v>1107</v>
      </c>
      <c r="C165" s="1027"/>
      <c r="D165" s="1370">
        <v>53.2</v>
      </c>
      <c r="E165" s="1284" t="s">
        <v>1101</v>
      </c>
      <c r="F165" s="1031"/>
      <c r="G165" s="1031"/>
      <c r="H165" s="1031"/>
      <c r="I165" s="1032"/>
      <c r="J165" s="1339"/>
    </row>
    <row r="166" spans="2:10" ht="15">
      <c r="B166" s="1026" t="s">
        <v>1108</v>
      </c>
      <c r="C166" s="1027"/>
      <c r="D166" s="1370">
        <v>88</v>
      </c>
      <c r="E166" s="1284" t="s">
        <v>1101</v>
      </c>
      <c r="F166" s="1031"/>
      <c r="G166" s="1031"/>
      <c r="H166" s="1031"/>
      <c r="I166" s="1032"/>
      <c r="J166" s="1339"/>
    </row>
    <row r="167" spans="2:10" ht="15">
      <c r="B167" s="1026"/>
      <c r="C167" s="1027"/>
      <c r="D167" s="1370"/>
      <c r="E167" s="1031"/>
      <c r="F167" s="1031"/>
      <c r="G167" s="1031"/>
      <c r="H167" s="1031"/>
      <c r="I167" s="1032"/>
      <c r="J167" s="1339"/>
    </row>
    <row r="168" spans="2:10" ht="15">
      <c r="B168" s="1026"/>
      <c r="C168" s="1027"/>
      <c r="D168" s="1370"/>
      <c r="E168" s="1031"/>
      <c r="F168" s="1031"/>
      <c r="G168" s="1031"/>
      <c r="H168" s="1031"/>
      <c r="I168" s="1032"/>
      <c r="J168" s="1339"/>
    </row>
    <row r="169" spans="2:10" ht="15">
      <c r="B169" s="1026"/>
      <c r="C169" s="1027"/>
      <c r="D169" s="1370"/>
      <c r="E169" s="1031"/>
      <c r="F169" s="1031"/>
      <c r="G169" s="1031"/>
      <c r="H169" s="1031"/>
      <c r="I169" s="1032"/>
      <c r="J169" s="1339"/>
    </row>
    <row r="170" spans="2:10" ht="15">
      <c r="B170" s="1026"/>
      <c r="C170" s="1027"/>
      <c r="D170" s="1370"/>
      <c r="E170" s="1031"/>
      <c r="F170" s="1031"/>
      <c r="G170" s="1031"/>
      <c r="H170" s="1031"/>
      <c r="I170" s="1032"/>
      <c r="J170" s="1339"/>
    </row>
    <row r="171" spans="2:10" ht="15">
      <c r="B171" s="1026"/>
      <c r="C171" s="1027"/>
      <c r="D171" s="1370"/>
      <c r="E171" s="1031"/>
      <c r="F171" s="1031"/>
      <c r="G171" s="1031"/>
      <c r="H171" s="1031"/>
      <c r="I171" s="1032"/>
      <c r="J171" s="1339"/>
    </row>
    <row r="172" spans="2:10" ht="15">
      <c r="B172" s="1026"/>
      <c r="C172" s="1027"/>
      <c r="D172" s="1370"/>
      <c r="E172" s="1031"/>
      <c r="F172" s="1031"/>
      <c r="G172" s="1031"/>
      <c r="H172" s="1031"/>
      <c r="I172" s="1032"/>
      <c r="J172" s="1339"/>
    </row>
    <row r="173" spans="2:10" ht="15">
      <c r="B173" s="1026"/>
      <c r="C173" s="1027"/>
      <c r="D173" s="1370"/>
      <c r="E173" s="1031"/>
      <c r="F173" s="1031"/>
      <c r="G173" s="1031"/>
      <c r="H173" s="1031"/>
      <c r="I173" s="1032"/>
      <c r="J173" s="1339"/>
    </row>
    <row r="174" spans="2:10" ht="15">
      <c r="B174" s="1026"/>
      <c r="C174" s="1027"/>
      <c r="D174" s="1370"/>
      <c r="E174" s="1031"/>
      <c r="F174" s="1031"/>
      <c r="G174" s="1031"/>
      <c r="H174" s="1031"/>
      <c r="I174" s="1032"/>
      <c r="J174" s="1339"/>
    </row>
    <row r="175" spans="2:10" ht="15">
      <c r="B175" s="1026"/>
      <c r="C175" s="1027"/>
      <c r="D175" s="1370"/>
      <c r="E175" s="1031"/>
      <c r="F175" s="1031"/>
      <c r="G175" s="1031"/>
      <c r="H175" s="1031"/>
      <c r="I175" s="1032"/>
      <c r="J175" s="1339"/>
    </row>
    <row r="176" spans="2:10" ht="15">
      <c r="B176" s="1026"/>
      <c r="C176" s="1027"/>
      <c r="D176" s="1370"/>
      <c r="E176" s="1027"/>
      <c r="F176" s="1027"/>
      <c r="G176" s="1027"/>
      <c r="H176" s="1027"/>
      <c r="I176" s="1032"/>
      <c r="J176" s="1339"/>
    </row>
    <row r="177" spans="2:10" ht="15">
      <c r="B177" s="1029" t="s">
        <v>1109</v>
      </c>
      <c r="C177" s="1030"/>
      <c r="D177" s="1370"/>
      <c r="E177" s="1027"/>
      <c r="F177" s="1027"/>
      <c r="G177" s="1027"/>
      <c r="H177" s="1027"/>
      <c r="I177" s="1032"/>
      <c r="J177" s="1339"/>
    </row>
    <row r="178" spans="2:10" ht="15">
      <c r="B178" s="1026" t="s">
        <v>1267</v>
      </c>
      <c r="C178" s="1027"/>
      <c r="D178" s="1370">
        <v>43.7</v>
      </c>
      <c r="E178" s="1031" t="s">
        <v>1101</v>
      </c>
      <c r="F178" s="1031"/>
      <c r="G178" s="1031"/>
      <c r="H178" s="1031"/>
      <c r="I178" s="1032"/>
      <c r="J178" s="1339"/>
    </row>
    <row r="179" spans="2:10" ht="15.75" thickBot="1">
      <c r="B179" s="1033" t="s">
        <v>1268</v>
      </c>
      <c r="C179" s="1034"/>
      <c r="D179" s="1371">
        <v>1.3</v>
      </c>
      <c r="E179" s="1035" t="s">
        <v>1101</v>
      </c>
      <c r="F179" s="1035"/>
      <c r="G179" s="1035"/>
      <c r="H179" s="1035"/>
      <c r="I179" s="1036"/>
      <c r="J179" s="1339"/>
    </row>
    <row r="180" spans="2:10">
      <c r="B180" s="530" t="str">
        <f>CONCATENATE("Source: ",Referencer!$B$48)</f>
        <v>Source: 42, FORCE, Danish Energy Agency, 2013, Technology data for advanced bioenergy fuels.</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Supplementary!$B$238:$B$241</xm:f>
          </x14:formula1>
          <xm:sqref>C19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tabColor rgb="FF00B0F0"/>
  </sheetPr>
  <dimension ref="A1:S191"/>
  <sheetViews>
    <sheetView zoomScale="80" zoomScaleNormal="80" workbookViewId="0">
      <selection activeCell="D29" sqref="D29"/>
    </sheetView>
  </sheetViews>
  <sheetFormatPr defaultRowHeight="12.75"/>
  <cols>
    <col min="1" max="1" width="3.28515625" style="469" customWidth="1"/>
    <col min="2" max="2" width="36" style="469" customWidth="1"/>
    <col min="3" max="3" width="32.42578125" style="469" customWidth="1"/>
    <col min="4" max="7" width="15.7109375" style="469" customWidth="1"/>
    <col min="8" max="8" width="15.7109375" style="530" customWidth="1"/>
    <col min="9" max="9" width="7.28515625" style="469" customWidth="1"/>
    <col min="10" max="10" width="12.7109375" style="469" customWidth="1"/>
    <col min="11" max="17" width="9.140625" style="469"/>
    <col min="18" max="19" width="9.42578125" style="469" bestFit="1" customWidth="1"/>
    <col min="20" max="16384" width="9.140625" style="469"/>
  </cols>
  <sheetData>
    <row r="1" spans="1:19" s="465" customFormat="1" ht="21">
      <c r="B1" s="465" t="s">
        <v>2056</v>
      </c>
      <c r="Q1" s="465">
        <f ca="1">'Log2015'!M1</f>
        <v>-8.0112614142160741</v>
      </c>
      <c r="R1" s="465">
        <f ca="1">'Log2015'!N1</f>
        <v>-160807.124977848</v>
      </c>
    </row>
    <row r="2" spans="1:19">
      <c r="B2" s="469" t="s">
        <v>2057</v>
      </c>
      <c r="R2" s="1070">
        <f ca="1">R1</f>
        <v>-160807.124977848</v>
      </c>
      <c r="S2" s="1070">
        <f>S1</f>
        <v>0</v>
      </c>
    </row>
    <row r="3" spans="1:19">
      <c r="A3" s="469" t="s">
        <v>1078</v>
      </c>
    </row>
    <row r="4" spans="1:19">
      <c r="B4" s="470" t="s">
        <v>81</v>
      </c>
    </row>
    <row r="5" spans="1:19" ht="13.5" thickBot="1">
      <c r="K5" s="476"/>
      <c r="L5" s="476"/>
      <c r="M5" s="476"/>
      <c r="N5" s="476"/>
      <c r="O5" s="476"/>
      <c r="P5" s="476"/>
    </row>
    <row r="6" spans="1:19">
      <c r="B6" s="472" t="s">
        <v>137</v>
      </c>
      <c r="C6" s="473"/>
      <c r="D6" s="473"/>
      <c r="E6" s="473"/>
      <c r="F6" s="473"/>
      <c r="G6" s="473"/>
      <c r="H6" s="962"/>
      <c r="I6" s="473"/>
      <c r="J6" s="474"/>
      <c r="K6" s="476"/>
      <c r="L6" s="476"/>
      <c r="M6" s="476"/>
      <c r="N6" s="476"/>
      <c r="O6" s="476"/>
      <c r="P6" s="476"/>
    </row>
    <row r="7" spans="1:19">
      <c r="B7" s="475"/>
      <c r="C7" s="476"/>
      <c r="D7" s="476"/>
      <c r="E7" s="476"/>
      <c r="F7" s="476"/>
      <c r="G7" s="476"/>
      <c r="H7" s="555"/>
      <c r="I7" s="476"/>
      <c r="J7" s="477"/>
      <c r="K7" s="476"/>
      <c r="L7" s="476"/>
      <c r="M7" s="476"/>
      <c r="N7" s="476"/>
      <c r="O7" s="476"/>
      <c r="P7" s="476"/>
    </row>
    <row r="8" spans="1:19">
      <c r="B8" s="475"/>
      <c r="C8" s="476"/>
      <c r="D8" s="476"/>
      <c r="E8" s="476"/>
      <c r="F8" s="476"/>
      <c r="G8" s="476"/>
      <c r="H8" s="555"/>
      <c r="I8" s="476"/>
      <c r="J8" s="477"/>
      <c r="K8" s="476"/>
      <c r="L8" s="476"/>
      <c r="M8" s="476"/>
      <c r="N8" s="476"/>
      <c r="O8" s="476"/>
      <c r="P8" s="476"/>
    </row>
    <row r="9" spans="1:19">
      <c r="B9" s="475"/>
      <c r="C9" s="476"/>
      <c r="D9" s="476"/>
      <c r="E9" s="476"/>
      <c r="F9" s="476"/>
      <c r="G9" s="476"/>
      <c r="H9" s="555"/>
      <c r="I9" s="476"/>
      <c r="J9" s="477"/>
      <c r="K9" s="476"/>
      <c r="L9" s="476"/>
      <c r="M9" s="476"/>
      <c r="N9" s="476"/>
      <c r="O9" s="476"/>
      <c r="P9" s="476"/>
    </row>
    <row r="10" spans="1:19">
      <c r="B10" s="1487" t="s">
        <v>2385</v>
      </c>
      <c r="C10" s="217"/>
      <c r="D10" s="476"/>
      <c r="E10" s="476"/>
      <c r="F10" s="476"/>
      <c r="G10" s="476"/>
      <c r="H10" s="555"/>
      <c r="I10" s="476"/>
      <c r="J10" s="477"/>
      <c r="K10" s="476"/>
      <c r="L10" s="476"/>
      <c r="M10" s="476"/>
      <c r="N10" s="476"/>
      <c r="O10" s="476"/>
      <c r="P10" s="476"/>
    </row>
    <row r="11" spans="1:19">
      <c r="B11" s="475" t="s">
        <v>138</v>
      </c>
      <c r="C11" s="654" t="s">
        <v>1333</v>
      </c>
      <c r="D11" s="476"/>
      <c r="E11" s="476"/>
      <c r="F11" s="476"/>
      <c r="G11" s="476"/>
      <c r="H11" s="555"/>
      <c r="I11" s="476"/>
      <c r="J11" s="477"/>
      <c r="K11" s="476"/>
      <c r="L11" s="476"/>
      <c r="M11" s="476"/>
      <c r="N11" s="476"/>
      <c r="O11" s="476"/>
      <c r="P11" s="476"/>
    </row>
    <row r="12" spans="1:19">
      <c r="B12" s="475"/>
      <c r="C12" s="476"/>
      <c r="D12" s="476"/>
      <c r="E12" s="476"/>
      <c r="F12" s="476"/>
      <c r="G12" s="476"/>
      <c r="H12" s="555"/>
      <c r="I12" s="476"/>
      <c r="J12" s="477"/>
      <c r="K12" s="476"/>
      <c r="L12" s="476"/>
      <c r="M12" s="476"/>
      <c r="N12" s="476"/>
      <c r="O12" s="476"/>
      <c r="P12" s="476"/>
    </row>
    <row r="13" spans="1:19">
      <c r="B13" s="475" t="s">
        <v>140</v>
      </c>
      <c r="C13" s="476" t="s">
        <v>2058</v>
      </c>
      <c r="D13" s="476"/>
      <c r="E13" s="476"/>
      <c r="F13" s="476"/>
      <c r="G13" s="476"/>
      <c r="H13" s="555"/>
      <c r="I13" s="476"/>
      <c r="J13" s="477"/>
      <c r="K13" s="476"/>
      <c r="L13" s="476"/>
      <c r="M13" s="476"/>
      <c r="N13" s="476"/>
      <c r="O13" s="476"/>
      <c r="P13" s="476"/>
    </row>
    <row r="14" spans="1:19">
      <c r="B14" s="475"/>
      <c r="C14" s="476"/>
      <c r="D14" s="476"/>
      <c r="E14" s="476"/>
      <c r="F14" s="476"/>
      <c r="G14" s="476"/>
      <c r="H14" s="555"/>
      <c r="I14" s="476"/>
      <c r="J14" s="477"/>
      <c r="K14" s="476"/>
      <c r="L14" s="476"/>
      <c r="M14" s="476"/>
      <c r="N14" s="476"/>
      <c r="O14" s="476"/>
      <c r="P14" s="476"/>
    </row>
    <row r="15" spans="1:19">
      <c r="B15" s="475" t="s">
        <v>141</v>
      </c>
      <c r="C15" s="476"/>
      <c r="D15" s="476"/>
      <c r="E15" s="476"/>
      <c r="F15" s="476"/>
      <c r="G15" s="476"/>
      <c r="H15" s="555"/>
      <c r="I15" s="476"/>
      <c r="J15" s="477"/>
      <c r="K15" s="476"/>
      <c r="L15" s="476"/>
      <c r="M15" s="476"/>
      <c r="N15" s="476"/>
      <c r="O15" s="476"/>
      <c r="P15" s="476"/>
    </row>
    <row r="16" spans="1:19">
      <c r="B16" s="475"/>
      <c r="C16" s="476"/>
      <c r="D16" s="476"/>
      <c r="E16" s="476"/>
      <c r="F16" s="476"/>
      <c r="G16" s="476"/>
      <c r="H16" s="555"/>
      <c r="I16" s="476"/>
      <c r="J16" s="477"/>
      <c r="K16" s="476"/>
      <c r="L16" s="476"/>
      <c r="M16" s="476"/>
      <c r="N16" s="476"/>
      <c r="O16" s="476"/>
      <c r="P16" s="476"/>
    </row>
    <row r="17" spans="2:16">
      <c r="B17" s="475" t="s">
        <v>142</v>
      </c>
      <c r="C17" s="476"/>
      <c r="D17" s="476"/>
      <c r="E17" s="476"/>
      <c r="F17" s="476"/>
      <c r="G17" s="476"/>
      <c r="H17" s="555"/>
      <c r="I17" s="476"/>
      <c r="J17" s="477"/>
      <c r="K17" s="476"/>
      <c r="L17" s="476"/>
      <c r="M17" s="476"/>
      <c r="N17" s="476"/>
      <c r="O17" s="476"/>
      <c r="P17" s="476"/>
    </row>
    <row r="18" spans="2:16">
      <c r="B18" s="475"/>
      <c r="C18" s="476"/>
      <c r="D18" s="476"/>
      <c r="E18" s="476"/>
      <c r="F18" s="476"/>
      <c r="G18" s="476"/>
      <c r="H18" s="555"/>
      <c r="I18" s="476"/>
      <c r="J18" s="477"/>
      <c r="K18" s="476"/>
      <c r="L18" s="476"/>
      <c r="M18" s="476"/>
      <c r="N18" s="476"/>
      <c r="O18" s="476"/>
      <c r="P18" s="476"/>
    </row>
    <row r="19" spans="2:16">
      <c r="B19" s="475" t="s">
        <v>2131</v>
      </c>
      <c r="C19" s="1693" t="s">
        <v>2122</v>
      </c>
      <c r="D19" s="476"/>
      <c r="E19" s="476"/>
      <c r="F19" s="476"/>
      <c r="G19" s="476"/>
      <c r="H19" s="555"/>
      <c r="I19" s="476"/>
      <c r="J19" s="477"/>
      <c r="K19" s="476"/>
      <c r="L19" s="476"/>
      <c r="M19" s="476"/>
      <c r="N19" s="476"/>
      <c r="O19" s="476"/>
      <c r="P19" s="476"/>
    </row>
    <row r="20" spans="2:16">
      <c r="B20" s="475"/>
      <c r="C20" s="476"/>
      <c r="D20" s="476"/>
      <c r="E20" s="476"/>
      <c r="F20" s="476"/>
      <c r="G20" s="476"/>
      <c r="H20" s="555"/>
      <c r="I20" s="476"/>
      <c r="J20" s="477"/>
      <c r="K20" s="476"/>
      <c r="L20" s="476"/>
      <c r="M20" s="476"/>
      <c r="N20" s="476"/>
      <c r="O20" s="476"/>
      <c r="P20" s="476"/>
    </row>
    <row r="21" spans="2:16">
      <c r="B21" s="475" t="s">
        <v>143</v>
      </c>
      <c r="C21" s="476"/>
      <c r="D21" s="476"/>
      <c r="E21" s="476"/>
      <c r="F21" s="476"/>
      <c r="G21" s="476"/>
      <c r="H21" s="555"/>
      <c r="I21" s="476"/>
      <c r="J21" s="477"/>
      <c r="K21" s="476"/>
      <c r="L21" s="476"/>
      <c r="M21" s="476"/>
      <c r="N21" s="476"/>
      <c r="O21" s="476"/>
      <c r="P21" s="476"/>
    </row>
    <row r="22" spans="2:16">
      <c r="B22" s="475"/>
      <c r="C22" s="476"/>
      <c r="D22" s="476"/>
      <c r="E22" s="476"/>
      <c r="F22" s="476"/>
      <c r="G22" s="476"/>
      <c r="H22" s="555"/>
      <c r="I22" s="476"/>
      <c r="J22" s="477"/>
      <c r="K22" s="476"/>
      <c r="L22" s="476"/>
      <c r="M22" s="476"/>
      <c r="N22" s="476"/>
      <c r="O22" s="476"/>
      <c r="P22" s="476"/>
    </row>
    <row r="23" spans="2:16">
      <c r="B23" s="475"/>
      <c r="C23" s="476"/>
      <c r="D23" s="476"/>
      <c r="E23" s="476"/>
      <c r="F23" s="476"/>
      <c r="G23" s="476"/>
      <c r="H23" s="555"/>
      <c r="I23" s="476"/>
      <c r="J23" s="477"/>
      <c r="K23" s="476"/>
      <c r="L23" s="476"/>
      <c r="M23" s="476"/>
      <c r="N23" s="476"/>
      <c r="O23" s="476"/>
      <c r="P23" s="476"/>
    </row>
    <row r="24" spans="2:16" ht="13.5" thickBot="1">
      <c r="B24" s="481"/>
      <c r="C24" s="482"/>
      <c r="D24" s="482"/>
      <c r="E24" s="482"/>
      <c r="F24" s="482"/>
      <c r="G24" s="482"/>
      <c r="H24" s="968"/>
      <c r="I24" s="482"/>
      <c r="J24" s="483"/>
      <c r="K24" s="476"/>
      <c r="L24" s="476"/>
      <c r="M24" s="476"/>
      <c r="N24" s="476"/>
      <c r="O24" s="476"/>
      <c r="P24" s="476"/>
    </row>
    <row r="25" spans="2:16">
      <c r="F25" s="560"/>
      <c r="G25" s="560"/>
      <c r="H25" s="529"/>
      <c r="K25" s="476"/>
      <c r="L25" s="476"/>
      <c r="M25" s="476"/>
      <c r="N25" s="476"/>
      <c r="O25" s="476"/>
      <c r="P25" s="476"/>
    </row>
    <row r="26" spans="2:16">
      <c r="B26" s="470" t="s">
        <v>144</v>
      </c>
      <c r="K26" s="476"/>
      <c r="L26" s="476"/>
      <c r="M26" s="476"/>
      <c r="N26" s="476"/>
      <c r="O26" s="476"/>
      <c r="P26" s="476"/>
    </row>
    <row r="27" spans="2:16" ht="13.5" thickBot="1"/>
    <row r="28" spans="2:16">
      <c r="B28" s="472"/>
      <c r="C28" s="561"/>
      <c r="D28" s="473"/>
      <c r="E28" s="473"/>
      <c r="F28" s="473"/>
      <c r="G28" s="473"/>
      <c r="H28" s="962"/>
      <c r="I28" s="473"/>
      <c r="J28" s="474"/>
    </row>
    <row r="29" spans="2:16">
      <c r="B29" s="484"/>
      <c r="C29" s="563" t="s">
        <v>70</v>
      </c>
      <c r="D29" s="486">
        <v>2015</v>
      </c>
      <c r="E29" s="486">
        <v>2020</v>
      </c>
      <c r="F29" s="486">
        <v>2035</v>
      </c>
      <c r="G29" s="486">
        <v>2050</v>
      </c>
      <c r="H29" s="973" t="s">
        <v>978</v>
      </c>
      <c r="I29" s="485" t="s">
        <v>145</v>
      </c>
      <c r="J29" s="487" t="s">
        <v>146</v>
      </c>
    </row>
    <row r="30" spans="2:16">
      <c r="B30" s="656" t="s">
        <v>147</v>
      </c>
      <c r="C30" s="657"/>
      <c r="D30" s="658"/>
      <c r="E30" s="658"/>
      <c r="F30" s="658"/>
      <c r="G30" s="658"/>
      <c r="H30" s="977"/>
      <c r="I30" s="497"/>
      <c r="J30" s="659"/>
    </row>
    <row r="31" spans="2:16">
      <c r="B31" s="475" t="s">
        <v>148</v>
      </c>
      <c r="C31" s="210" t="s">
        <v>2054</v>
      </c>
      <c r="D31" s="566">
        <f>1/D162</f>
        <v>7.6335877862595422E-2</v>
      </c>
      <c r="E31" s="566">
        <f>$D31</f>
        <v>7.6335877862595422E-2</v>
      </c>
      <c r="F31" s="566">
        <f>$D31</f>
        <v>7.6335877862595422E-2</v>
      </c>
      <c r="G31" s="566">
        <f>$D31</f>
        <v>7.6335877862595422E-2</v>
      </c>
      <c r="H31" s="1333"/>
      <c r="I31" s="476"/>
      <c r="J31" s="477"/>
    </row>
    <row r="32" spans="2:16">
      <c r="B32" s="475" t="s">
        <v>67</v>
      </c>
      <c r="C32" s="210" t="s">
        <v>1273</v>
      </c>
      <c r="D32" s="567">
        <f>D160/D159</f>
        <v>45.416666666666664</v>
      </c>
      <c r="E32" s="566">
        <f t="shared" ref="E32:G34" si="0">$D32</f>
        <v>45.416666666666664</v>
      </c>
      <c r="F32" s="566">
        <f t="shared" si="0"/>
        <v>45.416666666666664</v>
      </c>
      <c r="G32" s="566">
        <f t="shared" si="0"/>
        <v>45.416666666666664</v>
      </c>
      <c r="H32" s="978"/>
      <c r="I32" s="476"/>
      <c r="J32" s="477"/>
    </row>
    <row r="33" spans="2:10">
      <c r="B33" s="475" t="s">
        <v>149</v>
      </c>
      <c r="C33" s="210" t="s">
        <v>1274</v>
      </c>
      <c r="D33" s="1395">
        <f>D159</f>
        <v>48000</v>
      </c>
      <c r="E33" s="1395">
        <f t="shared" si="0"/>
        <v>48000</v>
      </c>
      <c r="F33" s="1395">
        <f t="shared" si="0"/>
        <v>48000</v>
      </c>
      <c r="G33" s="1395">
        <f t="shared" si="0"/>
        <v>48000</v>
      </c>
      <c r="H33" s="1397"/>
      <c r="I33" s="476"/>
      <c r="J33" s="477"/>
    </row>
    <row r="34" spans="2:10">
      <c r="B34" s="475" t="s">
        <v>150</v>
      </c>
      <c r="C34" s="564" t="s">
        <v>34</v>
      </c>
      <c r="D34" s="1393">
        <f>20</f>
        <v>20</v>
      </c>
      <c r="E34" s="1393">
        <f t="shared" si="0"/>
        <v>20</v>
      </c>
      <c r="F34" s="1393">
        <f t="shared" si="0"/>
        <v>20</v>
      </c>
      <c r="G34" s="1393">
        <f t="shared" si="0"/>
        <v>20</v>
      </c>
      <c r="H34" s="1332"/>
      <c r="I34" s="476"/>
      <c r="J34" s="477" t="s">
        <v>1087</v>
      </c>
    </row>
    <row r="35" spans="2:10">
      <c r="B35" s="475"/>
      <c r="C35" s="571"/>
      <c r="D35" s="572"/>
      <c r="E35" s="573"/>
      <c r="F35" s="573"/>
      <c r="G35" s="573"/>
      <c r="H35" s="983"/>
      <c r="I35" s="476"/>
      <c r="J35" s="477"/>
    </row>
    <row r="36" spans="2:10">
      <c r="B36" s="570" t="s">
        <v>151</v>
      </c>
      <c r="C36" s="571"/>
      <c r="D36" s="572"/>
      <c r="E36" s="573"/>
      <c r="F36" s="573"/>
      <c r="G36" s="573"/>
      <c r="H36" s="983"/>
      <c r="I36" s="476"/>
      <c r="J36" s="477"/>
    </row>
    <row r="37" spans="2:10">
      <c r="B37" s="475" t="str">
        <f>ProcessEnergy!B35</f>
        <v xml:space="preserve">Green diesel </v>
      </c>
      <c r="C37" s="564" t="s">
        <v>725</v>
      </c>
      <c r="D37" s="2276"/>
      <c r="E37" s="2309"/>
      <c r="F37" s="2309"/>
      <c r="G37" s="2309"/>
      <c r="H37" s="984"/>
      <c r="I37" s="476"/>
    </row>
    <row r="38" spans="2:10">
      <c r="B38" s="575" t="str">
        <f>ProcessEnergy!B36</f>
        <v>Green gasoline</v>
      </c>
      <c r="C38" s="564" t="s">
        <v>725</v>
      </c>
      <c r="D38" s="574">
        <f>($D$187%+$D$188%)</f>
        <v>0.32380952380952377</v>
      </c>
      <c r="E38" s="2309">
        <f>D38</f>
        <v>0.32380952380952377</v>
      </c>
      <c r="F38" s="2309">
        <f>E38</f>
        <v>0.32380952380952377</v>
      </c>
      <c r="G38" s="2309">
        <f>F38</f>
        <v>0.32380952380952377</v>
      </c>
      <c r="H38" s="984"/>
      <c r="I38" s="476"/>
      <c r="J38" s="477" t="s">
        <v>2548</v>
      </c>
    </row>
    <row r="39" spans="2:10">
      <c r="B39" s="575" t="str">
        <f>ProcessEnergy!B37</f>
        <v>Electricity - balancing</v>
      </c>
      <c r="C39" s="564" t="s">
        <v>725</v>
      </c>
      <c r="D39" s="574"/>
      <c r="E39" s="574"/>
      <c r="F39" s="574"/>
      <c r="G39" s="574"/>
      <c r="H39" s="984"/>
      <c r="I39" s="476"/>
      <c r="J39" s="477"/>
    </row>
    <row r="40" spans="2:10">
      <c r="B40" s="575" t="str">
        <f>ProcessEnergy!B38</f>
        <v>Electricity  - continous</v>
      </c>
      <c r="C40" s="564" t="s">
        <v>725</v>
      </c>
      <c r="D40" s="566">
        <f>D189/100</f>
        <v>9.5238095238095229E-3</v>
      </c>
      <c r="E40" s="566">
        <f>$D40</f>
        <v>9.5238095238095229E-3</v>
      </c>
      <c r="F40" s="566">
        <f>$D40</f>
        <v>9.5238095238095229E-3</v>
      </c>
      <c r="G40" s="566">
        <f>$D40</f>
        <v>9.5238095238095229E-3</v>
      </c>
      <c r="H40" s="984"/>
      <c r="I40" s="476"/>
      <c r="J40" s="477"/>
    </row>
    <row r="41" spans="2:10">
      <c r="B41" s="575" t="str">
        <f>ProcessEnergy!B39</f>
        <v>Elec/heat fuel</v>
      </c>
      <c r="C41" s="564" t="s">
        <v>725</v>
      </c>
      <c r="D41" s="574"/>
      <c r="E41" s="574"/>
      <c r="F41" s="574"/>
      <c r="G41" s="574"/>
      <c r="H41" s="984"/>
      <c r="I41" s="476"/>
      <c r="J41" s="477"/>
    </row>
    <row r="42" spans="2:10">
      <c r="B42" s="575" t="str">
        <f>ProcessEnergy!B40</f>
        <v>Biogas (100% CH4)</v>
      </c>
      <c r="C42" s="564" t="s">
        <v>725</v>
      </c>
      <c r="D42" s="574"/>
      <c r="E42" s="574"/>
      <c r="F42" s="574"/>
      <c r="G42" s="574"/>
      <c r="H42" s="984"/>
      <c r="I42" s="476"/>
      <c r="J42" s="477"/>
    </row>
    <row r="43" spans="2:10">
      <c r="B43" s="575" t="str">
        <f>ProcessEnergy!B41</f>
        <v>District heating</v>
      </c>
      <c r="C43" s="564" t="s">
        <v>725</v>
      </c>
      <c r="D43" s="1071">
        <f>D190*C152/100</f>
        <v>0.21428571428571438</v>
      </c>
      <c r="E43" s="1071">
        <f>$D43</f>
        <v>0.21428571428571438</v>
      </c>
      <c r="F43" s="1071">
        <f>$D43</f>
        <v>0.21428571428571438</v>
      </c>
      <c r="G43" s="1071">
        <f>$D43</f>
        <v>0.21428571428571438</v>
      </c>
      <c r="H43" s="978"/>
      <c r="I43" s="476"/>
      <c r="J43" s="477"/>
    </row>
    <row r="44" spans="2:10">
      <c r="B44" s="575" t="str">
        <f>ProcessEnergy!B42</f>
        <v>&lt;empty&gt;</v>
      </c>
      <c r="C44" s="564"/>
      <c r="D44" s="1071"/>
      <c r="E44" s="1071"/>
      <c r="F44" s="1071"/>
      <c r="G44" s="1071"/>
      <c r="H44" s="978"/>
      <c r="I44" s="476"/>
      <c r="J44" s="477"/>
    </row>
    <row r="45" spans="2:10">
      <c r="B45" s="575" t="str">
        <f>ProcessEnergy!B43</f>
        <v>&lt;empty&gt;</v>
      </c>
      <c r="C45" s="564"/>
      <c r="D45" s="1071"/>
      <c r="E45" s="1071"/>
      <c r="F45" s="1071"/>
      <c r="G45" s="1071"/>
      <c r="H45" s="978"/>
      <c r="I45" s="476"/>
      <c r="J45" s="477"/>
    </row>
    <row r="46" spans="2:10">
      <c r="B46" s="575" t="str">
        <f>ProcessEnergy!B44</f>
        <v>&lt;empty&gt;</v>
      </c>
      <c r="C46" s="564"/>
      <c r="D46" s="1071"/>
      <c r="E46" s="1071"/>
      <c r="F46" s="1071"/>
      <c r="G46" s="1071"/>
      <c r="H46" s="978"/>
      <c r="I46" s="476"/>
      <c r="J46" s="477"/>
    </row>
    <row r="47" spans="2:10">
      <c r="B47" s="575" t="str">
        <f>ProcessEnergy!B45</f>
        <v>&lt;empty&gt;</v>
      </c>
      <c r="C47" s="564"/>
      <c r="D47" s="1071"/>
      <c r="E47" s="1071"/>
      <c r="F47" s="1071"/>
      <c r="G47" s="1071"/>
      <c r="H47" s="978"/>
      <c r="I47" s="476"/>
      <c r="J47" s="477"/>
    </row>
    <row r="48" spans="2:10">
      <c r="B48" s="575" t="str">
        <f>ProcessEnergy!B46</f>
        <v>&lt;empty&gt;</v>
      </c>
      <c r="C48" s="564"/>
      <c r="D48" s="1071"/>
      <c r="E48" s="1071"/>
      <c r="F48" s="1071"/>
      <c r="G48" s="1071"/>
      <c r="H48" s="978"/>
      <c r="I48" s="476"/>
      <c r="J48" s="477"/>
    </row>
    <row r="49" spans="2:10">
      <c r="B49" s="575" t="str">
        <f>ProcessEnergy!B47</f>
        <v>&lt;empty&gt;</v>
      </c>
      <c r="C49" s="564"/>
      <c r="D49" s="1071"/>
      <c r="E49" s="1071"/>
      <c r="F49" s="1071"/>
      <c r="G49" s="1071"/>
      <c r="H49" s="978"/>
      <c r="I49" s="476"/>
      <c r="J49" s="477"/>
    </row>
    <row r="50" spans="2:10">
      <c r="B50" s="575" t="str">
        <f>ProcessEnergy!B48</f>
        <v>Glycerol</v>
      </c>
      <c r="C50" s="564"/>
      <c r="D50" s="1071"/>
      <c r="E50" s="1071"/>
      <c r="F50" s="1071"/>
      <c r="G50" s="1071"/>
      <c r="H50" s="978"/>
      <c r="I50" s="476"/>
      <c r="J50" s="477"/>
    </row>
    <row r="51" spans="2:10">
      <c r="B51" s="575" t="str">
        <f>ProcessEnergy!B49</f>
        <v>&lt;empty&gt;</v>
      </c>
      <c r="C51" s="564"/>
      <c r="D51" s="1071"/>
      <c r="E51" s="1071"/>
      <c r="F51" s="1071"/>
      <c r="G51" s="1071"/>
      <c r="H51" s="978"/>
      <c r="I51" s="476"/>
      <c r="J51" s="477"/>
    </row>
    <row r="52" spans="2:10">
      <c r="B52" s="575" t="str">
        <f>ProcessEnergy!B50</f>
        <v>&lt;empty&gt;</v>
      </c>
      <c r="C52" s="564"/>
      <c r="D52" s="1071"/>
      <c r="E52" s="1071"/>
      <c r="F52" s="1071"/>
      <c r="G52" s="1071"/>
      <c r="H52" s="978"/>
      <c r="I52" s="476"/>
      <c r="J52" s="477"/>
    </row>
    <row r="53" spans="2:10">
      <c r="B53" s="575" t="str">
        <f>ProcessEnergy!B51</f>
        <v>Fodder (wheat like)</v>
      </c>
      <c r="C53" s="564" t="s">
        <v>725</v>
      </c>
      <c r="D53" s="574"/>
      <c r="E53" s="574"/>
      <c r="F53" s="574"/>
      <c r="G53" s="574"/>
      <c r="H53" s="984"/>
      <c r="I53" s="476"/>
      <c r="J53" s="477"/>
    </row>
    <row r="54" spans="2:10">
      <c r="B54" s="575" t="str">
        <f>ProcessEnergy!B52</f>
        <v>Rape seed cake</v>
      </c>
      <c r="C54" s="564" t="s">
        <v>725</v>
      </c>
      <c r="D54" s="574"/>
      <c r="E54" s="574"/>
      <c r="F54" s="574"/>
      <c r="G54" s="574"/>
      <c r="H54" s="984"/>
      <c r="I54" s="476"/>
      <c r="J54" s="477"/>
    </row>
    <row r="55" spans="2:10">
      <c r="B55" s="575" t="str">
        <f>ProcessEnergy!B53</f>
        <v>&lt;empty&gt;</v>
      </c>
      <c r="C55" s="564" t="s">
        <v>725</v>
      </c>
      <c r="D55" s="574"/>
      <c r="E55" s="574"/>
      <c r="F55" s="574"/>
      <c r="G55" s="574"/>
      <c r="H55" s="984"/>
      <c r="I55" s="476"/>
      <c r="J55" s="477"/>
    </row>
    <row r="56" spans="2:10">
      <c r="B56" s="575" t="str">
        <f>ProcessEnergy!B54</f>
        <v>DDGS</v>
      </c>
      <c r="C56" s="564" t="s">
        <v>725</v>
      </c>
      <c r="D56" s="574"/>
      <c r="E56" s="574"/>
      <c r="F56" s="574"/>
      <c r="G56" s="574"/>
      <c r="H56" s="984"/>
      <c r="I56" s="476"/>
      <c r="J56" s="477"/>
    </row>
    <row r="57" spans="2:10">
      <c r="B57" s="475"/>
      <c r="C57" s="564"/>
      <c r="D57" s="574"/>
      <c r="E57" s="574"/>
      <c r="F57" s="574"/>
      <c r="G57" s="574"/>
      <c r="H57" s="984"/>
      <c r="I57" s="476"/>
      <c r="J57" s="477"/>
    </row>
    <row r="58" spans="2:10">
      <c r="B58" s="570" t="s">
        <v>873</v>
      </c>
      <c r="C58" s="564"/>
      <c r="D58" s="574"/>
      <c r="E58" s="574"/>
      <c r="F58" s="574"/>
      <c r="G58" s="574"/>
      <c r="H58" s="984"/>
      <c r="I58" s="476"/>
      <c r="J58" s="477"/>
    </row>
    <row r="59" spans="2:10">
      <c r="B59" s="475" t="str">
        <f>ProcessEnergy!B5</f>
        <v>EL - peakload</v>
      </c>
      <c r="C59" s="564" t="s">
        <v>2073</v>
      </c>
      <c r="D59" s="993"/>
      <c r="E59" s="508"/>
      <c r="F59" s="508"/>
      <c r="G59" s="508"/>
      <c r="H59" s="984"/>
      <c r="I59" s="476"/>
      <c r="J59" s="477"/>
    </row>
    <row r="60" spans="2:10">
      <c r="B60" s="475" t="str">
        <f>ProcessEnergy!B6</f>
        <v>El - baseload</v>
      </c>
      <c r="C60" s="564" t="s">
        <v>2073</v>
      </c>
      <c r="D60" s="508"/>
      <c r="E60" s="508"/>
      <c r="F60" s="508"/>
      <c r="G60" s="508"/>
      <c r="H60" s="984"/>
      <c r="I60" s="476"/>
      <c r="J60" s="477"/>
    </row>
    <row r="61" spans="2:10">
      <c r="B61" s="475" t="str">
        <f>ProcessEnergy!B7</f>
        <v xml:space="preserve">Varme </v>
      </c>
      <c r="C61" s="564" t="s">
        <v>2073</v>
      </c>
      <c r="D61" s="574"/>
      <c r="E61" s="574"/>
      <c r="F61" s="574"/>
      <c r="G61" s="574"/>
      <c r="H61" s="984"/>
      <c r="I61" s="476"/>
      <c r="J61" s="477"/>
    </row>
    <row r="62" spans="2:10">
      <c r="B62" s="475" t="str">
        <f>ProcessEnergy!B8</f>
        <v>Damp</v>
      </c>
      <c r="C62" s="564" t="s">
        <v>2073</v>
      </c>
      <c r="D62" s="574"/>
      <c r="E62" s="574"/>
      <c r="F62" s="574"/>
      <c r="G62" s="574"/>
      <c r="H62" s="984"/>
      <c r="I62" s="476"/>
      <c r="J62" s="477"/>
    </row>
    <row r="63" spans="2:10">
      <c r="B63" s="475" t="str">
        <f>ProcessEnergy!B9</f>
        <v xml:space="preserve">Olie </v>
      </c>
      <c r="C63" s="564" t="s">
        <v>2073</v>
      </c>
      <c r="D63" s="574"/>
      <c r="E63" s="574"/>
      <c r="F63" s="574"/>
      <c r="G63" s="574"/>
      <c r="H63" s="984"/>
      <c r="I63" s="476"/>
      <c r="J63" s="477"/>
    </row>
    <row r="64" spans="2:10">
      <c r="B64" s="475" t="str">
        <f>ProcessEnergy!B10</f>
        <v>Kul</v>
      </c>
      <c r="C64" s="564" t="s">
        <v>2073</v>
      </c>
      <c r="D64" s="574"/>
      <c r="E64" s="574"/>
      <c r="F64" s="574"/>
      <c r="G64" s="574"/>
      <c r="H64" s="984"/>
      <c r="I64" s="476"/>
      <c r="J64" s="477"/>
    </row>
    <row r="65" spans="2:10">
      <c r="B65" s="475" t="str">
        <f>ProcessEnergy!B11</f>
        <v>Naturgas kedel</v>
      </c>
      <c r="C65" s="564" t="s">
        <v>2073</v>
      </c>
      <c r="D65" s="574"/>
      <c r="E65" s="574"/>
      <c r="F65" s="574"/>
      <c r="G65" s="574"/>
      <c r="H65" s="984"/>
      <c r="I65" s="476"/>
      <c r="J65" s="477"/>
    </row>
    <row r="66" spans="2:10">
      <c r="B66" s="475" t="str">
        <f>ProcessEnergy!B12</f>
        <v>Gylle</v>
      </c>
      <c r="C66" s="564" t="s">
        <v>2073</v>
      </c>
      <c r="D66" s="574"/>
      <c r="E66" s="574"/>
      <c r="F66" s="574"/>
      <c r="G66" s="574"/>
      <c r="H66" s="984"/>
      <c r="I66" s="476"/>
      <c r="J66" s="477"/>
    </row>
    <row r="67" spans="2:10">
      <c r="B67" s="475" t="str">
        <f>ProcessEnergy!B13</f>
        <v>Affald</v>
      </c>
      <c r="C67" s="564" t="s">
        <v>2073</v>
      </c>
      <c r="D67" s="574"/>
      <c r="E67" s="574"/>
      <c r="F67" s="574"/>
      <c r="G67" s="574"/>
      <c r="H67" s="984"/>
      <c r="I67" s="476"/>
      <c r="J67" s="477"/>
    </row>
    <row r="68" spans="2:10">
      <c r="B68" s="475" t="str">
        <f>ProcessEnergy!B14</f>
        <v>Hydrogen</v>
      </c>
      <c r="C68" s="564" t="s">
        <v>2073</v>
      </c>
      <c r="D68" s="574"/>
      <c r="E68" s="574"/>
      <c r="F68" s="574"/>
      <c r="G68" s="574"/>
      <c r="H68" s="984"/>
      <c r="I68" s="476"/>
      <c r="J68" s="477"/>
    </row>
    <row r="69" spans="2:10">
      <c r="B69" s="475" t="str">
        <f>ProcessEnergy!B15</f>
        <v>Biomasse</v>
      </c>
      <c r="C69" s="564" t="s">
        <v>2073</v>
      </c>
      <c r="D69" s="574"/>
      <c r="E69" s="574"/>
      <c r="F69" s="574"/>
      <c r="G69" s="574"/>
      <c r="H69" s="984"/>
      <c r="I69" s="476"/>
      <c r="J69" s="477"/>
    </row>
    <row r="70" spans="2:10">
      <c r="B70" s="475" t="str">
        <f>ProcessEnergy!B16</f>
        <v>Methanol</v>
      </c>
      <c r="C70" s="564"/>
      <c r="D70" s="574"/>
      <c r="E70" s="574"/>
      <c r="F70" s="574"/>
      <c r="G70" s="574"/>
      <c r="H70" s="984"/>
      <c r="I70" s="476"/>
      <c r="J70" s="477"/>
    </row>
    <row r="71" spans="2:10">
      <c r="B71" s="475" t="str">
        <f>ProcessEnergy!B17</f>
        <v>&lt;empty&gt;</v>
      </c>
      <c r="C71" s="564"/>
      <c r="D71" s="574"/>
      <c r="E71" s="574"/>
      <c r="F71" s="574"/>
      <c r="G71" s="574"/>
      <c r="H71" s="984"/>
      <c r="I71" s="476"/>
      <c r="J71" s="477"/>
    </row>
    <row r="72" spans="2:10">
      <c r="B72" s="475" t="str">
        <f>ProcessEnergy!B18</f>
        <v>&lt;empty&gt;</v>
      </c>
      <c r="C72" s="564"/>
      <c r="D72" s="574"/>
      <c r="E72" s="574"/>
      <c r="F72" s="574"/>
      <c r="G72" s="574"/>
      <c r="H72" s="984"/>
      <c r="I72" s="476"/>
      <c r="J72" s="477"/>
    </row>
    <row r="73" spans="2:10">
      <c r="B73" s="475" t="str">
        <f>ProcessEnergy!B19</f>
        <v>&lt;empty&gt;</v>
      </c>
      <c r="C73" s="564"/>
      <c r="D73" s="574"/>
      <c r="E73" s="574"/>
      <c r="F73" s="574"/>
      <c r="G73" s="574"/>
      <c r="H73" s="984"/>
      <c r="I73" s="476"/>
      <c r="J73" s="477"/>
    </row>
    <row r="74" spans="2:10">
      <c r="B74" s="475" t="str">
        <f>ProcessEnergy!B20</f>
        <v>&lt;empty&gt;</v>
      </c>
      <c r="C74" s="564"/>
      <c r="D74" s="574"/>
      <c r="E74" s="574"/>
      <c r="F74" s="574"/>
      <c r="G74" s="574"/>
      <c r="H74" s="984"/>
      <c r="I74" s="476"/>
      <c r="J74" s="477"/>
    </row>
    <row r="75" spans="2:10">
      <c r="B75" s="475" t="str">
        <f>ProcessEnergy!B21</f>
        <v>&lt;empty&gt;</v>
      </c>
      <c r="C75" s="564"/>
      <c r="D75" s="574"/>
      <c r="E75" s="574"/>
      <c r="F75" s="574"/>
      <c r="G75" s="574"/>
      <c r="H75" s="984"/>
      <c r="I75" s="476"/>
      <c r="J75" s="477"/>
    </row>
    <row r="76" spans="2:10">
      <c r="B76" s="475" t="str">
        <f>ProcessEnergy!B22</f>
        <v>&lt;empty&gt;</v>
      </c>
      <c r="C76" s="564"/>
      <c r="D76" s="574"/>
      <c r="E76" s="574"/>
      <c r="F76" s="574"/>
      <c r="G76" s="574"/>
      <c r="H76" s="984"/>
      <c r="I76" s="476"/>
      <c r="J76" s="477"/>
    </row>
    <row r="77" spans="2:10">
      <c r="B77" s="475" t="str">
        <f>ProcessEnergy!B23</f>
        <v>&lt;empty&gt;</v>
      </c>
      <c r="C77" s="564"/>
      <c r="D77" s="574"/>
      <c r="E77" s="574"/>
      <c r="F77" s="574"/>
      <c r="G77" s="574"/>
      <c r="H77" s="984"/>
      <c r="I77" s="476"/>
      <c r="J77" s="477"/>
    </row>
    <row r="78" spans="2:10">
      <c r="B78" s="475" t="str">
        <f>ProcessEnergy!B24</f>
        <v>&lt;empty&gt;</v>
      </c>
      <c r="C78" s="564" t="s">
        <v>2073</v>
      </c>
      <c r="D78" s="574"/>
      <c r="E78" s="574"/>
      <c r="F78" s="574"/>
      <c r="G78" s="574"/>
      <c r="H78" s="984"/>
      <c r="I78" s="476"/>
      <c r="J78" s="477"/>
    </row>
    <row r="79" spans="2:10">
      <c r="B79" s="475"/>
      <c r="C79" s="564"/>
      <c r="D79" s="574"/>
      <c r="E79" s="574"/>
      <c r="F79" s="574"/>
      <c r="G79" s="574"/>
      <c r="H79" s="984"/>
      <c r="I79" s="476"/>
      <c r="J79" s="477"/>
    </row>
    <row r="80" spans="2:10">
      <c r="B80" s="475"/>
      <c r="C80" s="564"/>
      <c r="D80" s="574"/>
      <c r="E80" s="574"/>
      <c r="F80" s="574"/>
      <c r="G80" s="574"/>
      <c r="H80" s="984"/>
      <c r="I80" s="476"/>
      <c r="J80" s="477"/>
    </row>
    <row r="81" spans="1:17">
      <c r="B81" s="475"/>
      <c r="C81" s="564"/>
      <c r="D81" s="565"/>
      <c r="E81" s="565"/>
      <c r="F81" s="565"/>
      <c r="G81" s="565"/>
      <c r="H81" s="986"/>
      <c r="I81" s="476"/>
      <c r="J81" s="477"/>
    </row>
    <row r="82" spans="1:17">
      <c r="B82" s="570" t="s">
        <v>152</v>
      </c>
      <c r="C82" s="564"/>
      <c r="D82" s="565"/>
      <c r="E82" s="565"/>
      <c r="F82" s="565"/>
      <c r="G82" s="565"/>
      <c r="H82" s="986"/>
      <c r="I82" s="476"/>
      <c r="J82" s="477"/>
    </row>
    <row r="83" spans="1:17">
      <c r="A83" s="469">
        <v>4</v>
      </c>
      <c r="B83" s="475" t="s">
        <v>462</v>
      </c>
      <c r="C83" s="976" t="s">
        <v>725</v>
      </c>
      <c r="D83" s="1636">
        <v>1</v>
      </c>
      <c r="E83" s="566">
        <f>$D83</f>
        <v>1</v>
      </c>
      <c r="F83" s="566">
        <f>$D83</f>
        <v>1</v>
      </c>
      <c r="G83" s="566">
        <f>$D83</f>
        <v>1</v>
      </c>
      <c r="H83" s="978"/>
      <c r="I83" s="476"/>
      <c r="J83" s="477"/>
    </row>
    <row r="84" spans="1:17">
      <c r="B84" s="475" t="s">
        <v>153</v>
      </c>
      <c r="C84" s="976" t="s">
        <v>725</v>
      </c>
      <c r="D84" s="566"/>
      <c r="E84" s="566">
        <f t="shared" ref="E84:G88" si="1">$D84</f>
        <v>0</v>
      </c>
      <c r="F84" s="566">
        <f t="shared" si="1"/>
        <v>0</v>
      </c>
      <c r="G84" s="566">
        <f t="shared" si="1"/>
        <v>0</v>
      </c>
      <c r="H84" s="1334"/>
      <c r="I84" s="476"/>
      <c r="J84" s="477"/>
    </row>
    <row r="85" spans="1:17">
      <c r="B85" s="475" t="s">
        <v>154</v>
      </c>
      <c r="C85" s="976" t="s">
        <v>725</v>
      </c>
      <c r="D85" s="480">
        <f>SUM(D37:D56)</f>
        <v>0.54761904761904767</v>
      </c>
      <c r="E85" s="480">
        <f>SUM(E37:E56)</f>
        <v>0.54761904761904767</v>
      </c>
      <c r="F85" s="480">
        <f>SUM(F37:F56)</f>
        <v>0.54761904761904767</v>
      </c>
      <c r="G85" s="480">
        <f>SUM(G37:G56)</f>
        <v>0.54761904761904767</v>
      </c>
      <c r="H85" s="978"/>
      <c r="I85" s="476"/>
      <c r="J85" s="477"/>
    </row>
    <row r="86" spans="1:17">
      <c r="B86" s="475" t="s">
        <v>2059</v>
      </c>
      <c r="C86" s="976" t="s">
        <v>725</v>
      </c>
      <c r="D86" s="307">
        <f>D186/100</f>
        <v>0.23809523809523805</v>
      </c>
      <c r="E86" s="566">
        <f t="shared" si="1"/>
        <v>0.23809523809523805</v>
      </c>
      <c r="F86" s="566">
        <f t="shared" si="1"/>
        <v>0.23809523809523805</v>
      </c>
      <c r="G86" s="566">
        <f t="shared" si="1"/>
        <v>0.23809523809523805</v>
      </c>
      <c r="H86" s="978"/>
      <c r="I86" s="476"/>
      <c r="J86" s="477"/>
    </row>
    <row r="87" spans="1:17">
      <c r="B87" s="575" t="s">
        <v>155</v>
      </c>
      <c r="C87" s="976" t="s">
        <v>725</v>
      </c>
      <c r="D87" s="577">
        <f>SUM(D83:D84)-D85-D86</f>
        <v>0.21428571428571427</v>
      </c>
      <c r="E87" s="566">
        <f t="shared" si="1"/>
        <v>0.21428571428571427</v>
      </c>
      <c r="F87" s="566">
        <f t="shared" si="1"/>
        <v>0.21428571428571427</v>
      </c>
      <c r="G87" s="566">
        <f t="shared" si="1"/>
        <v>0.21428571428571427</v>
      </c>
      <c r="H87" s="978"/>
      <c r="I87" s="476"/>
      <c r="J87" s="477"/>
    </row>
    <row r="88" spans="1:17">
      <c r="B88" s="575" t="s">
        <v>156</v>
      </c>
      <c r="C88" s="988" t="s">
        <v>726</v>
      </c>
      <c r="D88" s="456">
        <f>SUM(D85:D86)/SUM(D83:D84)</f>
        <v>0.7857142857142857</v>
      </c>
      <c r="E88" s="566">
        <f t="shared" si="1"/>
        <v>0.7857142857142857</v>
      </c>
      <c r="F88" s="566">
        <f t="shared" si="1"/>
        <v>0.7857142857142857</v>
      </c>
      <c r="G88" s="566">
        <f t="shared" si="1"/>
        <v>0.7857142857142857</v>
      </c>
      <c r="H88" s="990"/>
      <c r="I88" s="476"/>
      <c r="J88" s="477"/>
    </row>
    <row r="89" spans="1:17">
      <c r="B89" s="475"/>
      <c r="C89" s="564"/>
      <c r="D89" s="1072"/>
      <c r="E89" s="573"/>
      <c r="F89" s="573"/>
      <c r="G89" s="573"/>
      <c r="H89" s="990"/>
      <c r="I89" s="476"/>
      <c r="J89" s="477"/>
      <c r="N89" s="471"/>
    </row>
    <row r="90" spans="1:17">
      <c r="B90" s="570" t="s">
        <v>2116</v>
      </c>
      <c r="C90" s="564"/>
      <c r="D90" s="573"/>
      <c r="E90" s="573"/>
      <c r="F90" s="573"/>
      <c r="G90" s="573"/>
      <c r="H90" s="983"/>
      <c r="I90" s="476"/>
      <c r="J90" s="477"/>
      <c r="N90" s="582"/>
      <c r="O90" s="582"/>
      <c r="P90" s="582"/>
      <c r="Q90" s="582"/>
    </row>
    <row r="91" spans="1:17" s="530" customFormat="1">
      <c r="B91" s="964" t="s">
        <v>157</v>
      </c>
      <c r="C91" s="976" t="s">
        <v>61</v>
      </c>
      <c r="D91" s="992">
        <f ca="1">HLOOKUP($H100,Supplementary!$C$44:$AF$46,3,FALSE)*D100*D$111</f>
        <v>3056505349.9563918</v>
      </c>
      <c r="E91" s="992">
        <f ca="1">HLOOKUP($H100,Supplementary!$C$44:$AF$46,3,FALSE)*E100*E$111</f>
        <v>2903680082.4585719</v>
      </c>
      <c r="F91" s="992">
        <f ca="1">HLOOKUP($H100,Supplementary!$C$44:$AF$46,3,FALSE)*F100*F$111</f>
        <v>2365065575.1630225</v>
      </c>
      <c r="G91" s="992">
        <f ca="1">HLOOKUP($H100,Supplementary!$C$44:$AF$46,3,FALSE)*G100*G$111</f>
        <v>1738540525.0986891</v>
      </c>
      <c r="H91" s="555">
        <f t="shared" ref="H91:H97" si="2">priceYear</f>
        <v>2015</v>
      </c>
      <c r="I91" s="555"/>
      <c r="J91" s="965"/>
      <c r="N91" s="991"/>
      <c r="O91" s="991"/>
      <c r="P91" s="991"/>
      <c r="Q91" s="991"/>
    </row>
    <row r="92" spans="1:17" s="530" customFormat="1">
      <c r="B92" s="964" t="s">
        <v>160</v>
      </c>
      <c r="C92" s="976" t="s">
        <v>464</v>
      </c>
      <c r="D92" s="555">
        <f ca="1">SUM(D93:D97)</f>
        <v>26.484488218622232</v>
      </c>
      <c r="E92" s="555">
        <f ca="1">SUM(E93:E97)</f>
        <v>7.9595088029204248</v>
      </c>
      <c r="F92" s="555">
        <f ca="1">SUM(F93:F97)</f>
        <v>-58.012989490697294</v>
      </c>
      <c r="G92" s="555">
        <f ca="1">SUM(G93:G97)</f>
        <v>-109.81413442802432</v>
      </c>
      <c r="H92" s="555">
        <f t="shared" si="2"/>
        <v>2015</v>
      </c>
      <c r="I92" s="555"/>
      <c r="J92" s="965"/>
      <c r="N92" s="991"/>
      <c r="O92" s="991"/>
      <c r="P92" s="991"/>
      <c r="Q92" s="991"/>
    </row>
    <row r="93" spans="1:17" s="530" customFormat="1">
      <c r="B93" s="995" t="s">
        <v>162</v>
      </c>
      <c r="C93" s="976" t="s">
        <v>464</v>
      </c>
      <c r="D93" s="992">
        <f ca="1">HLOOKUP($H102,Supplementary!$C$44:$AF$46,3,FALSE)*D102*D$111</f>
        <v>112.50545735903222</v>
      </c>
      <c r="E93" s="555">
        <f ca="1">HLOOKUP($H102,Supplementary!$C$44:$AF$46,3,FALSE)*E102*E$111</f>
        <v>106.8801844910806</v>
      </c>
      <c r="F93" s="555">
        <f ca="1">HLOOKUP($H102,Supplementary!$C$44:$AF$46,3,FALSE)*F102*F$111</f>
        <v>87.054578269138219</v>
      </c>
      <c r="G93" s="555">
        <f ca="1">HLOOKUP($H102,Supplementary!$C$44:$AF$46,3,FALSE)*G102*G$111</f>
        <v>63.993114527422847</v>
      </c>
      <c r="H93" s="555">
        <f t="shared" si="2"/>
        <v>2015</v>
      </c>
      <c r="I93" s="555"/>
      <c r="J93" s="965"/>
      <c r="N93" s="991"/>
      <c r="O93" s="991"/>
      <c r="P93" s="991"/>
      <c r="Q93" s="991"/>
    </row>
    <row r="94" spans="1:17" s="530" customFormat="1">
      <c r="B94" s="995" t="s">
        <v>163</v>
      </c>
      <c r="C94" s="976" t="s">
        <v>464</v>
      </c>
      <c r="D94" s="992">
        <f ca="1">HLOOKUP($H103,Supplementary!$C$44:$AF$46,3,FALSE)*D103*D$111</f>
        <v>140.20666742919232</v>
      </c>
      <c r="E94" s="555">
        <f ca="1">HLOOKUP($H103,Supplementary!$C$44:$AF$46,3,FALSE)*E103*E$111</f>
        <v>133.19633405773271</v>
      </c>
      <c r="F94" s="555">
        <f ca="1">HLOOKUP($H103,Supplementary!$C$44:$AF$46,3,FALSE)*F103*F$111</f>
        <v>108.48924656711115</v>
      </c>
      <c r="G94" s="555">
        <f ca="1">HLOOKUP($H103,Supplementary!$C$44:$AF$46,3,FALSE)*G103*G$111</f>
        <v>79.749565371499514</v>
      </c>
      <c r="H94" s="555">
        <f t="shared" si="2"/>
        <v>2015</v>
      </c>
      <c r="I94" s="555"/>
      <c r="J94" s="965"/>
      <c r="N94" s="991"/>
      <c r="O94" s="991"/>
      <c r="P94" s="991"/>
      <c r="Q94" s="991"/>
    </row>
    <row r="95" spans="1:17" s="530" customFormat="1">
      <c r="B95" s="995" t="s">
        <v>164</v>
      </c>
      <c r="C95" s="976" t="s">
        <v>464</v>
      </c>
      <c r="D95" s="992">
        <f>HLOOKUP($H104,Supplementary!$C$44:$AF$46,3,FALSE)*D104</f>
        <v>0</v>
      </c>
      <c r="E95" s="555">
        <f>HLOOKUP($H104,Supplementary!$C$44:$AF$46,3,FALSE)*E104</f>
        <v>0</v>
      </c>
      <c r="F95" s="555">
        <f>HLOOKUP($H104,Supplementary!$C$44:$AF$46,3,FALSE)*F104</f>
        <v>0</v>
      </c>
      <c r="G95" s="555">
        <f>HLOOKUP($H104,Supplementary!$C$44:$AF$46,3,FALSE)*G104</f>
        <v>0</v>
      </c>
      <c r="H95" s="555">
        <f t="shared" si="2"/>
        <v>2015</v>
      </c>
      <c r="I95" s="555"/>
      <c r="J95" s="965"/>
      <c r="N95" s="991"/>
      <c r="O95" s="991"/>
      <c r="P95" s="991"/>
      <c r="Q95" s="991"/>
    </row>
    <row r="96" spans="1:17" s="530" customFormat="1">
      <c r="B96" s="995" t="s">
        <v>264</v>
      </c>
      <c r="C96" s="976" t="s">
        <v>464</v>
      </c>
      <c r="D96" s="992">
        <f ca="1">HLOOKUP($H105,Supplementary!$C$44:$AF$46,3,FALSE)*D105*D$111</f>
        <v>0</v>
      </c>
      <c r="E96" s="555">
        <f ca="1">HLOOKUP($H105,Supplementary!$C$44:$AF$46,3,FALSE)*E105*E$111</f>
        <v>0</v>
      </c>
      <c r="F96" s="555">
        <f ca="1">HLOOKUP($H105,Supplementary!$C$44:$AF$46,3,FALSE)*F105*F$111</f>
        <v>0</v>
      </c>
      <c r="G96" s="555">
        <f ca="1">HLOOKUP($H105,Supplementary!$C$44:$AF$46,3,FALSE)*G105*G$111</f>
        <v>0</v>
      </c>
      <c r="H96" s="555">
        <f t="shared" si="2"/>
        <v>2015</v>
      </c>
      <c r="I96" s="555"/>
      <c r="J96" s="965"/>
      <c r="N96" s="991"/>
      <c r="O96" s="991"/>
      <c r="P96" s="991"/>
      <c r="Q96" s="991"/>
    </row>
    <row r="97" spans="1:17" s="530" customFormat="1">
      <c r="B97" s="995" t="s">
        <v>165</v>
      </c>
      <c r="C97" s="976" t="s">
        <v>464</v>
      </c>
      <c r="D97" s="992">
        <f ca="1">HLOOKUP($H106,Supplementary!$C$44:$AF$46,3,FALSE)*D106</f>
        <v>-226.22763656960231</v>
      </c>
      <c r="E97" s="555">
        <f ca="1">HLOOKUP($H106,Supplementary!$C$44:$AF$46,3,FALSE)*E106</f>
        <v>-232.11700974589289</v>
      </c>
      <c r="F97" s="555">
        <f ca="1">HLOOKUP($H106,Supplementary!$C$44:$AF$46,3,FALSE)*F106</f>
        <v>-253.55681432694666</v>
      </c>
      <c r="G97" s="555">
        <f ca="1">HLOOKUP($H106,Supplementary!$C$44:$AF$46,3,FALSE)*G106</f>
        <v>-253.55681432694666</v>
      </c>
      <c r="H97" s="555">
        <f t="shared" si="2"/>
        <v>2015</v>
      </c>
      <c r="I97" s="555"/>
      <c r="J97" s="965"/>
      <c r="N97" s="991"/>
      <c r="O97" s="991"/>
      <c r="P97" s="991"/>
      <c r="Q97" s="991"/>
    </row>
    <row r="98" spans="1:17" s="530" customFormat="1">
      <c r="B98" s="975"/>
      <c r="C98" s="976"/>
      <c r="D98" s="992"/>
      <c r="E98" s="983"/>
      <c r="F98" s="983"/>
      <c r="G98" s="983"/>
      <c r="H98" s="983"/>
      <c r="I98" s="555"/>
      <c r="J98" s="965"/>
      <c r="N98" s="991"/>
      <c r="O98" s="991"/>
      <c r="P98" s="991"/>
      <c r="Q98" s="991"/>
    </row>
    <row r="99" spans="1:17" s="530" customFormat="1">
      <c r="B99" s="975" t="s">
        <v>2117</v>
      </c>
      <c r="C99" s="976"/>
      <c r="D99" s="992"/>
      <c r="E99" s="983"/>
      <c r="F99" s="983"/>
      <c r="G99" s="983"/>
      <c r="H99" s="983"/>
      <c r="I99" s="555"/>
      <c r="J99" s="965"/>
      <c r="N99" s="991"/>
      <c r="O99" s="991"/>
      <c r="P99" s="991"/>
      <c r="Q99" s="991"/>
    </row>
    <row r="100" spans="1:17">
      <c r="B100" s="475" t="s">
        <v>157</v>
      </c>
      <c r="C100" s="976" t="s">
        <v>61</v>
      </c>
      <c r="D100" s="992">
        <f>D179*dkkPerEUR*D160</f>
        <v>2871408800</v>
      </c>
      <c r="E100" s="612">
        <f t="shared" ref="E100:G103" si="3">$D100</f>
        <v>2871408800</v>
      </c>
      <c r="F100" s="612">
        <f t="shared" si="3"/>
        <v>2871408800</v>
      </c>
      <c r="G100" s="612">
        <f t="shared" si="3"/>
        <v>2871408800</v>
      </c>
      <c r="H100" s="1668">
        <v>2011</v>
      </c>
      <c r="I100" s="476"/>
      <c r="J100" s="477"/>
      <c r="N100" s="582"/>
      <c r="O100" s="582"/>
      <c r="P100" s="582"/>
      <c r="Q100" s="582"/>
    </row>
    <row r="101" spans="1:17">
      <c r="B101" s="475" t="s">
        <v>160</v>
      </c>
      <c r="C101" s="976" t="s">
        <v>464</v>
      </c>
      <c r="D101" s="583">
        <f ca="1">SUM(D102:D106)</f>
        <v>24.880634524501374</v>
      </c>
      <c r="E101" s="566">
        <f t="shared" ca="1" si="3"/>
        <v>24.880634524501374</v>
      </c>
      <c r="F101" s="566">
        <f t="shared" ca="1" si="3"/>
        <v>24.880634524501374</v>
      </c>
      <c r="G101" s="566">
        <f t="shared" ca="1" si="3"/>
        <v>24.880634524501374</v>
      </c>
      <c r="H101" s="1668">
        <v>2011</v>
      </c>
      <c r="I101" s="584"/>
      <c r="J101" s="477"/>
      <c r="N101" s="582"/>
      <c r="O101" s="582"/>
      <c r="P101" s="582"/>
      <c r="Q101" s="582"/>
    </row>
    <row r="102" spans="1:17">
      <c r="B102" s="585" t="s">
        <v>162</v>
      </c>
      <c r="C102" s="976" t="s">
        <v>464</v>
      </c>
      <c r="D102" s="993">
        <f ca="1">PMT(rSØK,D34,-D100)/D160</f>
        <v>105.69232614409098</v>
      </c>
      <c r="E102" s="566">
        <f t="shared" ca="1" si="3"/>
        <v>105.69232614409098</v>
      </c>
      <c r="F102" s="566">
        <f t="shared" ca="1" si="3"/>
        <v>105.69232614409098</v>
      </c>
      <c r="G102" s="566">
        <f t="shared" ca="1" si="3"/>
        <v>105.69232614409098</v>
      </c>
      <c r="H102" s="1668">
        <v>2011</v>
      </c>
      <c r="I102" s="584"/>
      <c r="J102" s="477"/>
      <c r="N102" s="582"/>
      <c r="O102" s="582"/>
      <c r="P102" s="582"/>
      <c r="Q102" s="582"/>
    </row>
    <row r="103" spans="1:17">
      <c r="B103" s="585" t="s">
        <v>163</v>
      </c>
      <c r="C103" s="976" t="s">
        <v>464</v>
      </c>
      <c r="D103" s="480">
        <f>IF(D142&gt;0,D179*D142*dkkPerEUR,D180*dkkPerEUR)</f>
        <v>131.71600000000004</v>
      </c>
      <c r="E103" s="480">
        <f t="shared" si="3"/>
        <v>131.71600000000004</v>
      </c>
      <c r="F103" s="480">
        <f t="shared" si="3"/>
        <v>131.71600000000004</v>
      </c>
      <c r="G103" s="480">
        <f t="shared" si="3"/>
        <v>131.71600000000004</v>
      </c>
      <c r="H103" s="1668">
        <v>2011</v>
      </c>
      <c r="I103" s="476"/>
      <c r="J103" s="477"/>
      <c r="N103" s="582"/>
      <c r="O103" s="582"/>
      <c r="P103" s="582"/>
      <c r="Q103" s="582"/>
    </row>
    <row r="104" spans="1:17">
      <c r="A104" s="469">
        <v>6</v>
      </c>
      <c r="B104" s="585" t="s">
        <v>164</v>
      </c>
      <c r="C104" s="976" t="s">
        <v>464</v>
      </c>
      <c r="D104" s="1073"/>
      <c r="E104" s="1073"/>
      <c r="F104" s="1073"/>
      <c r="G104" s="1073"/>
      <c r="H104" s="1668">
        <v>2011</v>
      </c>
      <c r="I104" s="476"/>
      <c r="J104" s="477"/>
      <c r="N104" s="582"/>
      <c r="O104" s="582"/>
      <c r="P104" s="582"/>
      <c r="Q104" s="582"/>
    </row>
    <row r="105" spans="1:17">
      <c r="B105" s="585" t="s">
        <v>264</v>
      </c>
      <c r="C105" s="976" t="s">
        <v>464</v>
      </c>
      <c r="D105" s="508">
        <f ca="1">D60*Prices!M$7/3.6</f>
        <v>0</v>
      </c>
      <c r="E105" s="508">
        <f ca="1">E60*Prices!N$7/3.6</f>
        <v>0</v>
      </c>
      <c r="F105" s="508">
        <f ca="1">F60*Prices!O$7/3.6</f>
        <v>0</v>
      </c>
      <c r="G105" s="508">
        <f ca="1">G60*Prices!P$7/3.6</f>
        <v>0</v>
      </c>
      <c r="H105" s="1668">
        <v>2011</v>
      </c>
      <c r="I105" s="476"/>
      <c r="J105" s="477"/>
      <c r="N105" s="582"/>
      <c r="O105" s="582"/>
      <c r="P105" s="582"/>
      <c r="Q105" s="582"/>
    </row>
    <row r="106" spans="1:17">
      <c r="B106" s="585" t="s">
        <v>165</v>
      </c>
      <c r="C106" s="976" t="s">
        <v>464</v>
      </c>
      <c r="D106" s="996">
        <f ca="1">-SUMPRODUCT(D37:D56,ProcessEnergy!M35:M54)/D86</f>
        <v>-212.52769161958963</v>
      </c>
      <c r="E106" s="996">
        <f ca="1">-SUMPRODUCT(E37:E56,ProcessEnergy!N35:N54)/E86</f>
        <v>-218.06041478826526</v>
      </c>
      <c r="F106" s="996">
        <f ca="1">-SUMPRODUCT(F37:F56,ProcessEnergy!O35:O54)/F86</f>
        <v>-238.20186278056028</v>
      </c>
      <c r="G106" s="996">
        <f ca="1">-SUMPRODUCT(G37:G56,ProcessEnergy!P35:P54)/G86</f>
        <v>-238.20186278056028</v>
      </c>
      <c r="H106" s="1668">
        <v>2011</v>
      </c>
      <c r="I106" s="476"/>
      <c r="J106" s="477"/>
      <c r="N106" s="582"/>
      <c r="O106" s="582"/>
      <c r="P106" s="582"/>
      <c r="Q106" s="582"/>
    </row>
    <row r="107" spans="1:17">
      <c r="B107" s="585"/>
      <c r="C107" s="564"/>
      <c r="D107" s="2311"/>
      <c r="E107" s="2311"/>
      <c r="F107" s="2311"/>
      <c r="G107" s="2311"/>
      <c r="H107" s="983"/>
      <c r="I107" s="584"/>
      <c r="J107" s="477"/>
      <c r="N107" s="582"/>
      <c r="O107" s="582"/>
      <c r="P107" s="582"/>
      <c r="Q107" s="582"/>
    </row>
    <row r="108" spans="1:17">
      <c r="B108" s="570" t="s">
        <v>2113</v>
      </c>
      <c r="C108" s="564"/>
      <c r="D108" s="573"/>
      <c r="E108" s="573"/>
      <c r="F108" s="573"/>
      <c r="G108" s="573"/>
      <c r="H108" s="983"/>
      <c r="I108" s="584"/>
      <c r="J108" s="477"/>
      <c r="N108" s="582"/>
      <c r="O108" s="582"/>
      <c r="P108" s="582"/>
      <c r="Q108" s="582"/>
    </row>
    <row r="109" spans="1:17">
      <c r="B109" s="585" t="s">
        <v>2114</v>
      </c>
      <c r="C109" s="564"/>
      <c r="D109" s="1696">
        <v>0.95</v>
      </c>
      <c r="E109" s="1696">
        <v>0.95</v>
      </c>
      <c r="F109" s="1696">
        <v>0.95</v>
      </c>
      <c r="G109" s="1696">
        <v>0.95</v>
      </c>
      <c r="H109" s="983"/>
      <c r="I109" s="584"/>
      <c r="J109" s="477"/>
      <c r="N109" s="582"/>
      <c r="O109" s="582"/>
      <c r="P109" s="582"/>
      <c r="Q109" s="582"/>
    </row>
    <row r="110" spans="1:17">
      <c r="B110" s="585" t="s">
        <v>2666</v>
      </c>
      <c r="C110" s="564"/>
      <c r="D110" s="478">
        <f ca="1">OFFSET(Supplementary!C$237,MATCH($C$19,Supplementary!$B$238:$B$241,0),0)</f>
        <v>1</v>
      </c>
      <c r="E110" s="478">
        <f ca="1">OFFSET(Supplementary!D$237,MATCH($C$19,Supplementary!$B$238:$B$241,0),0)</f>
        <v>2</v>
      </c>
      <c r="F110" s="478">
        <f ca="1">OFFSET(Supplementary!E$237,MATCH($C$19,Supplementary!$B$238:$B$241,0),0)</f>
        <v>6</v>
      </c>
      <c r="G110" s="478">
        <f ca="1">OFFSET(Supplementary!F$237,MATCH($C$19,Supplementary!$B$238:$B$241,0),0)</f>
        <v>12</v>
      </c>
      <c r="H110" s="983"/>
      <c r="I110" s="584"/>
      <c r="J110" s="477"/>
      <c r="N110" s="582"/>
      <c r="O110" s="582"/>
      <c r="P110" s="582"/>
      <c r="Q110" s="582"/>
    </row>
    <row r="111" spans="1:17">
      <c r="B111" s="585" t="s">
        <v>2115</v>
      </c>
      <c r="C111" s="564"/>
      <c r="D111" s="1698">
        <f ca="1">1*D109^(D110-1)</f>
        <v>1</v>
      </c>
      <c r="E111" s="1698">
        <f ca="1">1*E109^(E110-1)</f>
        <v>0.95</v>
      </c>
      <c r="F111" s="1698">
        <f ca="1">1*F109^(F110-1)</f>
        <v>0.77378093749999999</v>
      </c>
      <c r="G111" s="1698">
        <f ca="1">1*G109^(G110-1)</f>
        <v>0.56880009227645989</v>
      </c>
      <c r="H111" s="983"/>
      <c r="I111" s="584"/>
      <c r="J111" s="477"/>
      <c r="N111" s="582"/>
      <c r="O111" s="582"/>
      <c r="P111" s="582"/>
      <c r="Q111" s="582"/>
    </row>
    <row r="112" spans="1:17">
      <c r="B112" s="585"/>
      <c r="C112" s="564"/>
      <c r="D112" s="573"/>
      <c r="E112" s="573"/>
      <c r="F112" s="573"/>
      <c r="G112" s="573"/>
      <c r="H112" s="983"/>
      <c r="I112" s="584"/>
      <c r="J112" s="477"/>
      <c r="N112" s="582"/>
      <c r="O112" s="582"/>
      <c r="P112" s="582"/>
      <c r="Q112" s="582"/>
    </row>
    <row r="113" spans="2:17">
      <c r="B113" s="570" t="s">
        <v>166</v>
      </c>
      <c r="C113" s="564"/>
      <c r="D113" s="573"/>
      <c r="E113" s="573"/>
      <c r="F113" s="573"/>
      <c r="G113" s="573"/>
      <c r="H113" s="983"/>
      <c r="I113" s="584"/>
      <c r="J113" s="477"/>
      <c r="N113" s="589"/>
      <c r="O113" s="589"/>
      <c r="P113" s="589"/>
      <c r="Q113" s="582"/>
    </row>
    <row r="114" spans="2:17">
      <c r="B114" s="475" t="s">
        <v>24</v>
      </c>
      <c r="C114" s="564" t="s">
        <v>465</v>
      </c>
      <c r="D114" s="1075">
        <v>0</v>
      </c>
      <c r="E114" s="1075">
        <v>0</v>
      </c>
      <c r="F114" s="1075">
        <v>0</v>
      </c>
      <c r="G114" s="1075">
        <v>0</v>
      </c>
      <c r="H114" s="999"/>
      <c r="I114" s="1392"/>
      <c r="J114" s="477"/>
      <c r="N114" s="582"/>
      <c r="O114" s="582"/>
      <c r="P114" s="582"/>
      <c r="Q114" s="582"/>
    </row>
    <row r="115" spans="2:17">
      <c r="B115" s="475" t="s">
        <v>27</v>
      </c>
      <c r="C115" s="564" t="s">
        <v>465</v>
      </c>
      <c r="D115" s="1075">
        <v>0</v>
      </c>
      <c r="E115" s="1075">
        <v>0</v>
      </c>
      <c r="F115" s="1075">
        <v>0</v>
      </c>
      <c r="G115" s="1075">
        <v>0</v>
      </c>
      <c r="H115" s="999"/>
      <c r="I115" s="1392"/>
      <c r="J115" s="477"/>
      <c r="N115" s="582"/>
      <c r="O115" s="582"/>
      <c r="P115" s="582"/>
      <c r="Q115" s="582"/>
    </row>
    <row r="116" spans="2:17">
      <c r="B116" s="475" t="s">
        <v>28</v>
      </c>
      <c r="C116" s="564" t="s">
        <v>465</v>
      </c>
      <c r="D116" s="1075">
        <v>0</v>
      </c>
      <c r="E116" s="1075">
        <v>0</v>
      </c>
      <c r="F116" s="1075">
        <v>0</v>
      </c>
      <c r="G116" s="1075">
        <v>0</v>
      </c>
      <c r="H116" s="999"/>
      <c r="I116" s="1392"/>
      <c r="J116" s="477"/>
      <c r="N116" s="582"/>
      <c r="O116" s="582"/>
      <c r="P116" s="582"/>
      <c r="Q116" s="582"/>
    </row>
    <row r="117" spans="2:17">
      <c r="B117" s="475" t="s">
        <v>26</v>
      </c>
      <c r="C117" s="564" t="s">
        <v>465</v>
      </c>
      <c r="D117" s="1075">
        <v>0</v>
      </c>
      <c r="E117" s="1075">
        <v>0</v>
      </c>
      <c r="F117" s="1075">
        <v>0</v>
      </c>
      <c r="G117" s="1075">
        <v>0</v>
      </c>
      <c r="H117" s="999"/>
      <c r="I117" s="1392"/>
      <c r="J117" s="477"/>
      <c r="N117" s="582"/>
      <c r="O117" s="582"/>
      <c r="P117" s="582"/>
      <c r="Q117" s="582"/>
    </row>
    <row r="118" spans="2:17">
      <c r="B118" s="475" t="s">
        <v>167</v>
      </c>
      <c r="C118" s="564" t="s">
        <v>465</v>
      </c>
      <c r="D118" s="1075">
        <v>0</v>
      </c>
      <c r="E118" s="1075">
        <v>0</v>
      </c>
      <c r="F118" s="1075">
        <v>0</v>
      </c>
      <c r="G118" s="1075">
        <v>0</v>
      </c>
      <c r="H118" s="999"/>
      <c r="I118" s="1392"/>
      <c r="J118" s="477"/>
      <c r="N118" s="589"/>
      <c r="O118" s="589"/>
      <c r="P118" s="589"/>
      <c r="Q118" s="589"/>
    </row>
    <row r="119" spans="2:17">
      <c r="B119" s="475" t="s">
        <v>45</v>
      </c>
      <c r="C119" s="564" t="s">
        <v>465</v>
      </c>
      <c r="D119" s="590"/>
      <c r="E119" s="590"/>
      <c r="F119" s="590"/>
      <c r="G119" s="590"/>
      <c r="H119" s="1000"/>
      <c r="I119" s="476"/>
      <c r="J119" s="477"/>
    </row>
    <row r="120" spans="2:17" ht="13.5" thickBot="1">
      <c r="B120" s="591"/>
      <c r="C120" s="592"/>
      <c r="D120" s="593"/>
      <c r="E120" s="482"/>
      <c r="F120" s="482"/>
      <c r="G120" s="482"/>
      <c r="H120" s="968"/>
      <c r="I120" s="594"/>
      <c r="J120" s="483"/>
    </row>
    <row r="123" spans="2:17" ht="18.75">
      <c r="B123" s="558" t="s">
        <v>172</v>
      </c>
    </row>
    <row r="124" spans="2:17" ht="15.75">
      <c r="B124" s="617"/>
      <c r="D124" s="1076"/>
    </row>
    <row r="125" spans="2:17">
      <c r="B125" s="476"/>
      <c r="C125" s="476"/>
      <c r="D125" s="476"/>
      <c r="E125" s="476"/>
      <c r="F125" s="476"/>
      <c r="G125" s="476"/>
      <c r="H125" s="555"/>
      <c r="I125" s="476"/>
      <c r="J125" s="476"/>
      <c r="K125" s="476"/>
      <c r="L125" s="476"/>
    </row>
    <row r="126" spans="2:17">
      <c r="B126" s="476"/>
      <c r="C126" s="598"/>
      <c r="D126" s="598"/>
      <c r="E126" s="598"/>
      <c r="F126" s="598"/>
      <c r="G126" s="598"/>
      <c r="H126" s="977"/>
      <c r="I126" s="476"/>
      <c r="J126" s="598"/>
      <c r="K126" s="598"/>
      <c r="L126" s="598"/>
    </row>
    <row r="127" spans="2:17">
      <c r="B127" s="476"/>
      <c r="C127" s="476"/>
      <c r="D127" s="583"/>
      <c r="E127" s="583"/>
      <c r="F127" s="583"/>
      <c r="G127" s="583"/>
      <c r="H127" s="993"/>
      <c r="I127" s="476"/>
      <c r="J127" s="583"/>
      <c r="K127" s="583"/>
      <c r="L127" s="583"/>
    </row>
    <row r="128" spans="2:17">
      <c r="B128" s="476"/>
      <c r="C128" s="476"/>
      <c r="D128" s="583"/>
      <c r="E128" s="583"/>
      <c r="F128" s="583"/>
      <c r="G128" s="583"/>
      <c r="H128" s="993"/>
      <c r="I128" s="476"/>
      <c r="J128" s="583"/>
      <c r="K128" s="583"/>
      <c r="L128" s="583"/>
    </row>
    <row r="129" spans="2:12">
      <c r="B129" s="476"/>
      <c r="C129" s="476"/>
      <c r="D129" s="583"/>
      <c r="E129" s="583"/>
      <c r="F129" s="583"/>
      <c r="G129" s="583"/>
      <c r="H129" s="993"/>
      <c r="I129" s="476"/>
      <c r="J129" s="583"/>
      <c r="K129" s="583"/>
      <c r="L129" s="583"/>
    </row>
    <row r="130" spans="2:12">
      <c r="B130" s="476"/>
      <c r="C130" s="476"/>
      <c r="D130" s="583"/>
      <c r="E130" s="583"/>
      <c r="F130" s="583"/>
      <c r="G130" s="583"/>
      <c r="H130" s="993"/>
      <c r="I130" s="476"/>
      <c r="J130" s="583"/>
      <c r="K130" s="583"/>
      <c r="L130" s="583"/>
    </row>
    <row r="131" spans="2:12">
      <c r="B131" s="476"/>
      <c r="C131" s="476"/>
      <c r="D131" s="583"/>
      <c r="E131" s="583"/>
      <c r="F131" s="583"/>
      <c r="G131" s="583"/>
      <c r="H131" s="993"/>
      <c r="I131" s="476"/>
      <c r="J131" s="583"/>
      <c r="K131" s="583"/>
      <c r="L131" s="583"/>
    </row>
    <row r="132" spans="2:12">
      <c r="B132" s="476"/>
      <c r="C132" s="476"/>
      <c r="D132" s="583"/>
      <c r="E132" s="583"/>
      <c r="F132" s="583"/>
      <c r="G132" s="583"/>
      <c r="H132" s="993"/>
      <c r="I132" s="476"/>
      <c r="J132" s="583"/>
      <c r="K132" s="583"/>
      <c r="L132" s="583"/>
    </row>
    <row r="133" spans="2:12">
      <c r="B133" s="476"/>
      <c r="C133" s="476"/>
      <c r="D133" s="583"/>
      <c r="E133" s="583"/>
      <c r="F133" s="583"/>
      <c r="G133" s="583"/>
      <c r="H133" s="993"/>
      <c r="I133" s="476"/>
      <c r="J133" s="583"/>
      <c r="K133" s="583"/>
      <c r="L133" s="583"/>
    </row>
    <row r="136" spans="2:12" ht="18.75">
      <c r="B136" s="558" t="s">
        <v>168</v>
      </c>
    </row>
    <row r="137" spans="2:12" ht="15.75">
      <c r="B137" s="617"/>
    </row>
    <row r="138" spans="2:12" ht="13.5" thickBot="1">
      <c r="B138" s="476"/>
      <c r="C138" s="476"/>
      <c r="D138" s="476"/>
      <c r="E138" s="476"/>
      <c r="F138" s="476"/>
      <c r="G138" s="476"/>
      <c r="H138" s="555"/>
      <c r="I138" s="476"/>
    </row>
    <row r="139" spans="2:12">
      <c r="B139" s="1077"/>
      <c r="C139" s="1078" t="s">
        <v>70</v>
      </c>
      <c r="D139" s="1079">
        <v>2015</v>
      </c>
      <c r="E139" s="1078">
        <v>2020</v>
      </c>
      <c r="F139" s="1078">
        <v>2035</v>
      </c>
      <c r="G139" s="1078"/>
      <c r="H139" s="1009"/>
      <c r="I139" s="1080" t="s">
        <v>145</v>
      </c>
      <c r="J139" s="1081" t="s">
        <v>146</v>
      </c>
    </row>
    <row r="140" spans="2:12">
      <c r="B140" s="475"/>
      <c r="C140" s="598"/>
      <c r="D140" s="1082"/>
      <c r="E140" s="651"/>
      <c r="F140" s="651"/>
      <c r="G140" s="651"/>
      <c r="H140" s="1014"/>
      <c r="I140" s="476"/>
      <c r="J140" s="477"/>
    </row>
    <row r="141" spans="2:12">
      <c r="B141" s="475"/>
      <c r="C141" s="598"/>
      <c r="D141" s="1083"/>
      <c r="E141" s="581"/>
      <c r="F141" s="581"/>
      <c r="G141" s="581"/>
      <c r="H141" s="1016"/>
      <c r="I141" s="476"/>
      <c r="J141" s="477"/>
    </row>
    <row r="142" spans="2:12">
      <c r="B142" s="964" t="s">
        <v>2096</v>
      </c>
      <c r="C142" s="555" t="s">
        <v>29</v>
      </c>
      <c r="D142" s="1681">
        <v>0.1</v>
      </c>
      <c r="E142" s="1682">
        <v>0.1</v>
      </c>
      <c r="F142" s="1682">
        <v>0.1</v>
      </c>
      <c r="G142" s="1682">
        <v>0.1</v>
      </c>
      <c r="H142" s="1018"/>
      <c r="I142" s="1335"/>
      <c r="J142" s="965" t="s">
        <v>2097</v>
      </c>
    </row>
    <row r="143" spans="2:12">
      <c r="B143" s="475"/>
      <c r="C143" s="598"/>
      <c r="D143" s="1083"/>
      <c r="E143" s="581"/>
      <c r="F143" s="581"/>
      <c r="G143" s="581"/>
      <c r="H143" s="1016"/>
      <c r="I143" s="476"/>
      <c r="J143" s="477"/>
    </row>
    <row r="144" spans="2:12">
      <c r="B144" s="475"/>
      <c r="C144" s="598"/>
      <c r="D144" s="1083"/>
      <c r="E144" s="581"/>
      <c r="F144" s="581"/>
      <c r="G144" s="581"/>
      <c r="H144" s="1016"/>
      <c r="I144" s="476"/>
      <c r="J144" s="477"/>
    </row>
    <row r="145" spans="2:10">
      <c r="B145" s="475" t="s">
        <v>22</v>
      </c>
      <c r="C145" s="598" t="s">
        <v>249</v>
      </c>
      <c r="D145" s="1085"/>
      <c r="E145" s="567"/>
      <c r="F145" s="567"/>
      <c r="G145" s="567"/>
      <c r="H145" s="979"/>
      <c r="I145" s="476"/>
      <c r="J145" s="477"/>
    </row>
    <row r="146" spans="2:10">
      <c r="B146" s="475"/>
      <c r="C146" s="564"/>
      <c r="D146" s="581"/>
      <c r="E146" s="581"/>
      <c r="F146" s="581"/>
      <c r="G146" s="581"/>
      <c r="H146" s="1016"/>
      <c r="I146" s="476"/>
      <c r="J146" s="477"/>
    </row>
    <row r="147" spans="2:10" ht="13.5" thickBot="1">
      <c r="B147" s="481"/>
      <c r="C147" s="502"/>
      <c r="D147" s="1086"/>
      <c r="E147" s="1086"/>
      <c r="F147" s="1086"/>
      <c r="G147" s="1086"/>
      <c r="H147" s="1021"/>
      <c r="I147" s="482"/>
      <c r="J147" s="483"/>
    </row>
    <row r="150" spans="2:10" ht="13.5" thickBot="1"/>
    <row r="151" spans="2:10">
      <c r="B151" s="1040"/>
      <c r="C151" s="1340"/>
      <c r="D151" s="1383" t="s">
        <v>1098</v>
      </c>
    </row>
    <row r="152" spans="2:10">
      <c r="B152" s="1065" t="s">
        <v>1095</v>
      </c>
      <c r="C152" s="1367">
        <v>0.5</v>
      </c>
      <c r="D152" s="1384" t="s">
        <v>2052</v>
      </c>
    </row>
    <row r="153" spans="2:10" ht="13.5" thickBot="1">
      <c r="B153" s="1022" t="s">
        <v>2053</v>
      </c>
      <c r="C153" s="1341">
        <f>D190%</f>
        <v>0.42857142857142877</v>
      </c>
      <c r="D153" s="1385"/>
    </row>
    <row r="154" spans="2:10">
      <c r="B154" s="530" t="str">
        <f>CONCATENATE("Source: ",Referencer!$B$48)</f>
        <v>Source: 42, FORCE, Danish Energy Agency, 2013, Technology data for advanced bioenergy fuels.</v>
      </c>
    </row>
    <row r="155" spans="2:10" ht="13.5" thickBot="1">
      <c r="B155" s="476"/>
    </row>
    <row r="156" spans="2:10" ht="18.75">
      <c r="B156" s="1087" t="s">
        <v>1425</v>
      </c>
      <c r="C156" s="1088"/>
      <c r="D156" s="1089"/>
      <c r="E156" s="1089"/>
      <c r="F156" s="1089"/>
      <c r="G156" s="1089"/>
      <c r="H156" s="1025"/>
      <c r="I156" s="1089"/>
      <c r="J156" s="1090"/>
    </row>
    <row r="157" spans="2:10" ht="15">
      <c r="B157" s="1090"/>
      <c r="C157" s="1091"/>
      <c r="D157" s="1092">
        <v>2015</v>
      </c>
      <c r="E157" s="1092">
        <v>2020</v>
      </c>
      <c r="F157" s="1092">
        <v>2035</v>
      </c>
      <c r="G157" s="1092">
        <v>2050</v>
      </c>
      <c r="H157" s="1028"/>
      <c r="I157" s="1092" t="s">
        <v>1098</v>
      </c>
      <c r="J157" s="1387"/>
    </row>
    <row r="158" spans="2:10" ht="15">
      <c r="B158" s="1093" t="s">
        <v>1099</v>
      </c>
      <c r="C158" s="1094"/>
      <c r="D158" s="1091"/>
      <c r="E158" s="1091"/>
      <c r="F158" s="1091"/>
      <c r="G158" s="1091"/>
      <c r="H158" s="1027"/>
      <c r="I158" s="1091"/>
      <c r="J158" s="1090"/>
    </row>
    <row r="159" spans="2:10" ht="15">
      <c r="B159" s="1666" t="s">
        <v>1277</v>
      </c>
      <c r="C159" s="1091"/>
      <c r="D159" s="1287">
        <v>48000</v>
      </c>
      <c r="E159" s="1095" t="s">
        <v>1101</v>
      </c>
      <c r="F159" s="1096"/>
      <c r="G159" s="1096"/>
      <c r="H159" s="1031"/>
      <c r="I159" s="1386"/>
      <c r="J159" s="1388"/>
    </row>
    <row r="160" spans="2:10" ht="15">
      <c r="B160" s="1666" t="s">
        <v>1278</v>
      </c>
      <c r="C160" s="1091"/>
      <c r="D160" s="1287">
        <v>2180000</v>
      </c>
      <c r="E160" s="1095" t="s">
        <v>1101</v>
      </c>
      <c r="F160" s="1096"/>
      <c r="G160" s="1096"/>
      <c r="H160" s="1031"/>
      <c r="I160" s="1097"/>
      <c r="J160" s="1388"/>
    </row>
    <row r="161" spans="2:16" ht="15">
      <c r="B161" s="1666" t="s">
        <v>1279</v>
      </c>
      <c r="C161" s="1091"/>
      <c r="D161" s="637">
        <v>4.2</v>
      </c>
      <c r="E161" s="1095" t="s">
        <v>1101</v>
      </c>
      <c r="F161" s="1096"/>
      <c r="G161" s="1096"/>
      <c r="H161" s="1031"/>
      <c r="I161" s="1097"/>
      <c r="J161" s="1388"/>
    </row>
    <row r="162" spans="2:16" ht="15">
      <c r="B162" s="1666" t="s">
        <v>1280</v>
      </c>
      <c r="C162" s="1091"/>
      <c r="D162" s="637">
        <v>13.1</v>
      </c>
      <c r="E162" s="1095" t="s">
        <v>1101</v>
      </c>
      <c r="F162" s="1096"/>
      <c r="G162" s="1096"/>
      <c r="H162" s="1031"/>
      <c r="I162" s="1097"/>
      <c r="J162" s="1388"/>
    </row>
    <row r="163" spans="2:16" ht="15">
      <c r="B163" s="1666" t="s">
        <v>1281</v>
      </c>
      <c r="C163" s="1091"/>
      <c r="D163" s="637">
        <v>4.2</v>
      </c>
      <c r="E163" s="1095" t="s">
        <v>1101</v>
      </c>
      <c r="F163" s="1096"/>
      <c r="G163" s="1096"/>
      <c r="H163" s="1031"/>
      <c r="I163" s="1097"/>
      <c r="J163" s="1388"/>
    </row>
    <row r="164" spans="2:16" ht="15">
      <c r="B164" s="1666" t="s">
        <v>1282</v>
      </c>
      <c r="C164" s="1091"/>
      <c r="D164" s="637">
        <v>0.04</v>
      </c>
      <c r="E164" s="1095" t="s">
        <v>1101</v>
      </c>
      <c r="F164" s="1096"/>
      <c r="G164" s="1096"/>
      <c r="H164" s="1031"/>
      <c r="I164" s="1097"/>
      <c r="J164" s="1388"/>
      <c r="K164" s="621">
        <f>D164/$D$161</f>
        <v>9.5238095238095229E-3</v>
      </c>
      <c r="M164" s="469">
        <f>D161</f>
        <v>4.2</v>
      </c>
      <c r="N164" s="621">
        <f>1/M164</f>
        <v>0.23809523809523808</v>
      </c>
      <c r="O164" s="621"/>
    </row>
    <row r="165" spans="2:16" ht="15">
      <c r="B165" s="1669" t="s">
        <v>2065</v>
      </c>
      <c r="C165" s="1091"/>
      <c r="D165" s="637">
        <v>1.01</v>
      </c>
      <c r="E165" s="1095" t="s">
        <v>1101</v>
      </c>
      <c r="F165" s="1096"/>
      <c r="G165" s="1096"/>
      <c r="H165" s="1031"/>
      <c r="I165" s="1097"/>
      <c r="J165" s="1388"/>
      <c r="K165" s="621">
        <f>D165/$D$161</f>
        <v>0.24047619047619045</v>
      </c>
      <c r="M165" s="620">
        <f>D164+D165+D166</f>
        <v>1.4</v>
      </c>
      <c r="N165" s="620">
        <f>(M165+1)/$M$164</f>
        <v>0.5714285714285714</v>
      </c>
      <c r="O165" s="620">
        <f>M165/D161</f>
        <v>0.33333333333333331</v>
      </c>
    </row>
    <row r="166" spans="2:16" ht="15">
      <c r="B166" s="1669" t="s">
        <v>2066</v>
      </c>
      <c r="C166" s="1091"/>
      <c r="D166" s="637">
        <v>0.35</v>
      </c>
      <c r="E166" s="1095"/>
      <c r="F166" s="1096"/>
      <c r="G166" s="1096"/>
      <c r="H166" s="1031"/>
      <c r="I166" s="1097"/>
      <c r="J166" s="1388"/>
      <c r="K166" s="621">
        <f>D166/$D$161</f>
        <v>8.3333333333333329E-2</v>
      </c>
      <c r="M166" s="621">
        <f>C153*C152</f>
        <v>0.21428571428571438</v>
      </c>
      <c r="N166" s="620">
        <f>(M166+1)/$M$164</f>
        <v>0.28911564625850344</v>
      </c>
    </row>
    <row r="167" spans="2:16" ht="15">
      <c r="B167" s="1666" t="s">
        <v>1284</v>
      </c>
      <c r="C167" s="1091"/>
      <c r="D167" s="1098">
        <v>22.1</v>
      </c>
      <c r="E167" s="1095" t="s">
        <v>1101</v>
      </c>
      <c r="F167" s="1096"/>
      <c r="G167" s="1096"/>
      <c r="H167" s="1031"/>
      <c r="I167" s="1097"/>
      <c r="J167" s="1388"/>
      <c r="K167" s="621">
        <f>1/D161</f>
        <v>0.23809523809523808</v>
      </c>
    </row>
    <row r="168" spans="2:16" ht="15">
      <c r="B168" s="1090" t="s">
        <v>1285</v>
      </c>
      <c r="C168" s="1091"/>
      <c r="D168" s="1098">
        <v>60.8</v>
      </c>
      <c r="E168" s="1095" t="s">
        <v>1101</v>
      </c>
      <c r="F168" s="1096"/>
      <c r="G168" s="1096"/>
      <c r="H168" s="1031"/>
      <c r="I168" s="1097"/>
      <c r="J168" s="1388"/>
      <c r="K168" s="621">
        <f>SUM(K164:K167)</f>
        <v>0.5714285714285714</v>
      </c>
      <c r="M168" s="620"/>
      <c r="N168" s="620"/>
      <c r="O168" s="621">
        <f>(O165+D186/100)</f>
        <v>0.5714285714285714</v>
      </c>
      <c r="P168" s="620"/>
    </row>
    <row r="169" spans="2:16" ht="15">
      <c r="B169" s="1090" t="s">
        <v>1409</v>
      </c>
      <c r="C169" s="1091"/>
      <c r="D169" s="1098">
        <v>80.400000000000006</v>
      </c>
      <c r="E169" s="1095" t="s">
        <v>1101</v>
      </c>
      <c r="F169" s="1096"/>
      <c r="G169" s="1096"/>
      <c r="H169" s="1031"/>
      <c r="I169" s="1097"/>
      <c r="J169" s="1388"/>
    </row>
    <row r="170" spans="2:16" ht="15">
      <c r="C170" s="1091"/>
      <c r="D170" s="1091"/>
      <c r="E170" s="1096"/>
      <c r="F170" s="1096"/>
      <c r="G170" s="1096"/>
      <c r="H170" s="1031"/>
      <c r="I170" s="1097"/>
      <c r="J170" s="1388"/>
    </row>
    <row r="171" spans="2:16" ht="15">
      <c r="C171" s="1091"/>
      <c r="D171" s="1091"/>
      <c r="E171" s="1096"/>
      <c r="F171" s="1096"/>
      <c r="G171" s="1096"/>
      <c r="H171" s="1031"/>
      <c r="I171" s="1097"/>
      <c r="J171" s="1388"/>
    </row>
    <row r="172" spans="2:16" ht="15">
      <c r="B172" s="1090"/>
      <c r="C172" s="1091"/>
      <c r="D172" s="1091"/>
      <c r="E172" s="1096"/>
      <c r="F172" s="1096"/>
      <c r="G172" s="1096"/>
      <c r="H172" s="1031"/>
      <c r="I172" s="1097"/>
      <c r="J172" s="1388"/>
    </row>
    <row r="173" spans="2:16" ht="15">
      <c r="B173" s="1090"/>
      <c r="C173" s="1091"/>
      <c r="D173" s="1091"/>
      <c r="E173" s="1096"/>
      <c r="F173" s="1096"/>
      <c r="G173" s="1096"/>
      <c r="H173" s="1031"/>
      <c r="I173" s="1097"/>
      <c r="J173" s="1388"/>
    </row>
    <row r="174" spans="2:16" ht="15">
      <c r="B174" s="1090"/>
      <c r="C174" s="1091"/>
      <c r="D174" s="1091"/>
      <c r="E174" s="1096"/>
      <c r="F174" s="1096"/>
      <c r="G174" s="1096"/>
      <c r="H174" s="1031"/>
      <c r="I174" s="1097"/>
      <c r="J174" s="1388"/>
    </row>
    <row r="175" spans="2:16" ht="15">
      <c r="B175" s="1090"/>
      <c r="C175" s="1091"/>
      <c r="D175" s="1091"/>
      <c r="E175" s="1096"/>
      <c r="F175" s="1096"/>
      <c r="G175" s="1096"/>
      <c r="H175" s="1031"/>
      <c r="I175" s="1097"/>
      <c r="J175" s="1388"/>
    </row>
    <row r="176" spans="2:16" ht="15">
      <c r="B176" s="1090"/>
      <c r="C176" s="1091"/>
      <c r="D176" s="1091"/>
      <c r="E176" s="1096"/>
      <c r="F176" s="1096"/>
      <c r="G176" s="1096"/>
      <c r="H176" s="1031"/>
      <c r="I176" s="1097"/>
      <c r="J176" s="1388"/>
    </row>
    <row r="177" spans="2:10" ht="15">
      <c r="B177" s="1090"/>
      <c r="C177" s="1091"/>
      <c r="D177" s="1091"/>
      <c r="E177" s="1096"/>
      <c r="F177" s="1096"/>
      <c r="G177" s="1096"/>
      <c r="H177" s="1027"/>
      <c r="I177" s="1097"/>
      <c r="J177" s="1388"/>
    </row>
    <row r="178" spans="2:10" ht="15">
      <c r="B178" s="1099" t="s">
        <v>1109</v>
      </c>
      <c r="C178" s="1100"/>
      <c r="D178" s="1091"/>
      <c r="E178" s="1096"/>
      <c r="F178" s="1096"/>
      <c r="G178" s="1096"/>
      <c r="H178" s="1027"/>
      <c r="I178" s="1097"/>
      <c r="J178" s="1388"/>
    </row>
    <row r="179" spans="2:10" ht="15">
      <c r="B179" s="1666" t="s">
        <v>1286</v>
      </c>
      <c r="C179" s="1091"/>
      <c r="D179" s="1389">
        <v>176.8</v>
      </c>
      <c r="E179" s="1095" t="s">
        <v>1101</v>
      </c>
      <c r="F179" s="1096"/>
      <c r="G179" s="1096"/>
      <c r="H179" s="1031"/>
      <c r="I179" s="1097"/>
      <c r="J179" s="1388"/>
    </row>
    <row r="180" spans="2:10" ht="15.75" thickBot="1">
      <c r="B180" s="1667" t="s">
        <v>1287</v>
      </c>
      <c r="C180" s="1102"/>
      <c r="D180" s="1390">
        <v>5.3</v>
      </c>
      <c r="E180" s="1288" t="s">
        <v>1101</v>
      </c>
      <c r="F180" s="1103"/>
      <c r="G180" s="1103"/>
      <c r="H180" s="1035"/>
      <c r="I180" s="1104"/>
      <c r="J180" s="1388"/>
    </row>
    <row r="181" spans="2:10">
      <c r="B181" s="530" t="str">
        <f>CONCATENATE("Source: ",Referencer!$B$48)</f>
        <v>Source: 42, FORCE, Danish Energy Agency, 2013, Technology data for advanced bioenergy fuels.</v>
      </c>
    </row>
    <row r="182" spans="2:10" ht="13.5" thickBot="1"/>
    <row r="183" spans="2:10" ht="13.5" thickBot="1">
      <c r="B183" s="961" t="s">
        <v>1412</v>
      </c>
      <c r="C183" s="962"/>
      <c r="D183" s="963"/>
    </row>
    <row r="184" spans="2:10">
      <c r="B184" s="1040"/>
      <c r="C184" s="1063" t="s">
        <v>1152</v>
      </c>
      <c r="D184" s="1064" t="s">
        <v>1153</v>
      </c>
    </row>
    <row r="185" spans="2:10">
      <c r="B185" s="1065" t="s">
        <v>1333</v>
      </c>
      <c r="C185" s="1391">
        <v>100</v>
      </c>
      <c r="D185" s="1067"/>
    </row>
    <row r="186" spans="2:10">
      <c r="B186" s="1065" t="s">
        <v>1271</v>
      </c>
      <c r="C186" s="1068"/>
      <c r="D186" s="1670">
        <f>1/D161*100</f>
        <v>23.809523809523807</v>
      </c>
    </row>
    <row r="187" spans="2:10">
      <c r="B187" s="1065" t="s">
        <v>2</v>
      </c>
      <c r="C187" s="1068"/>
      <c r="D187" s="1670">
        <f>D165/D161*100</f>
        <v>24.047619047619044</v>
      </c>
    </row>
    <row r="188" spans="2:10">
      <c r="B188" s="1664" t="s">
        <v>2067</v>
      </c>
      <c r="C188" s="1665"/>
      <c r="D188" s="1670">
        <f>D166/D161*100</f>
        <v>8.3333333333333321</v>
      </c>
    </row>
    <row r="189" spans="2:10">
      <c r="B189" s="1664" t="s">
        <v>951</v>
      </c>
      <c r="C189" s="1665"/>
      <c r="D189" s="1671">
        <f>D164/D161*100</f>
        <v>0.95238095238095233</v>
      </c>
    </row>
    <row r="190" spans="2:10" ht="13.5" thickBot="1">
      <c r="B190" s="1022" t="s">
        <v>1155</v>
      </c>
      <c r="C190" s="1069"/>
      <c r="D190" s="1672">
        <f>(100-SUM(D186:D189))/100*SUM(C185)</f>
        <v>42.857142857142875</v>
      </c>
    </row>
    <row r="191" spans="2:10">
      <c r="B191" s="530" t="str">
        <f>CONCATENATE("Source: ",Referencer!$B$48)</f>
        <v>Source: 42, FORCE, Danish Energy Agency, 2013, Technology data for advanced bioenergy fuels.</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Supplementary!$B$238:$B$241</xm:f>
          </x14:formula1>
          <xm:sqref>C19</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8">
    <tabColor rgb="FF00B0F0"/>
  </sheetPr>
  <dimension ref="A1:S188"/>
  <sheetViews>
    <sheetView zoomScale="80" zoomScaleNormal="80" workbookViewId="0">
      <selection activeCell="D29" sqref="D29"/>
    </sheetView>
  </sheetViews>
  <sheetFormatPr defaultRowHeight="12.75"/>
  <cols>
    <col min="1" max="1" width="3.28515625" style="530" customWidth="1"/>
    <col min="2" max="2" width="36" style="530" customWidth="1"/>
    <col min="3" max="3" width="16.5703125" style="530" customWidth="1"/>
    <col min="4" max="8" width="15.7109375" style="530" customWidth="1"/>
    <col min="9" max="9" width="7.28515625" style="530" customWidth="1"/>
    <col min="10" max="10" width="12.7109375" style="530" customWidth="1"/>
    <col min="11" max="17" width="9.140625" style="530"/>
    <col min="18" max="19" width="9.42578125" style="530" bestFit="1" customWidth="1"/>
    <col min="20" max="16384" width="9.140625" style="530"/>
  </cols>
  <sheetData>
    <row r="1" spans="1:19" s="465" customFormat="1" ht="21">
      <c r="B1" s="465" t="s">
        <v>1169</v>
      </c>
      <c r="Q1" s="467">
        <f ca="1">'Log2015'!M1</f>
        <v>-8.0112614142160741</v>
      </c>
      <c r="R1" s="468">
        <f ca="1">'Log2015'!N1</f>
        <v>-160807.124977848</v>
      </c>
    </row>
    <row r="2" spans="1:19">
      <c r="B2" s="530" t="s">
        <v>2055</v>
      </c>
      <c r="Q2" s="958">
        <f ca="1">Q1</f>
        <v>-8.0112614142160741</v>
      </c>
      <c r="R2" s="958">
        <f ca="1">R1</f>
        <v>-160807.124977848</v>
      </c>
      <c r="S2" s="959">
        <f>S1</f>
        <v>0</v>
      </c>
    </row>
    <row r="3" spans="1:19">
      <c r="A3" s="530" t="s">
        <v>1078</v>
      </c>
    </row>
    <row r="4" spans="1:19">
      <c r="B4" s="960" t="s">
        <v>81</v>
      </c>
    </row>
    <row r="5" spans="1:19" ht="13.5" thickBot="1"/>
    <row r="6" spans="1:19">
      <c r="B6" s="961" t="s">
        <v>137</v>
      </c>
      <c r="C6" s="962"/>
      <c r="D6" s="962"/>
      <c r="E6" s="962"/>
      <c r="F6" s="962"/>
      <c r="G6" s="962"/>
      <c r="H6" s="962"/>
      <c r="I6" s="962"/>
      <c r="J6" s="962"/>
      <c r="K6" s="962"/>
      <c r="L6" s="962"/>
      <c r="M6" s="962"/>
      <c r="N6" s="963"/>
    </row>
    <row r="7" spans="1:19">
      <c r="B7" s="964"/>
      <c r="C7" s="555"/>
      <c r="D7" s="555"/>
      <c r="E7" s="555"/>
      <c r="F7" s="555"/>
      <c r="G7" s="555"/>
      <c r="H7" s="555"/>
      <c r="I7" s="555"/>
      <c r="J7" s="555"/>
      <c r="K7" s="555"/>
      <c r="L7" s="555"/>
      <c r="M7" s="555"/>
      <c r="N7" s="965"/>
    </row>
    <row r="8" spans="1:19">
      <c r="B8" s="964"/>
      <c r="C8" s="555"/>
      <c r="D8" s="555"/>
      <c r="E8" s="555"/>
      <c r="F8" s="555"/>
      <c r="G8" s="555"/>
      <c r="H8" s="555"/>
      <c r="I8" s="555"/>
      <c r="J8" s="555"/>
      <c r="K8" s="555"/>
      <c r="L8" s="555"/>
      <c r="M8" s="555"/>
      <c r="N8" s="965"/>
    </row>
    <row r="9" spans="1:19">
      <c r="B9" s="964"/>
      <c r="C9" s="555"/>
      <c r="D9" s="555"/>
      <c r="E9" s="555"/>
      <c r="F9" s="555"/>
      <c r="G9" s="555"/>
      <c r="H9" s="555"/>
      <c r="I9" s="555"/>
      <c r="J9" s="555"/>
      <c r="K9" s="555"/>
      <c r="L9" s="555"/>
      <c r="M9" s="555"/>
      <c r="N9" s="965"/>
    </row>
    <row r="10" spans="1:19">
      <c r="B10" s="964"/>
      <c r="C10" s="555"/>
      <c r="D10" s="555"/>
      <c r="E10" s="555"/>
      <c r="F10" s="555"/>
      <c r="G10" s="555"/>
      <c r="H10" s="555"/>
      <c r="I10" s="555"/>
      <c r="J10" s="555"/>
      <c r="K10" s="555"/>
      <c r="L10" s="555"/>
      <c r="M10" s="555"/>
      <c r="N10" s="965"/>
    </row>
    <row r="11" spans="1:19">
      <c r="B11" s="964" t="s">
        <v>138</v>
      </c>
      <c r="C11" s="966" t="s">
        <v>1171</v>
      </c>
      <c r="D11" s="555"/>
      <c r="E11" s="555"/>
      <c r="F11" s="555"/>
      <c r="G11" s="555"/>
      <c r="H11" s="555"/>
      <c r="I11" s="555"/>
      <c r="J11" s="555"/>
      <c r="K11" s="555"/>
      <c r="L11" s="555"/>
      <c r="M11" s="555"/>
      <c r="N11" s="965"/>
    </row>
    <row r="12" spans="1:19">
      <c r="B12" s="964"/>
      <c r="C12" s="555"/>
      <c r="D12" s="555"/>
      <c r="E12" s="555"/>
      <c r="F12" s="555"/>
      <c r="G12" s="555"/>
      <c r="H12" s="555"/>
      <c r="I12" s="555"/>
      <c r="J12" s="555"/>
      <c r="K12" s="555"/>
      <c r="L12" s="555"/>
      <c r="M12" s="555"/>
      <c r="N12" s="965"/>
    </row>
    <row r="13" spans="1:19">
      <c r="B13" s="964" t="s">
        <v>140</v>
      </c>
      <c r="C13" s="555" t="s">
        <v>1172</v>
      </c>
      <c r="D13" s="555"/>
      <c r="E13" s="555"/>
      <c r="F13" s="555"/>
      <c r="G13" s="555"/>
      <c r="H13" s="555"/>
      <c r="I13" s="555"/>
      <c r="J13" s="555"/>
      <c r="K13" s="555"/>
      <c r="L13" s="555"/>
      <c r="M13" s="555"/>
      <c r="N13" s="965"/>
    </row>
    <row r="14" spans="1:19">
      <c r="B14" s="964"/>
      <c r="C14" s="555"/>
      <c r="D14" s="555"/>
      <c r="E14" s="555"/>
      <c r="F14" s="555"/>
      <c r="G14" s="555"/>
      <c r="H14" s="555"/>
      <c r="I14" s="555"/>
      <c r="J14" s="555"/>
      <c r="K14" s="555"/>
      <c r="L14" s="555"/>
      <c r="M14" s="555"/>
      <c r="N14" s="965"/>
    </row>
    <row r="15" spans="1:19">
      <c r="B15" s="964" t="s">
        <v>141</v>
      </c>
      <c r="C15" s="555"/>
      <c r="D15" s="555"/>
      <c r="E15" s="555"/>
      <c r="F15" s="555"/>
      <c r="G15" s="555"/>
      <c r="H15" s="555"/>
      <c r="I15" s="555"/>
      <c r="J15" s="555"/>
      <c r="K15" s="555"/>
      <c r="L15" s="555"/>
      <c r="M15" s="555"/>
      <c r="N15" s="965"/>
    </row>
    <row r="16" spans="1:19">
      <c r="B16" s="964"/>
      <c r="C16" s="555"/>
      <c r="D16" s="555"/>
      <c r="E16" s="555"/>
      <c r="F16" s="555"/>
      <c r="G16" s="555"/>
      <c r="H16" s="555"/>
      <c r="I16" s="555"/>
      <c r="J16" s="555"/>
      <c r="K16" s="555"/>
      <c r="L16" s="555"/>
      <c r="M16" s="555"/>
      <c r="N16" s="965"/>
    </row>
    <row r="17" spans="2:14">
      <c r="B17" s="964" t="s">
        <v>142</v>
      </c>
      <c r="C17" s="555"/>
      <c r="D17" s="555"/>
      <c r="E17" s="555"/>
      <c r="F17" s="555"/>
      <c r="G17" s="555"/>
      <c r="H17" s="555"/>
      <c r="I17" s="555"/>
      <c r="J17" s="555"/>
      <c r="K17" s="555"/>
      <c r="L17" s="555"/>
      <c r="M17" s="555"/>
      <c r="N17" s="965"/>
    </row>
    <row r="18" spans="2:14">
      <c r="B18" s="964"/>
      <c r="C18" s="555"/>
      <c r="D18" s="555"/>
      <c r="E18" s="555"/>
      <c r="F18" s="555"/>
      <c r="G18" s="555"/>
      <c r="H18" s="555"/>
      <c r="I18" s="555"/>
      <c r="J18" s="555"/>
      <c r="K18" s="555"/>
      <c r="L18" s="555"/>
      <c r="M18" s="555"/>
      <c r="N18" s="965"/>
    </row>
    <row r="19" spans="2:14">
      <c r="B19" s="964" t="s">
        <v>2131</v>
      </c>
      <c r="C19" s="1693" t="s">
        <v>2120</v>
      </c>
      <c r="D19" s="555"/>
      <c r="E19" s="555"/>
      <c r="F19" s="555"/>
      <c r="G19" s="555"/>
      <c r="H19" s="555"/>
      <c r="I19" s="555"/>
      <c r="J19" s="555"/>
      <c r="K19" s="555"/>
      <c r="L19" s="555"/>
      <c r="M19" s="555"/>
      <c r="N19" s="965"/>
    </row>
    <row r="20" spans="2:14">
      <c r="B20" s="964"/>
      <c r="C20" s="555"/>
      <c r="D20" s="555"/>
      <c r="E20" s="555"/>
      <c r="F20" s="555"/>
      <c r="G20" s="555"/>
      <c r="H20" s="555"/>
      <c r="I20" s="555"/>
      <c r="J20" s="555"/>
      <c r="K20" s="555"/>
      <c r="L20" s="555"/>
      <c r="M20" s="555"/>
      <c r="N20" s="965"/>
    </row>
    <row r="21" spans="2:14">
      <c r="B21" s="964"/>
      <c r="C21" s="555"/>
      <c r="D21" s="555"/>
      <c r="E21" s="555"/>
      <c r="F21" s="555"/>
      <c r="G21" s="555"/>
      <c r="H21" s="555"/>
      <c r="I21" s="555"/>
      <c r="J21" s="555"/>
      <c r="K21" s="555"/>
      <c r="L21" s="555"/>
      <c r="M21" s="555"/>
      <c r="N21" s="965"/>
    </row>
    <row r="22" spans="2:14">
      <c r="B22" s="964" t="s">
        <v>143</v>
      </c>
      <c r="C22" s="555"/>
      <c r="D22" s="555"/>
      <c r="E22" s="555"/>
      <c r="F22" s="555"/>
      <c r="G22" s="555"/>
      <c r="H22" s="555"/>
      <c r="I22" s="555"/>
      <c r="J22" s="555"/>
      <c r="K22" s="555"/>
      <c r="L22" s="555"/>
      <c r="M22" s="555"/>
      <c r="N22" s="965"/>
    </row>
    <row r="23" spans="2:14">
      <c r="B23" s="964"/>
      <c r="C23" s="555"/>
      <c r="D23" s="555"/>
      <c r="E23" s="555"/>
      <c r="F23" s="555"/>
      <c r="G23" s="555"/>
      <c r="H23" s="555"/>
      <c r="I23" s="555"/>
      <c r="J23" s="555"/>
      <c r="K23" s="555"/>
      <c r="L23" s="555"/>
      <c r="M23" s="555"/>
      <c r="N23" s="965"/>
    </row>
    <row r="24" spans="2:14" ht="13.5" thickBot="1">
      <c r="B24" s="967"/>
      <c r="C24" s="968"/>
      <c r="D24" s="968"/>
      <c r="E24" s="968"/>
      <c r="F24" s="968"/>
      <c r="G24" s="968"/>
      <c r="H24" s="968"/>
      <c r="I24" s="968"/>
      <c r="J24" s="968"/>
      <c r="K24" s="968"/>
      <c r="L24" s="968"/>
      <c r="M24" s="968"/>
      <c r="N24" s="969"/>
    </row>
    <row r="25" spans="2:14">
      <c r="F25" s="529"/>
      <c r="G25" s="529"/>
      <c r="H25" s="529"/>
    </row>
    <row r="26" spans="2:14">
      <c r="B26" s="960" t="s">
        <v>144</v>
      </c>
    </row>
    <row r="27" spans="2:14" ht="13.5" thickBot="1"/>
    <row r="28" spans="2:14">
      <c r="B28" s="961"/>
      <c r="C28" s="970"/>
      <c r="D28" s="962"/>
      <c r="E28" s="962"/>
      <c r="F28" s="962"/>
      <c r="G28" s="962"/>
      <c r="H28" s="962"/>
      <c r="I28" s="962"/>
      <c r="J28" s="963"/>
    </row>
    <row r="29" spans="2:14">
      <c r="B29" s="971"/>
      <c r="C29" s="972" t="s">
        <v>70</v>
      </c>
      <c r="D29" s="973">
        <v>2015</v>
      </c>
      <c r="E29" s="973">
        <v>2020</v>
      </c>
      <c r="F29" s="973">
        <v>2035</v>
      </c>
      <c r="G29" s="973">
        <v>2050</v>
      </c>
      <c r="H29" s="973" t="s">
        <v>978</v>
      </c>
      <c r="I29" s="556" t="s">
        <v>145</v>
      </c>
      <c r="J29" s="974" t="s">
        <v>146</v>
      </c>
    </row>
    <row r="30" spans="2:14">
      <c r="B30" s="975" t="s">
        <v>147</v>
      </c>
      <c r="C30" s="976"/>
      <c r="D30" s="977"/>
      <c r="E30" s="977"/>
      <c r="F30" s="977"/>
      <c r="G30" s="977"/>
      <c r="H30" s="977"/>
      <c r="I30" s="555"/>
      <c r="J30" s="965"/>
    </row>
    <row r="31" spans="2:14">
      <c r="B31" s="964" t="s">
        <v>148</v>
      </c>
      <c r="C31" s="976" t="s">
        <v>1173</v>
      </c>
      <c r="D31" s="1348">
        <f>1/D169</f>
        <v>0.45454545454545453</v>
      </c>
      <c r="E31" s="1348">
        <f>$D31</f>
        <v>0.45454545454545453</v>
      </c>
      <c r="F31" s="1348">
        <f>$D31</f>
        <v>0.45454545454545453</v>
      </c>
      <c r="G31" s="1348">
        <f>$D31</f>
        <v>0.45454545454545453</v>
      </c>
      <c r="H31" s="1333"/>
      <c r="I31" s="555"/>
      <c r="J31" s="965"/>
    </row>
    <row r="32" spans="2:14">
      <c r="B32" s="964" t="s">
        <v>67</v>
      </c>
      <c r="C32" s="976" t="s">
        <v>1174</v>
      </c>
      <c r="D32" s="979">
        <f>D167/D166</f>
        <v>37.299999999999997</v>
      </c>
      <c r="E32" s="978">
        <f t="shared" ref="E32:G34" si="0">$D32</f>
        <v>37.299999999999997</v>
      </c>
      <c r="F32" s="978">
        <f t="shared" si="0"/>
        <v>37.299999999999997</v>
      </c>
      <c r="G32" s="978">
        <f t="shared" si="0"/>
        <v>37.299999999999997</v>
      </c>
      <c r="H32" s="978"/>
      <c r="I32" s="555"/>
      <c r="J32" s="965"/>
    </row>
    <row r="33" spans="2:10">
      <c r="B33" s="964" t="s">
        <v>149</v>
      </c>
      <c r="C33" s="976" t="s">
        <v>1175</v>
      </c>
      <c r="D33" s="1396">
        <f>D166</f>
        <v>200000</v>
      </c>
      <c r="E33" s="1396">
        <f t="shared" si="0"/>
        <v>200000</v>
      </c>
      <c r="F33" s="1396">
        <f t="shared" si="0"/>
        <v>200000</v>
      </c>
      <c r="G33" s="1396">
        <f t="shared" si="0"/>
        <v>200000</v>
      </c>
      <c r="H33" s="1397"/>
      <c r="I33" s="1107"/>
      <c r="J33" s="965"/>
    </row>
    <row r="34" spans="2:10">
      <c r="B34" s="964" t="s">
        <v>150</v>
      </c>
      <c r="C34" s="976" t="s">
        <v>34</v>
      </c>
      <c r="D34" s="1332">
        <f>20</f>
        <v>20</v>
      </c>
      <c r="E34" s="1332">
        <f t="shared" si="0"/>
        <v>20</v>
      </c>
      <c r="F34" s="1332">
        <f t="shared" si="0"/>
        <v>20</v>
      </c>
      <c r="G34" s="1332">
        <f t="shared" si="0"/>
        <v>20</v>
      </c>
      <c r="H34" s="1332"/>
      <c r="I34" s="555"/>
      <c r="J34" s="965" t="s">
        <v>1087</v>
      </c>
    </row>
    <row r="35" spans="2:10">
      <c r="B35" s="964"/>
      <c r="C35" s="981"/>
      <c r="D35" s="982"/>
      <c r="E35" s="983"/>
      <c r="F35" s="983"/>
      <c r="G35" s="983"/>
      <c r="H35" s="983"/>
      <c r="I35" s="555"/>
      <c r="J35" s="965"/>
    </row>
    <row r="36" spans="2:10">
      <c r="B36" s="975" t="s">
        <v>151</v>
      </c>
      <c r="C36" s="981"/>
      <c r="D36" s="982"/>
      <c r="E36" s="983"/>
      <c r="F36" s="983"/>
      <c r="G36" s="983"/>
      <c r="H36" s="983"/>
      <c r="I36" s="555"/>
      <c r="J36" s="965"/>
    </row>
    <row r="37" spans="2:10">
      <c r="B37" s="964" t="str">
        <f>ProcessEnergy!B35</f>
        <v xml:space="preserve">Green diesel </v>
      </c>
      <c r="C37" s="976" t="s">
        <v>2074</v>
      </c>
      <c r="D37" s="984"/>
      <c r="E37" s="984"/>
      <c r="F37" s="984"/>
      <c r="G37" s="984"/>
      <c r="H37" s="984"/>
      <c r="I37" s="555"/>
      <c r="J37" s="965"/>
    </row>
    <row r="38" spans="2:10">
      <c r="B38" s="985" t="str">
        <f>ProcessEnergy!B36</f>
        <v>Green gasoline</v>
      </c>
      <c r="C38" s="976" t="s">
        <v>2074</v>
      </c>
      <c r="D38" s="984"/>
      <c r="E38" s="984"/>
      <c r="F38" s="984"/>
      <c r="G38" s="984"/>
      <c r="H38" s="984"/>
      <c r="I38" s="555"/>
      <c r="J38" s="965"/>
    </row>
    <row r="39" spans="2:10">
      <c r="B39" s="985" t="str">
        <f>ProcessEnergy!B37</f>
        <v>Electricity - balancing</v>
      </c>
      <c r="C39" s="976" t="s">
        <v>2074</v>
      </c>
      <c r="D39" s="984"/>
      <c r="E39" s="984"/>
      <c r="F39" s="984"/>
      <c r="G39" s="984"/>
      <c r="H39" s="984"/>
      <c r="I39" s="555"/>
      <c r="J39" s="965"/>
    </row>
    <row r="40" spans="2:10">
      <c r="B40" s="985" t="str">
        <f>ProcessEnergy!B38</f>
        <v>Electricity  - continous</v>
      </c>
      <c r="C40" s="976" t="s">
        <v>2074</v>
      </c>
      <c r="D40" s="984"/>
      <c r="E40" s="984"/>
      <c r="F40" s="984"/>
      <c r="G40" s="984"/>
      <c r="H40" s="984"/>
      <c r="I40" s="555"/>
      <c r="J40" s="965"/>
    </row>
    <row r="41" spans="2:10">
      <c r="B41" s="985" t="str">
        <f>ProcessEnergy!B39</f>
        <v>Elec/heat fuel</v>
      </c>
      <c r="C41" s="976" t="s">
        <v>2074</v>
      </c>
      <c r="D41" s="984"/>
      <c r="E41" s="984"/>
      <c r="F41" s="984"/>
      <c r="G41" s="984"/>
      <c r="H41" s="984"/>
      <c r="I41" s="555"/>
      <c r="J41" s="965"/>
    </row>
    <row r="42" spans="2:10">
      <c r="B42" s="985" t="str">
        <f>ProcessEnergy!B40</f>
        <v>Biogas (100% CH4)</v>
      </c>
      <c r="C42" s="976" t="s">
        <v>2074</v>
      </c>
      <c r="D42" s="984"/>
      <c r="E42" s="984"/>
      <c r="F42" s="984"/>
      <c r="G42" s="984"/>
      <c r="H42" s="984"/>
      <c r="I42" s="555"/>
      <c r="J42" s="965"/>
    </row>
    <row r="43" spans="2:10">
      <c r="B43" s="985" t="str">
        <f>ProcessEnergy!B41</f>
        <v>District heating</v>
      </c>
      <c r="C43" s="976" t="s">
        <v>2074</v>
      </c>
      <c r="D43" s="984"/>
      <c r="E43" s="984"/>
      <c r="F43" s="984"/>
      <c r="G43" s="984"/>
      <c r="H43" s="978"/>
      <c r="I43" s="555"/>
      <c r="J43" s="965"/>
    </row>
    <row r="44" spans="2:10">
      <c r="B44" s="985" t="str">
        <f>ProcessEnergy!B42</f>
        <v>&lt;empty&gt;</v>
      </c>
      <c r="C44" s="976"/>
      <c r="D44" s="984"/>
      <c r="E44" s="984"/>
      <c r="F44" s="984"/>
      <c r="G44" s="984"/>
      <c r="H44" s="978"/>
      <c r="I44" s="555"/>
      <c r="J44" s="965"/>
    </row>
    <row r="45" spans="2:10">
      <c r="B45" s="985" t="str">
        <f>ProcessEnergy!B43</f>
        <v>&lt;empty&gt;</v>
      </c>
      <c r="C45" s="976"/>
      <c r="D45" s="984"/>
      <c r="E45" s="984"/>
      <c r="F45" s="984"/>
      <c r="G45" s="984"/>
      <c r="H45" s="978"/>
      <c r="I45" s="555"/>
      <c r="J45" s="965"/>
    </row>
    <row r="46" spans="2:10">
      <c r="B46" s="985" t="str">
        <f>ProcessEnergy!B44</f>
        <v>&lt;empty&gt;</v>
      </c>
      <c r="C46" s="976"/>
      <c r="D46" s="984"/>
      <c r="E46" s="984"/>
      <c r="F46" s="984"/>
      <c r="G46" s="984"/>
      <c r="H46" s="978"/>
      <c r="I46" s="555"/>
      <c r="J46" s="965"/>
    </row>
    <row r="47" spans="2:10">
      <c r="B47" s="985" t="str">
        <f>ProcessEnergy!B45</f>
        <v>&lt;empty&gt;</v>
      </c>
      <c r="C47" s="976"/>
      <c r="D47" s="984"/>
      <c r="E47" s="984"/>
      <c r="F47" s="984"/>
      <c r="G47" s="984"/>
      <c r="H47" s="978"/>
      <c r="I47" s="555"/>
      <c r="J47" s="965"/>
    </row>
    <row r="48" spans="2:10">
      <c r="B48" s="985" t="str">
        <f>ProcessEnergy!B46</f>
        <v>&lt;empty&gt;</v>
      </c>
      <c r="C48" s="976"/>
      <c r="D48" s="984"/>
      <c r="E48" s="984"/>
      <c r="F48" s="984"/>
      <c r="G48" s="984"/>
      <c r="H48" s="978"/>
      <c r="I48" s="555"/>
      <c r="J48" s="965"/>
    </row>
    <row r="49" spans="2:10">
      <c r="B49" s="985" t="str">
        <f>ProcessEnergy!B47</f>
        <v>&lt;empty&gt;</v>
      </c>
      <c r="C49" s="976"/>
      <c r="D49" s="984"/>
      <c r="E49" s="984"/>
      <c r="F49" s="984"/>
      <c r="G49" s="984"/>
      <c r="H49" s="978"/>
      <c r="I49" s="555"/>
      <c r="J49" s="965"/>
    </row>
    <row r="50" spans="2:10">
      <c r="B50" s="985" t="str">
        <f>ProcessEnergy!B48</f>
        <v>Glycerol</v>
      </c>
      <c r="C50" s="976"/>
      <c r="D50" s="984">
        <f>D175/D168</f>
        <v>3.2258064516129031E-2</v>
      </c>
      <c r="E50" s="984">
        <f>$D$50</f>
        <v>3.2258064516129031E-2</v>
      </c>
      <c r="F50" s="984">
        <f t="shared" ref="F50:G50" si="1">$D$50</f>
        <v>3.2258064516129031E-2</v>
      </c>
      <c r="G50" s="984">
        <f t="shared" si="1"/>
        <v>3.2258064516129031E-2</v>
      </c>
      <c r="H50" s="978"/>
      <c r="I50" s="555"/>
      <c r="J50" s="965"/>
    </row>
    <row r="51" spans="2:10">
      <c r="B51" s="985" t="str">
        <f>ProcessEnergy!B49</f>
        <v>&lt;empty&gt;</v>
      </c>
      <c r="C51" s="976"/>
      <c r="D51" s="984"/>
      <c r="E51" s="984"/>
      <c r="F51" s="984"/>
      <c r="G51" s="984"/>
      <c r="H51" s="978"/>
      <c r="I51" s="555"/>
      <c r="J51" s="965"/>
    </row>
    <row r="52" spans="2:10">
      <c r="B52" s="985" t="str">
        <f>ProcessEnergy!B50</f>
        <v>&lt;empty&gt;</v>
      </c>
      <c r="C52" s="976"/>
      <c r="D52" s="984"/>
      <c r="E52" s="984"/>
      <c r="F52" s="984"/>
      <c r="G52" s="984"/>
      <c r="H52" s="978"/>
      <c r="I52" s="555"/>
      <c r="J52" s="965"/>
    </row>
    <row r="53" spans="2:10">
      <c r="B53" s="985" t="str">
        <f>ProcessEnergy!B51</f>
        <v>Fodder (wheat like)</v>
      </c>
      <c r="C53" s="976" t="s">
        <v>2074</v>
      </c>
      <c r="D53" s="984"/>
      <c r="E53" s="984"/>
      <c r="F53" s="984"/>
      <c r="G53" s="984"/>
      <c r="H53" s="984"/>
      <c r="I53" s="555"/>
      <c r="J53" s="965"/>
    </row>
    <row r="54" spans="2:10">
      <c r="B54" s="985" t="str">
        <f>ProcessEnergy!B52</f>
        <v>Rape seed cake</v>
      </c>
      <c r="C54" s="976" t="s">
        <v>2074</v>
      </c>
      <c r="D54" s="2276">
        <f>D176/D168</f>
        <v>0.37419354838709673</v>
      </c>
      <c r="E54" s="1344">
        <f t="shared" ref="E54:G54" si="2">$D54</f>
        <v>0.37419354838709673</v>
      </c>
      <c r="F54" s="1344">
        <f t="shared" si="2"/>
        <v>0.37419354838709673</v>
      </c>
      <c r="G54" s="1344">
        <f t="shared" si="2"/>
        <v>0.37419354838709673</v>
      </c>
      <c r="H54" s="984"/>
      <c r="I54" s="555"/>
      <c r="J54" s="965"/>
    </row>
    <row r="55" spans="2:10">
      <c r="B55" s="985" t="str">
        <f>ProcessEnergy!B53</f>
        <v>&lt;empty&gt;</v>
      </c>
      <c r="C55" s="976" t="s">
        <v>2074</v>
      </c>
      <c r="D55" s="537"/>
      <c r="E55" s="1344"/>
      <c r="F55" s="1344"/>
      <c r="G55" s="1344"/>
      <c r="H55" s="984"/>
      <c r="I55" s="555"/>
      <c r="J55" s="965"/>
    </row>
    <row r="56" spans="2:10">
      <c r="B56" s="985" t="str">
        <f>ProcessEnergy!B54</f>
        <v>DDGS</v>
      </c>
      <c r="C56" s="976" t="s">
        <v>2074</v>
      </c>
      <c r="D56" s="984"/>
      <c r="E56" s="984"/>
      <c r="F56" s="984"/>
      <c r="G56" s="984"/>
      <c r="H56" s="984"/>
      <c r="I56" s="555"/>
      <c r="J56" s="965"/>
    </row>
    <row r="57" spans="2:10">
      <c r="B57" s="964"/>
      <c r="C57" s="976"/>
      <c r="D57" s="984"/>
      <c r="E57" s="984"/>
      <c r="F57" s="984"/>
      <c r="G57" s="984"/>
      <c r="H57" s="984"/>
      <c r="I57" s="555"/>
      <c r="J57" s="965"/>
    </row>
    <row r="58" spans="2:10">
      <c r="B58" s="975" t="s">
        <v>873</v>
      </c>
      <c r="C58" s="976"/>
      <c r="D58" s="984"/>
      <c r="E58" s="984"/>
      <c r="F58" s="984"/>
      <c r="G58" s="984"/>
      <c r="H58" s="984"/>
      <c r="I58" s="555"/>
      <c r="J58" s="965"/>
    </row>
    <row r="59" spans="2:10">
      <c r="B59" s="964" t="str">
        <f>ProcessEnergy!B5</f>
        <v>EL - peakload</v>
      </c>
      <c r="C59" s="976" t="s">
        <v>2072</v>
      </c>
      <c r="D59" s="993">
        <f>D173/D168</f>
        <v>1.2258064516129031E-2</v>
      </c>
      <c r="E59" s="978">
        <f>$D59</f>
        <v>1.2258064516129031E-2</v>
      </c>
      <c r="F59" s="978">
        <f>$D59</f>
        <v>1.2258064516129031E-2</v>
      </c>
      <c r="G59" s="978">
        <f>$D59</f>
        <v>1.2258064516129031E-2</v>
      </c>
      <c r="H59" s="984"/>
      <c r="I59" s="555"/>
      <c r="J59" s="965"/>
    </row>
    <row r="60" spans="2:10">
      <c r="B60" s="964" t="str">
        <f>ProcessEnergy!B6</f>
        <v>El - baseload</v>
      </c>
      <c r="C60" s="976" t="s">
        <v>2072</v>
      </c>
      <c r="D60" s="993"/>
      <c r="E60" s="984"/>
      <c r="F60" s="984"/>
      <c r="G60" s="984"/>
      <c r="H60" s="984"/>
      <c r="I60" s="555"/>
      <c r="J60" s="965"/>
    </row>
    <row r="61" spans="2:10">
      <c r="B61" s="964" t="str">
        <f>ProcessEnergy!B7</f>
        <v xml:space="preserve">Varme </v>
      </c>
      <c r="C61" s="976" t="s">
        <v>2072</v>
      </c>
      <c r="D61" s="993">
        <f>D174/D168</f>
        <v>3.2258064516129031E-2</v>
      </c>
      <c r="E61" s="978">
        <f>$D61</f>
        <v>3.2258064516129031E-2</v>
      </c>
      <c r="F61" s="978">
        <f>$D61</f>
        <v>3.2258064516129031E-2</v>
      </c>
      <c r="G61" s="978">
        <f>$D61</f>
        <v>3.2258064516129031E-2</v>
      </c>
      <c r="H61" s="984"/>
      <c r="I61" s="555"/>
      <c r="J61" s="965"/>
    </row>
    <row r="62" spans="2:10">
      <c r="B62" s="964" t="str">
        <f>ProcessEnergy!B8</f>
        <v>Damp</v>
      </c>
      <c r="C62" s="976" t="s">
        <v>2072</v>
      </c>
      <c r="D62" s="984"/>
      <c r="E62" s="984"/>
      <c r="F62" s="984"/>
      <c r="G62" s="984"/>
      <c r="H62" s="984"/>
      <c r="I62" s="555"/>
      <c r="J62" s="965"/>
    </row>
    <row r="63" spans="2:10">
      <c r="B63" s="964" t="str">
        <f>ProcessEnergy!B9</f>
        <v xml:space="preserve">Olie </v>
      </c>
      <c r="C63" s="976" t="s">
        <v>2072</v>
      </c>
      <c r="D63" s="984"/>
      <c r="E63" s="984"/>
      <c r="F63" s="984"/>
      <c r="G63" s="984"/>
      <c r="H63" s="984"/>
      <c r="I63" s="555"/>
      <c r="J63" s="965"/>
    </row>
    <row r="64" spans="2:10">
      <c r="B64" s="964" t="str">
        <f>ProcessEnergy!B10</f>
        <v>Kul</v>
      </c>
      <c r="C64" s="976" t="s">
        <v>2072</v>
      </c>
      <c r="D64" s="984"/>
      <c r="E64" s="984"/>
      <c r="F64" s="984"/>
      <c r="G64" s="984"/>
      <c r="H64" s="984"/>
      <c r="I64" s="555"/>
      <c r="J64" s="965"/>
    </row>
    <row r="65" spans="2:10">
      <c r="B65" s="964" t="str">
        <f>ProcessEnergy!B11</f>
        <v>Naturgas kedel</v>
      </c>
      <c r="C65" s="976" t="s">
        <v>2072</v>
      </c>
      <c r="D65" s="984"/>
      <c r="E65" s="984"/>
      <c r="F65" s="984"/>
      <c r="G65" s="984"/>
      <c r="H65" s="984"/>
      <c r="I65" s="555"/>
      <c r="J65" s="965"/>
    </row>
    <row r="66" spans="2:10">
      <c r="B66" s="964" t="str">
        <f>ProcessEnergy!B12</f>
        <v>Gylle</v>
      </c>
      <c r="C66" s="976" t="s">
        <v>2072</v>
      </c>
      <c r="D66" s="984"/>
      <c r="E66" s="984"/>
      <c r="F66" s="984"/>
      <c r="G66" s="984"/>
      <c r="H66" s="984"/>
      <c r="I66" s="555"/>
      <c r="J66" s="965"/>
    </row>
    <row r="67" spans="2:10">
      <c r="B67" s="964" t="str">
        <f>ProcessEnergy!B13</f>
        <v>Affald</v>
      </c>
      <c r="C67" s="976" t="s">
        <v>2072</v>
      </c>
      <c r="D67" s="984"/>
      <c r="E67" s="984"/>
      <c r="F67" s="984"/>
      <c r="G67" s="984"/>
      <c r="H67" s="984"/>
      <c r="I67" s="555"/>
      <c r="J67" s="965"/>
    </row>
    <row r="68" spans="2:10">
      <c r="B68" s="964" t="str">
        <f>ProcessEnergy!B14</f>
        <v>Hydrogen</v>
      </c>
      <c r="C68" s="976" t="s">
        <v>2072</v>
      </c>
      <c r="D68" s="984"/>
      <c r="E68" s="984"/>
      <c r="F68" s="984"/>
      <c r="G68" s="984"/>
      <c r="H68" s="984"/>
      <c r="I68" s="555"/>
      <c r="J68" s="965"/>
    </row>
    <row r="69" spans="2:10">
      <c r="B69" s="964" t="str">
        <f>ProcessEnergy!B15</f>
        <v>Biomasse</v>
      </c>
      <c r="C69" s="976" t="s">
        <v>2072</v>
      </c>
      <c r="H69" s="984"/>
      <c r="I69" s="555"/>
      <c r="J69" s="965"/>
    </row>
    <row r="70" spans="2:10">
      <c r="B70" s="964" t="str">
        <f>ProcessEnergy!B16</f>
        <v>Methanol</v>
      </c>
      <c r="C70" s="976" t="s">
        <v>2072</v>
      </c>
      <c r="D70" s="984">
        <f>D170/D168</f>
        <v>3.8709677419354833E-2</v>
      </c>
      <c r="E70" s="984">
        <f>$D$70</f>
        <v>3.8709677419354833E-2</v>
      </c>
      <c r="F70" s="984">
        <f>$D$70</f>
        <v>3.8709677419354833E-2</v>
      </c>
      <c r="G70" s="984">
        <f>$D$70</f>
        <v>3.8709677419354833E-2</v>
      </c>
      <c r="H70" s="984"/>
      <c r="I70" s="555"/>
      <c r="J70" s="965"/>
    </row>
    <row r="71" spans="2:10">
      <c r="B71" s="964" t="str">
        <f>ProcessEnergy!B17</f>
        <v>&lt;empty&gt;</v>
      </c>
      <c r="C71" s="976"/>
      <c r="D71" s="984"/>
      <c r="E71" s="984"/>
      <c r="F71" s="984"/>
      <c r="G71" s="984"/>
      <c r="H71" s="984"/>
      <c r="I71" s="555"/>
      <c r="J71" s="965"/>
    </row>
    <row r="72" spans="2:10">
      <c r="B72" s="964" t="str">
        <f>ProcessEnergy!B18</f>
        <v>&lt;empty&gt;</v>
      </c>
      <c r="C72" s="976"/>
      <c r="D72" s="984"/>
      <c r="E72" s="984"/>
      <c r="F72" s="984"/>
      <c r="G72" s="984"/>
      <c r="H72" s="984"/>
      <c r="I72" s="555"/>
      <c r="J72" s="965"/>
    </row>
    <row r="73" spans="2:10">
      <c r="B73" s="964" t="str">
        <f>ProcessEnergy!B19</f>
        <v>&lt;empty&gt;</v>
      </c>
      <c r="C73" s="976"/>
      <c r="D73" s="984"/>
      <c r="E73" s="984"/>
      <c r="F73" s="984"/>
      <c r="G73" s="984"/>
      <c r="H73" s="984"/>
      <c r="I73" s="555"/>
      <c r="J73" s="965"/>
    </row>
    <row r="74" spans="2:10">
      <c r="B74" s="964" t="str">
        <f>ProcessEnergy!B20</f>
        <v>&lt;empty&gt;</v>
      </c>
      <c r="C74" s="976"/>
      <c r="D74" s="984"/>
      <c r="E74" s="984"/>
      <c r="F74" s="984"/>
      <c r="G74" s="984"/>
      <c r="H74" s="984"/>
      <c r="I74" s="555"/>
      <c r="J74" s="965"/>
    </row>
    <row r="75" spans="2:10">
      <c r="B75" s="964" t="str">
        <f>ProcessEnergy!B21</f>
        <v>&lt;empty&gt;</v>
      </c>
      <c r="C75" s="976"/>
      <c r="D75" s="984"/>
      <c r="E75" s="984"/>
      <c r="F75" s="984"/>
      <c r="G75" s="984"/>
      <c r="H75" s="984"/>
      <c r="I75" s="555"/>
      <c r="J75" s="965"/>
    </row>
    <row r="76" spans="2:10">
      <c r="B76" s="964" t="str">
        <f>ProcessEnergy!B22</f>
        <v>&lt;empty&gt;</v>
      </c>
      <c r="C76" s="976"/>
      <c r="D76" s="984"/>
      <c r="E76" s="984"/>
      <c r="F76" s="984"/>
      <c r="G76" s="984"/>
      <c r="H76" s="984"/>
      <c r="I76" s="555"/>
      <c r="J76" s="965"/>
    </row>
    <row r="77" spans="2:10">
      <c r="B77" s="964" t="str">
        <f>ProcessEnergy!B23</f>
        <v>&lt;empty&gt;</v>
      </c>
      <c r="C77" s="976"/>
      <c r="D77" s="984"/>
      <c r="E77" s="984"/>
      <c r="F77" s="984"/>
      <c r="G77" s="984"/>
      <c r="H77" s="984"/>
      <c r="I77" s="555"/>
      <c r="J77" s="965"/>
    </row>
    <row r="78" spans="2:10">
      <c r="B78" s="964" t="str">
        <f>ProcessEnergy!B24</f>
        <v>&lt;empty&gt;</v>
      </c>
      <c r="C78" s="976" t="s">
        <v>2072</v>
      </c>
      <c r="D78" s="993">
        <f>D170/D168</f>
        <v>3.8709677419354833E-2</v>
      </c>
      <c r="E78" s="978">
        <f>$D78</f>
        <v>3.8709677419354833E-2</v>
      </c>
      <c r="F78" s="978">
        <f>$D78</f>
        <v>3.8709677419354833E-2</v>
      </c>
      <c r="G78" s="978">
        <f>$D78</f>
        <v>3.8709677419354833E-2</v>
      </c>
      <c r="H78" s="984"/>
      <c r="I78" s="555"/>
      <c r="J78" s="965"/>
    </row>
    <row r="79" spans="2:10">
      <c r="B79" s="964"/>
      <c r="C79" s="976"/>
      <c r="D79" s="984"/>
      <c r="E79" s="984"/>
      <c r="F79" s="984"/>
      <c r="G79" s="984"/>
      <c r="H79" s="984"/>
      <c r="I79" s="555"/>
      <c r="J79" s="965"/>
    </row>
    <row r="80" spans="2:10">
      <c r="B80" s="964"/>
      <c r="C80" s="976"/>
      <c r="D80" s="984"/>
      <c r="E80" s="984"/>
      <c r="F80" s="984"/>
      <c r="G80" s="984"/>
      <c r="H80" s="984"/>
      <c r="I80" s="555"/>
      <c r="J80" s="965"/>
    </row>
    <row r="81" spans="1:17">
      <c r="B81" s="964"/>
      <c r="C81" s="976"/>
      <c r="D81" s="986"/>
      <c r="E81" s="986"/>
      <c r="F81" s="986"/>
      <c r="G81" s="986"/>
      <c r="H81" s="986"/>
      <c r="I81" s="555"/>
      <c r="J81" s="965"/>
    </row>
    <row r="82" spans="1:17">
      <c r="B82" s="975" t="s">
        <v>152</v>
      </c>
      <c r="C82" s="976"/>
      <c r="D82" s="986"/>
      <c r="E82" s="986"/>
      <c r="F82" s="986"/>
      <c r="G82" s="986"/>
      <c r="H82" s="986"/>
      <c r="I82" s="555"/>
      <c r="J82" s="965"/>
    </row>
    <row r="83" spans="1:17">
      <c r="A83" s="530">
        <v>4</v>
      </c>
      <c r="B83" s="964" t="s">
        <v>462</v>
      </c>
      <c r="C83" s="976" t="s">
        <v>725</v>
      </c>
      <c r="D83" s="1633">
        <v>1</v>
      </c>
      <c r="E83" s="978">
        <f t="shared" ref="E83:G89" si="3">$D83</f>
        <v>1</v>
      </c>
      <c r="F83" s="978">
        <f t="shared" si="3"/>
        <v>1</v>
      </c>
      <c r="G83" s="978">
        <f t="shared" si="3"/>
        <v>1</v>
      </c>
      <c r="H83" s="978"/>
      <c r="I83" s="555"/>
      <c r="J83" s="965"/>
    </row>
    <row r="84" spans="1:17">
      <c r="B84" s="964" t="s">
        <v>153</v>
      </c>
      <c r="C84" s="976" t="s">
        <v>725</v>
      </c>
      <c r="D84" s="987">
        <f>D83*(D59+D61+D78)</f>
        <v>8.3225806451612899E-2</v>
      </c>
      <c r="E84" s="978">
        <f t="shared" si="3"/>
        <v>8.3225806451612899E-2</v>
      </c>
      <c r="F84" s="978">
        <f t="shared" si="3"/>
        <v>8.3225806451612899E-2</v>
      </c>
      <c r="G84" s="978">
        <f t="shared" si="3"/>
        <v>8.3225806451612899E-2</v>
      </c>
      <c r="H84" s="1334"/>
      <c r="I84" s="555"/>
      <c r="J84" s="965"/>
    </row>
    <row r="85" spans="1:17">
      <c r="B85" s="964" t="s">
        <v>154</v>
      </c>
      <c r="C85" s="976" t="s">
        <v>725</v>
      </c>
      <c r="D85" s="987">
        <f>D83*(D55+D54)</f>
        <v>0.37419354838709673</v>
      </c>
      <c r="E85" s="978">
        <f t="shared" si="3"/>
        <v>0.37419354838709673</v>
      </c>
      <c r="F85" s="978">
        <f t="shared" si="3"/>
        <v>0.37419354838709673</v>
      </c>
      <c r="G85" s="978">
        <f t="shared" si="3"/>
        <v>0.37419354838709673</v>
      </c>
      <c r="H85" s="978"/>
      <c r="I85" s="555"/>
      <c r="J85" s="965"/>
    </row>
    <row r="86" spans="1:17">
      <c r="B86" s="964" t="s">
        <v>2075</v>
      </c>
      <c r="C86" s="976" t="s">
        <v>725</v>
      </c>
      <c r="D86" s="987">
        <f>(1/D168)*D83</f>
        <v>0.64516129032258063</v>
      </c>
      <c r="E86" s="978">
        <f t="shared" si="3"/>
        <v>0.64516129032258063</v>
      </c>
      <c r="F86" s="978">
        <f t="shared" si="3"/>
        <v>0.64516129032258063</v>
      </c>
      <c r="G86" s="978">
        <f t="shared" si="3"/>
        <v>0.64516129032258063</v>
      </c>
      <c r="H86" s="978"/>
      <c r="I86" s="555"/>
      <c r="J86" s="965"/>
    </row>
    <row r="87" spans="1:17">
      <c r="B87" s="985" t="s">
        <v>155</v>
      </c>
      <c r="C87" s="976" t="s">
        <v>725</v>
      </c>
      <c r="D87" s="987">
        <f>SUM(D83:D84)-SUM(D85:D86)</f>
        <v>6.3870967741935569E-2</v>
      </c>
      <c r="E87" s="978">
        <f t="shared" si="3"/>
        <v>6.3870967741935569E-2</v>
      </c>
      <c r="F87" s="978">
        <f t="shared" si="3"/>
        <v>6.3870967741935569E-2</v>
      </c>
      <c r="G87" s="978">
        <f t="shared" si="3"/>
        <v>6.3870967741935569E-2</v>
      </c>
      <c r="H87" s="978"/>
      <c r="I87" s="555"/>
      <c r="J87" s="965"/>
    </row>
    <row r="88" spans="1:17">
      <c r="B88" s="985" t="s">
        <v>156</v>
      </c>
      <c r="C88" s="988" t="s">
        <v>726</v>
      </c>
      <c r="D88" s="2293">
        <f>SUM(D85:D86)/SUM(D83:D84)</f>
        <v>0.9410363311494937</v>
      </c>
      <c r="E88" s="2295">
        <f t="shared" si="3"/>
        <v>0.9410363311494937</v>
      </c>
      <c r="F88" s="2295">
        <f t="shared" si="3"/>
        <v>0.9410363311494937</v>
      </c>
      <c r="G88" s="2295">
        <f t="shared" si="3"/>
        <v>0.9410363311494937</v>
      </c>
      <c r="H88" s="990"/>
      <c r="J88" s="965" t="s">
        <v>1754</v>
      </c>
    </row>
    <row r="89" spans="1:17">
      <c r="B89" s="1336" t="s">
        <v>1747</v>
      </c>
      <c r="C89" s="1351" t="s">
        <v>1747</v>
      </c>
      <c r="D89" s="2293">
        <f>D178/100</f>
        <v>0.95599999999999996</v>
      </c>
      <c r="E89" s="2294">
        <f t="shared" si="3"/>
        <v>0.95599999999999996</v>
      </c>
      <c r="F89" s="2294">
        <f t="shared" si="3"/>
        <v>0.95599999999999996</v>
      </c>
      <c r="G89" s="2294">
        <f t="shared" si="3"/>
        <v>0.95599999999999996</v>
      </c>
      <c r="H89" s="990"/>
      <c r="I89" s="555"/>
      <c r="J89" s="965"/>
      <c r="N89" s="557"/>
    </row>
    <row r="90" spans="1:17">
      <c r="B90" s="975" t="s">
        <v>2116</v>
      </c>
      <c r="C90" s="976"/>
      <c r="D90" s="983"/>
      <c r="E90" s="983"/>
      <c r="F90" s="983"/>
      <c r="G90" s="983"/>
      <c r="H90" s="983"/>
      <c r="I90" s="555"/>
      <c r="J90" s="965"/>
      <c r="N90" s="991"/>
      <c r="O90" s="991"/>
      <c r="P90" s="991"/>
      <c r="Q90" s="991"/>
    </row>
    <row r="91" spans="1:17">
      <c r="B91" s="964" t="s">
        <v>157</v>
      </c>
      <c r="C91" s="976" t="s">
        <v>61</v>
      </c>
      <c r="D91" s="992">
        <f ca="1">HLOOKUP($H100,Supplementary!$C$44:$AF$46,3,FALSE)*D100*D$111</f>
        <v>272134162.86765623</v>
      </c>
      <c r="E91" s="992">
        <f ca="1">HLOOKUP($H100,Supplementary!$C$44:$AF$46,3,FALSE)*E100*E$111</f>
        <v>272134162.86765623</v>
      </c>
      <c r="F91" s="992">
        <f ca="1">HLOOKUP($H100,Supplementary!$C$44:$AF$46,3,FALSE)*F100*F$111</f>
        <v>258527454.72427341</v>
      </c>
      <c r="G91" s="992">
        <f ca="1">HLOOKUP($H100,Supplementary!$C$44:$AF$46,3,FALSE)*G100*G$111</f>
        <v>233321027.88865674</v>
      </c>
      <c r="H91" s="555">
        <f t="shared" ref="H91:H97" si="4">priceYear</f>
        <v>2015</v>
      </c>
      <c r="I91" s="555"/>
      <c r="J91" s="965"/>
      <c r="N91" s="991"/>
      <c r="O91" s="991"/>
      <c r="P91" s="991"/>
      <c r="Q91" s="991"/>
    </row>
    <row r="92" spans="1:17">
      <c r="B92" s="964" t="s">
        <v>160</v>
      </c>
      <c r="C92" s="976" t="s">
        <v>464</v>
      </c>
      <c r="D92" s="993">
        <f ca="1">SUM(D93:D97)</f>
        <v>-73.189064414745673</v>
      </c>
      <c r="E92" s="978">
        <f ca="1">SUM(E93:E97)</f>
        <v>-73.189064414745673</v>
      </c>
      <c r="F92" s="978">
        <f ca="1">SUM(F93:F97)</f>
        <v>-73.517818875725837</v>
      </c>
      <c r="G92" s="978">
        <f ca="1">SUM(G93:G97)</f>
        <v>-74.126836514691576</v>
      </c>
      <c r="H92" s="555">
        <f t="shared" si="4"/>
        <v>2015</v>
      </c>
      <c r="I92" s="555"/>
      <c r="J92" s="965"/>
      <c r="N92" s="991"/>
      <c r="O92" s="991"/>
      <c r="P92" s="991"/>
      <c r="Q92" s="991"/>
    </row>
    <row r="93" spans="1:17">
      <c r="B93" s="995" t="s">
        <v>162</v>
      </c>
      <c r="C93" s="976" t="s">
        <v>464</v>
      </c>
      <c r="D93" s="1577">
        <f ca="1">HLOOKUP($H102,Supplementary!$C$44:$AF$46,3,FALSE)*D102*D$111</f>
        <v>2.9271781892055895</v>
      </c>
      <c r="E93" s="978">
        <f ca="1">HLOOKUP($H102,Supplementary!$C$44:$AF$46,3,FALSE)*E102*E$111</f>
        <v>2.9271781892055895</v>
      </c>
      <c r="F93" s="978">
        <f ca="1">HLOOKUP($H102,Supplementary!$C$44:$AF$46,3,FALSE)*F102*F$111</f>
        <v>2.7808192797453097</v>
      </c>
      <c r="G93" s="978">
        <f ca="1">HLOOKUP($H102,Supplementary!$C$44:$AF$46,3,FALSE)*G102*G$111</f>
        <v>2.5096893999701417</v>
      </c>
      <c r="H93" s="555">
        <f t="shared" si="4"/>
        <v>2015</v>
      </c>
      <c r="I93" s="555"/>
      <c r="J93" s="965"/>
      <c r="N93" s="991"/>
      <c r="O93" s="991"/>
      <c r="P93" s="991"/>
      <c r="Q93" s="991"/>
    </row>
    <row r="94" spans="1:17">
      <c r="B94" s="995" t="s">
        <v>163</v>
      </c>
      <c r="C94" s="976" t="s">
        <v>464</v>
      </c>
      <c r="D94" s="1577">
        <f ca="1">HLOOKUP($H103,Supplementary!$C$44:$AF$46,3,FALSE)*D103*D$111</f>
        <v>3.6479110303975362</v>
      </c>
      <c r="E94" s="1577">
        <f ca="1">HLOOKUP($H103,Supplementary!$C$44:$AF$46,3,FALSE)*E103*E$111</f>
        <v>3.6479110303975362</v>
      </c>
      <c r="F94" s="1577">
        <f ca="1">HLOOKUP($H103,Supplementary!$C$44:$AF$46,3,FALSE)*F103*F$111</f>
        <v>3.4655154788776592</v>
      </c>
      <c r="G94" s="1577">
        <f ca="1">HLOOKUP($H103,Supplementary!$C$44:$AF$46,3,FALSE)*G103*G$111</f>
        <v>3.1276277196870872</v>
      </c>
      <c r="H94" s="555">
        <f t="shared" si="4"/>
        <v>2015</v>
      </c>
      <c r="I94" s="555"/>
      <c r="J94" s="965"/>
      <c r="N94" s="991"/>
      <c r="O94" s="991"/>
      <c r="P94" s="991"/>
      <c r="Q94" s="991"/>
    </row>
    <row r="95" spans="1:17">
      <c r="B95" s="995" t="s">
        <v>164</v>
      </c>
      <c r="C95" s="976" t="s">
        <v>464</v>
      </c>
      <c r="D95" s="1633">
        <f>HLOOKUP($H104,Supplementary!$C$44:$AF$46,3,FALSE)*D104</f>
        <v>0</v>
      </c>
      <c r="E95" s="1633">
        <f>HLOOKUP($H104,Supplementary!$C$44:$AF$46,3,FALSE)*E104</f>
        <v>0</v>
      </c>
      <c r="F95" s="1633">
        <f>HLOOKUP($H104,Supplementary!$C$44:$AF$46,3,FALSE)*F104</f>
        <v>0</v>
      </c>
      <c r="G95" s="1633">
        <f>HLOOKUP($H104,Supplementary!$C$44:$AF$46,3,FALSE)*G104</f>
        <v>0</v>
      </c>
      <c r="H95" s="555">
        <f t="shared" si="4"/>
        <v>2015</v>
      </c>
      <c r="I95" s="555"/>
      <c r="J95" s="965"/>
      <c r="N95" s="991"/>
      <c r="O95" s="991"/>
      <c r="P95" s="991"/>
      <c r="Q95" s="991"/>
    </row>
    <row r="96" spans="1:17">
      <c r="B96" s="995" t="s">
        <v>264</v>
      </c>
      <c r="C96" s="976" t="s">
        <v>464</v>
      </c>
      <c r="D96" s="1633">
        <f ca="1">HLOOKUP($H105,Supplementary!$C$44:$AF$46,3,FALSE)*D105*D$111</f>
        <v>0</v>
      </c>
      <c r="E96" s="1633">
        <f ca="1">HLOOKUP($H105,Supplementary!$C$44:$AF$46,3,FALSE)*E105*E$111</f>
        <v>0</v>
      </c>
      <c r="F96" s="1633">
        <f ca="1">HLOOKUP($H105,Supplementary!$C$44:$AF$46,3,FALSE)*F105*F$111</f>
        <v>0</v>
      </c>
      <c r="G96" s="1633">
        <f ca="1">HLOOKUP($H105,Supplementary!$C$44:$AF$46,3,FALSE)*G105*G$111</f>
        <v>0</v>
      </c>
      <c r="H96" s="555">
        <f t="shared" si="4"/>
        <v>2015</v>
      </c>
      <c r="I96" s="555"/>
      <c r="J96" s="965"/>
      <c r="N96" s="991"/>
      <c r="O96" s="991"/>
      <c r="P96" s="991"/>
      <c r="Q96" s="991"/>
    </row>
    <row r="97" spans="1:17">
      <c r="B97" s="995" t="s">
        <v>165</v>
      </c>
      <c r="C97" s="976" t="s">
        <v>464</v>
      </c>
      <c r="D97" s="1577">
        <f ca="1">HLOOKUP($H106,Supplementary!$C$44:$AF$46,3,FALSE)*D106</f>
        <v>-79.764153634348801</v>
      </c>
      <c r="E97" s="1577">
        <f ca="1">HLOOKUP($H106,Supplementary!$C$44:$AF$46,3,FALSE)*E106</f>
        <v>-79.764153634348801</v>
      </c>
      <c r="F97" s="1577">
        <f ca="1">HLOOKUP($H106,Supplementary!$C$44:$AF$46,3,FALSE)*F106</f>
        <v>-79.764153634348801</v>
      </c>
      <c r="G97" s="1577">
        <f ca="1">HLOOKUP($H106,Supplementary!$C$44:$AF$46,3,FALSE)*G106</f>
        <v>-79.764153634348801</v>
      </c>
      <c r="H97" s="555">
        <f t="shared" si="4"/>
        <v>2015</v>
      </c>
      <c r="I97" s="555"/>
      <c r="J97" s="965"/>
      <c r="N97" s="991"/>
      <c r="O97" s="991"/>
      <c r="P97" s="991"/>
      <c r="Q97" s="991"/>
    </row>
    <row r="98" spans="1:17">
      <c r="B98" s="975"/>
      <c r="C98" s="976"/>
      <c r="D98" s="992"/>
      <c r="E98" s="983"/>
      <c r="F98" s="983"/>
      <c r="G98" s="983"/>
      <c r="H98" s="983"/>
      <c r="I98" s="555"/>
      <c r="J98" s="965"/>
      <c r="N98" s="991"/>
      <c r="O98" s="991"/>
      <c r="P98" s="991"/>
      <c r="Q98" s="991"/>
    </row>
    <row r="99" spans="1:17">
      <c r="B99" s="975" t="s">
        <v>2117</v>
      </c>
      <c r="C99" s="976"/>
      <c r="D99" s="992"/>
      <c r="E99" s="983"/>
      <c r="F99" s="983"/>
      <c r="G99" s="983"/>
      <c r="H99" s="983"/>
      <c r="I99" s="555"/>
      <c r="J99" s="965"/>
      <c r="N99" s="991"/>
      <c r="O99" s="991"/>
      <c r="P99" s="991"/>
      <c r="Q99" s="991"/>
    </row>
    <row r="100" spans="1:17">
      <c r="B100" s="964" t="s">
        <v>157</v>
      </c>
      <c r="C100" s="976" t="s">
        <v>61</v>
      </c>
      <c r="D100" s="992">
        <f>D167*D186*dkkPerEUR</f>
        <v>255654200</v>
      </c>
      <c r="E100" s="992">
        <f t="shared" ref="E100:G103" si="5">$D100</f>
        <v>255654200</v>
      </c>
      <c r="F100" s="992">
        <f t="shared" si="5"/>
        <v>255654200</v>
      </c>
      <c r="G100" s="992">
        <f t="shared" si="5"/>
        <v>255654200</v>
      </c>
      <c r="H100" s="1668">
        <v>2011</v>
      </c>
      <c r="I100" s="555"/>
      <c r="J100" s="965"/>
      <c r="N100" s="991"/>
      <c r="O100" s="991"/>
      <c r="P100" s="991"/>
      <c r="Q100" s="991"/>
    </row>
    <row r="101" spans="1:17">
      <c r="B101" s="964" t="s">
        <v>160</v>
      </c>
      <c r="C101" s="976" t="s">
        <v>464</v>
      </c>
      <c r="D101" s="993">
        <f ca="1">SUM(D102:D106)</f>
        <v>-68.756864314752789</v>
      </c>
      <c r="E101" s="978">
        <f t="shared" ca="1" si="5"/>
        <v>-68.756864314752789</v>
      </c>
      <c r="F101" s="978">
        <f t="shared" ca="1" si="5"/>
        <v>-68.756864314752789</v>
      </c>
      <c r="G101" s="978">
        <f t="shared" ca="1" si="5"/>
        <v>-68.756864314752789</v>
      </c>
      <c r="H101" s="1668">
        <v>2011</v>
      </c>
      <c r="I101" s="994"/>
      <c r="J101" s="965"/>
      <c r="N101" s="991"/>
      <c r="O101" s="991"/>
      <c r="P101" s="991"/>
      <c r="Q101" s="991"/>
    </row>
    <row r="102" spans="1:17">
      <c r="B102" s="995" t="s">
        <v>162</v>
      </c>
      <c r="C102" s="976" t="s">
        <v>464</v>
      </c>
      <c r="D102" s="1577">
        <f ca="1">-PMT(rSØK,20,D100)/D167</f>
        <v>2.7499134630249915</v>
      </c>
      <c r="E102" s="978">
        <f t="shared" ca="1" si="5"/>
        <v>2.7499134630249915</v>
      </c>
      <c r="F102" s="978">
        <f t="shared" ca="1" si="5"/>
        <v>2.7499134630249915</v>
      </c>
      <c r="G102" s="978">
        <f t="shared" ca="1" si="5"/>
        <v>2.7499134630249915</v>
      </c>
      <c r="H102" s="1668">
        <v>2011</v>
      </c>
      <c r="I102" s="994"/>
      <c r="J102" s="965"/>
      <c r="N102" s="991"/>
      <c r="O102" s="991"/>
      <c r="P102" s="991"/>
      <c r="Q102" s="991"/>
    </row>
    <row r="103" spans="1:17">
      <c r="B103" s="995" t="s">
        <v>163</v>
      </c>
      <c r="C103" s="976" t="s">
        <v>464</v>
      </c>
      <c r="D103" s="1577">
        <f>IF(D149&gt;0,D186*D149*dkkPerEUR,D187*dkkPerEUR)</f>
        <v>3.4269999999999996</v>
      </c>
      <c r="E103" s="1577">
        <f t="shared" si="5"/>
        <v>3.4269999999999996</v>
      </c>
      <c r="F103" s="1577">
        <f t="shared" si="5"/>
        <v>3.4269999999999996</v>
      </c>
      <c r="G103" s="1577">
        <f t="shared" si="5"/>
        <v>3.4269999999999996</v>
      </c>
      <c r="H103" s="1668">
        <v>2011</v>
      </c>
      <c r="I103" s="555"/>
      <c r="J103" s="965"/>
      <c r="N103" s="991"/>
      <c r="O103" s="991"/>
      <c r="P103" s="991"/>
      <c r="Q103" s="991"/>
    </row>
    <row r="104" spans="1:17">
      <c r="A104" s="530">
        <v>6</v>
      </c>
      <c r="B104" s="995" t="s">
        <v>164</v>
      </c>
      <c r="C104" s="976" t="s">
        <v>464</v>
      </c>
      <c r="D104" s="1633"/>
      <c r="E104" s="1633"/>
      <c r="F104" s="1633"/>
      <c r="G104" s="1633"/>
      <c r="H104" s="1668">
        <v>2011</v>
      </c>
      <c r="I104" s="555"/>
      <c r="J104" s="965"/>
      <c r="N104" s="991"/>
      <c r="O104" s="991"/>
      <c r="P104" s="991"/>
      <c r="Q104" s="991"/>
    </row>
    <row r="105" spans="1:17">
      <c r="B105" s="995" t="s">
        <v>264</v>
      </c>
      <c r="C105" s="976" t="s">
        <v>464</v>
      </c>
      <c r="D105" s="1633"/>
      <c r="E105" s="1633"/>
      <c r="F105" s="1633"/>
      <c r="G105" s="1633"/>
      <c r="H105" s="1668">
        <v>2011</v>
      </c>
      <c r="I105" s="555"/>
      <c r="J105" s="965"/>
      <c r="N105" s="991"/>
      <c r="O105" s="991"/>
      <c r="P105" s="991"/>
      <c r="Q105" s="991"/>
    </row>
    <row r="106" spans="1:17">
      <c r="B106" s="995" t="s">
        <v>165</v>
      </c>
      <c r="C106" s="976" t="s">
        <v>464</v>
      </c>
      <c r="D106" s="996">
        <f ca="1">-SUMPRODUCT(D37:D56,ProcessEnergy!M35:M54)/D86</f>
        <v>-74.933777777777777</v>
      </c>
      <c r="E106" s="996">
        <f ca="1">-SUMPRODUCT(E37:E56,ProcessEnergy!N35:N54)/E86</f>
        <v>-74.933777777777777</v>
      </c>
      <c r="F106" s="996">
        <f ca="1">-SUMPRODUCT(F37:F56,ProcessEnergy!O35:O54)/F86</f>
        <v>-74.933777777777777</v>
      </c>
      <c r="G106" s="996">
        <f ca="1">-SUMPRODUCT(G37:G56,ProcessEnergy!P35:P54)/G86</f>
        <v>-74.933777777777777</v>
      </c>
      <c r="H106" s="1668">
        <v>2011</v>
      </c>
      <c r="I106" s="555"/>
      <c r="J106" s="965"/>
      <c r="N106" s="991"/>
      <c r="O106" s="991"/>
      <c r="P106" s="991"/>
      <c r="Q106" s="991"/>
    </row>
    <row r="107" spans="1:17">
      <c r="B107" s="995"/>
      <c r="C107" s="976"/>
      <c r="D107" s="2311"/>
      <c r="E107" s="2311"/>
      <c r="F107" s="2311"/>
      <c r="G107" s="2311"/>
      <c r="H107" s="983"/>
      <c r="I107" s="994"/>
      <c r="J107" s="965"/>
      <c r="N107" s="991"/>
      <c r="O107" s="991"/>
      <c r="P107" s="991"/>
      <c r="Q107" s="991"/>
    </row>
    <row r="108" spans="1:17">
      <c r="B108" s="975" t="s">
        <v>2113</v>
      </c>
      <c r="C108" s="976"/>
      <c r="D108" s="983"/>
      <c r="E108" s="983"/>
      <c r="F108" s="983"/>
      <c r="G108" s="983"/>
      <c r="H108" s="983"/>
      <c r="I108" s="994"/>
      <c r="J108" s="965"/>
      <c r="N108" s="991"/>
      <c r="O108" s="991"/>
      <c r="P108" s="991"/>
      <c r="Q108" s="991"/>
    </row>
    <row r="109" spans="1:17">
      <c r="B109" s="995" t="s">
        <v>2114</v>
      </c>
      <c r="C109" s="976"/>
      <c r="D109" s="1696">
        <v>0.95</v>
      </c>
      <c r="E109" s="1696">
        <v>0.95</v>
      </c>
      <c r="F109" s="1696">
        <v>0.95</v>
      </c>
      <c r="G109" s="1696">
        <v>0.95</v>
      </c>
      <c r="H109" s="983"/>
      <c r="I109" s="994"/>
      <c r="J109" s="965"/>
      <c r="N109" s="991"/>
      <c r="O109" s="991"/>
      <c r="P109" s="991"/>
      <c r="Q109" s="991"/>
    </row>
    <row r="110" spans="1:17">
      <c r="B110" s="995" t="s">
        <v>2666</v>
      </c>
      <c r="C110" s="976"/>
      <c r="D110" s="478">
        <f ca="1">OFFSET(Supplementary!C$237,MATCH($C$19,Supplementary!$B$238:$B$241,0),0)</f>
        <v>1</v>
      </c>
      <c r="E110" s="478">
        <f ca="1">OFFSET(Supplementary!D$237,MATCH($C$19,Supplementary!$B$238:$B$241,0),0)</f>
        <v>1</v>
      </c>
      <c r="F110" s="478">
        <f ca="1">OFFSET(Supplementary!E$237,MATCH($C$19,Supplementary!$B$238:$B$241,0),0)</f>
        <v>2</v>
      </c>
      <c r="G110" s="478">
        <f ca="1">OFFSET(Supplementary!F$237,MATCH($C$19,Supplementary!$B$238:$B$241,0),0)</f>
        <v>4</v>
      </c>
      <c r="H110" s="983"/>
      <c r="I110" s="994"/>
      <c r="J110" s="965"/>
      <c r="N110" s="991"/>
      <c r="O110" s="991"/>
      <c r="P110" s="991"/>
      <c r="Q110" s="991"/>
    </row>
    <row r="111" spans="1:17">
      <c r="B111" s="995" t="s">
        <v>2115</v>
      </c>
      <c r="C111" s="976"/>
      <c r="D111" s="1698">
        <f ca="1">1*D109^(D110-1)</f>
        <v>1</v>
      </c>
      <c r="E111" s="1698">
        <f ca="1">1*E109^(E110-1)</f>
        <v>1</v>
      </c>
      <c r="F111" s="1698">
        <f ca="1">1*F109^(F110-1)</f>
        <v>0.95</v>
      </c>
      <c r="G111" s="1698">
        <f ca="1">1*G109^(G110-1)</f>
        <v>0.85737499999999989</v>
      </c>
      <c r="H111" s="983"/>
      <c r="I111" s="994"/>
      <c r="J111" s="965"/>
      <c r="N111" s="991"/>
      <c r="O111" s="991"/>
      <c r="P111" s="991"/>
      <c r="Q111" s="991"/>
    </row>
    <row r="112" spans="1:17">
      <c r="B112" s="995"/>
      <c r="C112" s="976"/>
      <c r="D112" s="983"/>
      <c r="E112" s="983"/>
      <c r="F112" s="983"/>
      <c r="G112" s="983"/>
      <c r="H112" s="983"/>
      <c r="I112" s="994"/>
      <c r="J112" s="965"/>
      <c r="N112" s="991"/>
      <c r="O112" s="991"/>
      <c r="P112" s="991"/>
      <c r="Q112" s="991"/>
    </row>
    <row r="113" spans="2:17">
      <c r="B113" s="975" t="s">
        <v>166</v>
      </c>
      <c r="C113" s="976"/>
      <c r="D113" s="983"/>
      <c r="E113" s="983"/>
      <c r="F113" s="983"/>
      <c r="G113" s="983"/>
      <c r="H113" s="983"/>
      <c r="I113" s="994"/>
      <c r="J113" s="965"/>
      <c r="N113" s="998"/>
      <c r="O113" s="998"/>
      <c r="P113" s="998"/>
      <c r="Q113" s="991"/>
    </row>
    <row r="114" spans="2:17">
      <c r="B114" s="964" t="s">
        <v>24</v>
      </c>
      <c r="C114" s="976" t="s">
        <v>465</v>
      </c>
      <c r="D114" s="999">
        <f>D70/26.8*1000*(12/(12+4+16))*(2*16+12)/12</f>
        <v>1.9860375541646604</v>
      </c>
      <c r="E114" s="999">
        <f>E70/26.8*1000*(12/(12+4+16))*(2*16+12)/12</f>
        <v>1.9860375541646604</v>
      </c>
      <c r="F114" s="999">
        <f>F70/26.8*1000*(12/(12+4+16))*(2*16+12)/12</f>
        <v>1.9860375541646604</v>
      </c>
      <c r="G114" s="999">
        <f>G70/26.8*1000*(12/(12+4+16))*(2*16+12)/12</f>
        <v>1.9860375541646604</v>
      </c>
      <c r="H114" s="999"/>
      <c r="I114" s="1335" t="s">
        <v>2545</v>
      </c>
      <c r="J114" s="965"/>
      <c r="N114" s="991"/>
      <c r="O114" s="991"/>
      <c r="P114" s="991"/>
      <c r="Q114" s="991"/>
    </row>
    <row r="115" spans="2:17">
      <c r="B115" s="964" t="s">
        <v>27</v>
      </c>
      <c r="C115" s="976" t="s">
        <v>465</v>
      </c>
      <c r="D115" s="999">
        <v>0</v>
      </c>
      <c r="E115" s="999">
        <v>0</v>
      </c>
      <c r="F115" s="999">
        <v>0</v>
      </c>
      <c r="G115" s="999"/>
      <c r="H115" s="999"/>
      <c r="I115" s="1335" t="s">
        <v>1747</v>
      </c>
      <c r="J115" s="965"/>
      <c r="N115" s="991"/>
      <c r="O115" s="991"/>
      <c r="P115" s="991"/>
      <c r="Q115" s="991"/>
    </row>
    <row r="116" spans="2:17">
      <c r="B116" s="964" t="s">
        <v>28</v>
      </c>
      <c r="C116" s="976" t="s">
        <v>465</v>
      </c>
      <c r="D116" s="999">
        <v>0</v>
      </c>
      <c r="E116" s="999">
        <v>0</v>
      </c>
      <c r="F116" s="999">
        <v>0</v>
      </c>
      <c r="G116" s="999"/>
      <c r="H116" s="999"/>
      <c r="I116" s="1335" t="s">
        <v>1747</v>
      </c>
      <c r="J116" s="965"/>
      <c r="N116" s="991"/>
      <c r="O116" s="991"/>
      <c r="P116" s="991"/>
      <c r="Q116" s="991"/>
    </row>
    <row r="117" spans="2:17">
      <c r="B117" s="964" t="s">
        <v>26</v>
      </c>
      <c r="C117" s="976" t="s">
        <v>465</v>
      </c>
      <c r="D117" s="999">
        <v>0</v>
      </c>
      <c r="E117" s="999">
        <v>0</v>
      </c>
      <c r="F117" s="999">
        <v>0</v>
      </c>
      <c r="G117" s="999"/>
      <c r="H117" s="999"/>
      <c r="I117" s="1335" t="s">
        <v>1747</v>
      </c>
      <c r="J117" s="965"/>
      <c r="N117" s="991"/>
      <c r="O117" s="991"/>
      <c r="P117" s="991"/>
      <c r="Q117" s="991"/>
    </row>
    <row r="118" spans="2:17">
      <c r="B118" s="964" t="s">
        <v>167</v>
      </c>
      <c r="C118" s="976" t="s">
        <v>465</v>
      </c>
      <c r="D118" s="999">
        <v>0</v>
      </c>
      <c r="E118" s="999">
        <v>0</v>
      </c>
      <c r="F118" s="999">
        <v>0</v>
      </c>
      <c r="G118" s="999"/>
      <c r="H118" s="999"/>
      <c r="I118" s="1335" t="s">
        <v>1747</v>
      </c>
      <c r="J118" s="965"/>
      <c r="N118" s="998"/>
      <c r="O118" s="998"/>
      <c r="P118" s="998"/>
      <c r="Q118" s="998"/>
    </row>
    <row r="119" spans="2:17">
      <c r="B119" s="964" t="s">
        <v>45</v>
      </c>
      <c r="C119" s="976" t="s">
        <v>465</v>
      </c>
      <c r="D119" s="1000"/>
      <c r="E119" s="1000"/>
      <c r="F119" s="1000"/>
      <c r="G119" s="1000"/>
      <c r="H119" s="1000"/>
      <c r="I119" s="555"/>
      <c r="J119" s="965"/>
    </row>
    <row r="120" spans="2:17" ht="13.5" thickBot="1">
      <c r="B120" s="1001"/>
      <c r="C120" s="1002"/>
      <c r="D120" s="1003"/>
      <c r="E120" s="968"/>
      <c r="F120" s="968"/>
      <c r="G120" s="968"/>
      <c r="H120" s="968"/>
      <c r="I120" s="1004"/>
      <c r="J120" s="969"/>
    </row>
    <row r="123" spans="2:17" ht="18.75">
      <c r="B123" s="1005" t="s">
        <v>172</v>
      </c>
    </row>
    <row r="124" spans="2:17" ht="15.75">
      <c r="B124" s="1006" t="s">
        <v>2391</v>
      </c>
      <c r="D124" s="1007"/>
    </row>
    <row r="125" spans="2:17" ht="13.5" thickBot="1">
      <c r="B125" s="555"/>
      <c r="C125" s="555"/>
      <c r="D125" s="555"/>
      <c r="E125" s="555"/>
      <c r="F125" s="555"/>
      <c r="G125" s="555"/>
      <c r="H125" s="555"/>
      <c r="I125" s="555"/>
      <c r="J125" s="555"/>
      <c r="K125" s="555"/>
      <c r="L125" s="555"/>
    </row>
    <row r="126" spans="2:17">
      <c r="B126" s="961" t="s">
        <v>2393</v>
      </c>
      <c r="C126" s="2257" t="s">
        <v>2392</v>
      </c>
      <c r="D126" s="2258">
        <v>1</v>
      </c>
      <c r="E126" s="977"/>
      <c r="F126" s="977"/>
      <c r="G126" s="977"/>
      <c r="H126" s="977"/>
      <c r="I126" s="555"/>
      <c r="J126" s="977"/>
      <c r="K126" s="977"/>
      <c r="L126" s="977"/>
    </row>
    <row r="127" spans="2:17">
      <c r="B127" s="964" t="s">
        <v>2404</v>
      </c>
      <c r="C127" s="977" t="s">
        <v>2405</v>
      </c>
      <c r="D127" s="2253">
        <v>0.59399999999999997</v>
      </c>
      <c r="E127" s="993"/>
      <c r="F127" s="993"/>
      <c r="G127" s="993"/>
      <c r="H127" s="993"/>
      <c r="I127" s="555"/>
      <c r="J127" s="993"/>
      <c r="K127" s="993"/>
      <c r="L127" s="993"/>
    </row>
    <row r="128" spans="2:17">
      <c r="B128" s="964" t="s">
        <v>2394</v>
      </c>
      <c r="C128" s="977" t="s">
        <v>2395</v>
      </c>
      <c r="D128" s="2253">
        <v>0.40500000000000003</v>
      </c>
      <c r="E128" s="993"/>
      <c r="F128" s="993"/>
      <c r="G128" s="993"/>
      <c r="H128" s="993"/>
      <c r="I128" s="555"/>
      <c r="J128" s="993"/>
      <c r="K128" s="993"/>
      <c r="L128" s="993"/>
    </row>
    <row r="129" spans="2:12">
      <c r="B129" s="964" t="s">
        <v>2396</v>
      </c>
      <c r="C129" s="977" t="s">
        <v>321</v>
      </c>
      <c r="D129" s="2254">
        <f>Feedstocks!D31</f>
        <v>27</v>
      </c>
      <c r="E129" s="993"/>
      <c r="F129" s="993"/>
      <c r="G129" s="993"/>
      <c r="H129" s="993"/>
      <c r="I129" s="555"/>
      <c r="J129" s="993"/>
      <c r="K129" s="993"/>
      <c r="L129" s="993"/>
    </row>
    <row r="130" spans="2:12">
      <c r="B130" s="964" t="s">
        <v>2397</v>
      </c>
      <c r="C130" s="977" t="s">
        <v>321</v>
      </c>
      <c r="D130" s="2255">
        <f>Supplementary!F172</f>
        <v>37</v>
      </c>
      <c r="E130" s="993"/>
      <c r="F130" s="993"/>
      <c r="G130" s="993"/>
      <c r="H130" s="993"/>
      <c r="I130" s="555"/>
      <c r="J130" s="993"/>
      <c r="K130" s="993"/>
      <c r="L130" s="993"/>
    </row>
    <row r="131" spans="2:12">
      <c r="B131" s="964" t="s">
        <v>2398</v>
      </c>
      <c r="C131" s="977" t="s">
        <v>321</v>
      </c>
      <c r="D131" s="2256">
        <f>D134/D128</f>
        <v>12.400000000000004</v>
      </c>
      <c r="E131" s="993"/>
      <c r="F131" s="993"/>
      <c r="G131" s="993"/>
      <c r="H131" s="993"/>
      <c r="I131" s="555"/>
      <c r="J131" s="993"/>
      <c r="K131" s="993"/>
      <c r="L131" s="993"/>
    </row>
    <row r="132" spans="2:12">
      <c r="B132" s="964" t="s">
        <v>2399</v>
      </c>
      <c r="C132" s="555" t="s">
        <v>18</v>
      </c>
      <c r="D132" s="2256">
        <f>D126*D129</f>
        <v>27</v>
      </c>
      <c r="E132" s="993"/>
      <c r="F132" s="993"/>
      <c r="G132" s="993"/>
      <c r="H132" s="993"/>
      <c r="I132" s="555"/>
      <c r="J132" s="993"/>
      <c r="K132" s="993"/>
      <c r="L132" s="993"/>
    </row>
    <row r="133" spans="2:12">
      <c r="B133" s="964" t="s">
        <v>2403</v>
      </c>
      <c r="C133" s="555" t="s">
        <v>18</v>
      </c>
      <c r="D133" s="2256">
        <f>D127*D130</f>
        <v>21.977999999999998</v>
      </c>
      <c r="E133" s="993"/>
      <c r="F133" s="993"/>
      <c r="G133" s="993"/>
      <c r="H133" s="993"/>
      <c r="I133" s="555"/>
      <c r="J133" s="993"/>
      <c r="K133" s="993"/>
      <c r="L133" s="993"/>
    </row>
    <row r="134" spans="2:12">
      <c r="B134" s="964" t="s">
        <v>2400</v>
      </c>
      <c r="C134" s="555" t="s">
        <v>18</v>
      </c>
      <c r="D134" s="2259">
        <f>D132-D133</f>
        <v>5.022000000000002</v>
      </c>
    </row>
    <row r="135" spans="2:12">
      <c r="B135" s="964" t="s">
        <v>2402</v>
      </c>
      <c r="C135" s="555" t="s">
        <v>726</v>
      </c>
      <c r="D135" s="2261">
        <f>D133/D132</f>
        <v>0.81399999999999995</v>
      </c>
    </row>
    <row r="136" spans="2:12" s="1240" customFormat="1" ht="13.5" thickBot="1">
      <c r="B136" s="1578" t="s">
        <v>2401</v>
      </c>
      <c r="C136" s="968" t="s">
        <v>726</v>
      </c>
      <c r="D136" s="2262">
        <f>D134/D132</f>
        <v>0.18600000000000008</v>
      </c>
    </row>
    <row r="137" spans="2:12" ht="16.5" thickBot="1">
      <c r="B137" s="1006"/>
    </row>
    <row r="138" spans="2:12">
      <c r="B138" s="1455" t="s">
        <v>2406</v>
      </c>
      <c r="C138" s="962" t="s">
        <v>726</v>
      </c>
      <c r="D138" s="2264">
        <v>0.95</v>
      </c>
    </row>
    <row r="139" spans="2:12">
      <c r="B139" s="2265" t="s">
        <v>2407</v>
      </c>
      <c r="C139" s="555" t="s">
        <v>726</v>
      </c>
      <c r="D139" s="2266">
        <v>0.05</v>
      </c>
    </row>
    <row r="140" spans="2:12">
      <c r="B140" s="2265" t="s">
        <v>2408</v>
      </c>
      <c r="C140" s="555" t="s">
        <v>726</v>
      </c>
      <c r="D140" s="2260">
        <f>D138*D135</f>
        <v>0.77329999999999988</v>
      </c>
    </row>
    <row r="141" spans="2:12" ht="13.5" thickBot="1">
      <c r="B141" s="2267" t="s">
        <v>2409</v>
      </c>
      <c r="C141" s="968" t="s">
        <v>726</v>
      </c>
      <c r="D141" s="2268">
        <f>D136+D135*D139</f>
        <v>0.22670000000000007</v>
      </c>
    </row>
    <row r="142" spans="2:12">
      <c r="B142" s="2263"/>
      <c r="C142" s="555"/>
    </row>
    <row r="143" spans="2:12">
      <c r="B143" s="2263"/>
      <c r="C143" s="555"/>
    </row>
    <row r="144" spans="2:12">
      <c r="B144" s="2263"/>
      <c r="C144" s="555"/>
    </row>
    <row r="145" spans="2:10" ht="13.5" thickBot="1">
      <c r="B145" s="555"/>
      <c r="C145" s="555"/>
      <c r="D145" s="555"/>
      <c r="E145" s="555"/>
      <c r="F145" s="555"/>
      <c r="G145" s="555"/>
      <c r="H145" s="555"/>
      <c r="I145" s="555"/>
    </row>
    <row r="146" spans="2:10">
      <c r="B146" s="1008"/>
      <c r="C146" s="1009" t="s">
        <v>70</v>
      </c>
      <c r="D146" s="1010">
        <v>2015</v>
      </c>
      <c r="E146" s="1009">
        <v>2020</v>
      </c>
      <c r="F146" s="1009">
        <v>2035</v>
      </c>
      <c r="G146" s="1009"/>
      <c r="H146" s="1009"/>
      <c r="I146" s="1011" t="s">
        <v>145</v>
      </c>
      <c r="J146" s="1012" t="s">
        <v>146</v>
      </c>
    </row>
    <row r="147" spans="2:10">
      <c r="B147" s="964"/>
      <c r="C147" s="977"/>
      <c r="D147" s="1013"/>
      <c r="E147" s="1014"/>
      <c r="F147" s="1014"/>
      <c r="G147" s="1014"/>
      <c r="H147" s="1014"/>
      <c r="I147" s="555"/>
      <c r="J147" s="965"/>
    </row>
    <row r="148" spans="2:10">
      <c r="B148" s="964"/>
      <c r="C148" s="977"/>
      <c r="D148" s="1015"/>
      <c r="E148" s="1016"/>
      <c r="F148" s="1016"/>
      <c r="G148" s="1016"/>
      <c r="H148" s="1016"/>
      <c r="I148" s="555"/>
      <c r="J148" s="965"/>
    </row>
    <row r="149" spans="2:10">
      <c r="B149" s="964" t="s">
        <v>2096</v>
      </c>
      <c r="C149" s="555" t="s">
        <v>29</v>
      </c>
      <c r="D149" s="1681">
        <v>0.1</v>
      </c>
      <c r="E149" s="1682">
        <v>0.1</v>
      </c>
      <c r="F149" s="1682">
        <v>0.1</v>
      </c>
      <c r="G149" s="1682">
        <v>0.1</v>
      </c>
      <c r="H149" s="1018"/>
      <c r="I149" s="1335"/>
      <c r="J149" s="965" t="s">
        <v>2097</v>
      </c>
    </row>
    <row r="150" spans="2:10">
      <c r="B150" s="964"/>
      <c r="C150" s="977"/>
      <c r="D150" s="1015"/>
      <c r="E150" s="1016"/>
      <c r="F150" s="1016"/>
      <c r="G150" s="1016"/>
      <c r="H150" s="1016"/>
      <c r="I150" s="555"/>
      <c r="J150" s="965"/>
    </row>
    <row r="151" spans="2:10">
      <c r="B151" s="964"/>
      <c r="C151" s="977"/>
      <c r="D151" s="1015"/>
      <c r="E151" s="1016"/>
      <c r="F151" s="1016"/>
      <c r="G151" s="1016"/>
      <c r="H151" s="1016"/>
      <c r="I151" s="555"/>
      <c r="J151" s="965"/>
    </row>
    <row r="152" spans="2:10">
      <c r="B152" s="964" t="s">
        <v>22</v>
      </c>
      <c r="C152" s="977" t="s">
        <v>249</v>
      </c>
      <c r="D152" s="1019"/>
      <c r="E152" s="979"/>
      <c r="F152" s="979"/>
      <c r="G152" s="979"/>
      <c r="H152" s="979"/>
      <c r="I152" s="555"/>
      <c r="J152" s="965"/>
    </row>
    <row r="153" spans="2:10">
      <c r="B153" s="964"/>
      <c r="C153" s="976"/>
      <c r="D153" s="1016"/>
      <c r="E153" s="1016"/>
      <c r="F153" s="1016"/>
      <c r="G153" s="1016"/>
      <c r="H153" s="1016"/>
      <c r="I153" s="555"/>
      <c r="J153" s="965"/>
    </row>
    <row r="154" spans="2:10" ht="13.5" thickBot="1">
      <c r="B154" s="967"/>
      <c r="C154" s="1020"/>
      <c r="D154" s="1021"/>
      <c r="E154" s="1021"/>
      <c r="F154" s="1021"/>
      <c r="G154" s="1021"/>
      <c r="H154" s="1021"/>
      <c r="I154" s="968"/>
      <c r="J154" s="969"/>
    </row>
    <row r="162" spans="2:10" ht="13.5" thickBot="1">
      <c r="B162" s="555"/>
      <c r="C162" s="968"/>
    </row>
    <row r="163" spans="2:10" ht="18.75">
      <c r="B163" s="1041" t="s">
        <v>1178</v>
      </c>
      <c r="C163" s="1042"/>
      <c r="D163" s="1025"/>
      <c r="E163" s="1025"/>
      <c r="F163" s="1025"/>
      <c r="G163" s="1025"/>
      <c r="H163" s="1025"/>
      <c r="I163" s="1025"/>
      <c r="J163" s="1026"/>
    </row>
    <row r="164" spans="2:10" ht="15">
      <c r="B164" s="1026"/>
      <c r="C164" s="1027"/>
      <c r="D164" s="1028">
        <v>2015</v>
      </c>
      <c r="E164" s="1028">
        <v>2020</v>
      </c>
      <c r="F164" s="1028">
        <v>2035</v>
      </c>
      <c r="G164" s="1028">
        <v>2050</v>
      </c>
      <c r="H164" s="1028"/>
      <c r="I164" s="1028" t="s">
        <v>1098</v>
      </c>
      <c r="J164" s="1338"/>
    </row>
    <row r="165" spans="2:10" ht="15">
      <c r="B165" s="1043" t="s">
        <v>1099</v>
      </c>
      <c r="C165" s="1044"/>
      <c r="D165" s="1027"/>
      <c r="E165" s="1027"/>
      <c r="F165" s="1027"/>
      <c r="G165" s="1027"/>
      <c r="H165" s="1027"/>
      <c r="I165" s="1027"/>
      <c r="J165" s="1026"/>
    </row>
    <row r="166" spans="2:10" ht="15">
      <c r="B166" s="1026" t="s">
        <v>1179</v>
      </c>
      <c r="C166" s="1027"/>
      <c r="D166" s="1368">
        <v>200000</v>
      </c>
      <c r="E166" s="1284" t="s">
        <v>1101</v>
      </c>
      <c r="F166" s="1031"/>
      <c r="G166" s="1031"/>
      <c r="H166" s="1031"/>
      <c r="I166" s="1032" t="s">
        <v>1754</v>
      </c>
      <c r="J166" s="1339"/>
    </row>
    <row r="167" spans="2:10" ht="15">
      <c r="B167" s="1026" t="s">
        <v>1180</v>
      </c>
      <c r="C167" s="1027"/>
      <c r="D167" s="1368">
        <v>7460000</v>
      </c>
      <c r="E167" s="1284" t="s">
        <v>1101</v>
      </c>
      <c r="F167" s="1031"/>
      <c r="G167" s="1031"/>
      <c r="H167" s="1031"/>
      <c r="I167" s="1032"/>
      <c r="J167" s="1339"/>
    </row>
    <row r="168" spans="2:10" ht="15">
      <c r="B168" s="1026" t="s">
        <v>2414</v>
      </c>
      <c r="C168" s="1027"/>
      <c r="D168" s="1372">
        <v>1.55</v>
      </c>
      <c r="E168" s="1284" t="s">
        <v>1101</v>
      </c>
      <c r="F168" s="1031"/>
      <c r="G168" s="1031"/>
      <c r="H168" s="1031"/>
      <c r="I168" s="1032"/>
      <c r="J168" s="1339"/>
    </row>
    <row r="169" spans="2:10" ht="15">
      <c r="B169" s="1026" t="s">
        <v>2415</v>
      </c>
      <c r="C169" s="1027"/>
      <c r="D169" s="1372">
        <v>2.2000000000000002</v>
      </c>
      <c r="E169" s="1284" t="s">
        <v>1101</v>
      </c>
      <c r="F169" s="1031"/>
      <c r="G169" s="1031"/>
      <c r="H169" s="1031"/>
      <c r="I169" s="1032"/>
      <c r="J169" s="1339"/>
    </row>
    <row r="170" spans="2:10" ht="15">
      <c r="B170" s="1026" t="s">
        <v>1183</v>
      </c>
      <c r="C170" s="1027"/>
      <c r="D170" s="1372">
        <v>0.06</v>
      </c>
      <c r="E170" s="1284" t="s">
        <v>1101</v>
      </c>
      <c r="F170" s="1031"/>
      <c r="G170" s="1031"/>
      <c r="H170" s="1031"/>
      <c r="I170" s="1032"/>
      <c r="J170" s="1339"/>
    </row>
    <row r="171" spans="2:10" ht="15">
      <c r="B171" s="1026" t="s">
        <v>1184</v>
      </c>
      <c r="C171" s="1027"/>
      <c r="D171" s="1372">
        <v>0.11</v>
      </c>
      <c r="E171" s="1284" t="s">
        <v>1101</v>
      </c>
      <c r="F171" s="1031"/>
      <c r="G171" s="1031"/>
      <c r="H171" s="1031"/>
      <c r="I171" s="1032"/>
      <c r="J171" s="1339"/>
    </row>
    <row r="172" spans="2:10" ht="15">
      <c r="B172" s="1026" t="s">
        <v>1185</v>
      </c>
      <c r="C172" s="1027"/>
      <c r="D172" s="1372">
        <v>1.61</v>
      </c>
      <c r="E172" s="1284" t="s">
        <v>1101</v>
      </c>
      <c r="F172" s="1031"/>
      <c r="G172" s="1031"/>
      <c r="H172" s="1031"/>
      <c r="I172" s="1032"/>
      <c r="J172" s="1339"/>
    </row>
    <row r="173" spans="2:10" ht="15">
      <c r="B173" s="1026" t="s">
        <v>1186</v>
      </c>
      <c r="C173" s="1027"/>
      <c r="D173" s="2275">
        <v>1.9E-2</v>
      </c>
      <c r="E173" s="1284" t="s">
        <v>1101</v>
      </c>
      <c r="F173" s="1031"/>
      <c r="G173" s="1031"/>
      <c r="H173" s="1031"/>
      <c r="I173" s="1032"/>
      <c r="J173" s="1339"/>
    </row>
    <row r="174" spans="2:10" ht="15">
      <c r="B174" s="1026" t="s">
        <v>1187</v>
      </c>
      <c r="C174" s="1027"/>
      <c r="D174" s="1372">
        <v>0.05</v>
      </c>
      <c r="E174" s="1284" t="s">
        <v>1101</v>
      </c>
      <c r="F174" s="1031"/>
      <c r="G174" s="1031"/>
      <c r="H174" s="1031"/>
      <c r="I174" s="1032"/>
      <c r="J174" s="1339"/>
    </row>
    <row r="175" spans="2:10" ht="15">
      <c r="B175" s="1026" t="s">
        <v>1188</v>
      </c>
      <c r="C175" s="1027"/>
      <c r="D175" s="1372">
        <v>0.05</v>
      </c>
      <c r="E175" s="1284" t="s">
        <v>1101</v>
      </c>
      <c r="F175" s="1031"/>
      <c r="G175" s="1031"/>
      <c r="H175" s="1031"/>
      <c r="I175" s="1032"/>
      <c r="J175" s="1339"/>
    </row>
    <row r="176" spans="2:10" ht="15">
      <c r="B176" s="1026" t="s">
        <v>2416</v>
      </c>
      <c r="C176" s="1027"/>
      <c r="D176" s="1372">
        <v>0.57999999999999996</v>
      </c>
      <c r="E176" s="1284" t="s">
        <v>1101</v>
      </c>
      <c r="F176" s="1031"/>
      <c r="G176" s="1031"/>
      <c r="H176" s="1031"/>
      <c r="I176" s="1032"/>
      <c r="J176" s="1339"/>
    </row>
    <row r="177" spans="2:12" ht="15">
      <c r="B177" s="1026" t="s">
        <v>1189</v>
      </c>
      <c r="C177" s="1027"/>
      <c r="D177" s="1377">
        <v>96.9</v>
      </c>
      <c r="E177" s="1284" t="s">
        <v>1101</v>
      </c>
      <c r="F177" s="1031"/>
      <c r="G177" s="1031"/>
      <c r="H177" s="1031"/>
      <c r="I177" s="1032"/>
      <c r="J177" s="1339"/>
      <c r="K177" s="1222"/>
    </row>
    <row r="178" spans="2:12" ht="15">
      <c r="B178" s="1026" t="s">
        <v>1190</v>
      </c>
      <c r="C178" s="1027"/>
      <c r="D178" s="1373">
        <v>95.6</v>
      </c>
      <c r="E178" s="1284" t="s">
        <v>1101</v>
      </c>
      <c r="F178" s="1031"/>
      <c r="G178" s="1031"/>
      <c r="H178" s="1031"/>
      <c r="I178" s="1032"/>
      <c r="J178" s="1339"/>
      <c r="K178" s="1222"/>
    </row>
    <row r="179" spans="2:12" ht="15">
      <c r="B179" s="1026"/>
      <c r="C179" s="1027"/>
      <c r="D179" s="1370"/>
      <c r="E179" s="1031"/>
      <c r="F179" s="1031"/>
      <c r="G179" s="1031"/>
      <c r="H179" s="1031"/>
      <c r="I179" s="1032"/>
      <c r="J179" s="1339"/>
      <c r="L179" s="1222"/>
    </row>
    <row r="180" spans="2:12" ht="15">
      <c r="B180" s="1026"/>
      <c r="C180" s="1027"/>
      <c r="D180" s="1370"/>
      <c r="E180" s="1031"/>
      <c r="F180" s="1031"/>
      <c r="G180" s="1031"/>
      <c r="H180" s="1031"/>
      <c r="I180" s="1032"/>
      <c r="J180" s="1339"/>
    </row>
    <row r="181" spans="2:12" ht="15">
      <c r="B181" s="1026"/>
      <c r="C181" s="1027"/>
      <c r="D181" s="1370"/>
      <c r="E181" s="1031"/>
      <c r="F181" s="1031"/>
      <c r="G181" s="1031"/>
      <c r="H181" s="1031"/>
      <c r="I181" s="1032"/>
      <c r="J181" s="1339"/>
    </row>
    <row r="182" spans="2:12" ht="15">
      <c r="B182" s="1026"/>
      <c r="C182" s="1027"/>
      <c r="D182" s="1370"/>
      <c r="E182" s="1031"/>
      <c r="F182" s="1031"/>
      <c r="G182" s="1031"/>
      <c r="H182" s="1031"/>
      <c r="I182" s="1032"/>
      <c r="J182" s="1339"/>
    </row>
    <row r="183" spans="2:12" ht="15">
      <c r="B183" s="1026"/>
      <c r="C183" s="1027"/>
      <c r="D183" s="1370"/>
      <c r="E183" s="1031"/>
      <c r="F183" s="1031"/>
      <c r="G183" s="1031"/>
      <c r="H183" s="1031"/>
      <c r="I183" s="1032"/>
      <c r="J183" s="1339"/>
    </row>
    <row r="184" spans="2:12" ht="15">
      <c r="B184" s="1026"/>
      <c r="C184" s="1027"/>
      <c r="D184" s="1370"/>
      <c r="E184" s="1031"/>
      <c r="F184" s="1031"/>
      <c r="G184" s="1031"/>
      <c r="H184" s="1027"/>
      <c r="I184" s="1032"/>
      <c r="J184" s="1339"/>
    </row>
    <row r="185" spans="2:12" ht="15">
      <c r="B185" s="1029" t="s">
        <v>1109</v>
      </c>
      <c r="C185" s="1030"/>
      <c r="D185" s="1370"/>
      <c r="E185" s="1031"/>
      <c r="F185" s="1031"/>
      <c r="G185" s="1031"/>
      <c r="H185" s="1027"/>
      <c r="I185" s="1032"/>
      <c r="J185" s="1339"/>
    </row>
    <row r="186" spans="2:12" ht="15">
      <c r="B186" s="1026" t="s">
        <v>1191</v>
      </c>
      <c r="C186" s="1027"/>
      <c r="D186" s="1378">
        <v>4.5999999999999996</v>
      </c>
      <c r="E186" s="1031" t="s">
        <v>1101</v>
      </c>
      <c r="F186" s="1031"/>
      <c r="G186" s="1031"/>
      <c r="H186" s="1031"/>
      <c r="I186" s="1032"/>
      <c r="J186" s="1339"/>
    </row>
    <row r="187" spans="2:12" ht="15.75" thickBot="1">
      <c r="B187" s="1033" t="s">
        <v>1192</v>
      </c>
      <c r="C187" s="1034"/>
      <c r="D187" s="1380">
        <v>0.14000000000000001</v>
      </c>
      <c r="E187" s="1035" t="s">
        <v>1101</v>
      </c>
      <c r="F187" s="1035"/>
      <c r="G187" s="1035"/>
      <c r="H187" s="1035"/>
      <c r="I187" s="1036"/>
      <c r="J187" s="1339"/>
    </row>
    <row r="188" spans="2:12">
      <c r="B188" s="530" t="str">
        <f>CONCATENATE("Source: ",Referencer!$B$48)</f>
        <v>Source: 42, FORCE, Danish Energy Agency, 2013, Technology data for advanced bioenergy fuels.</v>
      </c>
    </row>
  </sheetData>
  <pageMargins left="0.7" right="0.7" top="0.75" bottom="0.75" header="0.3" footer="0.3"/>
  <legacyDrawing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Supplementary!$B$238:$B$241</xm:f>
          </x14:formula1>
          <xm:sqref>C19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tabColor rgb="FF00B0F0"/>
  </sheetPr>
  <dimension ref="A1:S190"/>
  <sheetViews>
    <sheetView zoomScale="80" zoomScaleNormal="80" workbookViewId="0">
      <selection activeCell="D29" sqref="D29"/>
    </sheetView>
  </sheetViews>
  <sheetFormatPr defaultRowHeight="12.75"/>
  <cols>
    <col min="1" max="1" width="3.28515625" style="469" customWidth="1"/>
    <col min="2" max="2" width="36" style="469" customWidth="1"/>
    <col min="3" max="3" width="32.42578125" style="469" customWidth="1"/>
    <col min="4" max="7" width="15.7109375" style="469" customWidth="1"/>
    <col min="8" max="8" width="15.7109375" style="530" customWidth="1"/>
    <col min="9" max="9" width="7.28515625" style="469" customWidth="1"/>
    <col min="10" max="10" width="12.7109375" style="469" customWidth="1"/>
    <col min="11" max="17" width="9.140625" style="469"/>
    <col min="18" max="19" width="9.42578125" style="469" bestFit="1" customWidth="1"/>
    <col min="20" max="16384" width="9.140625" style="469"/>
  </cols>
  <sheetData>
    <row r="1" spans="1:19" s="465" customFormat="1" ht="21">
      <c r="B1" s="465" t="s">
        <v>2410</v>
      </c>
      <c r="Q1" s="465">
        <f ca="1">'Log2015'!M1</f>
        <v>-8.0112614142160741</v>
      </c>
      <c r="R1" s="465">
        <f ca="1">'Log2015'!N1</f>
        <v>-160807.124977848</v>
      </c>
    </row>
    <row r="2" spans="1:19">
      <c r="B2" s="469" t="s">
        <v>2411</v>
      </c>
      <c r="R2" s="1070">
        <f ca="1">R1</f>
        <v>-160807.124977848</v>
      </c>
      <c r="S2" s="1070">
        <f>S1</f>
        <v>0</v>
      </c>
    </row>
    <row r="3" spans="1:19">
      <c r="A3" s="469" t="s">
        <v>1078</v>
      </c>
    </row>
    <row r="4" spans="1:19">
      <c r="B4" s="470" t="s">
        <v>81</v>
      </c>
    </row>
    <row r="5" spans="1:19" ht="13.5" thickBot="1">
      <c r="K5" s="476"/>
      <c r="L5" s="476"/>
      <c r="M5" s="476"/>
      <c r="N5" s="476"/>
      <c r="O5" s="476"/>
      <c r="P5" s="476"/>
    </row>
    <row r="6" spans="1:19">
      <c r="B6" s="472" t="s">
        <v>137</v>
      </c>
      <c r="C6" s="473"/>
      <c r="D6" s="473"/>
      <c r="E6" s="473"/>
      <c r="F6" s="473"/>
      <c r="G6" s="473"/>
      <c r="H6" s="962"/>
      <c r="I6" s="473"/>
      <c r="J6" s="474"/>
      <c r="K6" s="476"/>
      <c r="L6" s="476"/>
      <c r="M6" s="476"/>
      <c r="N6" s="476"/>
      <c r="O6" s="476"/>
      <c r="P6" s="476"/>
    </row>
    <row r="7" spans="1:19">
      <c r="B7" s="475"/>
      <c r="C7" s="476"/>
      <c r="D7" s="476"/>
      <c r="E7" s="476"/>
      <c r="F7" s="476"/>
      <c r="G7" s="476"/>
      <c r="H7" s="555"/>
      <c r="I7" s="476"/>
      <c r="J7" s="477"/>
      <c r="K7" s="476"/>
      <c r="L7" s="476"/>
      <c r="M7" s="476"/>
      <c r="N7" s="476"/>
      <c r="O7" s="476"/>
      <c r="P7" s="476"/>
    </row>
    <row r="8" spans="1:19">
      <c r="B8" s="475"/>
      <c r="C8" s="476"/>
      <c r="D8" s="476"/>
      <c r="E8" s="476"/>
      <c r="F8" s="476"/>
      <c r="G8" s="476"/>
      <c r="H8" s="555"/>
      <c r="I8" s="476"/>
      <c r="J8" s="477"/>
      <c r="K8" s="476"/>
      <c r="L8" s="476"/>
      <c r="M8" s="476"/>
      <c r="N8" s="476"/>
      <c r="O8" s="476"/>
      <c r="P8" s="476"/>
    </row>
    <row r="9" spans="1:19">
      <c r="B9" s="475"/>
      <c r="C9" s="476"/>
      <c r="D9" s="476"/>
      <c r="E9" s="476"/>
      <c r="F9" s="476"/>
      <c r="G9" s="476"/>
      <c r="H9" s="555"/>
      <c r="I9" s="476"/>
      <c r="J9" s="477"/>
      <c r="K9" s="476"/>
      <c r="L9" s="476"/>
      <c r="M9" s="476"/>
      <c r="N9" s="476"/>
      <c r="O9" s="476"/>
      <c r="P9" s="476"/>
    </row>
    <row r="10" spans="1:19">
      <c r="B10" s="475"/>
      <c r="C10" s="476"/>
      <c r="D10" s="476"/>
      <c r="E10" s="476"/>
      <c r="F10" s="476"/>
      <c r="G10" s="476"/>
      <c r="H10" s="555"/>
      <c r="I10" s="476"/>
      <c r="J10" s="477"/>
      <c r="K10" s="476"/>
      <c r="L10" s="476"/>
      <c r="M10" s="476"/>
      <c r="N10" s="476"/>
      <c r="O10" s="476"/>
      <c r="P10" s="476"/>
    </row>
    <row r="11" spans="1:19">
      <c r="B11" s="475" t="s">
        <v>138</v>
      </c>
      <c r="C11" s="654" t="s">
        <v>2417</v>
      </c>
      <c r="D11" s="476"/>
      <c r="E11" s="476"/>
      <c r="F11" s="476"/>
      <c r="G11" s="476"/>
      <c r="H11" s="555"/>
      <c r="I11" s="476"/>
      <c r="J11" s="477"/>
      <c r="K11" s="476"/>
      <c r="L11" s="476"/>
      <c r="M11" s="476"/>
      <c r="N11" s="476"/>
      <c r="O11" s="476"/>
      <c r="P11" s="476"/>
    </row>
    <row r="12" spans="1:19">
      <c r="B12" s="475"/>
      <c r="C12" s="476"/>
      <c r="D12" s="476"/>
      <c r="E12" s="476"/>
      <c r="F12" s="476"/>
      <c r="G12" s="476"/>
      <c r="H12" s="555"/>
      <c r="I12" s="476"/>
      <c r="J12" s="477"/>
      <c r="K12" s="476"/>
      <c r="L12" s="476"/>
      <c r="M12" s="476"/>
      <c r="N12" s="476"/>
      <c r="O12" s="476"/>
      <c r="P12" s="476"/>
    </row>
    <row r="13" spans="1:19">
      <c r="B13" s="475" t="s">
        <v>140</v>
      </c>
      <c r="C13" s="476" t="s">
        <v>2412</v>
      </c>
      <c r="D13" s="476"/>
      <c r="E13" s="476"/>
      <c r="F13" s="476"/>
      <c r="G13" s="476"/>
      <c r="H13" s="555"/>
      <c r="I13" s="476"/>
      <c r="J13" s="477"/>
      <c r="K13" s="476"/>
      <c r="L13" s="476"/>
      <c r="M13" s="476"/>
      <c r="N13" s="476"/>
      <c r="O13" s="476"/>
      <c r="P13" s="476"/>
    </row>
    <row r="14" spans="1:19">
      <c r="B14" s="475"/>
      <c r="C14" s="476"/>
      <c r="D14" s="476"/>
      <c r="E14" s="476"/>
      <c r="F14" s="476"/>
      <c r="G14" s="476"/>
      <c r="H14" s="555"/>
      <c r="I14" s="476"/>
      <c r="J14" s="477"/>
      <c r="K14" s="476"/>
      <c r="L14" s="476"/>
      <c r="M14" s="476"/>
      <c r="N14" s="476"/>
      <c r="O14" s="476"/>
      <c r="P14" s="476"/>
    </row>
    <row r="15" spans="1:19">
      <c r="B15" s="475" t="s">
        <v>141</v>
      </c>
      <c r="C15" s="476"/>
      <c r="D15" s="476"/>
      <c r="E15" s="476"/>
      <c r="F15" s="476"/>
      <c r="G15" s="476"/>
      <c r="H15" s="555"/>
      <c r="I15" s="476"/>
      <c r="J15" s="477"/>
      <c r="K15" s="476"/>
      <c r="L15" s="476"/>
      <c r="M15" s="476"/>
      <c r="N15" s="476"/>
      <c r="O15" s="476"/>
      <c r="P15" s="476"/>
    </row>
    <row r="16" spans="1:19">
      <c r="B16" s="475"/>
      <c r="C16" s="476"/>
      <c r="D16" s="476"/>
      <c r="E16" s="476"/>
      <c r="F16" s="476"/>
      <c r="G16" s="476"/>
      <c r="H16" s="555"/>
      <c r="I16" s="476"/>
      <c r="J16" s="477"/>
      <c r="K16" s="476"/>
      <c r="L16" s="476"/>
      <c r="M16" s="476"/>
      <c r="N16" s="476"/>
      <c r="O16" s="476"/>
      <c r="P16" s="476"/>
    </row>
    <row r="17" spans="2:16">
      <c r="B17" s="475" t="s">
        <v>142</v>
      </c>
      <c r="C17" s="476"/>
      <c r="D17" s="476"/>
      <c r="E17" s="476"/>
      <c r="F17" s="476"/>
      <c r="G17" s="476"/>
      <c r="H17" s="555"/>
      <c r="I17" s="476"/>
      <c r="J17" s="477"/>
      <c r="K17" s="476"/>
      <c r="L17" s="476"/>
      <c r="M17" s="476"/>
      <c r="N17" s="476"/>
      <c r="O17" s="476"/>
      <c r="P17" s="476"/>
    </row>
    <row r="18" spans="2:16">
      <c r="B18" s="475"/>
      <c r="C18" s="476"/>
      <c r="D18" s="476"/>
      <c r="E18" s="476"/>
      <c r="F18" s="476"/>
      <c r="G18" s="476"/>
      <c r="H18" s="555"/>
      <c r="I18" s="476"/>
      <c r="J18" s="477"/>
      <c r="K18" s="476"/>
      <c r="L18" s="476"/>
      <c r="M18" s="476"/>
      <c r="N18" s="476"/>
      <c r="O18" s="476"/>
      <c r="P18" s="476"/>
    </row>
    <row r="19" spans="2:16">
      <c r="B19" s="475" t="s">
        <v>2131</v>
      </c>
      <c r="C19" s="1693" t="s">
        <v>2121</v>
      </c>
      <c r="D19" s="476"/>
      <c r="E19" s="476"/>
      <c r="F19" s="476"/>
      <c r="G19" s="476"/>
      <c r="H19" s="555"/>
      <c r="I19" s="476"/>
      <c r="J19" s="477"/>
      <c r="K19" s="476"/>
      <c r="L19" s="476"/>
      <c r="M19" s="476"/>
      <c r="N19" s="476"/>
      <c r="O19" s="476"/>
      <c r="P19" s="476"/>
    </row>
    <row r="20" spans="2:16">
      <c r="B20" s="475"/>
      <c r="C20" s="476"/>
      <c r="D20" s="476"/>
      <c r="E20" s="476"/>
      <c r="F20" s="476"/>
      <c r="G20" s="476"/>
      <c r="H20" s="555"/>
      <c r="I20" s="476"/>
      <c r="J20" s="477"/>
      <c r="K20" s="476"/>
      <c r="L20" s="476"/>
      <c r="M20" s="476"/>
      <c r="N20" s="476"/>
      <c r="O20" s="476"/>
      <c r="P20" s="476"/>
    </row>
    <row r="21" spans="2:16">
      <c r="B21" s="475" t="s">
        <v>143</v>
      </c>
      <c r="C21" s="476"/>
      <c r="D21" s="476"/>
      <c r="E21" s="476"/>
      <c r="F21" s="476"/>
      <c r="G21" s="476"/>
      <c r="H21" s="555"/>
      <c r="I21" s="476"/>
      <c r="J21" s="477"/>
      <c r="K21" s="476"/>
      <c r="L21" s="476"/>
      <c r="M21" s="476"/>
      <c r="N21" s="476"/>
      <c r="O21" s="476"/>
      <c r="P21" s="476"/>
    </row>
    <row r="22" spans="2:16">
      <c r="B22" s="475"/>
      <c r="C22" s="476"/>
      <c r="D22" s="476"/>
      <c r="E22" s="476"/>
      <c r="F22" s="476"/>
      <c r="G22" s="476"/>
      <c r="H22" s="555"/>
      <c r="I22" s="476"/>
      <c r="J22" s="477"/>
      <c r="K22" s="476"/>
      <c r="L22" s="476"/>
      <c r="M22" s="476"/>
      <c r="N22" s="476"/>
      <c r="O22" s="476"/>
      <c r="P22" s="476"/>
    </row>
    <row r="23" spans="2:16">
      <c r="B23" s="475"/>
      <c r="C23" s="476"/>
      <c r="D23" s="476"/>
      <c r="E23" s="476"/>
      <c r="F23" s="476"/>
      <c r="G23" s="476"/>
      <c r="H23" s="555"/>
      <c r="I23" s="476"/>
      <c r="J23" s="477"/>
      <c r="K23" s="476"/>
      <c r="L23" s="476"/>
      <c r="M23" s="476"/>
      <c r="N23" s="476"/>
      <c r="O23" s="476"/>
      <c r="P23" s="476"/>
    </row>
    <row r="24" spans="2:16" ht="13.5" thickBot="1">
      <c r="B24" s="481"/>
      <c r="C24" s="482"/>
      <c r="D24" s="482"/>
      <c r="E24" s="482"/>
      <c r="F24" s="482"/>
      <c r="G24" s="482"/>
      <c r="H24" s="968"/>
      <c r="I24" s="482"/>
      <c r="J24" s="483"/>
      <c r="K24" s="476"/>
      <c r="L24" s="476"/>
      <c r="M24" s="476"/>
      <c r="N24" s="476"/>
      <c r="O24" s="476"/>
      <c r="P24" s="476"/>
    </row>
    <row r="25" spans="2:16">
      <c r="F25" s="560"/>
      <c r="G25" s="560"/>
      <c r="H25" s="529"/>
      <c r="K25" s="476"/>
      <c r="L25" s="476"/>
      <c r="M25" s="476"/>
      <c r="N25" s="476"/>
      <c r="O25" s="476"/>
      <c r="P25" s="476"/>
    </row>
    <row r="26" spans="2:16">
      <c r="B26" s="470" t="s">
        <v>144</v>
      </c>
      <c r="K26" s="476"/>
      <c r="L26" s="476"/>
      <c r="M26" s="476"/>
      <c r="N26" s="476"/>
      <c r="O26" s="476"/>
      <c r="P26" s="476"/>
    </row>
    <row r="27" spans="2:16" ht="13.5" thickBot="1"/>
    <row r="28" spans="2:16">
      <c r="B28" s="472"/>
      <c r="C28" s="561"/>
      <c r="D28" s="473"/>
      <c r="E28" s="473"/>
      <c r="F28" s="473"/>
      <c r="G28" s="473"/>
      <c r="H28" s="962"/>
      <c r="I28" s="473"/>
      <c r="J28" s="474"/>
    </row>
    <row r="29" spans="2:16">
      <c r="B29" s="484"/>
      <c r="C29" s="563" t="s">
        <v>70</v>
      </c>
      <c r="D29" s="486">
        <v>2015</v>
      </c>
      <c r="E29" s="486">
        <v>2020</v>
      </c>
      <c r="F29" s="486">
        <v>2035</v>
      </c>
      <c r="G29" s="486">
        <v>2050</v>
      </c>
      <c r="H29" s="973" t="s">
        <v>978</v>
      </c>
      <c r="I29" s="485" t="s">
        <v>145</v>
      </c>
      <c r="J29" s="487" t="s">
        <v>146</v>
      </c>
    </row>
    <row r="30" spans="2:16">
      <c r="B30" s="656" t="s">
        <v>147</v>
      </c>
      <c r="C30" s="657"/>
      <c r="D30" s="658"/>
      <c r="E30" s="658"/>
      <c r="F30" s="658"/>
      <c r="G30" s="658"/>
      <c r="H30" s="977"/>
      <c r="I30" s="497"/>
      <c r="J30" s="659"/>
    </row>
    <row r="31" spans="2:16">
      <c r="B31" s="475" t="s">
        <v>148</v>
      </c>
      <c r="C31" s="1469" t="s">
        <v>2645</v>
      </c>
      <c r="D31" s="566">
        <f>1/D162</f>
        <v>7.0921985815602842E-2</v>
      </c>
      <c r="E31" s="566">
        <f>$D31</f>
        <v>7.0921985815602842E-2</v>
      </c>
      <c r="F31" s="566">
        <f>$D31</f>
        <v>7.0921985815602842E-2</v>
      </c>
      <c r="G31" s="566">
        <f>$D31</f>
        <v>7.0921985815602842E-2</v>
      </c>
      <c r="H31" s="1333"/>
      <c r="I31" s="476"/>
      <c r="J31" s="477"/>
    </row>
    <row r="32" spans="2:16">
      <c r="B32" s="475" t="s">
        <v>67</v>
      </c>
      <c r="C32" s="1469" t="s">
        <v>1133</v>
      </c>
      <c r="D32" s="567">
        <f>D160/D159</f>
        <v>26.8</v>
      </c>
      <c r="E32" s="566">
        <f t="shared" ref="E32:G34" si="0">$D32</f>
        <v>26.8</v>
      </c>
      <c r="F32" s="566">
        <f t="shared" si="0"/>
        <v>26.8</v>
      </c>
      <c r="G32" s="566">
        <f t="shared" si="0"/>
        <v>26.8</v>
      </c>
      <c r="H32" s="978"/>
      <c r="I32" s="476"/>
      <c r="J32" s="477"/>
    </row>
    <row r="33" spans="2:10">
      <c r="B33" s="475" t="s">
        <v>149</v>
      </c>
      <c r="C33" s="1469" t="s">
        <v>1134</v>
      </c>
      <c r="D33" s="1395">
        <f>D159</f>
        <v>63200</v>
      </c>
      <c r="E33" s="1395">
        <f t="shared" si="0"/>
        <v>63200</v>
      </c>
      <c r="F33" s="1395">
        <f t="shared" si="0"/>
        <v>63200</v>
      </c>
      <c r="G33" s="1395">
        <f t="shared" si="0"/>
        <v>63200</v>
      </c>
      <c r="H33" s="1397"/>
      <c r="I33" s="476"/>
      <c r="J33" s="477"/>
    </row>
    <row r="34" spans="2:10">
      <c r="B34" s="475" t="s">
        <v>150</v>
      </c>
      <c r="C34" s="564" t="s">
        <v>34</v>
      </c>
      <c r="D34" s="1393">
        <f>20</f>
        <v>20</v>
      </c>
      <c r="E34" s="1393">
        <f t="shared" si="0"/>
        <v>20</v>
      </c>
      <c r="F34" s="1393">
        <f t="shared" si="0"/>
        <v>20</v>
      </c>
      <c r="G34" s="1393">
        <f t="shared" si="0"/>
        <v>20</v>
      </c>
      <c r="H34" s="1332"/>
      <c r="I34" s="476"/>
      <c r="J34" s="477" t="s">
        <v>1087</v>
      </c>
    </row>
    <row r="35" spans="2:10">
      <c r="B35" s="475"/>
      <c r="C35" s="571"/>
      <c r="D35" s="572"/>
      <c r="E35" s="573"/>
      <c r="F35" s="573"/>
      <c r="G35" s="573"/>
      <c r="H35" s="983"/>
      <c r="I35" s="476"/>
      <c r="J35" s="477"/>
    </row>
    <row r="36" spans="2:10">
      <c r="B36" s="570" t="s">
        <v>151</v>
      </c>
      <c r="C36" s="571"/>
      <c r="D36" s="572"/>
      <c r="E36" s="573"/>
      <c r="F36" s="573"/>
      <c r="G36" s="573"/>
      <c r="H36" s="983"/>
      <c r="I36" s="476"/>
      <c r="J36" s="477"/>
    </row>
    <row r="37" spans="2:10">
      <c r="B37" s="475" t="str">
        <f>ProcessEnergy!B35</f>
        <v xml:space="preserve">Green diesel </v>
      </c>
      <c r="C37" s="564" t="s">
        <v>725</v>
      </c>
      <c r="D37" s="574"/>
      <c r="E37" s="574"/>
      <c r="F37" s="574"/>
      <c r="G37" s="574"/>
      <c r="H37" s="984"/>
      <c r="I37" s="476"/>
      <c r="J37" s="477"/>
    </row>
    <row r="38" spans="2:10">
      <c r="B38" s="575" t="str">
        <f>ProcessEnergy!B36</f>
        <v>Green gasoline</v>
      </c>
      <c r="C38" s="564" t="s">
        <v>725</v>
      </c>
      <c r="D38" s="574"/>
      <c r="E38" s="574"/>
      <c r="F38" s="574"/>
      <c r="G38" s="574"/>
      <c r="H38" s="984"/>
      <c r="I38" s="476"/>
      <c r="J38" s="477"/>
    </row>
    <row r="39" spans="2:10">
      <c r="B39" s="575" t="str">
        <f>ProcessEnergy!B37</f>
        <v>Electricity - balancing</v>
      </c>
      <c r="C39" s="564" t="s">
        <v>725</v>
      </c>
      <c r="D39" s="574"/>
      <c r="E39" s="574"/>
      <c r="F39" s="574"/>
      <c r="G39" s="574"/>
      <c r="H39" s="984"/>
      <c r="I39" s="476"/>
      <c r="J39" s="477"/>
    </row>
    <row r="40" spans="2:10">
      <c r="B40" s="575" t="str">
        <f>ProcessEnergy!B38</f>
        <v>Electricity  - continous</v>
      </c>
      <c r="C40" s="564" t="s">
        <v>725</v>
      </c>
      <c r="D40" s="574"/>
      <c r="E40" s="574"/>
      <c r="F40" s="574"/>
      <c r="G40" s="574"/>
      <c r="H40" s="984"/>
      <c r="I40" s="476"/>
      <c r="J40" s="477"/>
    </row>
    <row r="41" spans="2:10">
      <c r="B41" s="575" t="str">
        <f>ProcessEnergy!B39</f>
        <v>Elec/heat fuel</v>
      </c>
      <c r="C41" s="564" t="s">
        <v>725</v>
      </c>
      <c r="D41" s="574"/>
      <c r="E41" s="574"/>
      <c r="F41" s="574"/>
      <c r="G41" s="574"/>
      <c r="H41" s="984"/>
      <c r="I41" s="476"/>
      <c r="J41" s="477"/>
    </row>
    <row r="42" spans="2:10">
      <c r="B42" s="575" t="str">
        <f>ProcessEnergy!B40</f>
        <v>Biogas (100% CH4)</v>
      </c>
      <c r="C42" s="564" t="s">
        <v>725</v>
      </c>
      <c r="D42" s="574"/>
      <c r="E42" s="574"/>
      <c r="F42" s="574"/>
      <c r="G42" s="574"/>
      <c r="H42" s="984"/>
      <c r="I42" s="476"/>
      <c r="J42" s="477"/>
    </row>
    <row r="43" spans="2:10">
      <c r="B43" s="575" t="str">
        <f>ProcessEnergy!B41</f>
        <v>District heating</v>
      </c>
      <c r="C43" s="564" t="s">
        <v>725</v>
      </c>
      <c r="D43" s="1071">
        <f>C153*C152</f>
        <v>4.5425E-2</v>
      </c>
      <c r="E43" s="1071">
        <f>$D43</f>
        <v>4.5425E-2</v>
      </c>
      <c r="F43" s="1071">
        <f>$D43</f>
        <v>4.5425E-2</v>
      </c>
      <c r="G43" s="1071">
        <f>$D43</f>
        <v>4.5425E-2</v>
      </c>
      <c r="H43" s="978"/>
      <c r="I43" s="476"/>
      <c r="J43" s="477"/>
    </row>
    <row r="44" spans="2:10">
      <c r="B44" s="575" t="str">
        <f>ProcessEnergy!B42</f>
        <v>&lt;empty&gt;</v>
      </c>
      <c r="C44" s="564"/>
      <c r="D44" s="1071"/>
      <c r="E44" s="1071"/>
      <c r="F44" s="1071"/>
      <c r="G44" s="1071"/>
      <c r="H44" s="978"/>
      <c r="I44" s="476"/>
      <c r="J44" s="477"/>
    </row>
    <row r="45" spans="2:10">
      <c r="B45" s="575" t="str">
        <f>ProcessEnergy!B43</f>
        <v>&lt;empty&gt;</v>
      </c>
      <c r="C45" s="564"/>
      <c r="D45" s="1071"/>
      <c r="E45" s="1071"/>
      <c r="F45" s="1071"/>
      <c r="G45" s="1071"/>
      <c r="H45" s="978"/>
      <c r="I45" s="476"/>
      <c r="J45" s="477"/>
    </row>
    <row r="46" spans="2:10">
      <c r="B46" s="575" t="str">
        <f>ProcessEnergy!B44</f>
        <v>&lt;empty&gt;</v>
      </c>
      <c r="C46" s="564"/>
      <c r="D46" s="1071"/>
      <c r="E46" s="1071"/>
      <c r="F46" s="1071"/>
      <c r="G46" s="1071"/>
      <c r="H46" s="978"/>
      <c r="I46" s="476"/>
      <c r="J46" s="477"/>
    </row>
    <row r="47" spans="2:10">
      <c r="B47" s="575" t="str">
        <f>ProcessEnergy!B45</f>
        <v>&lt;empty&gt;</v>
      </c>
      <c r="C47" s="564"/>
      <c r="D47" s="1071"/>
      <c r="E47" s="1071"/>
      <c r="F47" s="1071"/>
      <c r="G47" s="1071"/>
      <c r="H47" s="978"/>
      <c r="I47" s="476"/>
      <c r="J47" s="477"/>
    </row>
    <row r="48" spans="2:10">
      <c r="B48" s="575" t="str">
        <f>ProcessEnergy!B46</f>
        <v>&lt;empty&gt;</v>
      </c>
      <c r="C48" s="564"/>
      <c r="D48" s="1071"/>
      <c r="E48" s="1071"/>
      <c r="F48" s="1071"/>
      <c r="G48" s="1071"/>
      <c r="H48" s="978"/>
      <c r="I48" s="476"/>
      <c r="J48" s="477"/>
    </row>
    <row r="49" spans="2:10">
      <c r="B49" s="575" t="str">
        <f>ProcessEnergy!B47</f>
        <v>&lt;empty&gt;</v>
      </c>
      <c r="C49" s="564"/>
      <c r="D49" s="1071"/>
      <c r="E49" s="1071"/>
      <c r="F49" s="1071"/>
      <c r="G49" s="1071"/>
      <c r="H49" s="978"/>
      <c r="I49" s="476"/>
      <c r="J49" s="477"/>
    </row>
    <row r="50" spans="2:10">
      <c r="B50" s="575" t="str">
        <f>ProcessEnergy!B48</f>
        <v>Glycerol</v>
      </c>
      <c r="C50" s="564"/>
      <c r="D50" s="1071"/>
      <c r="E50" s="1071"/>
      <c r="F50" s="1071"/>
      <c r="G50" s="1071"/>
      <c r="H50" s="978"/>
      <c r="I50" s="476"/>
      <c r="J50" s="477"/>
    </row>
    <row r="51" spans="2:10">
      <c r="B51" s="575" t="str">
        <f>ProcessEnergy!B49</f>
        <v>&lt;empty&gt;</v>
      </c>
      <c r="C51" s="564"/>
      <c r="D51" s="1071"/>
      <c r="E51" s="1071"/>
      <c r="F51" s="1071"/>
      <c r="G51" s="1071"/>
      <c r="H51" s="978"/>
      <c r="I51" s="476"/>
      <c r="J51" s="477"/>
    </row>
    <row r="52" spans="2:10">
      <c r="B52" s="575" t="str">
        <f>ProcessEnergy!B50</f>
        <v>&lt;empty&gt;</v>
      </c>
      <c r="C52" s="564"/>
      <c r="D52" s="1071"/>
      <c r="E52" s="1071"/>
      <c r="F52" s="1071"/>
      <c r="G52" s="1071"/>
      <c r="H52" s="978"/>
      <c r="I52" s="476"/>
      <c r="J52" s="477"/>
    </row>
    <row r="53" spans="2:10">
      <c r="B53" s="575" t="str">
        <f>ProcessEnergy!B51</f>
        <v>Fodder (wheat like)</v>
      </c>
      <c r="C53" s="564" t="s">
        <v>725</v>
      </c>
      <c r="D53" s="2309">
        <f>D166/D161</f>
        <v>0.22222222222222224</v>
      </c>
      <c r="E53" s="2309">
        <f>D53</f>
        <v>0.22222222222222224</v>
      </c>
      <c r="F53" s="2309">
        <f>E53</f>
        <v>0.22222222222222224</v>
      </c>
      <c r="G53" s="2309">
        <f>F53</f>
        <v>0.22222222222222224</v>
      </c>
      <c r="H53" s="984"/>
      <c r="I53" s="476"/>
      <c r="J53" s="477" t="s">
        <v>2458</v>
      </c>
    </row>
    <row r="54" spans="2:10">
      <c r="B54" s="575" t="str">
        <f>ProcessEnergy!B52</f>
        <v>Rape seed cake</v>
      </c>
      <c r="C54" s="564" t="s">
        <v>725</v>
      </c>
      <c r="D54" s="574"/>
      <c r="E54" s="574"/>
      <c r="F54" s="574"/>
      <c r="G54" s="574"/>
      <c r="H54" s="984"/>
      <c r="I54" s="476"/>
      <c r="J54" s="477"/>
    </row>
    <row r="55" spans="2:10">
      <c r="B55" s="575" t="str">
        <f>ProcessEnergy!B53</f>
        <v>&lt;empty&gt;</v>
      </c>
      <c r="C55" s="564" t="s">
        <v>725</v>
      </c>
      <c r="D55" s="574"/>
      <c r="E55" s="574"/>
      <c r="F55" s="574"/>
      <c r="G55" s="574"/>
      <c r="H55" s="984"/>
      <c r="I55" s="476"/>
      <c r="J55" s="477"/>
    </row>
    <row r="56" spans="2:10">
      <c r="B56" s="575" t="str">
        <f>ProcessEnergy!B54</f>
        <v>DDGS</v>
      </c>
      <c r="C56" s="564" t="s">
        <v>725</v>
      </c>
      <c r="D56" s="574"/>
      <c r="E56" s="574"/>
      <c r="F56" s="574"/>
      <c r="G56" s="574"/>
      <c r="H56" s="984"/>
      <c r="I56" s="476"/>
      <c r="J56" s="477"/>
    </row>
    <row r="57" spans="2:10">
      <c r="B57" s="475"/>
      <c r="C57" s="564"/>
      <c r="D57" s="574"/>
      <c r="E57" s="574"/>
      <c r="F57" s="574"/>
      <c r="G57" s="574"/>
      <c r="H57" s="984"/>
      <c r="I57" s="476"/>
      <c r="J57" s="477"/>
    </row>
    <row r="58" spans="2:10">
      <c r="B58" s="570" t="s">
        <v>873</v>
      </c>
      <c r="C58" s="564"/>
      <c r="D58" s="574"/>
      <c r="E58" s="574"/>
      <c r="F58" s="574"/>
      <c r="G58" s="574"/>
      <c r="H58" s="984"/>
      <c r="I58" s="476"/>
      <c r="J58" s="477"/>
    </row>
    <row r="59" spans="2:10">
      <c r="B59" s="475" t="str">
        <f>ProcessEnergy!B5</f>
        <v>EL - peakload</v>
      </c>
      <c r="C59" s="564" t="s">
        <v>725</v>
      </c>
      <c r="D59" s="993">
        <f>D164/D161</f>
        <v>9.4444444444444445E-3</v>
      </c>
      <c r="E59" s="508">
        <f>D59</f>
        <v>9.4444444444444445E-3</v>
      </c>
      <c r="F59" s="508">
        <f>E59</f>
        <v>9.4444444444444445E-3</v>
      </c>
      <c r="G59" s="508">
        <f>F59</f>
        <v>9.4444444444444445E-3</v>
      </c>
      <c r="H59" s="984"/>
      <c r="I59" s="476"/>
      <c r="J59" s="477"/>
    </row>
    <row r="60" spans="2:10">
      <c r="B60" s="475" t="str">
        <f>ProcessEnergy!B6</f>
        <v>El - baseload</v>
      </c>
      <c r="C60" s="564" t="s">
        <v>725</v>
      </c>
      <c r="D60" s="508"/>
      <c r="E60" s="508"/>
      <c r="F60" s="508"/>
      <c r="G60" s="508"/>
      <c r="H60" s="984"/>
      <c r="I60" s="476"/>
      <c r="J60" s="477"/>
    </row>
    <row r="61" spans="2:10">
      <c r="B61" s="475" t="str">
        <f>ProcessEnergy!B7</f>
        <v xml:space="preserve">Varme </v>
      </c>
      <c r="C61" s="564" t="s">
        <v>725</v>
      </c>
      <c r="D61" s="574"/>
      <c r="E61" s="574"/>
      <c r="F61" s="574"/>
      <c r="G61" s="574"/>
      <c r="H61" s="984"/>
      <c r="I61" s="476"/>
      <c r="J61" s="477"/>
    </row>
    <row r="62" spans="2:10">
      <c r="B62" s="475" t="str">
        <f>ProcessEnergy!B8</f>
        <v>Damp</v>
      </c>
      <c r="C62" s="564" t="s">
        <v>725</v>
      </c>
      <c r="D62" s="574"/>
      <c r="E62" s="574"/>
      <c r="F62" s="574"/>
      <c r="G62" s="574"/>
      <c r="H62" s="984"/>
      <c r="I62" s="476"/>
      <c r="J62" s="477"/>
    </row>
    <row r="63" spans="2:10">
      <c r="B63" s="475" t="str">
        <f>ProcessEnergy!B9</f>
        <v xml:space="preserve">Olie </v>
      </c>
      <c r="C63" s="564" t="s">
        <v>725</v>
      </c>
      <c r="D63" s="574"/>
      <c r="E63" s="574"/>
      <c r="F63" s="574"/>
      <c r="G63" s="574"/>
      <c r="H63" s="984"/>
      <c r="I63" s="476"/>
      <c r="J63" s="477"/>
    </row>
    <row r="64" spans="2:10">
      <c r="B64" s="475" t="str">
        <f>ProcessEnergy!B10</f>
        <v>Kul</v>
      </c>
      <c r="C64" s="564" t="s">
        <v>725</v>
      </c>
      <c r="D64" s="574"/>
      <c r="E64" s="574"/>
      <c r="F64" s="574"/>
      <c r="G64" s="574"/>
      <c r="H64" s="984"/>
      <c r="I64" s="476"/>
      <c r="J64" s="477"/>
    </row>
    <row r="65" spans="2:10">
      <c r="B65" s="475" t="str">
        <f>ProcessEnergy!B11</f>
        <v>Naturgas kedel</v>
      </c>
      <c r="C65" s="564" t="s">
        <v>725</v>
      </c>
      <c r="D65" s="574"/>
      <c r="E65" s="574"/>
      <c r="F65" s="574"/>
      <c r="G65" s="574"/>
      <c r="H65" s="984"/>
      <c r="I65" s="476"/>
      <c r="J65" s="477"/>
    </row>
    <row r="66" spans="2:10">
      <c r="B66" s="475" t="str">
        <f>ProcessEnergy!B12</f>
        <v>Gylle</v>
      </c>
      <c r="C66" s="564" t="s">
        <v>725</v>
      </c>
      <c r="D66" s="574"/>
      <c r="E66" s="574"/>
      <c r="F66" s="574"/>
      <c r="G66" s="574"/>
      <c r="H66" s="984"/>
      <c r="I66" s="476"/>
      <c r="J66" s="477"/>
    </row>
    <row r="67" spans="2:10">
      <c r="B67" s="475" t="str">
        <f>ProcessEnergy!B13</f>
        <v>Affald</v>
      </c>
      <c r="C67" s="564" t="s">
        <v>725</v>
      </c>
      <c r="D67" s="574"/>
      <c r="E67" s="574"/>
      <c r="F67" s="574"/>
      <c r="G67" s="574"/>
      <c r="H67" s="984"/>
      <c r="I67" s="476"/>
      <c r="J67" s="477"/>
    </row>
    <row r="68" spans="2:10">
      <c r="B68" s="475" t="str">
        <f>ProcessEnergy!B14</f>
        <v>Hydrogen</v>
      </c>
      <c r="C68" s="564" t="s">
        <v>725</v>
      </c>
      <c r="D68" s="574"/>
      <c r="E68" s="574"/>
      <c r="F68" s="574"/>
      <c r="G68" s="574"/>
      <c r="H68" s="984"/>
      <c r="I68" s="476"/>
      <c r="J68" s="477"/>
    </row>
    <row r="69" spans="2:10">
      <c r="B69" s="475" t="str">
        <f>ProcessEnergy!B15</f>
        <v>Biomasse</v>
      </c>
      <c r="C69" s="564" t="s">
        <v>725</v>
      </c>
      <c r="D69" s="574"/>
      <c r="E69" s="574"/>
      <c r="F69" s="574"/>
      <c r="G69" s="574"/>
      <c r="H69" s="984"/>
      <c r="I69" s="476"/>
      <c r="J69" s="477"/>
    </row>
    <row r="70" spans="2:10">
      <c r="B70" s="475" t="str">
        <f>ProcessEnergy!B16</f>
        <v>Methanol</v>
      </c>
      <c r="C70" s="564"/>
      <c r="D70" s="574"/>
      <c r="E70" s="574"/>
      <c r="F70" s="574"/>
      <c r="G70" s="574"/>
      <c r="H70" s="984"/>
      <c r="I70" s="476"/>
      <c r="J70" s="477"/>
    </row>
    <row r="71" spans="2:10">
      <c r="B71" s="475" t="str">
        <f>ProcessEnergy!B17</f>
        <v>&lt;empty&gt;</v>
      </c>
      <c r="C71" s="564"/>
      <c r="D71" s="574"/>
      <c r="E71" s="574"/>
      <c r="F71" s="574"/>
      <c r="G71" s="574"/>
      <c r="H71" s="984"/>
      <c r="I71" s="476"/>
      <c r="J71" s="477"/>
    </row>
    <row r="72" spans="2:10">
      <c r="B72" s="475" t="str">
        <f>ProcessEnergy!B18</f>
        <v>&lt;empty&gt;</v>
      </c>
      <c r="C72" s="564"/>
      <c r="D72" s="574"/>
      <c r="E72" s="574"/>
      <c r="F72" s="574"/>
      <c r="G72" s="574"/>
      <c r="H72" s="984"/>
      <c r="I72" s="476"/>
      <c r="J72" s="477"/>
    </row>
    <row r="73" spans="2:10">
      <c r="B73" s="475" t="str">
        <f>ProcessEnergy!B19</f>
        <v>&lt;empty&gt;</v>
      </c>
      <c r="C73" s="564"/>
      <c r="D73" s="574"/>
      <c r="E73" s="574"/>
      <c r="F73" s="574"/>
      <c r="G73" s="574"/>
      <c r="H73" s="984"/>
      <c r="I73" s="476"/>
      <c r="J73" s="477"/>
    </row>
    <row r="74" spans="2:10">
      <c r="B74" s="475" t="str">
        <f>ProcessEnergy!B20</f>
        <v>&lt;empty&gt;</v>
      </c>
      <c r="C74" s="564"/>
      <c r="D74" s="574"/>
      <c r="E74" s="574"/>
      <c r="F74" s="574"/>
      <c r="G74" s="574"/>
      <c r="H74" s="984"/>
      <c r="I74" s="476"/>
      <c r="J74" s="477"/>
    </row>
    <row r="75" spans="2:10">
      <c r="B75" s="475" t="str">
        <f>ProcessEnergy!B21</f>
        <v>&lt;empty&gt;</v>
      </c>
      <c r="C75" s="564"/>
      <c r="D75" s="574"/>
      <c r="E75" s="574"/>
      <c r="F75" s="574"/>
      <c r="G75" s="574"/>
      <c r="H75" s="984"/>
      <c r="I75" s="476"/>
      <c r="J75" s="477"/>
    </row>
    <row r="76" spans="2:10">
      <c r="B76" s="475" t="str">
        <f>ProcessEnergy!B22</f>
        <v>&lt;empty&gt;</v>
      </c>
      <c r="C76" s="564"/>
      <c r="D76" s="574"/>
      <c r="E76" s="574"/>
      <c r="F76" s="574"/>
      <c r="G76" s="574"/>
      <c r="H76" s="984"/>
      <c r="I76" s="476"/>
      <c r="J76" s="477"/>
    </row>
    <row r="77" spans="2:10">
      <c r="B77" s="475" t="str">
        <f>ProcessEnergy!B23</f>
        <v>&lt;empty&gt;</v>
      </c>
      <c r="C77" s="564"/>
      <c r="D77" s="574"/>
      <c r="E77" s="574"/>
      <c r="F77" s="574"/>
      <c r="G77" s="574"/>
      <c r="H77" s="984"/>
      <c r="I77" s="476"/>
      <c r="J77" s="477"/>
    </row>
    <row r="78" spans="2:10">
      <c r="B78" s="475" t="str">
        <f>ProcessEnergy!B24</f>
        <v>&lt;empty&gt;</v>
      </c>
      <c r="C78" s="564" t="s">
        <v>725</v>
      </c>
      <c r="D78" s="574"/>
      <c r="E78" s="574"/>
      <c r="F78" s="574"/>
      <c r="G78" s="574"/>
      <c r="H78" s="984"/>
      <c r="I78" s="476"/>
      <c r="J78" s="477"/>
    </row>
    <row r="79" spans="2:10">
      <c r="B79" s="475"/>
      <c r="C79" s="564"/>
      <c r="D79" s="574"/>
      <c r="E79" s="574"/>
      <c r="F79" s="574"/>
      <c r="G79" s="574"/>
      <c r="H79" s="984"/>
      <c r="I79" s="476"/>
      <c r="J79" s="477"/>
    </row>
    <row r="80" spans="2:10">
      <c r="B80" s="475"/>
      <c r="C80" s="564"/>
      <c r="D80" s="574"/>
      <c r="E80" s="574"/>
      <c r="F80" s="574"/>
      <c r="G80" s="574"/>
      <c r="H80" s="984"/>
      <c r="I80" s="476"/>
      <c r="J80" s="477"/>
    </row>
    <row r="81" spans="2:17">
      <c r="B81" s="475"/>
      <c r="C81" s="564"/>
      <c r="D81" s="565"/>
      <c r="E81" s="565"/>
      <c r="F81" s="565"/>
      <c r="G81" s="565"/>
      <c r="H81" s="986"/>
      <c r="I81" s="476"/>
      <c r="J81" s="477"/>
    </row>
    <row r="82" spans="2:17">
      <c r="B82" s="570" t="s">
        <v>152</v>
      </c>
      <c r="C82" s="564"/>
      <c r="D82" s="565"/>
      <c r="E82" s="565"/>
      <c r="F82" s="565"/>
      <c r="G82" s="565"/>
      <c r="H82" s="986"/>
      <c r="I82" s="476"/>
      <c r="J82" s="477"/>
    </row>
    <row r="83" spans="2:17">
      <c r="B83" s="475" t="s">
        <v>462</v>
      </c>
      <c r="C83" s="976" t="s">
        <v>725</v>
      </c>
      <c r="D83" s="2269">
        <v>1</v>
      </c>
      <c r="E83" s="1071">
        <f>$D83</f>
        <v>1</v>
      </c>
      <c r="F83" s="1071">
        <f>$D83</f>
        <v>1</v>
      </c>
      <c r="G83" s="1071">
        <f>$D83</f>
        <v>1</v>
      </c>
      <c r="H83" s="978"/>
      <c r="I83" s="476"/>
      <c r="J83" s="477"/>
    </row>
    <row r="84" spans="2:17">
      <c r="B84" s="475" t="s">
        <v>153</v>
      </c>
      <c r="C84" s="976" t="s">
        <v>725</v>
      </c>
      <c r="D84" s="1071">
        <f>D59*D83</f>
        <v>9.4444444444444445E-3</v>
      </c>
      <c r="E84" s="1071">
        <f t="shared" ref="E84:G87" si="1">$D84</f>
        <v>9.4444444444444445E-3</v>
      </c>
      <c r="F84" s="1071">
        <f t="shared" si="1"/>
        <v>9.4444444444444445E-3</v>
      </c>
      <c r="G84" s="1071">
        <f t="shared" si="1"/>
        <v>9.4444444444444445E-3</v>
      </c>
      <c r="H84" s="1334"/>
      <c r="I84" s="476"/>
      <c r="J84" s="477"/>
    </row>
    <row r="85" spans="2:17">
      <c r="B85" s="475" t="s">
        <v>154</v>
      </c>
      <c r="C85" s="976" t="s">
        <v>725</v>
      </c>
      <c r="D85" s="1071">
        <f>D43+D53</f>
        <v>0.26764722222222226</v>
      </c>
      <c r="E85" s="1071">
        <f>E43+E53</f>
        <v>0.26764722222222226</v>
      </c>
      <c r="F85" s="1071">
        <f>F43+F53</f>
        <v>0.26764722222222226</v>
      </c>
      <c r="G85" s="1071">
        <f>G43+G53</f>
        <v>0.26764722222222226</v>
      </c>
      <c r="H85" s="978"/>
      <c r="I85" s="476"/>
      <c r="J85" s="477"/>
    </row>
    <row r="86" spans="2:17">
      <c r="B86" s="475" t="s">
        <v>1337</v>
      </c>
      <c r="C86" s="976" t="s">
        <v>725</v>
      </c>
      <c r="D86" s="1071">
        <f>D83/D161</f>
        <v>0.55555555555555558</v>
      </c>
      <c r="E86" s="1071">
        <f t="shared" si="1"/>
        <v>0.55555555555555558</v>
      </c>
      <c r="F86" s="1071">
        <f t="shared" si="1"/>
        <v>0.55555555555555558</v>
      </c>
      <c r="G86" s="1071">
        <f t="shared" si="1"/>
        <v>0.55555555555555558</v>
      </c>
      <c r="H86" s="978"/>
      <c r="I86" s="476"/>
      <c r="J86" s="477"/>
    </row>
    <row r="87" spans="2:17">
      <c r="B87" s="575" t="s">
        <v>155</v>
      </c>
      <c r="C87" s="976" t="s">
        <v>725</v>
      </c>
      <c r="D87" s="1071">
        <f>SUM(D83:D84)-D85-D86</f>
        <v>0.18624166666666653</v>
      </c>
      <c r="E87" s="1071">
        <f t="shared" si="1"/>
        <v>0.18624166666666653</v>
      </c>
      <c r="F87" s="1071">
        <f t="shared" si="1"/>
        <v>0.18624166666666653</v>
      </c>
      <c r="G87" s="1071">
        <f t="shared" si="1"/>
        <v>0.18624166666666653</v>
      </c>
      <c r="H87" s="978"/>
      <c r="I87" s="476"/>
      <c r="J87" s="477"/>
    </row>
    <row r="88" spans="2:17">
      <c r="B88" s="575" t="s">
        <v>156</v>
      </c>
      <c r="C88" s="988" t="s">
        <v>726</v>
      </c>
      <c r="D88" s="1071">
        <f>SUM(D85:D86)/SUM(D83:D84)</f>
        <v>0.81550082553659886</v>
      </c>
      <c r="E88" s="1071">
        <f>SUM(E85:E86)/SUM(E83:E84)</f>
        <v>0.81550082553659886</v>
      </c>
      <c r="F88" s="1071">
        <f>SUM(F85:F86)/SUM(F83:F84)</f>
        <v>0.81550082553659886</v>
      </c>
      <c r="G88" s="1071">
        <f>SUM(G85:G86)/SUM(G83:G84)</f>
        <v>0.81550082553659886</v>
      </c>
      <c r="H88" s="990"/>
      <c r="I88" s="476"/>
      <c r="J88" s="477"/>
    </row>
    <row r="89" spans="2:17">
      <c r="B89" s="475"/>
      <c r="C89" s="564"/>
      <c r="D89" s="1072">
        <f>D169/100</f>
        <v>0.81900000000000006</v>
      </c>
      <c r="E89" s="573"/>
      <c r="F89" s="573"/>
      <c r="G89" s="573"/>
      <c r="H89" s="990"/>
      <c r="I89" s="476"/>
      <c r="J89" s="477"/>
      <c r="N89" s="471"/>
    </row>
    <row r="90" spans="2:17">
      <c r="B90" s="570" t="s">
        <v>2116</v>
      </c>
      <c r="C90" s="564"/>
      <c r="D90" s="573"/>
      <c r="E90" s="573"/>
      <c r="F90" s="573"/>
      <c r="G90" s="573"/>
      <c r="H90" s="983"/>
      <c r="I90" s="476"/>
      <c r="J90" s="477"/>
      <c r="N90" s="582"/>
      <c r="O90" s="582"/>
      <c r="P90" s="582"/>
      <c r="Q90" s="582"/>
    </row>
    <row r="91" spans="2:17" s="530" customFormat="1">
      <c r="B91" s="964" t="s">
        <v>157</v>
      </c>
      <c r="C91" s="976" t="s">
        <v>61</v>
      </c>
      <c r="D91" s="992">
        <f ca="1">HLOOKUP($H100,Supplementary!$C$44:$AF$46,3,FALSE)*D100*D$111</f>
        <v>322366214.9658851</v>
      </c>
      <c r="E91" s="992">
        <f ca="1">HLOOKUP($H100,Supplementary!$C$44:$AF$46,3,FALSE)*E100*E$111</f>
        <v>306247904.21759081</v>
      </c>
      <c r="F91" s="992">
        <f ca="1">HLOOKUP($H100,Supplementary!$C$44:$AF$46,3,FALSE)*F100*F$111</f>
        <v>276388733.55637568</v>
      </c>
      <c r="G91" s="992">
        <f ca="1">HLOOKUP($H100,Supplementary!$C$44:$AF$46,3,FALSE)*G100*G$111</f>
        <v>225120350.91125274</v>
      </c>
      <c r="H91" s="555">
        <f t="shared" ref="H91:H97" si="2">priceYear</f>
        <v>2015</v>
      </c>
      <c r="I91" s="555"/>
      <c r="J91" s="965"/>
      <c r="N91" s="991"/>
      <c r="O91" s="991"/>
      <c r="P91" s="991"/>
      <c r="Q91" s="991"/>
    </row>
    <row r="92" spans="2:17" s="530" customFormat="1">
      <c r="B92" s="964" t="s">
        <v>160</v>
      </c>
      <c r="C92" s="976" t="s">
        <v>464</v>
      </c>
      <c r="D92" s="555">
        <f ca="1">SUM(D93:D97)</f>
        <v>50.629303627884639</v>
      </c>
      <c r="E92" s="555">
        <f ca="1">SUM(E93:E97)</f>
        <v>46.236474055765292</v>
      </c>
      <c r="F92" s="555">
        <f ca="1">SUM(F93:F97)</f>
        <v>37.465787821578786</v>
      </c>
      <c r="G92" s="555">
        <f ca="1">SUM(G93:G97)</f>
        <v>23.307698163355575</v>
      </c>
      <c r="H92" s="555">
        <f t="shared" si="2"/>
        <v>2015</v>
      </c>
      <c r="I92" s="555"/>
      <c r="J92" s="965"/>
      <c r="N92" s="991"/>
      <c r="O92" s="991"/>
      <c r="P92" s="991"/>
      <c r="Q92" s="991"/>
    </row>
    <row r="93" spans="2:17" s="530" customFormat="1">
      <c r="B93" s="995" t="s">
        <v>162</v>
      </c>
      <c r="C93" s="976" t="s">
        <v>464</v>
      </c>
      <c r="D93" s="992">
        <f ca="1">HLOOKUP($H102,Supplementary!$C$44:$AF$46,3,FALSE)*D102*D$111</f>
        <v>15.272234030637858</v>
      </c>
      <c r="E93" s="555">
        <f ca="1">HLOOKUP($H102,Supplementary!$C$44:$AF$46,3,FALSE)*E102*E$111</f>
        <v>14.508622329105965</v>
      </c>
      <c r="F93" s="555">
        <f ca="1">HLOOKUP($H102,Supplementary!$C$44:$AF$46,3,FALSE)*F102*F$111</f>
        <v>13.094031652018131</v>
      </c>
      <c r="G93" s="555">
        <f ca="1">HLOOKUP($H102,Supplementary!$C$44:$AF$46,3,FALSE)*G102*G$111</f>
        <v>10.665170618266593</v>
      </c>
      <c r="H93" s="555">
        <f t="shared" si="2"/>
        <v>2015</v>
      </c>
      <c r="I93" s="555"/>
      <c r="J93" s="965"/>
      <c r="N93" s="991"/>
      <c r="O93" s="991"/>
      <c r="P93" s="991"/>
      <c r="Q93" s="991"/>
    </row>
    <row r="94" spans="2:17" s="530" customFormat="1">
      <c r="B94" s="995" t="s">
        <v>163</v>
      </c>
      <c r="C94" s="976" t="s">
        <v>464</v>
      </c>
      <c r="D94" s="992">
        <f ca="1">HLOOKUP($H103,Supplementary!$C$44:$AF$46,3,FALSE)*D103*D$111</f>
        <v>73.751244744993684</v>
      </c>
      <c r="E94" s="555">
        <f ca="1">HLOOKUP($H103,Supplementary!$C$44:$AF$46,3,FALSE)*E103*E$111</f>
        <v>70.063682507743991</v>
      </c>
      <c r="F94" s="555">
        <f ca="1">HLOOKUP($H103,Supplementary!$C$44:$AF$46,3,FALSE)*F103*F$111</f>
        <v>63.232473463238954</v>
      </c>
      <c r="G94" s="555">
        <f ca="1">HLOOKUP($H103,Supplementary!$C$44:$AF$46,3,FALSE)*G103*G$111</f>
        <v>51.503244838767273</v>
      </c>
      <c r="H94" s="555">
        <f t="shared" si="2"/>
        <v>2015</v>
      </c>
      <c r="I94" s="555"/>
      <c r="J94" s="965"/>
      <c r="N94" s="991"/>
      <c r="O94" s="991"/>
      <c r="P94" s="991"/>
      <c r="Q94" s="991"/>
    </row>
    <row r="95" spans="2:17" s="530" customFormat="1">
      <c r="B95" s="995" t="s">
        <v>164</v>
      </c>
      <c r="C95" s="976" t="s">
        <v>464</v>
      </c>
      <c r="D95" s="992">
        <f>HLOOKUP($H104,Supplementary!$C$44:$AF$46,3,FALSE)*D104</f>
        <v>0</v>
      </c>
      <c r="E95" s="555">
        <f>HLOOKUP($H104,Supplementary!$C$44:$AF$46,3,FALSE)*E104</f>
        <v>0</v>
      </c>
      <c r="F95" s="555">
        <f>HLOOKUP($H104,Supplementary!$C$44:$AF$46,3,FALSE)*F104</f>
        <v>0</v>
      </c>
      <c r="G95" s="555">
        <f>HLOOKUP($H104,Supplementary!$C$44:$AF$46,3,FALSE)*G104</f>
        <v>0</v>
      </c>
      <c r="H95" s="555">
        <f t="shared" si="2"/>
        <v>2015</v>
      </c>
      <c r="I95" s="555"/>
      <c r="J95" s="965"/>
      <c r="N95" s="991"/>
      <c r="O95" s="991"/>
      <c r="P95" s="991"/>
      <c r="Q95" s="991"/>
    </row>
    <row r="96" spans="2:17" s="530" customFormat="1">
      <c r="B96" s="995" t="s">
        <v>264</v>
      </c>
      <c r="C96" s="976" t="s">
        <v>464</v>
      </c>
      <c r="D96" s="992">
        <f ca="1">HLOOKUP($H105,Supplementary!$C$44:$AF$46,3,FALSE)*D105*D$111</f>
        <v>0</v>
      </c>
      <c r="E96" s="555">
        <f ca="1">HLOOKUP($H105,Supplementary!$C$44:$AF$46,3,FALSE)*E105*E$111</f>
        <v>0</v>
      </c>
      <c r="F96" s="555">
        <f ca="1">HLOOKUP($H105,Supplementary!$C$44:$AF$46,3,FALSE)*F105*F$111</f>
        <v>0</v>
      </c>
      <c r="G96" s="555">
        <f ca="1">HLOOKUP($H105,Supplementary!$C$44:$AF$46,3,FALSE)*G105*G$111</f>
        <v>0</v>
      </c>
      <c r="H96" s="555">
        <f t="shared" si="2"/>
        <v>2015</v>
      </c>
      <c r="I96" s="555"/>
      <c r="J96" s="965"/>
      <c r="N96" s="991"/>
      <c r="O96" s="991"/>
      <c r="P96" s="991"/>
      <c r="Q96" s="991"/>
    </row>
    <row r="97" spans="1:17" s="530" customFormat="1">
      <c r="B97" s="995" t="s">
        <v>165</v>
      </c>
      <c r="C97" s="976" t="s">
        <v>464</v>
      </c>
      <c r="D97" s="992">
        <f ca="1">HLOOKUP($H106,Supplementary!$C$44:$AF$46,3,FALSE)*D106</f>
        <v>-38.394175147746907</v>
      </c>
      <c r="E97" s="555">
        <f ca="1">HLOOKUP($H106,Supplementary!$C$44:$AF$46,3,FALSE)*E106</f>
        <v>-38.33583078108466</v>
      </c>
      <c r="F97" s="555">
        <f ca="1">HLOOKUP($H106,Supplementary!$C$44:$AF$46,3,FALSE)*F106</f>
        <v>-38.860717293678292</v>
      </c>
      <c r="G97" s="555">
        <f ca="1">HLOOKUP($H106,Supplementary!$C$44:$AF$46,3,FALSE)*G106</f>
        <v>-38.860717293678292</v>
      </c>
      <c r="H97" s="555">
        <f t="shared" si="2"/>
        <v>2015</v>
      </c>
      <c r="I97" s="555"/>
      <c r="J97" s="965"/>
      <c r="N97" s="991"/>
      <c r="O97" s="991"/>
      <c r="P97" s="991"/>
      <c r="Q97" s="991"/>
    </row>
    <row r="98" spans="1:17" s="530" customFormat="1">
      <c r="B98" s="975"/>
      <c r="C98" s="976"/>
      <c r="D98" s="992"/>
      <c r="E98" s="983"/>
      <c r="F98" s="983"/>
      <c r="G98" s="983"/>
      <c r="H98" s="983"/>
      <c r="I98" s="555"/>
      <c r="J98" s="965"/>
      <c r="N98" s="991"/>
      <c r="O98" s="991"/>
      <c r="P98" s="991"/>
      <c r="Q98" s="991"/>
    </row>
    <row r="99" spans="1:17" s="530" customFormat="1">
      <c r="B99" s="975" t="s">
        <v>2117</v>
      </c>
      <c r="C99" s="976"/>
      <c r="D99" s="992"/>
      <c r="E99" s="983"/>
      <c r="F99" s="983"/>
      <c r="G99" s="983"/>
      <c r="H99" s="983"/>
      <c r="I99" s="555"/>
      <c r="J99" s="965"/>
      <c r="N99" s="991"/>
      <c r="O99" s="991"/>
      <c r="P99" s="991"/>
      <c r="Q99" s="991"/>
    </row>
    <row r="100" spans="1:17">
      <c r="B100" s="475" t="s">
        <v>157</v>
      </c>
      <c r="C100" s="976" t="s">
        <v>61</v>
      </c>
      <c r="D100" s="992">
        <f>D179*dkkPerEUR*D160</f>
        <v>302844288</v>
      </c>
      <c r="E100" s="612">
        <f t="shared" ref="E100:G103" si="3">$D100</f>
        <v>302844288</v>
      </c>
      <c r="F100" s="612">
        <f t="shared" si="3"/>
        <v>302844288</v>
      </c>
      <c r="G100" s="612">
        <f t="shared" si="3"/>
        <v>302844288</v>
      </c>
      <c r="H100" s="1668">
        <v>2011</v>
      </c>
      <c r="I100" s="476"/>
      <c r="J100" s="477"/>
      <c r="N100" s="582"/>
      <c r="O100" s="582"/>
      <c r="P100" s="582"/>
      <c r="Q100" s="582"/>
    </row>
    <row r="101" spans="1:17">
      <c r="B101" s="475" t="s">
        <v>160</v>
      </c>
      <c r="C101" s="976" t="s">
        <v>464</v>
      </c>
      <c r="D101" s="583">
        <f ca="1">SUM(D102:D106)</f>
        <v>47.563282680677794</v>
      </c>
      <c r="E101" s="566">
        <f t="shared" ca="1" si="3"/>
        <v>47.563282680677794</v>
      </c>
      <c r="F101" s="566">
        <f t="shared" ca="1" si="3"/>
        <v>47.563282680677794</v>
      </c>
      <c r="G101" s="566">
        <f t="shared" ca="1" si="3"/>
        <v>47.563282680677794</v>
      </c>
      <c r="H101" s="1668">
        <v>2011</v>
      </c>
      <c r="I101" s="584"/>
      <c r="J101" s="477"/>
      <c r="N101" s="582"/>
      <c r="O101" s="582"/>
      <c r="P101" s="582"/>
      <c r="Q101" s="582"/>
    </row>
    <row r="102" spans="1:17">
      <c r="B102" s="585" t="s">
        <v>162</v>
      </c>
      <c r="C102" s="976" t="s">
        <v>464</v>
      </c>
      <c r="D102" s="993">
        <f ca="1">PMT(rSØK,D34,-D100)/(D32*D33)</f>
        <v>14.347374589695608</v>
      </c>
      <c r="E102" s="566">
        <f t="shared" ca="1" si="3"/>
        <v>14.347374589695608</v>
      </c>
      <c r="F102" s="566">
        <f t="shared" ca="1" si="3"/>
        <v>14.347374589695608</v>
      </c>
      <c r="G102" s="566">
        <f t="shared" ca="1" si="3"/>
        <v>14.347374589695608</v>
      </c>
      <c r="H102" s="1668">
        <v>2011</v>
      </c>
      <c r="I102" s="584"/>
      <c r="J102" s="477"/>
      <c r="N102" s="582"/>
      <c r="O102" s="582"/>
      <c r="P102" s="582"/>
      <c r="Q102" s="582"/>
    </row>
    <row r="103" spans="1:17">
      <c r="B103" s="585" t="s">
        <v>163</v>
      </c>
      <c r="C103" s="976" t="s">
        <v>464</v>
      </c>
      <c r="D103" s="480">
        <f>IF(D142&gt;0,D179*D142*dkkPerEUR,D180*dkkPerEUR)</f>
        <v>69.285000000000011</v>
      </c>
      <c r="E103" s="480">
        <f t="shared" si="3"/>
        <v>69.285000000000011</v>
      </c>
      <c r="F103" s="480">
        <f t="shared" si="3"/>
        <v>69.285000000000011</v>
      </c>
      <c r="G103" s="480">
        <f t="shared" si="3"/>
        <v>69.285000000000011</v>
      </c>
      <c r="H103" s="1668">
        <v>2011</v>
      </c>
      <c r="I103" s="476"/>
      <c r="J103" s="477"/>
      <c r="N103" s="582"/>
      <c r="O103" s="582"/>
      <c r="P103" s="582"/>
      <c r="Q103" s="582"/>
    </row>
    <row r="104" spans="1:17">
      <c r="A104" s="469">
        <v>6</v>
      </c>
      <c r="B104" s="585" t="s">
        <v>164</v>
      </c>
      <c r="C104" s="976" t="s">
        <v>464</v>
      </c>
      <c r="D104" s="1073"/>
      <c r="E104" s="1073"/>
      <c r="F104" s="1073"/>
      <c r="G104" s="1073"/>
      <c r="H104" s="1668">
        <v>2011</v>
      </c>
      <c r="I104" s="476"/>
      <c r="J104" s="477"/>
      <c r="N104" s="582"/>
      <c r="O104" s="582"/>
      <c r="P104" s="582"/>
      <c r="Q104" s="582"/>
    </row>
    <row r="105" spans="1:17">
      <c r="B105" s="585" t="s">
        <v>264</v>
      </c>
      <c r="C105" s="976" t="s">
        <v>464</v>
      </c>
      <c r="D105" s="1074">
        <f ca="1">D60*Prices!M$7/3.6</f>
        <v>0</v>
      </c>
      <c r="E105" s="1074">
        <f ca="1">E60*Prices!N$7/3.6</f>
        <v>0</v>
      </c>
      <c r="F105" s="1074">
        <f ca="1">F60*Prices!O$7/3.6</f>
        <v>0</v>
      </c>
      <c r="G105" s="1074">
        <f ca="1">G60*Prices!P$7/3.6</f>
        <v>0</v>
      </c>
      <c r="H105" s="1668">
        <v>2011</v>
      </c>
      <c r="I105" s="476"/>
      <c r="J105" s="477"/>
      <c r="N105" s="582"/>
      <c r="O105" s="582"/>
      <c r="P105" s="582"/>
      <c r="Q105" s="582"/>
    </row>
    <row r="106" spans="1:17">
      <c r="B106" s="585" t="s">
        <v>165</v>
      </c>
      <c r="C106" s="976" t="s">
        <v>464</v>
      </c>
      <c r="D106" s="996">
        <f ca="1">-SUMPRODUCT(D37:D56,ProcessEnergy!M35:M54)/D86</f>
        <v>-36.069091909017821</v>
      </c>
      <c r="E106" s="996">
        <f ca="1">-SUMPRODUCT(E37:E56,ProcessEnergy!N35:N54)/E86</f>
        <v>-36.014280773854324</v>
      </c>
      <c r="F106" s="996">
        <f ca="1">-SUMPRODUCT(F37:F56,ProcessEnergy!O35:O54)/F86</f>
        <v>-36.507381088985191</v>
      </c>
      <c r="G106" s="996">
        <f ca="1">-SUMPRODUCT(G37:G56,ProcessEnergy!P35:P54)/G86</f>
        <v>-36.507381088985191</v>
      </c>
      <c r="H106" s="1668">
        <v>2011</v>
      </c>
      <c r="I106" s="476"/>
      <c r="J106" s="477"/>
      <c r="N106" s="582"/>
      <c r="O106" s="582"/>
      <c r="P106" s="582"/>
      <c r="Q106" s="582"/>
    </row>
    <row r="107" spans="1:17">
      <c r="B107" s="585"/>
      <c r="C107" s="564"/>
      <c r="D107" s="2311"/>
      <c r="E107" s="2311"/>
      <c r="F107" s="2311"/>
      <c r="G107" s="2311"/>
      <c r="H107" s="983"/>
      <c r="I107" s="584"/>
      <c r="J107" s="477"/>
      <c r="N107" s="582"/>
      <c r="O107" s="582"/>
      <c r="P107" s="582"/>
      <c r="Q107" s="582"/>
    </row>
    <row r="108" spans="1:17">
      <c r="B108" s="570" t="s">
        <v>2113</v>
      </c>
      <c r="C108" s="564"/>
      <c r="D108" s="573"/>
      <c r="E108" s="573"/>
      <c r="F108" s="573"/>
      <c r="G108" s="573"/>
      <c r="H108" s="983"/>
      <c r="I108" s="584"/>
      <c r="J108" s="477"/>
      <c r="N108" s="582"/>
      <c r="O108" s="582"/>
      <c r="P108" s="582"/>
      <c r="Q108" s="582"/>
    </row>
    <row r="109" spans="1:17">
      <c r="B109" s="585" t="s">
        <v>2114</v>
      </c>
      <c r="C109" s="564"/>
      <c r="D109" s="1696">
        <v>0.95</v>
      </c>
      <c r="E109" s="1696">
        <v>0.95</v>
      </c>
      <c r="F109" s="1696">
        <v>0.95</v>
      </c>
      <c r="G109" s="1696">
        <v>0.95</v>
      </c>
      <c r="H109" s="983"/>
      <c r="I109" s="584"/>
      <c r="J109" s="477"/>
      <c r="N109" s="582"/>
      <c r="O109" s="582"/>
      <c r="P109" s="582"/>
      <c r="Q109" s="582"/>
    </row>
    <row r="110" spans="1:17">
      <c r="B110" s="585" t="s">
        <v>2666</v>
      </c>
      <c r="C110" s="564"/>
      <c r="D110" s="478">
        <f ca="1">OFFSET(Supplementary!C$237,MATCH($C$19,Supplementary!$B$238:$B$241,0),0)</f>
        <v>1</v>
      </c>
      <c r="E110" s="478">
        <f ca="1">OFFSET(Supplementary!D$237,MATCH($C$19,Supplementary!$B$238:$B$241,0),0)</f>
        <v>2</v>
      </c>
      <c r="F110" s="478">
        <f ca="1">OFFSET(Supplementary!E$237,MATCH($C$19,Supplementary!$B$238:$B$241,0),0)</f>
        <v>4</v>
      </c>
      <c r="G110" s="478">
        <f ca="1">OFFSET(Supplementary!F$237,MATCH($C$19,Supplementary!$B$238:$B$241,0),0)</f>
        <v>8</v>
      </c>
      <c r="H110" s="983"/>
      <c r="I110" s="584"/>
      <c r="J110" s="477"/>
      <c r="N110" s="582"/>
      <c r="O110" s="582"/>
      <c r="P110" s="582"/>
      <c r="Q110" s="582"/>
    </row>
    <row r="111" spans="1:17">
      <c r="B111" s="585" t="s">
        <v>2115</v>
      </c>
      <c r="C111" s="564"/>
      <c r="D111" s="1698">
        <f ca="1">1*D109^(D110-1)</f>
        <v>1</v>
      </c>
      <c r="E111" s="1698">
        <f ca="1">1*E109^(E110-1)</f>
        <v>0.95</v>
      </c>
      <c r="F111" s="1698">
        <f ca="1">1*F109^(F110-1)</f>
        <v>0.85737499999999989</v>
      </c>
      <c r="G111" s="1698">
        <f ca="1">1*G109^(G110-1)</f>
        <v>0.69833729609374995</v>
      </c>
      <c r="H111" s="983"/>
      <c r="I111" s="584"/>
      <c r="J111" s="477"/>
      <c r="N111" s="582"/>
      <c r="O111" s="582"/>
      <c r="P111" s="582"/>
      <c r="Q111" s="582"/>
    </row>
    <row r="112" spans="1:17">
      <c r="B112" s="585"/>
      <c r="C112" s="564"/>
      <c r="D112" s="573"/>
      <c r="E112" s="573"/>
      <c r="F112" s="573"/>
      <c r="G112" s="573"/>
      <c r="H112" s="983"/>
      <c r="I112" s="584"/>
      <c r="J112" s="477"/>
      <c r="N112" s="582"/>
      <c r="O112" s="582"/>
      <c r="P112" s="582"/>
      <c r="Q112" s="582"/>
    </row>
    <row r="113" spans="2:17">
      <c r="B113" s="570" t="s">
        <v>166</v>
      </c>
      <c r="C113" s="564"/>
      <c r="D113" s="573"/>
      <c r="E113" s="573"/>
      <c r="F113" s="573"/>
      <c r="G113" s="573"/>
      <c r="H113" s="983"/>
      <c r="I113" s="584"/>
      <c r="J113" s="477"/>
      <c r="N113" s="589"/>
      <c r="O113" s="589"/>
      <c r="P113" s="589"/>
      <c r="Q113" s="582"/>
    </row>
    <row r="114" spans="2:17">
      <c r="B114" s="475" t="s">
        <v>24</v>
      </c>
      <c r="C114" s="564" t="s">
        <v>465</v>
      </c>
      <c r="D114" s="1075">
        <v>0</v>
      </c>
      <c r="E114" s="1075">
        <v>0</v>
      </c>
      <c r="F114" s="1075">
        <v>0</v>
      </c>
      <c r="G114" s="1075">
        <v>0</v>
      </c>
      <c r="H114" s="999"/>
      <c r="I114" s="1392" t="s">
        <v>1747</v>
      </c>
      <c r="J114" s="477"/>
      <c r="N114" s="582"/>
      <c r="O114" s="582"/>
      <c r="P114" s="582"/>
      <c r="Q114" s="582"/>
    </row>
    <row r="115" spans="2:17">
      <c r="B115" s="475" t="s">
        <v>27</v>
      </c>
      <c r="C115" s="564" t="s">
        <v>465</v>
      </c>
      <c r="D115" s="1075">
        <v>0</v>
      </c>
      <c r="E115" s="1075">
        <v>0</v>
      </c>
      <c r="F115" s="1075">
        <v>0</v>
      </c>
      <c r="G115" s="1075">
        <v>0</v>
      </c>
      <c r="H115" s="999"/>
      <c r="I115" s="1392" t="s">
        <v>1747</v>
      </c>
      <c r="J115" s="477"/>
      <c r="N115" s="582"/>
      <c r="O115" s="582"/>
      <c r="P115" s="582"/>
      <c r="Q115" s="582"/>
    </row>
    <row r="116" spans="2:17">
      <c r="B116" s="475" t="s">
        <v>28</v>
      </c>
      <c r="C116" s="564" t="s">
        <v>465</v>
      </c>
      <c r="D116" s="1075">
        <v>0</v>
      </c>
      <c r="E116" s="1075">
        <v>0</v>
      </c>
      <c r="F116" s="1075">
        <v>0</v>
      </c>
      <c r="G116" s="1075">
        <v>0</v>
      </c>
      <c r="H116" s="999"/>
      <c r="I116" s="1392" t="s">
        <v>1747</v>
      </c>
      <c r="J116" s="477"/>
      <c r="N116" s="582"/>
      <c r="O116" s="582"/>
      <c r="P116" s="582"/>
      <c r="Q116" s="582"/>
    </row>
    <row r="117" spans="2:17">
      <c r="B117" s="475" t="s">
        <v>26</v>
      </c>
      <c r="C117" s="564" t="s">
        <v>465</v>
      </c>
      <c r="D117" s="1075">
        <v>0</v>
      </c>
      <c r="E117" s="1075">
        <v>0</v>
      </c>
      <c r="F117" s="1075">
        <v>0</v>
      </c>
      <c r="G117" s="1075">
        <v>0</v>
      </c>
      <c r="H117" s="999"/>
      <c r="I117" s="1392" t="s">
        <v>1747</v>
      </c>
      <c r="J117" s="477"/>
      <c r="N117" s="582"/>
      <c r="O117" s="582"/>
      <c r="P117" s="582"/>
      <c r="Q117" s="582"/>
    </row>
    <row r="118" spans="2:17">
      <c r="B118" s="475" t="s">
        <v>167</v>
      </c>
      <c r="C118" s="564" t="s">
        <v>465</v>
      </c>
      <c r="D118" s="1075">
        <v>0</v>
      </c>
      <c r="E118" s="1075">
        <v>0</v>
      </c>
      <c r="F118" s="1075">
        <v>0</v>
      </c>
      <c r="G118" s="1075">
        <v>0</v>
      </c>
      <c r="H118" s="999"/>
      <c r="I118" s="1392" t="s">
        <v>1747</v>
      </c>
      <c r="J118" s="477"/>
      <c r="N118" s="589"/>
      <c r="O118" s="589"/>
      <c r="P118" s="589"/>
      <c r="Q118" s="589"/>
    </row>
    <row r="119" spans="2:17">
      <c r="B119" s="475" t="s">
        <v>45</v>
      </c>
      <c r="C119" s="564" t="s">
        <v>465</v>
      </c>
      <c r="D119" s="590"/>
      <c r="E119" s="590"/>
      <c r="F119" s="590"/>
      <c r="G119" s="590"/>
      <c r="H119" s="1000"/>
      <c r="I119" s="476"/>
      <c r="J119" s="477"/>
    </row>
    <row r="120" spans="2:17" ht="13.5" thickBot="1">
      <c r="B120" s="591"/>
      <c r="C120" s="592"/>
      <c r="D120" s="593"/>
      <c r="E120" s="482"/>
      <c r="F120" s="482"/>
      <c r="G120" s="482"/>
      <c r="H120" s="968"/>
      <c r="I120" s="594"/>
      <c r="J120" s="483"/>
    </row>
    <row r="123" spans="2:17" ht="18.75">
      <c r="B123" s="558" t="s">
        <v>172</v>
      </c>
    </row>
    <row r="124" spans="2:17" ht="15.75">
      <c r="B124" s="617"/>
      <c r="D124" s="1076"/>
    </row>
    <row r="125" spans="2:17">
      <c r="B125" s="476"/>
      <c r="C125" s="476"/>
      <c r="D125" s="476"/>
      <c r="E125" s="476"/>
      <c r="F125" s="476"/>
      <c r="G125" s="476"/>
      <c r="H125" s="555"/>
      <c r="I125" s="476"/>
      <c r="J125" s="476"/>
      <c r="K125" s="476"/>
      <c r="L125" s="476"/>
    </row>
    <row r="126" spans="2:17">
      <c r="B126" s="476"/>
      <c r="C126" s="598"/>
      <c r="D126" s="598"/>
      <c r="E126" s="598"/>
      <c r="F126" s="598"/>
      <c r="G126" s="598"/>
      <c r="H126" s="977"/>
      <c r="I126" s="476"/>
      <c r="J126" s="598"/>
      <c r="K126" s="598"/>
      <c r="L126" s="598"/>
    </row>
    <row r="127" spans="2:17">
      <c r="B127" s="476"/>
      <c r="C127" s="476"/>
      <c r="D127" s="583"/>
      <c r="E127" s="583"/>
      <c r="F127" s="583"/>
      <c r="G127" s="583"/>
      <c r="H127" s="993"/>
      <c r="I127" s="476"/>
      <c r="J127" s="583"/>
      <c r="K127" s="583"/>
      <c r="L127" s="583"/>
    </row>
    <row r="128" spans="2:17">
      <c r="B128" s="476"/>
      <c r="C128" s="476"/>
      <c r="D128" s="583"/>
      <c r="E128" s="583"/>
      <c r="F128" s="583"/>
      <c r="G128" s="583"/>
      <c r="H128" s="993"/>
      <c r="I128" s="476"/>
      <c r="J128" s="583"/>
      <c r="K128" s="583"/>
      <c r="L128" s="583"/>
    </row>
    <row r="129" spans="2:12">
      <c r="B129" s="476"/>
      <c r="C129" s="476"/>
      <c r="D129" s="583"/>
      <c r="E129" s="583"/>
      <c r="F129" s="583"/>
      <c r="G129" s="583"/>
      <c r="H129" s="993"/>
      <c r="I129" s="476"/>
      <c r="J129" s="583"/>
      <c r="K129" s="583"/>
      <c r="L129" s="583"/>
    </row>
    <row r="130" spans="2:12">
      <c r="B130" s="476"/>
      <c r="C130" s="476"/>
      <c r="D130" s="583"/>
      <c r="E130" s="583"/>
      <c r="F130" s="583"/>
      <c r="G130" s="583"/>
      <c r="H130" s="993"/>
      <c r="I130" s="476"/>
      <c r="J130" s="583"/>
      <c r="K130" s="583"/>
      <c r="L130" s="583"/>
    </row>
    <row r="131" spans="2:12">
      <c r="B131" s="476"/>
      <c r="C131" s="476"/>
      <c r="D131" s="583"/>
      <c r="E131" s="583"/>
      <c r="F131" s="583"/>
      <c r="G131" s="583"/>
      <c r="H131" s="993"/>
      <c r="I131" s="476"/>
      <c r="J131" s="583"/>
      <c r="K131" s="583"/>
      <c r="L131" s="583"/>
    </row>
    <row r="132" spans="2:12">
      <c r="B132" s="476"/>
      <c r="C132" s="476"/>
      <c r="D132" s="583"/>
      <c r="E132" s="583"/>
      <c r="F132" s="583"/>
      <c r="G132" s="583"/>
      <c r="H132" s="993"/>
      <c r="I132" s="476"/>
      <c r="J132" s="583"/>
      <c r="K132" s="583"/>
      <c r="L132" s="583"/>
    </row>
    <row r="133" spans="2:12">
      <c r="B133" s="476"/>
      <c r="C133" s="476"/>
      <c r="D133" s="583"/>
      <c r="E133" s="583"/>
      <c r="F133" s="583"/>
      <c r="G133" s="583"/>
      <c r="H133" s="993"/>
      <c r="I133" s="476"/>
      <c r="J133" s="583"/>
      <c r="K133" s="583"/>
      <c r="L133" s="583"/>
    </row>
    <row r="136" spans="2:12" ht="18.75">
      <c r="B136" s="558" t="s">
        <v>168</v>
      </c>
    </row>
    <row r="137" spans="2:12" ht="15.75">
      <c r="B137" s="617"/>
    </row>
    <row r="138" spans="2:12" ht="13.5" thickBot="1">
      <c r="B138" s="476"/>
      <c r="C138" s="476"/>
      <c r="D138" s="476"/>
      <c r="E138" s="476"/>
      <c r="F138" s="476"/>
      <c r="G138" s="476"/>
      <c r="H138" s="555"/>
      <c r="I138" s="476"/>
    </row>
    <row r="139" spans="2:12">
      <c r="B139" s="1077"/>
      <c r="C139" s="1078" t="s">
        <v>70</v>
      </c>
      <c r="D139" s="1079">
        <v>2015</v>
      </c>
      <c r="E139" s="1078">
        <v>2020</v>
      </c>
      <c r="F139" s="1078">
        <v>2035</v>
      </c>
      <c r="G139" s="1078"/>
      <c r="H139" s="1009"/>
      <c r="I139" s="1080" t="s">
        <v>145</v>
      </c>
      <c r="J139" s="1081" t="s">
        <v>146</v>
      </c>
    </row>
    <row r="140" spans="2:12">
      <c r="B140" s="475"/>
      <c r="C140" s="598"/>
      <c r="D140" s="1082"/>
      <c r="E140" s="651"/>
      <c r="F140" s="651"/>
      <c r="G140" s="651"/>
      <c r="H140" s="1014"/>
      <c r="I140" s="476"/>
      <c r="J140" s="477"/>
    </row>
    <row r="141" spans="2:12">
      <c r="B141" s="475"/>
      <c r="C141" s="598"/>
      <c r="D141" s="1083"/>
      <c r="E141" s="581"/>
      <c r="F141" s="581"/>
      <c r="G141" s="581"/>
      <c r="H141" s="1016"/>
      <c r="I141" s="476"/>
      <c r="J141" s="477"/>
    </row>
    <row r="142" spans="2:12">
      <c r="B142" s="964" t="s">
        <v>2096</v>
      </c>
      <c r="C142" s="555" t="s">
        <v>29</v>
      </c>
      <c r="D142" s="1681"/>
      <c r="E142" s="1682"/>
      <c r="F142" s="1682"/>
      <c r="G142" s="1682"/>
      <c r="H142" s="1018"/>
      <c r="I142" s="1335"/>
      <c r="J142" s="965" t="s">
        <v>2097</v>
      </c>
    </row>
    <row r="143" spans="2:12">
      <c r="B143" s="475"/>
      <c r="C143" s="598"/>
      <c r="D143" s="1083"/>
      <c r="E143" s="581"/>
      <c r="F143" s="581"/>
      <c r="G143" s="581"/>
      <c r="H143" s="1016"/>
      <c r="I143" s="476"/>
      <c r="J143" s="477"/>
    </row>
    <row r="144" spans="2:12">
      <c r="B144" s="475"/>
      <c r="C144" s="598"/>
      <c r="D144" s="1083"/>
      <c r="E144" s="581"/>
      <c r="F144" s="581"/>
      <c r="G144" s="581"/>
      <c r="H144" s="1016"/>
      <c r="I144" s="476"/>
      <c r="J144" s="477"/>
    </row>
    <row r="145" spans="2:10">
      <c r="B145" s="475" t="s">
        <v>22</v>
      </c>
      <c r="C145" s="598" t="s">
        <v>249</v>
      </c>
      <c r="D145" s="1085"/>
      <c r="E145" s="567"/>
      <c r="F145" s="567"/>
      <c r="G145" s="567"/>
      <c r="H145" s="979"/>
      <c r="I145" s="476"/>
      <c r="J145" s="477"/>
    </row>
    <row r="146" spans="2:10">
      <c r="B146" s="475"/>
      <c r="C146" s="564"/>
      <c r="D146" s="581"/>
      <c r="E146" s="581"/>
      <c r="F146" s="581"/>
      <c r="G146" s="581"/>
      <c r="H146" s="1016"/>
      <c r="I146" s="476"/>
      <c r="J146" s="477"/>
    </row>
    <row r="147" spans="2:10" ht="13.5" thickBot="1">
      <c r="B147" s="481"/>
      <c r="C147" s="502"/>
      <c r="D147" s="1086"/>
      <c r="E147" s="1086"/>
      <c r="F147" s="1086"/>
      <c r="G147" s="1086"/>
      <c r="H147" s="1021"/>
      <c r="I147" s="482"/>
      <c r="J147" s="483"/>
    </row>
    <row r="150" spans="2:10" ht="13.5" thickBot="1"/>
    <row r="151" spans="2:10">
      <c r="B151" s="1040"/>
      <c r="C151" s="1340"/>
      <c r="D151" s="1383" t="s">
        <v>1098</v>
      </c>
    </row>
    <row r="152" spans="2:10">
      <c r="B152" s="1065" t="s">
        <v>1095</v>
      </c>
      <c r="C152" s="1367">
        <v>0.2</v>
      </c>
      <c r="D152" s="1384" t="s">
        <v>1774</v>
      </c>
    </row>
    <row r="153" spans="2:10" ht="13.5" thickBot="1">
      <c r="B153" s="1022" t="s">
        <v>1398</v>
      </c>
      <c r="C153" s="1341">
        <f>D189%</f>
        <v>0.22712499999999999</v>
      </c>
      <c r="D153" s="1385" t="s">
        <v>1774</v>
      </c>
    </row>
    <row r="154" spans="2:10">
      <c r="B154" s="530" t="str">
        <f>CONCATENATE("Source: ",Referencer!$B$48)</f>
        <v>Source: 42, FORCE, Danish Energy Agency, 2013, Technology data for advanced bioenergy fuels.</v>
      </c>
    </row>
    <row r="155" spans="2:10" ht="13.5" thickBot="1">
      <c r="B155" s="476"/>
    </row>
    <row r="156" spans="2:10" ht="18.75">
      <c r="B156" s="1087" t="s">
        <v>1425</v>
      </c>
      <c r="C156" s="1088"/>
      <c r="D156" s="1089"/>
      <c r="E156" s="1089"/>
      <c r="F156" s="1089"/>
      <c r="G156" s="1089"/>
      <c r="H156" s="1025"/>
      <c r="I156" s="1089"/>
      <c r="J156" s="1090"/>
    </row>
    <row r="157" spans="2:10" ht="15">
      <c r="B157" s="1090"/>
      <c r="C157" s="1091"/>
      <c r="D157" s="1092">
        <v>2015</v>
      </c>
      <c r="E157" s="1092">
        <v>2020</v>
      </c>
      <c r="F157" s="1092">
        <v>2035</v>
      </c>
      <c r="G157" s="1092">
        <v>2050</v>
      </c>
      <c r="H157" s="1028"/>
      <c r="I157" s="1092" t="s">
        <v>1098</v>
      </c>
      <c r="J157" s="1387"/>
    </row>
    <row r="158" spans="2:10" ht="15">
      <c r="B158" s="1093" t="s">
        <v>1099</v>
      </c>
      <c r="C158" s="1094"/>
      <c r="D158" s="1091"/>
      <c r="E158" s="1091"/>
      <c r="F158" s="1091"/>
      <c r="G158" s="1091"/>
      <c r="H158" s="1027"/>
      <c r="I158" s="1091"/>
      <c r="J158" s="1090"/>
    </row>
    <row r="159" spans="2:10" ht="15">
      <c r="B159" s="1669" t="s">
        <v>1139</v>
      </c>
      <c r="C159" s="1091"/>
      <c r="D159" s="1287">
        <v>63200</v>
      </c>
      <c r="E159" s="1095" t="s">
        <v>1101</v>
      </c>
      <c r="F159" s="1096"/>
      <c r="G159" s="1096"/>
      <c r="H159" s="1031"/>
      <c r="I159" s="1386" t="s">
        <v>1775</v>
      </c>
      <c r="J159" s="1388"/>
    </row>
    <row r="160" spans="2:10" ht="15">
      <c r="B160" s="1669" t="s">
        <v>1140</v>
      </c>
      <c r="C160" s="1091"/>
      <c r="D160" s="1287">
        <v>1693760</v>
      </c>
      <c r="E160" s="1095" t="s">
        <v>1101</v>
      </c>
      <c r="F160" s="1096"/>
      <c r="G160" s="1096"/>
      <c r="H160" s="1031"/>
      <c r="I160" s="1097"/>
      <c r="J160" s="1388"/>
    </row>
    <row r="161" spans="2:10" ht="15">
      <c r="B161" s="2296" t="s">
        <v>2418</v>
      </c>
      <c r="C161" s="1091"/>
      <c r="D161" s="637">
        <v>1.8</v>
      </c>
      <c r="E161" s="1095" t="s">
        <v>1101</v>
      </c>
      <c r="F161" s="1096"/>
      <c r="G161" s="1096"/>
      <c r="H161" s="1031"/>
      <c r="I161" s="1097"/>
      <c r="J161" s="1388"/>
    </row>
    <row r="162" spans="2:10" ht="15">
      <c r="B162" s="2296" t="s">
        <v>2419</v>
      </c>
      <c r="C162" s="1091"/>
      <c r="D162" s="637">
        <v>14.1</v>
      </c>
      <c r="E162" s="1095" t="s">
        <v>1101</v>
      </c>
      <c r="F162" s="1096"/>
      <c r="G162" s="1096"/>
      <c r="H162" s="1031"/>
      <c r="I162" s="1097"/>
      <c r="J162" s="1388"/>
    </row>
    <row r="163" spans="2:10" ht="15">
      <c r="B163" s="1669" t="s">
        <v>1143</v>
      </c>
      <c r="C163" s="1091"/>
      <c r="D163" s="637">
        <v>1.8</v>
      </c>
      <c r="E163" s="1095" t="s">
        <v>1101</v>
      </c>
      <c r="F163" s="1096"/>
      <c r="G163" s="1096"/>
      <c r="H163" s="1031"/>
      <c r="I163" s="1097"/>
      <c r="J163" s="1388"/>
    </row>
    <row r="164" spans="2:10" ht="15">
      <c r="B164" s="1669" t="s">
        <v>1144</v>
      </c>
      <c r="C164" s="1091"/>
      <c r="D164" s="637">
        <v>1.7000000000000001E-2</v>
      </c>
      <c r="E164" s="1095" t="s">
        <v>1101</v>
      </c>
      <c r="F164" s="1096"/>
      <c r="G164" s="1096"/>
      <c r="H164" s="1031"/>
      <c r="I164" s="1097"/>
      <c r="J164" s="1388"/>
    </row>
    <row r="165" spans="2:10" ht="15">
      <c r="B165" s="1669"/>
      <c r="C165" s="1091"/>
      <c r="D165" s="637"/>
      <c r="E165" s="1095"/>
      <c r="F165" s="1096"/>
      <c r="G165" s="1096"/>
      <c r="H165" s="1031"/>
      <c r="I165" s="1097"/>
      <c r="J165" s="1388"/>
    </row>
    <row r="166" spans="2:10" ht="15">
      <c r="B166" s="1669" t="s">
        <v>2069</v>
      </c>
      <c r="C166" s="1091"/>
      <c r="D166" s="637">
        <v>0.4</v>
      </c>
      <c r="E166" s="1095" t="s">
        <v>1101</v>
      </c>
      <c r="F166" s="1096"/>
      <c r="G166" s="1096"/>
      <c r="H166" s="1031"/>
      <c r="I166" s="1097"/>
      <c r="J166" s="1388"/>
    </row>
    <row r="167" spans="2:10" ht="15">
      <c r="B167" s="1090" t="s">
        <v>1431</v>
      </c>
      <c r="C167" s="1091"/>
      <c r="D167" s="1098">
        <v>55.3</v>
      </c>
      <c r="E167" s="1095" t="s">
        <v>1101</v>
      </c>
      <c r="F167" s="1096"/>
      <c r="G167" s="1096"/>
      <c r="H167" s="1031"/>
      <c r="I167" s="1097"/>
      <c r="J167" s="1388"/>
    </row>
    <row r="168" spans="2:10" ht="15">
      <c r="B168" s="1090" t="s">
        <v>1107</v>
      </c>
      <c r="C168" s="1091"/>
      <c r="D168" s="1098">
        <v>77.5</v>
      </c>
      <c r="E168" s="1095" t="s">
        <v>1101</v>
      </c>
      <c r="F168" s="1096"/>
      <c r="G168" s="1096"/>
      <c r="H168" s="1031"/>
      <c r="I168" s="1097"/>
      <c r="J168" s="1388"/>
    </row>
    <row r="169" spans="2:10" ht="15">
      <c r="B169" s="1090" t="s">
        <v>1432</v>
      </c>
      <c r="C169" s="1091"/>
      <c r="D169" s="1098">
        <v>81.900000000000006</v>
      </c>
      <c r="E169" s="1095" t="s">
        <v>1101</v>
      </c>
      <c r="F169" s="1096"/>
      <c r="G169" s="1096"/>
      <c r="H169" s="1031"/>
      <c r="I169" s="1097"/>
      <c r="J169" s="1388"/>
    </row>
    <row r="170" spans="2:10" ht="15">
      <c r="B170" s="1090"/>
      <c r="C170" s="1091"/>
      <c r="D170" s="1091"/>
      <c r="E170" s="1096"/>
      <c r="F170" s="1096"/>
      <c r="G170" s="1096"/>
      <c r="H170" s="1031"/>
      <c r="I170" s="1097"/>
      <c r="J170" s="1388"/>
    </row>
    <row r="171" spans="2:10" ht="15">
      <c r="B171" s="1090"/>
      <c r="C171" s="1091"/>
      <c r="D171" s="1091"/>
      <c r="E171" s="1096"/>
      <c r="F171" s="1096"/>
      <c r="G171" s="1096"/>
      <c r="H171" s="1031"/>
      <c r="I171" s="1097"/>
      <c r="J171" s="1388"/>
    </row>
    <row r="172" spans="2:10" ht="15">
      <c r="B172" s="1090"/>
      <c r="C172" s="1091"/>
      <c r="D172" s="1091"/>
      <c r="E172" s="1096"/>
      <c r="F172" s="1096"/>
      <c r="G172" s="1096"/>
      <c r="H172" s="1031"/>
      <c r="I172" s="1097"/>
      <c r="J172" s="1388"/>
    </row>
    <row r="173" spans="2:10" ht="15">
      <c r="B173" s="1090"/>
      <c r="C173" s="1091"/>
      <c r="D173" s="1091"/>
      <c r="E173" s="1096"/>
      <c r="F173" s="1096"/>
      <c r="G173" s="1096"/>
      <c r="H173" s="1031"/>
      <c r="I173" s="1097"/>
      <c r="J173" s="1388"/>
    </row>
    <row r="174" spans="2:10" ht="15">
      <c r="B174" s="1090"/>
      <c r="C174" s="1091"/>
      <c r="D174" s="1091"/>
      <c r="E174" s="1096"/>
      <c r="F174" s="1096"/>
      <c r="G174" s="1096"/>
      <c r="H174" s="1031"/>
      <c r="I174" s="1097"/>
      <c r="J174" s="1388"/>
    </row>
    <row r="175" spans="2:10" ht="15">
      <c r="B175" s="1090"/>
      <c r="C175" s="1091"/>
      <c r="D175" s="1091"/>
      <c r="E175" s="1096"/>
      <c r="F175" s="1096"/>
      <c r="G175" s="1096"/>
      <c r="H175" s="1031"/>
      <c r="I175" s="1097"/>
      <c r="J175" s="1388"/>
    </row>
    <row r="176" spans="2:10" ht="15">
      <c r="B176" s="1090"/>
      <c r="C176" s="1091"/>
      <c r="D176" s="1091"/>
      <c r="E176" s="1096"/>
      <c r="F176" s="1096"/>
      <c r="G176" s="1096"/>
      <c r="H176" s="1031"/>
      <c r="I176" s="1097"/>
      <c r="J176" s="1388"/>
    </row>
    <row r="177" spans="2:10" ht="15">
      <c r="B177" s="1090"/>
      <c r="C177" s="1091"/>
      <c r="D177" s="1091"/>
      <c r="E177" s="1096"/>
      <c r="F177" s="1096"/>
      <c r="G177" s="1096"/>
      <c r="H177" s="1027"/>
      <c r="I177" s="1097"/>
      <c r="J177" s="1388"/>
    </row>
    <row r="178" spans="2:10" ht="15">
      <c r="B178" s="1099" t="s">
        <v>1109</v>
      </c>
      <c r="C178" s="1100"/>
      <c r="D178" s="1091"/>
      <c r="E178" s="1096"/>
      <c r="F178" s="1096"/>
      <c r="G178" s="1096"/>
      <c r="H178" s="1027"/>
      <c r="I178" s="1097"/>
      <c r="J178" s="1388"/>
    </row>
    <row r="179" spans="2:10" ht="15">
      <c r="B179" s="1090" t="s">
        <v>1410</v>
      </c>
      <c r="C179" s="1091"/>
      <c r="D179" s="1389">
        <v>24</v>
      </c>
      <c r="E179" s="1095" t="s">
        <v>1101</v>
      </c>
      <c r="F179" s="1096"/>
      <c r="G179" s="1096"/>
      <c r="H179" s="1031"/>
      <c r="I179" s="1097"/>
      <c r="J179" s="1388"/>
    </row>
    <row r="180" spans="2:10" ht="15.75" thickBot="1">
      <c r="B180" s="1101" t="s">
        <v>1433</v>
      </c>
      <c r="C180" s="1102"/>
      <c r="D180" s="1390">
        <v>9.3000000000000007</v>
      </c>
      <c r="E180" s="1288" t="s">
        <v>1101</v>
      </c>
      <c r="F180" s="1103"/>
      <c r="G180" s="1103"/>
      <c r="H180" s="1035"/>
      <c r="I180" s="1104"/>
    </row>
    <row r="181" spans="2:10">
      <c r="B181" s="530" t="str">
        <f>CONCATENATE("Source: ",Referencer!$B$48)</f>
        <v>Source: 42, FORCE, Danish Energy Agency, 2013, Technology data for advanced bioenergy fuels.</v>
      </c>
    </row>
    <row r="182" spans="2:10" ht="13.5" thickBot="1"/>
    <row r="183" spans="2:10" ht="13.5" thickBot="1">
      <c r="B183" s="961" t="s">
        <v>1412</v>
      </c>
      <c r="C183" s="962"/>
      <c r="D183" s="963"/>
    </row>
    <row r="184" spans="2:10">
      <c r="B184" s="1040" t="s">
        <v>1434</v>
      </c>
      <c r="C184" s="1063" t="s">
        <v>1152</v>
      </c>
      <c r="D184" s="1064" t="s">
        <v>1153</v>
      </c>
    </row>
    <row r="185" spans="2:10">
      <c r="B185" s="1065" t="s">
        <v>2071</v>
      </c>
      <c r="C185" s="1391">
        <v>100</v>
      </c>
      <c r="D185" s="1067"/>
    </row>
    <row r="186" spans="2:10">
      <c r="B186" s="1065" t="s">
        <v>951</v>
      </c>
      <c r="C186" s="1068">
        <f>D164/D163*100</f>
        <v>0.94444444444444442</v>
      </c>
      <c r="D186" s="1052"/>
    </row>
    <row r="187" spans="2:10">
      <c r="B187" s="1065" t="s">
        <v>88</v>
      </c>
      <c r="C187" s="1068"/>
      <c r="D187" s="1052">
        <f>1/D163*100</f>
        <v>55.555555555555557</v>
      </c>
    </row>
    <row r="188" spans="2:10">
      <c r="B188" s="1664" t="s">
        <v>2070</v>
      </c>
      <c r="C188" s="1665"/>
      <c r="D188" s="1671">
        <f>D166/D163*100</f>
        <v>22.222222222222225</v>
      </c>
      <c r="G188" s="619"/>
    </row>
    <row r="189" spans="2:10" ht="13.5" thickBot="1">
      <c r="B189" s="1022" t="s">
        <v>1155</v>
      </c>
      <c r="C189" s="1069"/>
      <c r="D189" s="1055">
        <f>(100-D168)/100*SUM(C185:C186)</f>
        <v>22.712499999999999</v>
      </c>
      <c r="F189" s="621">
        <f>D189*C152/100</f>
        <v>4.5424999999999993E-2</v>
      </c>
    </row>
    <row r="190" spans="2:10">
      <c r="B190" s="530" t="str">
        <f>CONCATENATE("Source: ",Referencer!$B$48)</f>
        <v>Source: 42, FORCE, Danish Energy Agency, 2013, Technology data for advanced bioenergy fuels.</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Supplementary!$B$238:$B$241</xm:f>
          </x14:formula1>
          <xm:sqref>C19</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tabColor rgb="FF00B0F0"/>
    <pageSetUpPr fitToPage="1"/>
  </sheetPr>
  <dimension ref="B1:T314"/>
  <sheetViews>
    <sheetView topLeftCell="A143" zoomScale="80" zoomScaleNormal="80" workbookViewId="0">
      <selection activeCell="D170" sqref="D170"/>
    </sheetView>
  </sheetViews>
  <sheetFormatPr defaultColWidth="8.85546875" defaultRowHeight="12.75"/>
  <cols>
    <col min="1" max="1" width="3.28515625" style="523" customWidth="1"/>
    <col min="2" max="2" width="41.42578125" style="523" customWidth="1"/>
    <col min="3" max="3" width="31" style="523" customWidth="1"/>
    <col min="4" max="7" width="15.7109375" style="523" customWidth="1"/>
    <col min="8" max="8" width="15.7109375" style="530" customWidth="1"/>
    <col min="9" max="9" width="7.28515625" style="523" customWidth="1"/>
    <col min="10" max="10" width="12.7109375" style="523" customWidth="1"/>
    <col min="11" max="11" width="16.5703125" style="523" customWidth="1"/>
    <col min="12" max="12" width="32.28515625" style="523" customWidth="1"/>
    <col min="13" max="13" width="24.28515625" style="523" customWidth="1"/>
    <col min="14" max="14" width="30.85546875" style="523" customWidth="1"/>
    <col min="15" max="15" width="8.85546875" style="523"/>
    <col min="16" max="18" width="11.42578125" style="523" customWidth="1"/>
    <col min="19" max="19" width="9" style="523" customWidth="1"/>
    <col min="20" max="20" width="11.85546875" style="523" customWidth="1"/>
    <col min="21" max="16384" width="8.85546875" style="523"/>
  </cols>
  <sheetData>
    <row r="1" spans="2:18" s="465" customFormat="1" ht="21">
      <c r="B1" s="465" t="s">
        <v>1487</v>
      </c>
      <c r="Q1" s="467">
        <f ca="1">'Log2015'!M1</f>
        <v>-8.0112614142160741</v>
      </c>
      <c r="R1" s="468">
        <f ca="1">'Log2015'!N1</f>
        <v>-160807.124977848</v>
      </c>
    </row>
    <row r="2" spans="2:18" ht="12.75" customHeight="1">
      <c r="Q2" s="623">
        <f ca="1">Q1</f>
        <v>-8.0112614142160741</v>
      </c>
      <c r="R2" s="623">
        <f ca="1">R1</f>
        <v>-160807.124977848</v>
      </c>
    </row>
    <row r="3" spans="2:18" ht="12.75" customHeight="1"/>
    <row r="4" spans="2:18" s="215" customFormat="1" ht="12.75" customHeight="1">
      <c r="B4" s="454" t="s">
        <v>81</v>
      </c>
      <c r="H4" s="530"/>
    </row>
    <row r="5" spans="2:18" ht="12.75" customHeight="1" thickBot="1"/>
    <row r="6" spans="2:18" ht="12.75" customHeight="1">
      <c r="B6" s="219" t="s">
        <v>137</v>
      </c>
      <c r="C6" s="203"/>
      <c r="D6" s="203"/>
      <c r="E6" s="203"/>
      <c r="F6" s="203"/>
      <c r="G6" s="203"/>
      <c r="H6" s="962"/>
      <c r="I6" s="203"/>
      <c r="J6" s="203"/>
      <c r="K6" s="203"/>
      <c r="L6" s="203"/>
      <c r="M6" s="1161"/>
    </row>
    <row r="7" spans="2:18" ht="12.75" customHeight="1">
      <c r="B7" s="230" t="s">
        <v>1488</v>
      </c>
      <c r="C7" s="323"/>
      <c r="D7" s="323"/>
      <c r="E7" s="323"/>
      <c r="F7" s="323"/>
      <c r="G7" s="323"/>
      <c r="H7" s="555"/>
      <c r="I7" s="323"/>
      <c r="J7" s="323"/>
      <c r="K7" s="323"/>
      <c r="L7" s="323"/>
      <c r="M7" s="208"/>
    </row>
    <row r="8" spans="2:18" ht="12.75" customHeight="1">
      <c r="B8" s="230" t="s">
        <v>1489</v>
      </c>
      <c r="C8" s="323"/>
      <c r="D8" s="323"/>
      <c r="E8" s="323"/>
      <c r="F8" s="323"/>
      <c r="G8" s="323"/>
      <c r="H8" s="555"/>
      <c r="I8" s="323"/>
      <c r="J8" s="323"/>
      <c r="K8" s="323"/>
      <c r="L8" s="323"/>
      <c r="M8" s="208"/>
    </row>
    <row r="9" spans="2:18" ht="12.75" customHeight="1">
      <c r="B9" s="230" t="s">
        <v>1490</v>
      </c>
      <c r="C9" s="323"/>
      <c r="D9" s="323"/>
      <c r="E9" s="323"/>
      <c r="F9" s="323"/>
      <c r="G9" s="323"/>
      <c r="H9" s="555"/>
      <c r="I9" s="323"/>
      <c r="J9" s="323"/>
      <c r="K9" s="323"/>
      <c r="L9" s="323"/>
      <c r="M9" s="208"/>
      <c r="O9" s="555"/>
    </row>
    <row r="10" spans="2:18" ht="12.75" customHeight="1">
      <c r="B10" s="230"/>
      <c r="C10" s="323"/>
      <c r="D10" s="323"/>
      <c r="E10" s="323"/>
      <c r="F10" s="323"/>
      <c r="G10" s="323"/>
      <c r="H10" s="555"/>
      <c r="I10" s="323"/>
      <c r="J10" s="323"/>
      <c r="K10" s="323"/>
      <c r="L10" s="323"/>
      <c r="M10" s="208"/>
      <c r="O10" s="555"/>
    </row>
    <row r="11" spans="2:18" ht="12.75" customHeight="1">
      <c r="B11" s="230" t="s">
        <v>138</v>
      </c>
      <c r="C11" s="217" t="s">
        <v>467</v>
      </c>
      <c r="D11" s="323"/>
      <c r="E11" s="323"/>
      <c r="F11" s="323"/>
      <c r="G11" s="323"/>
      <c r="H11" s="555"/>
      <c r="I11" s="323"/>
      <c r="J11" s="323"/>
      <c r="K11" s="323"/>
      <c r="L11" s="323"/>
      <c r="M11" s="208"/>
      <c r="O11" s="555"/>
    </row>
    <row r="12" spans="2:18" ht="12.75" customHeight="1">
      <c r="B12" s="230"/>
      <c r="C12" s="323"/>
      <c r="D12" s="323"/>
      <c r="E12" s="323"/>
      <c r="F12" s="323"/>
      <c r="G12" s="323"/>
      <c r="H12" s="555"/>
      <c r="I12" s="323"/>
      <c r="J12" s="323"/>
      <c r="K12" s="323"/>
      <c r="L12" s="323"/>
      <c r="M12" s="208"/>
      <c r="O12" s="555"/>
    </row>
    <row r="13" spans="2:18" ht="12.75" customHeight="1">
      <c r="B13" s="230" t="s">
        <v>140</v>
      </c>
      <c r="C13" s="323"/>
      <c r="D13" s="323"/>
      <c r="E13" s="323"/>
      <c r="F13" s="323"/>
      <c r="G13" s="323"/>
      <c r="H13" s="555"/>
      <c r="I13" s="323"/>
      <c r="J13" s="323"/>
      <c r="K13" s="323"/>
      <c r="L13" s="323"/>
      <c r="M13" s="208"/>
      <c r="O13" s="555"/>
    </row>
    <row r="14" spans="2:18" ht="12.75" customHeight="1">
      <c r="B14" s="230" t="s">
        <v>1491</v>
      </c>
      <c r="C14" s="323"/>
      <c r="D14" s="323"/>
      <c r="E14" s="323"/>
      <c r="F14" s="323"/>
      <c r="G14" s="323"/>
      <c r="H14" s="555"/>
      <c r="I14" s="323"/>
      <c r="J14" s="323"/>
      <c r="K14" s="323"/>
      <c r="L14" s="323"/>
      <c r="M14" s="208"/>
      <c r="O14" s="555"/>
    </row>
    <row r="15" spans="2:18" ht="12.75" customHeight="1">
      <c r="B15" s="230" t="s">
        <v>141</v>
      </c>
      <c r="C15" s="323"/>
      <c r="D15" s="323"/>
      <c r="E15" s="323"/>
      <c r="F15" s="323"/>
      <c r="G15" s="323"/>
      <c r="H15" s="555"/>
      <c r="I15" s="323"/>
      <c r="J15" s="323"/>
      <c r="K15" s="323"/>
      <c r="L15" s="323"/>
      <c r="M15" s="208"/>
      <c r="O15" s="555"/>
    </row>
    <row r="16" spans="2:18" ht="12.75" customHeight="1">
      <c r="B16" s="230"/>
      <c r="C16" s="323"/>
      <c r="D16" s="323"/>
      <c r="E16" s="323"/>
      <c r="F16" s="323"/>
      <c r="G16" s="323"/>
      <c r="H16" s="555"/>
      <c r="I16" s="323"/>
      <c r="J16" s="323"/>
      <c r="K16" s="323"/>
      <c r="L16" s="323"/>
      <c r="M16" s="208"/>
    </row>
    <row r="17" spans="2:13" ht="12.75" customHeight="1">
      <c r="B17" s="230" t="s">
        <v>142</v>
      </c>
      <c r="C17" s="323"/>
      <c r="D17" s="323"/>
      <c r="E17" s="323"/>
      <c r="F17" s="323"/>
      <c r="G17" s="323"/>
      <c r="H17" s="555"/>
      <c r="I17" s="323"/>
      <c r="J17" s="323"/>
      <c r="K17" s="323"/>
      <c r="L17" s="323"/>
      <c r="M17" s="208"/>
    </row>
    <row r="18" spans="2:13" ht="12.75" customHeight="1">
      <c r="B18" s="230"/>
      <c r="C18" s="323"/>
      <c r="D18" s="323"/>
      <c r="E18" s="323"/>
      <c r="F18" s="323"/>
      <c r="G18" s="323"/>
      <c r="H18" s="555"/>
      <c r="I18" s="323"/>
      <c r="J18" s="323"/>
      <c r="K18" s="323"/>
      <c r="L18" s="323"/>
      <c r="M18" s="208"/>
    </row>
    <row r="19" spans="2:13" ht="12.75" customHeight="1">
      <c r="B19" s="964" t="s">
        <v>2131</v>
      </c>
      <c r="C19" s="1693" t="s">
        <v>2120</v>
      </c>
      <c r="D19" s="323"/>
      <c r="E19" s="323"/>
      <c r="F19" s="323"/>
      <c r="G19" s="323"/>
      <c r="H19" s="555"/>
      <c r="I19" s="323"/>
      <c r="J19" s="323"/>
      <c r="K19" s="323"/>
      <c r="L19" s="323"/>
      <c r="M19" s="208"/>
    </row>
    <row r="20" spans="2:13" ht="12.75" customHeight="1">
      <c r="B20" s="230"/>
      <c r="C20" s="323"/>
      <c r="D20" s="323"/>
      <c r="E20" s="323"/>
      <c r="F20" s="323"/>
      <c r="G20" s="323"/>
      <c r="H20" s="555"/>
      <c r="I20" s="323"/>
      <c r="J20" s="323"/>
      <c r="K20" s="323"/>
      <c r="L20" s="323"/>
      <c r="M20" s="208"/>
    </row>
    <row r="21" spans="2:13" ht="12.75" customHeight="1">
      <c r="B21" s="230"/>
      <c r="C21" s="323"/>
      <c r="D21" s="323"/>
      <c r="E21" s="323"/>
      <c r="F21" s="323"/>
      <c r="G21" s="323"/>
      <c r="H21" s="555"/>
      <c r="I21" s="323"/>
      <c r="J21" s="323"/>
      <c r="K21" s="323"/>
      <c r="L21" s="323"/>
      <c r="M21" s="208"/>
    </row>
    <row r="22" spans="2:13" ht="12.75" customHeight="1">
      <c r="B22" s="230" t="s">
        <v>143</v>
      </c>
      <c r="C22" s="323"/>
      <c r="D22" s="323"/>
      <c r="E22" s="323"/>
      <c r="F22" s="323"/>
      <c r="G22" s="323"/>
      <c r="H22" s="555"/>
      <c r="I22" s="323"/>
      <c r="J22" s="323"/>
      <c r="K22" s="323"/>
      <c r="L22" s="323"/>
      <c r="M22" s="208"/>
    </row>
    <row r="23" spans="2:13" ht="12.75" customHeight="1">
      <c r="B23" s="230"/>
      <c r="C23" s="323"/>
      <c r="D23" s="323"/>
      <c r="E23" s="323"/>
      <c r="F23" s="323"/>
      <c r="G23" s="323"/>
      <c r="H23" s="555"/>
      <c r="I23" s="323"/>
      <c r="J23" s="323"/>
      <c r="K23" s="323"/>
      <c r="L23" s="323"/>
      <c r="M23" s="208"/>
    </row>
    <row r="24" spans="2:13" ht="12.75" customHeight="1" thickBot="1">
      <c r="B24" s="242"/>
      <c r="C24" s="218"/>
      <c r="D24" s="218"/>
      <c r="E24" s="218"/>
      <c r="F24" s="218"/>
      <c r="G24" s="218"/>
      <c r="H24" s="968"/>
      <c r="I24" s="218"/>
      <c r="J24" s="218"/>
      <c r="K24" s="218"/>
      <c r="L24" s="218"/>
      <c r="M24" s="1162"/>
    </row>
    <row r="25" spans="2:13" ht="12.75" customHeight="1">
      <c r="F25" s="86"/>
      <c r="H25" s="529"/>
    </row>
    <row r="26" spans="2:13" s="215" customFormat="1" ht="12.75" customHeight="1">
      <c r="B26" s="454" t="s">
        <v>144</v>
      </c>
      <c r="H26" s="530"/>
    </row>
    <row r="27" spans="2:13" s="215" customFormat="1" ht="12.75" customHeight="1" thickBot="1">
      <c r="B27" s="523"/>
      <c r="H27" s="530"/>
    </row>
    <row r="28" spans="2:13" ht="12.75" customHeight="1">
      <c r="B28" s="219"/>
      <c r="C28" s="220"/>
      <c r="D28" s="221"/>
      <c r="E28" s="221"/>
      <c r="F28" s="221"/>
      <c r="G28" s="221"/>
      <c r="H28" s="962"/>
      <c r="I28" s="221"/>
      <c r="J28" s="222"/>
    </row>
    <row r="29" spans="2:13" ht="12.75" customHeight="1">
      <c r="B29" s="223"/>
      <c r="C29" s="224" t="s">
        <v>70</v>
      </c>
      <c r="D29" s="225">
        <v>2015</v>
      </c>
      <c r="E29" s="225">
        <v>2020</v>
      </c>
      <c r="F29" s="225">
        <v>2035</v>
      </c>
      <c r="G29" s="225">
        <v>2050</v>
      </c>
      <c r="H29" s="973" t="s">
        <v>978</v>
      </c>
      <c r="I29" s="226" t="s">
        <v>145</v>
      </c>
      <c r="J29" s="227" t="s">
        <v>146</v>
      </c>
    </row>
    <row r="30" spans="2:13" ht="12.75" customHeight="1">
      <c r="B30" s="216" t="s">
        <v>147</v>
      </c>
      <c r="C30" s="210"/>
      <c r="D30" s="209"/>
      <c r="E30" s="209"/>
      <c r="F30" s="209"/>
      <c r="G30" s="209"/>
      <c r="H30" s="977"/>
      <c r="I30" s="455"/>
      <c r="J30" s="229"/>
    </row>
    <row r="31" spans="2:13" ht="12.75" customHeight="1">
      <c r="B31" s="310" t="s">
        <v>148</v>
      </c>
      <c r="C31" s="210" t="s">
        <v>1492</v>
      </c>
      <c r="D31" s="1163">
        <f>(D137*D138/D186)*(1-D139)</f>
        <v>1.8223617169700466E-2</v>
      </c>
      <c r="E31" s="1163">
        <f>(E137*E138/D186)*(1-E139)</f>
        <v>1.8223617169700466E-2</v>
      </c>
      <c r="F31" s="1163">
        <f>(F137*F138/D186)*(1-F139)</f>
        <v>1.8223617169700466E-2</v>
      </c>
      <c r="G31" s="1163">
        <f>(G137*G138/D186)*(1-G139)</f>
        <v>1.8223617169700466E-2</v>
      </c>
      <c r="H31" s="1333"/>
      <c r="I31" s="455" t="str">
        <f>CONCATENATE(Referencer!$B$47)</f>
        <v>41, Energistyrelsen. Biogasanlæg business case: Model 1000 m3/dag med salg af gas til decentral KV-værk og halmprocesvarme. Rev. 2009.05.25</v>
      </c>
      <c r="J31" s="523" t="s">
        <v>1493</v>
      </c>
    </row>
    <row r="32" spans="2:13" ht="12.75" customHeight="1">
      <c r="B32" s="310" t="s">
        <v>67</v>
      </c>
      <c r="C32" s="210" t="s">
        <v>1494</v>
      </c>
      <c r="D32" s="1164">
        <f>Supplementary!$G$169</f>
        <v>39.46</v>
      </c>
      <c r="E32" s="1164">
        <f>Supplementary!$G$169</f>
        <v>39.46</v>
      </c>
      <c r="F32" s="1164">
        <f>Supplementary!$G$169</f>
        <v>39.46</v>
      </c>
      <c r="G32" s="1164">
        <f>Supplementary!$G$169</f>
        <v>39.46</v>
      </c>
      <c r="H32" s="978"/>
      <c r="I32" s="455" t="str">
        <f>CONCATENATE(Referencer!$B$47)</f>
        <v>41, Energistyrelsen. Biogasanlæg business case: Model 1000 m3/dag med salg af gas til decentral KV-værk og halmprocesvarme. Rev. 2009.05.25</v>
      </c>
      <c r="J32" s="229" t="s">
        <v>1495</v>
      </c>
    </row>
    <row r="33" spans="2:14" ht="12.75" customHeight="1">
      <c r="B33" s="310" t="s">
        <v>149</v>
      </c>
      <c r="C33" s="210" t="s">
        <v>1496</v>
      </c>
      <c r="D33" s="1165">
        <f>D31*'Biogas ENS'!$D$171</f>
        <v>5467.0851509101403</v>
      </c>
      <c r="E33" s="1165">
        <f>E31*'Biogas ENS'!$D$171</f>
        <v>5467.0851509101403</v>
      </c>
      <c r="F33" s="1165">
        <f>F31*'Biogas ENS'!$D$171</f>
        <v>5467.0851509101403</v>
      </c>
      <c r="G33" s="1165">
        <f>G31*'Biogas ENS'!$D$171</f>
        <v>5467.0851509101403</v>
      </c>
      <c r="H33" s="1397"/>
      <c r="I33" s="455"/>
      <c r="J33" s="229"/>
    </row>
    <row r="34" spans="2:14" ht="12.75" customHeight="1">
      <c r="B34" s="310" t="s">
        <v>150</v>
      </c>
      <c r="C34" s="210" t="s">
        <v>34</v>
      </c>
      <c r="D34" s="212">
        <v>20</v>
      </c>
      <c r="E34" s="212">
        <v>20</v>
      </c>
      <c r="F34" s="212">
        <v>20</v>
      </c>
      <c r="G34" s="212">
        <v>20</v>
      </c>
      <c r="H34" s="1332"/>
      <c r="I34" s="523" t="str">
        <f>Referencer!$B$44</f>
        <v>38, Biogas i Danmark - status, barrierer og perspektiver, Biogas Taskforce, November 2013, Kap 8, Biogasøkonomi. Ea-energianalyser har leveret den bagvedliggende data.</v>
      </c>
    </row>
    <row r="35" spans="2:14" ht="12.75" customHeight="1">
      <c r="B35" s="230"/>
      <c r="C35" s="231"/>
      <c r="D35" s="253"/>
      <c r="E35" s="213"/>
      <c r="F35" s="213"/>
      <c r="G35" s="213"/>
      <c r="H35" s="983"/>
      <c r="I35" s="455"/>
      <c r="J35" s="229"/>
    </row>
    <row r="36" spans="2:14" ht="12.75" customHeight="1">
      <c r="B36" s="216" t="s">
        <v>151</v>
      </c>
      <c r="C36" s="231"/>
      <c r="D36" s="253"/>
      <c r="E36" s="213"/>
      <c r="F36" s="213"/>
      <c r="G36" s="213"/>
      <c r="H36" s="983"/>
      <c r="I36" s="455"/>
      <c r="J36" s="229"/>
    </row>
    <row r="37" spans="2:14" ht="12.75" customHeight="1">
      <c r="B37" s="310" t="str">
        <f>ProcessEnergy!B35</f>
        <v xml:space="preserve">Green diesel </v>
      </c>
      <c r="C37" s="210" t="s">
        <v>463</v>
      </c>
      <c r="D37" s="211"/>
      <c r="E37" s="211"/>
      <c r="F37" s="211"/>
      <c r="G37" s="211"/>
      <c r="H37" s="984"/>
      <c r="I37" s="455"/>
      <c r="J37" s="229"/>
    </row>
    <row r="38" spans="2:14" ht="12.75" customHeight="1">
      <c r="B38" s="232" t="str">
        <f>ProcessEnergy!B36</f>
        <v>Green gasoline</v>
      </c>
      <c r="C38" s="210"/>
      <c r="D38" s="211"/>
      <c r="E38" s="211"/>
      <c r="F38" s="211"/>
      <c r="G38" s="211"/>
      <c r="H38" s="984"/>
      <c r="I38" s="455"/>
      <c r="J38" s="229"/>
      <c r="L38" s="455"/>
      <c r="M38" s="455"/>
      <c r="N38" s="455"/>
    </row>
    <row r="39" spans="2:14" ht="12.75" customHeight="1">
      <c r="B39" s="232" t="str">
        <f>ProcessEnergy!B37</f>
        <v>Electricity - balancing</v>
      </c>
      <c r="C39" s="210"/>
      <c r="D39" s="211"/>
      <c r="E39" s="211"/>
      <c r="F39" s="211"/>
      <c r="G39" s="211"/>
      <c r="H39" s="984"/>
      <c r="I39" s="455"/>
      <c r="J39" s="229"/>
      <c r="L39" s="455"/>
      <c r="M39" s="455"/>
      <c r="N39" s="455"/>
    </row>
    <row r="40" spans="2:14" ht="12.75" customHeight="1">
      <c r="B40" s="232" t="str">
        <f>ProcessEnergy!B38</f>
        <v>Electricity  - continous</v>
      </c>
      <c r="C40" s="210"/>
      <c r="D40" s="211"/>
      <c r="E40" s="211"/>
      <c r="F40" s="211"/>
      <c r="G40" s="211"/>
      <c r="H40" s="984"/>
      <c r="I40" s="455"/>
      <c r="J40" s="229"/>
      <c r="L40" s="455"/>
      <c r="M40" s="455"/>
      <c r="N40" s="455"/>
    </row>
    <row r="41" spans="2:14" ht="12.75" customHeight="1">
      <c r="B41" s="232" t="str">
        <f>ProcessEnergy!B39</f>
        <v>Elec/heat fuel</v>
      </c>
      <c r="C41" s="210"/>
      <c r="D41" s="211"/>
      <c r="E41" s="211"/>
      <c r="F41" s="211"/>
      <c r="G41" s="211"/>
      <c r="H41" s="984"/>
      <c r="I41" s="455"/>
      <c r="J41" s="229"/>
      <c r="L41" s="209"/>
      <c r="M41" s="1163"/>
      <c r="N41" s="455"/>
    </row>
    <row r="42" spans="2:14" ht="12.75" customHeight="1">
      <c r="B42" s="232" t="str">
        <f>ProcessEnergy!B40</f>
        <v>Biogas (100% CH4)</v>
      </c>
      <c r="C42" s="210"/>
      <c r="D42" s="211"/>
      <c r="E42" s="211"/>
      <c r="F42" s="211"/>
      <c r="G42" s="211"/>
      <c r="H42" s="984"/>
      <c r="I42" s="455"/>
      <c r="J42" s="229"/>
      <c r="L42" s="455"/>
      <c r="M42" s="455"/>
      <c r="N42" s="455"/>
    </row>
    <row r="43" spans="2:14" ht="12.75" customHeight="1">
      <c r="B43" s="232" t="str">
        <f>ProcessEnergy!B41</f>
        <v>District heating</v>
      </c>
      <c r="C43" s="210"/>
      <c r="D43" s="211"/>
      <c r="E43" s="211"/>
      <c r="F43" s="211"/>
      <c r="G43" s="211"/>
      <c r="H43" s="978"/>
      <c r="I43" s="455"/>
      <c r="J43" s="229"/>
      <c r="L43" s="455"/>
      <c r="M43" s="455"/>
      <c r="N43" s="455"/>
    </row>
    <row r="44" spans="2:14" s="1240" customFormat="1" ht="12.75" customHeight="1">
      <c r="B44" s="232" t="str">
        <f>ProcessEnergy!B42</f>
        <v>&lt;empty&gt;</v>
      </c>
      <c r="C44" s="1469"/>
      <c r="D44" s="211"/>
      <c r="E44" s="211"/>
      <c r="F44" s="211"/>
      <c r="G44" s="211"/>
      <c r="H44" s="978"/>
      <c r="I44" s="1471"/>
      <c r="J44" s="1488"/>
      <c r="L44" s="1471"/>
      <c r="M44" s="1471"/>
      <c r="N44" s="1471"/>
    </row>
    <row r="45" spans="2:14" s="1240" customFormat="1" ht="12.75" customHeight="1">
      <c r="B45" s="232" t="str">
        <f>ProcessEnergy!B43</f>
        <v>&lt;empty&gt;</v>
      </c>
      <c r="C45" s="1469"/>
      <c r="D45" s="211"/>
      <c r="E45" s="211"/>
      <c r="F45" s="211"/>
      <c r="G45" s="211"/>
      <c r="H45" s="978"/>
      <c r="I45" s="1471"/>
      <c r="J45" s="1488"/>
      <c r="L45" s="1471"/>
      <c r="M45" s="1471"/>
      <c r="N45" s="1471"/>
    </row>
    <row r="46" spans="2:14" s="1240" customFormat="1" ht="12.75" customHeight="1">
      <c r="B46" s="232" t="str">
        <f>ProcessEnergy!B44</f>
        <v>&lt;empty&gt;</v>
      </c>
      <c r="C46" s="1469"/>
      <c r="D46" s="211"/>
      <c r="E46" s="211"/>
      <c r="F46" s="211"/>
      <c r="G46" s="211"/>
      <c r="H46" s="978"/>
      <c r="I46" s="1471"/>
      <c r="J46" s="1488"/>
      <c r="L46" s="1471"/>
      <c r="M46" s="1471"/>
      <c r="N46" s="1471"/>
    </row>
    <row r="47" spans="2:14" s="1240" customFormat="1" ht="12.75" customHeight="1">
      <c r="B47" s="232" t="str">
        <f>ProcessEnergy!B45</f>
        <v>&lt;empty&gt;</v>
      </c>
      <c r="C47" s="1469"/>
      <c r="D47" s="211"/>
      <c r="E47" s="211"/>
      <c r="F47" s="211"/>
      <c r="G47" s="211"/>
      <c r="H47" s="978"/>
      <c r="I47" s="1471"/>
      <c r="J47" s="1488"/>
      <c r="L47" s="1471"/>
      <c r="M47" s="1471"/>
      <c r="N47" s="1471"/>
    </row>
    <row r="48" spans="2:14" s="1240" customFormat="1" ht="12.75" customHeight="1">
      <c r="B48" s="232" t="str">
        <f>ProcessEnergy!B46</f>
        <v>&lt;empty&gt;</v>
      </c>
      <c r="C48" s="1469"/>
      <c r="D48" s="211"/>
      <c r="E48" s="211"/>
      <c r="F48" s="211"/>
      <c r="G48" s="211"/>
      <c r="H48" s="978"/>
      <c r="I48" s="1471"/>
      <c r="J48" s="1488"/>
      <c r="L48" s="1471"/>
      <c r="M48" s="1471"/>
      <c r="N48" s="1471"/>
    </row>
    <row r="49" spans="2:14" s="1240" customFormat="1" ht="12.75" customHeight="1">
      <c r="B49" s="232" t="str">
        <f>ProcessEnergy!B47</f>
        <v>&lt;empty&gt;</v>
      </c>
      <c r="C49" s="1469"/>
      <c r="D49" s="211"/>
      <c r="E49" s="211"/>
      <c r="F49" s="211"/>
      <c r="G49" s="211"/>
      <c r="H49" s="978"/>
      <c r="I49" s="1471"/>
      <c r="J49" s="1488"/>
      <c r="L49" s="1471"/>
      <c r="M49" s="1471"/>
      <c r="N49" s="1471"/>
    </row>
    <row r="50" spans="2:14" s="1240" customFormat="1" ht="12.75" customHeight="1">
      <c r="B50" s="232" t="str">
        <f>ProcessEnergy!B48</f>
        <v>Glycerol</v>
      </c>
      <c r="C50" s="1469"/>
      <c r="D50" s="211"/>
      <c r="E50" s="211"/>
      <c r="F50" s="211"/>
      <c r="G50" s="211"/>
      <c r="H50" s="978"/>
      <c r="I50" s="1471"/>
      <c r="J50" s="1488"/>
      <c r="L50" s="1471"/>
      <c r="M50" s="1471"/>
      <c r="N50" s="1471"/>
    </row>
    <row r="51" spans="2:14" s="1240" customFormat="1" ht="12.75" customHeight="1">
      <c r="B51" s="232" t="str">
        <f>ProcessEnergy!B49</f>
        <v>&lt;empty&gt;</v>
      </c>
      <c r="C51" s="1469"/>
      <c r="D51" s="211"/>
      <c r="E51" s="211"/>
      <c r="F51" s="211"/>
      <c r="G51" s="211"/>
      <c r="H51" s="978"/>
      <c r="I51" s="1471"/>
      <c r="J51" s="1488"/>
      <c r="L51" s="1471"/>
      <c r="M51" s="1471"/>
      <c r="N51" s="1471"/>
    </row>
    <row r="52" spans="2:14" s="1240" customFormat="1" ht="12.75" customHeight="1">
      <c r="B52" s="232" t="str">
        <f>ProcessEnergy!B50</f>
        <v>&lt;empty&gt;</v>
      </c>
      <c r="C52" s="1469"/>
      <c r="D52" s="211"/>
      <c r="E52" s="211"/>
      <c r="F52" s="211"/>
      <c r="G52" s="211"/>
      <c r="H52" s="978"/>
      <c r="I52" s="1471"/>
      <c r="J52" s="1488"/>
      <c r="L52" s="1471"/>
      <c r="M52" s="1471"/>
      <c r="N52" s="1471"/>
    </row>
    <row r="53" spans="2:14" ht="12.75" customHeight="1">
      <c r="B53" s="232" t="str">
        <f>ProcessEnergy!B51</f>
        <v>Fodder (wheat like)</v>
      </c>
      <c r="C53" s="210"/>
      <c r="D53" s="211"/>
      <c r="E53" s="211"/>
      <c r="F53" s="211"/>
      <c r="G53" s="211"/>
      <c r="H53" s="984"/>
      <c r="I53" s="455"/>
      <c r="J53" s="229"/>
      <c r="L53" s="455"/>
      <c r="M53" s="455"/>
      <c r="N53" s="455"/>
    </row>
    <row r="54" spans="2:14" ht="12.75" customHeight="1">
      <c r="B54" s="232" t="str">
        <f>ProcessEnergy!B52</f>
        <v>Rape seed cake</v>
      </c>
      <c r="C54" s="210"/>
      <c r="D54" s="211"/>
      <c r="E54" s="211"/>
      <c r="F54" s="211"/>
      <c r="G54" s="211"/>
      <c r="H54" s="984"/>
      <c r="I54" s="455"/>
      <c r="J54" s="229"/>
      <c r="L54" s="455"/>
      <c r="M54" s="455"/>
      <c r="N54" s="455"/>
    </row>
    <row r="55" spans="2:14" ht="12.75" customHeight="1">
      <c r="B55" s="232" t="str">
        <f>ProcessEnergy!B53</f>
        <v>&lt;empty&gt;</v>
      </c>
      <c r="C55" s="210"/>
      <c r="D55" s="211"/>
      <c r="E55" s="211"/>
      <c r="F55" s="211"/>
      <c r="G55" s="211"/>
      <c r="H55" s="984"/>
      <c r="I55" s="455"/>
      <c r="J55" s="229"/>
      <c r="L55" s="455"/>
      <c r="M55" s="455"/>
      <c r="N55" s="455"/>
    </row>
    <row r="56" spans="2:14" ht="12.75" customHeight="1">
      <c r="B56" s="232" t="str">
        <f>ProcessEnergy!B54</f>
        <v>DDGS</v>
      </c>
      <c r="C56" s="210"/>
      <c r="D56" s="211"/>
      <c r="E56" s="211"/>
      <c r="F56" s="211"/>
      <c r="G56" s="211"/>
      <c r="H56" s="984"/>
      <c r="I56" s="455"/>
      <c r="J56" s="229"/>
      <c r="L56" s="455"/>
      <c r="M56" s="455"/>
      <c r="N56" s="455"/>
    </row>
    <row r="57" spans="2:14" ht="12.75" customHeight="1">
      <c r="B57" s="310"/>
      <c r="C57" s="210"/>
      <c r="D57" s="211"/>
      <c r="E57" s="211"/>
      <c r="F57" s="211"/>
      <c r="G57" s="211"/>
      <c r="H57" s="984"/>
      <c r="I57" s="455"/>
      <c r="J57" s="229"/>
      <c r="L57" s="455"/>
      <c r="M57" s="455"/>
      <c r="N57" s="455"/>
    </row>
    <row r="58" spans="2:14" ht="12.75" customHeight="1">
      <c r="B58" s="216" t="s">
        <v>873</v>
      </c>
      <c r="C58" s="210"/>
      <c r="D58" s="211"/>
      <c r="E58" s="211"/>
      <c r="F58" s="211"/>
      <c r="G58" s="211"/>
      <c r="H58" s="984"/>
      <c r="I58" s="455"/>
      <c r="J58" s="229"/>
    </row>
    <row r="59" spans="2:14" ht="12.75" customHeight="1">
      <c r="B59" s="230" t="str">
        <f>ProcessEnergy!B5</f>
        <v>EL - peakload</v>
      </c>
      <c r="C59" s="210" t="s">
        <v>1497</v>
      </c>
      <c r="H59" s="984"/>
      <c r="J59" s="229"/>
    </row>
    <row r="60" spans="2:14" ht="12.75" customHeight="1">
      <c r="B60" s="230" t="str">
        <f>ProcessEnergy!B6</f>
        <v>El - baseload</v>
      </c>
      <c r="C60" s="210" t="s">
        <v>1497</v>
      </c>
      <c r="D60" s="307">
        <f>('Biogas ENS'!$D$189+'Biogas ENS'!$D$191)*Supplementary!$C$50</f>
        <v>8.2799999999999999E-2</v>
      </c>
      <c r="E60" s="307">
        <f>('Biogas ENS'!$D$189+'Biogas ENS'!$D$191)*Supplementary!$C$50</f>
        <v>8.2799999999999999E-2</v>
      </c>
      <c r="F60" s="307">
        <f>('Biogas ENS'!$D$189+'Biogas ENS'!$D$191)*Supplementary!$C$50</f>
        <v>8.2799999999999999E-2</v>
      </c>
      <c r="G60" s="307">
        <f>('Biogas ENS'!$D$189+'Biogas ENS'!$D$191)*Supplementary!$C$50</f>
        <v>8.2799999999999999E-2</v>
      </c>
      <c r="H60" s="984"/>
      <c r="I60" s="323"/>
      <c r="J60" s="229"/>
    </row>
    <row r="61" spans="2:14" ht="12.75" customHeight="1">
      <c r="B61" s="230" t="str">
        <f>ProcessEnergy!B7</f>
        <v xml:space="preserve">Varme </v>
      </c>
      <c r="C61" s="210" t="s">
        <v>1497</v>
      </c>
      <c r="D61" s="307">
        <f>'Biogas ENS'!$D$190+'Biogas ENS'!$D$192</f>
        <v>0.1</v>
      </c>
      <c r="E61" s="307">
        <f>'Biogas ENS'!$D$190+'Biogas ENS'!$D$192</f>
        <v>0.1</v>
      </c>
      <c r="F61" s="307">
        <f>'Biogas ENS'!$D$190+'Biogas ENS'!$D$192</f>
        <v>0.1</v>
      </c>
      <c r="G61" s="307">
        <f>'Biogas ENS'!$D$190+'Biogas ENS'!$D$192</f>
        <v>0.1</v>
      </c>
      <c r="H61" s="984"/>
      <c r="I61" s="455"/>
      <c r="J61" s="229"/>
    </row>
    <row r="62" spans="2:14" ht="12.75" customHeight="1">
      <c r="B62" s="230" t="str">
        <f>ProcessEnergy!B8</f>
        <v>Damp</v>
      </c>
      <c r="C62" s="210" t="s">
        <v>1497</v>
      </c>
      <c r="D62" s="211"/>
      <c r="E62" s="211"/>
      <c r="F62" s="211"/>
      <c r="G62" s="211"/>
      <c r="H62" s="984"/>
      <c r="I62" s="455"/>
      <c r="J62" s="229"/>
    </row>
    <row r="63" spans="2:14" ht="12.75" customHeight="1">
      <c r="B63" s="230" t="str">
        <f>ProcessEnergy!B9</f>
        <v xml:space="preserve">Olie </v>
      </c>
      <c r="C63" s="210" t="s">
        <v>1497</v>
      </c>
      <c r="D63" s="211"/>
      <c r="E63" s="211"/>
      <c r="F63" s="211"/>
      <c r="G63" s="211"/>
      <c r="H63" s="984"/>
      <c r="I63" s="455"/>
      <c r="J63" s="229"/>
    </row>
    <row r="64" spans="2:14" ht="12.75" customHeight="1">
      <c r="B64" s="230" t="str">
        <f>ProcessEnergy!B10</f>
        <v>Kul</v>
      </c>
      <c r="C64" s="210" t="s">
        <v>1497</v>
      </c>
      <c r="D64" s="211"/>
      <c r="E64" s="211"/>
      <c r="F64" s="211"/>
      <c r="G64" s="211"/>
      <c r="H64" s="984"/>
      <c r="I64" s="455"/>
      <c r="J64" s="229"/>
    </row>
    <row r="65" spans="2:14" ht="12.75" customHeight="1">
      <c r="B65" s="230" t="str">
        <f>ProcessEnergy!B11</f>
        <v>Naturgas kedel</v>
      </c>
      <c r="C65" s="210" t="s">
        <v>1497</v>
      </c>
      <c r="E65" s="296"/>
      <c r="F65" s="296"/>
      <c r="H65" s="984"/>
      <c r="I65" s="455"/>
      <c r="J65" s="229"/>
      <c r="L65" s="296"/>
      <c r="M65" s="296"/>
    </row>
    <row r="66" spans="2:14" ht="12.75" customHeight="1">
      <c r="B66" s="230" t="str">
        <f>ProcessEnergy!B12</f>
        <v>Gylle</v>
      </c>
      <c r="C66" s="210" t="s">
        <v>1497</v>
      </c>
      <c r="D66" s="211"/>
      <c r="E66" s="211"/>
      <c r="F66" s="211"/>
      <c r="G66" s="211"/>
      <c r="H66" s="984"/>
      <c r="I66" s="455"/>
      <c r="J66" s="229"/>
    </row>
    <row r="67" spans="2:14" ht="12.75" customHeight="1">
      <c r="B67" s="230" t="str">
        <f>ProcessEnergy!B13</f>
        <v>Affald</v>
      </c>
      <c r="C67" s="210" t="s">
        <v>1497</v>
      </c>
      <c r="D67" s="211"/>
      <c r="E67" s="211"/>
      <c r="F67" s="211"/>
      <c r="G67" s="211"/>
      <c r="H67" s="984"/>
      <c r="I67" s="455"/>
      <c r="J67" s="229"/>
    </row>
    <row r="68" spans="2:14" ht="12.75" customHeight="1">
      <c r="B68" s="230" t="str">
        <f>ProcessEnergy!B14</f>
        <v>Hydrogen</v>
      </c>
      <c r="C68" s="210" t="s">
        <v>1497</v>
      </c>
      <c r="D68" s="211"/>
      <c r="E68" s="211"/>
      <c r="F68" s="211"/>
      <c r="G68" s="211"/>
      <c r="H68" s="984"/>
      <c r="I68" s="455"/>
      <c r="J68" s="229"/>
      <c r="L68" s="211"/>
    </row>
    <row r="69" spans="2:14" ht="12.75" customHeight="1">
      <c r="B69" s="230" t="str">
        <f>ProcessEnergy!B15</f>
        <v>Biomasse</v>
      </c>
      <c r="C69" s="210" t="s">
        <v>1497</v>
      </c>
      <c r="D69" s="211"/>
      <c r="E69" s="211"/>
      <c r="F69" s="211"/>
      <c r="G69" s="211"/>
      <c r="H69" s="984"/>
      <c r="I69" s="455"/>
      <c r="J69" s="229"/>
      <c r="M69" s="296"/>
    </row>
    <row r="70" spans="2:14" s="1240" customFormat="1" ht="12.75" customHeight="1">
      <c r="B70" s="1487" t="str">
        <f>ProcessEnergy!B16</f>
        <v>Methanol</v>
      </c>
      <c r="C70" s="1469"/>
      <c r="D70" s="211"/>
      <c r="E70" s="211"/>
      <c r="F70" s="211"/>
      <c r="G70" s="211"/>
      <c r="H70" s="984"/>
      <c r="I70" s="1471"/>
      <c r="J70" s="1488"/>
      <c r="M70" s="296"/>
    </row>
    <row r="71" spans="2:14" s="1240" customFormat="1" ht="12.75" customHeight="1">
      <c r="B71" s="1487" t="str">
        <f>ProcessEnergy!B17</f>
        <v>&lt;empty&gt;</v>
      </c>
      <c r="C71" s="1469"/>
      <c r="D71" s="211"/>
      <c r="E71" s="211"/>
      <c r="F71" s="211"/>
      <c r="G71" s="211"/>
      <c r="H71" s="984"/>
      <c r="I71" s="1471"/>
      <c r="J71" s="1488"/>
      <c r="M71" s="296"/>
    </row>
    <row r="72" spans="2:14" s="1240" customFormat="1" ht="12.75" customHeight="1">
      <c r="B72" s="1487" t="str">
        <f>ProcessEnergy!B18</f>
        <v>&lt;empty&gt;</v>
      </c>
      <c r="C72" s="1469"/>
      <c r="D72" s="211"/>
      <c r="E72" s="211"/>
      <c r="F72" s="211"/>
      <c r="G72" s="211"/>
      <c r="H72" s="984"/>
      <c r="I72" s="1471"/>
      <c r="J72" s="1488"/>
      <c r="M72" s="296"/>
    </row>
    <row r="73" spans="2:14" s="1240" customFormat="1" ht="12.75" customHeight="1">
      <c r="B73" s="1487" t="str">
        <f>ProcessEnergy!B19</f>
        <v>&lt;empty&gt;</v>
      </c>
      <c r="C73" s="1469"/>
      <c r="D73" s="211"/>
      <c r="E73" s="211"/>
      <c r="F73" s="211"/>
      <c r="G73" s="211"/>
      <c r="H73" s="984"/>
      <c r="I73" s="1471"/>
      <c r="J73" s="1488"/>
      <c r="M73" s="296"/>
    </row>
    <row r="74" spans="2:14" s="1240" customFormat="1" ht="12.75" customHeight="1">
      <c r="B74" s="1487" t="str">
        <f>ProcessEnergy!B20</f>
        <v>&lt;empty&gt;</v>
      </c>
      <c r="C74" s="1469"/>
      <c r="D74" s="211"/>
      <c r="E74" s="211"/>
      <c r="F74" s="211"/>
      <c r="G74" s="211"/>
      <c r="H74" s="984"/>
      <c r="I74" s="1471"/>
      <c r="J74" s="1488"/>
      <c r="M74" s="296"/>
    </row>
    <row r="75" spans="2:14" s="1240" customFormat="1" ht="12.75" customHeight="1">
      <c r="B75" s="1487" t="str">
        <f>ProcessEnergy!B21</f>
        <v>&lt;empty&gt;</v>
      </c>
      <c r="C75" s="1469"/>
      <c r="D75" s="211"/>
      <c r="E75" s="211"/>
      <c r="F75" s="211"/>
      <c r="G75" s="211"/>
      <c r="H75" s="984"/>
      <c r="I75" s="1471"/>
      <c r="J75" s="1488"/>
      <c r="M75" s="296"/>
    </row>
    <row r="76" spans="2:14" s="1240" customFormat="1" ht="12.75" customHeight="1">
      <c r="B76" s="1487" t="str">
        <f>ProcessEnergy!B22</f>
        <v>&lt;empty&gt;</v>
      </c>
      <c r="C76" s="1469"/>
      <c r="D76" s="211"/>
      <c r="E76" s="211"/>
      <c r="F76" s="211"/>
      <c r="G76" s="211"/>
      <c r="H76" s="984"/>
      <c r="I76" s="1471"/>
      <c r="J76" s="1488"/>
      <c r="M76" s="296"/>
    </row>
    <row r="77" spans="2:14" s="1240" customFormat="1" ht="12.75" customHeight="1">
      <c r="B77" s="1487" t="str">
        <f>ProcessEnergy!B23</f>
        <v>&lt;empty&gt;</v>
      </c>
      <c r="C77" s="1469"/>
      <c r="D77" s="211"/>
      <c r="E77" s="211"/>
      <c r="F77" s="211"/>
      <c r="G77" s="211"/>
      <c r="H77" s="984"/>
      <c r="I77" s="1471"/>
      <c r="J77" s="1488"/>
      <c r="M77" s="296"/>
    </row>
    <row r="78" spans="2:14" ht="12.75" customHeight="1">
      <c r="B78" s="230" t="str">
        <f>ProcessEnergy!B24</f>
        <v>&lt;empty&gt;</v>
      </c>
      <c r="C78" s="210" t="s">
        <v>1497</v>
      </c>
      <c r="D78" s="211"/>
      <c r="E78" s="211"/>
      <c r="F78" s="211"/>
      <c r="G78" s="211"/>
      <c r="H78" s="984"/>
      <c r="I78" s="455"/>
      <c r="J78" s="229"/>
      <c r="M78" s="297"/>
    </row>
    <row r="79" spans="2:14" ht="12.75" customHeight="1">
      <c r="B79" s="310"/>
      <c r="C79" s="210"/>
      <c r="D79" s="211"/>
      <c r="E79" s="211"/>
      <c r="F79" s="211"/>
      <c r="G79" s="211"/>
      <c r="H79" s="984"/>
      <c r="I79" s="455"/>
      <c r="J79" s="229"/>
      <c r="M79" s="296"/>
    </row>
    <row r="80" spans="2:14" ht="12.75" customHeight="1">
      <c r="B80" s="310"/>
      <c r="C80" s="210"/>
      <c r="D80" s="211"/>
      <c r="E80" s="211"/>
      <c r="F80" s="211"/>
      <c r="G80" s="211"/>
      <c r="H80" s="984"/>
      <c r="I80" s="455"/>
      <c r="J80" s="229"/>
      <c r="N80" s="296"/>
    </row>
    <row r="81" spans="2:17" ht="12.75" customHeight="1">
      <c r="B81" s="310"/>
      <c r="C81" s="210"/>
      <c r="D81" s="1166"/>
      <c r="E81" s="1166"/>
      <c r="F81" s="1166"/>
      <c r="G81" s="1166"/>
      <c r="H81" s="986"/>
      <c r="I81" s="455"/>
      <c r="J81" s="229"/>
      <c r="M81" s="303"/>
    </row>
    <row r="82" spans="2:17" ht="12.75" customHeight="1">
      <c r="B82" s="216" t="s">
        <v>152</v>
      </c>
      <c r="C82" s="210"/>
      <c r="D82" s="1166"/>
      <c r="E82" s="1166"/>
      <c r="F82" s="1166"/>
      <c r="G82" s="1166"/>
      <c r="H82" s="986"/>
      <c r="I82" s="455"/>
      <c r="J82" s="229"/>
      <c r="M82" s="296"/>
    </row>
    <row r="83" spans="2:17" ht="12.75" customHeight="1">
      <c r="B83" s="310" t="s">
        <v>462</v>
      </c>
      <c r="C83" s="976" t="s">
        <v>725</v>
      </c>
      <c r="D83" s="295">
        <v>1</v>
      </c>
      <c r="E83" s="295">
        <v>1</v>
      </c>
      <c r="F83" s="295">
        <v>1</v>
      </c>
      <c r="G83" s="295">
        <v>1</v>
      </c>
      <c r="H83" s="978"/>
      <c r="I83" s="455"/>
      <c r="J83" s="229"/>
    </row>
    <row r="84" spans="2:17" ht="12.75" customHeight="1">
      <c r="B84" s="310" t="s">
        <v>153</v>
      </c>
      <c r="C84" s="976" t="s">
        <v>725</v>
      </c>
      <c r="D84" s="201">
        <f>D125/D124</f>
        <v>0.18279999999999999</v>
      </c>
      <c r="E84" s="201">
        <f>E125/E124</f>
        <v>0.18279999999999999</v>
      </c>
      <c r="F84" s="201">
        <f>F125/F124</f>
        <v>0.18279999999999999</v>
      </c>
      <c r="G84" s="201">
        <f>G125/G124</f>
        <v>0.18279999999999999</v>
      </c>
      <c r="H84" s="1334"/>
      <c r="I84" s="455"/>
      <c r="J84" s="229" t="s">
        <v>1498</v>
      </c>
    </row>
    <row r="85" spans="2:17" ht="12.75" customHeight="1">
      <c r="B85" s="310" t="s">
        <v>154</v>
      </c>
      <c r="C85" s="976" t="s">
        <v>725</v>
      </c>
      <c r="D85" s="211"/>
      <c r="E85" s="211"/>
      <c r="F85" s="211"/>
      <c r="G85" s="211"/>
      <c r="H85" s="978"/>
      <c r="I85" s="455"/>
      <c r="J85" s="229"/>
    </row>
    <row r="86" spans="2:17" ht="12.75" customHeight="1">
      <c r="B86" s="310" t="s">
        <v>1499</v>
      </c>
      <c r="C86" s="976" t="s">
        <v>725</v>
      </c>
      <c r="D86" s="237">
        <f>D127/D124</f>
        <v>1.1083658306896249</v>
      </c>
      <c r="E86" s="237">
        <f>E127/E124</f>
        <v>1.1083658306896249</v>
      </c>
      <c r="F86" s="237">
        <f>F127/F124</f>
        <v>1.1083658306896249</v>
      </c>
      <c r="G86" s="237">
        <f>G127/G124</f>
        <v>1.1083658306896249</v>
      </c>
      <c r="H86" s="978"/>
      <c r="I86" s="455"/>
      <c r="J86" s="229"/>
    </row>
    <row r="87" spans="2:17" ht="12.75" customHeight="1">
      <c r="B87" s="232" t="s">
        <v>155</v>
      </c>
      <c r="C87" s="976" t="s">
        <v>725</v>
      </c>
      <c r="D87" s="237">
        <f>D83+D84-D85-D86</f>
        <v>7.4434169310375164E-2</v>
      </c>
      <c r="E87" s="237">
        <f>E83+E84-E85-E86</f>
        <v>7.4434169310375164E-2</v>
      </c>
      <c r="F87" s="237">
        <f>F83+F84-F85-F86</f>
        <v>7.4434169310375164E-2</v>
      </c>
      <c r="G87" s="237">
        <f>G83+G84-G85-G86</f>
        <v>7.4434169310375164E-2</v>
      </c>
      <c r="H87" s="978"/>
      <c r="I87" s="455"/>
      <c r="J87" s="229"/>
    </row>
    <row r="88" spans="2:17" ht="12.75" customHeight="1">
      <c r="B88" s="232" t="s">
        <v>156</v>
      </c>
      <c r="C88" s="988" t="s">
        <v>726</v>
      </c>
      <c r="D88" s="1167">
        <f>(D86+D85)/(D83+D84)</f>
        <v>0.93706952205751171</v>
      </c>
      <c r="E88" s="1167">
        <f>(E86+E85)/(E83+E84)</f>
        <v>0.93706952205751171</v>
      </c>
      <c r="F88" s="1167">
        <f>(F86+F85)/(F83+F84)</f>
        <v>0.93706952205751171</v>
      </c>
      <c r="G88" s="1167">
        <f>(G86+G85)/(G83+G84)</f>
        <v>0.93706952205751171</v>
      </c>
      <c r="H88" s="990"/>
      <c r="I88" s="455"/>
      <c r="J88" s="229"/>
    </row>
    <row r="89" spans="2:17" ht="12.75" customHeight="1">
      <c r="B89" s="310"/>
      <c r="C89" s="210"/>
      <c r="D89" s="213"/>
      <c r="E89" s="213"/>
      <c r="F89" s="213"/>
      <c r="G89" s="213"/>
      <c r="H89" s="990"/>
      <c r="I89" s="455"/>
      <c r="J89" s="229"/>
      <c r="N89" s="234"/>
    </row>
    <row r="90" spans="2:17" ht="12.75" customHeight="1">
      <c r="B90" s="216" t="s">
        <v>2116</v>
      </c>
      <c r="C90" s="210"/>
      <c r="D90" s="213"/>
      <c r="E90" s="213"/>
      <c r="F90" s="213"/>
      <c r="G90" s="213"/>
      <c r="H90" s="983"/>
      <c r="I90" s="455"/>
      <c r="J90" s="229"/>
      <c r="N90" s="110"/>
      <c r="O90" s="110"/>
      <c r="P90" s="110"/>
      <c r="Q90" s="110"/>
    </row>
    <row r="91" spans="2:17" s="530" customFormat="1">
      <c r="B91" s="964" t="s">
        <v>157</v>
      </c>
      <c r="C91" s="976" t="s">
        <v>61</v>
      </c>
      <c r="D91" s="992">
        <f ca="1">HLOOKUP($H100,Supplementary!$C$44:$AF$46,3,FALSE)*D100*D$111</f>
        <v>150678593.32132432</v>
      </c>
      <c r="E91" s="992">
        <f ca="1">HLOOKUP($H100,Supplementary!$C$44:$AF$46,3,FALSE)*E100*E$111</f>
        <v>150678593.32132432</v>
      </c>
      <c r="F91" s="992">
        <f ca="1">HLOOKUP($H100,Supplementary!$C$44:$AF$46,3,FALSE)*F100*F$111</f>
        <v>143144663.65525809</v>
      </c>
      <c r="G91" s="992">
        <f ca="1">HLOOKUP($H100,Supplementary!$C$44:$AF$46,3,FALSE)*G100*G$111</f>
        <v>129188058.94887042</v>
      </c>
      <c r="H91" s="555">
        <f t="shared" ref="H91:H97" si="0">priceYear</f>
        <v>2015</v>
      </c>
      <c r="I91" s="555"/>
      <c r="J91" s="965"/>
      <c r="N91" s="991"/>
      <c r="O91" s="991"/>
      <c r="P91" s="991"/>
      <c r="Q91" s="991"/>
    </row>
    <row r="92" spans="2:17" s="530" customFormat="1">
      <c r="B92" s="964" t="s">
        <v>160</v>
      </c>
      <c r="C92" s="976" t="s">
        <v>464</v>
      </c>
      <c r="D92" s="555">
        <f ca="1">SUM(D93:D97)</f>
        <v>153.19359339792183</v>
      </c>
      <c r="E92" s="555">
        <f ca="1">SUM(E93:E97)</f>
        <v>156.4667579039787</v>
      </c>
      <c r="F92" s="555">
        <f ca="1">SUM(F93:F97)</f>
        <v>154.66278682348687</v>
      </c>
      <c r="G92" s="555">
        <f ca="1">SUM(G93:G97)</f>
        <v>143.73252336563806</v>
      </c>
      <c r="H92" s="555">
        <f t="shared" si="0"/>
        <v>2015</v>
      </c>
      <c r="I92" s="555"/>
      <c r="J92" s="965"/>
      <c r="N92" s="991"/>
      <c r="O92" s="991"/>
      <c r="P92" s="991"/>
      <c r="Q92" s="991"/>
    </row>
    <row r="93" spans="2:17" s="530" customFormat="1">
      <c r="B93" s="995" t="s">
        <v>162</v>
      </c>
      <c r="C93" s="976" t="s">
        <v>464</v>
      </c>
      <c r="D93" s="992">
        <f ca="1">HLOOKUP($H102,Supplementary!$C$44:$AF$46,3,FALSE)*D102*D$111</f>
        <v>57.76706197476723</v>
      </c>
      <c r="E93" s="555">
        <f ca="1">HLOOKUP($H102,Supplementary!$C$44:$AF$46,3,FALSE)*E102*E$111</f>
        <v>57.76706197476723</v>
      </c>
      <c r="F93" s="555">
        <f ca="1">HLOOKUP($H102,Supplementary!$C$44:$AF$46,3,FALSE)*F102*F$111</f>
        <v>54.878708876028867</v>
      </c>
      <c r="G93" s="555">
        <f ca="1">HLOOKUP($H102,Supplementary!$C$44:$AF$46,3,FALSE)*G102*G$111</f>
        <v>49.528034760616045</v>
      </c>
      <c r="H93" s="555">
        <f t="shared" si="0"/>
        <v>2015</v>
      </c>
      <c r="I93" s="555"/>
      <c r="J93" s="965"/>
      <c r="N93" s="991"/>
      <c r="O93" s="991"/>
      <c r="P93" s="991"/>
      <c r="Q93" s="991"/>
    </row>
    <row r="94" spans="2:17" s="530" customFormat="1">
      <c r="B94" s="995" t="s">
        <v>163</v>
      </c>
      <c r="C94" s="976" t="s">
        <v>464</v>
      </c>
      <c r="D94" s="992">
        <f ca="1">HLOOKUP($H103,Supplementary!$C$44:$AF$46,3,FALSE)*D103*D$111</f>
        <v>43.749375528511429</v>
      </c>
      <c r="E94" s="555">
        <f ca="1">HLOOKUP($H103,Supplementary!$C$44:$AF$46,3,FALSE)*E103*E$111</f>
        <v>43.749375528511429</v>
      </c>
      <c r="F94" s="555">
        <f ca="1">HLOOKUP($H103,Supplementary!$C$44:$AF$46,3,FALSE)*F103*F$111</f>
        <v>41.561906752085854</v>
      </c>
      <c r="G94" s="555">
        <f ca="1">HLOOKUP($H103,Supplementary!$C$44:$AF$46,3,FALSE)*G103*G$111</f>
        <v>37.509620843757482</v>
      </c>
      <c r="H94" s="555">
        <f t="shared" si="0"/>
        <v>2015</v>
      </c>
      <c r="I94" s="555"/>
      <c r="J94" s="965"/>
      <c r="N94" s="991"/>
      <c r="O94" s="991"/>
      <c r="P94" s="991"/>
      <c r="Q94" s="991"/>
    </row>
    <row r="95" spans="2:17" s="530" customFormat="1">
      <c r="B95" s="995" t="s">
        <v>164</v>
      </c>
      <c r="C95" s="976" t="s">
        <v>464</v>
      </c>
      <c r="D95" s="992">
        <f>HLOOKUP($H104,Supplementary!$C$44:$AF$46,3,FALSE)*D104</f>
        <v>42.557520589140346</v>
      </c>
      <c r="E95" s="555">
        <f>HLOOKUP($H104,Supplementary!$C$44:$AF$46,3,FALSE)*E104</f>
        <v>42.557520589140346</v>
      </c>
      <c r="F95" s="555">
        <f>HLOOKUP($H104,Supplementary!$C$44:$AF$46,3,FALSE)*F104</f>
        <v>42.557520589140346</v>
      </c>
      <c r="G95" s="555">
        <f>HLOOKUP($H104,Supplementary!$C$44:$AF$46,3,FALSE)*G104</f>
        <v>42.557520589140346</v>
      </c>
      <c r="H95" s="555">
        <f t="shared" si="0"/>
        <v>2015</v>
      </c>
      <c r="I95" s="555"/>
      <c r="J95" s="965"/>
      <c r="N95" s="991"/>
      <c r="O95" s="991"/>
      <c r="P95" s="991"/>
      <c r="Q95" s="991"/>
    </row>
    <row r="96" spans="2:17" s="530" customFormat="1">
      <c r="B96" s="995" t="s">
        <v>264</v>
      </c>
      <c r="C96" s="976" t="s">
        <v>464</v>
      </c>
      <c r="D96" s="996">
        <f ca="1">HLOOKUP($H105,Supplementary!$C$44:$AF$46,3,FALSE)*D105*D$111</f>
        <v>9.1196353055028094</v>
      </c>
      <c r="E96" s="555">
        <f ca="1">HLOOKUP($H105,Supplementary!$C$44:$AF$46,3,FALSE)*E105*E$111</f>
        <v>12.392799811559673</v>
      </c>
      <c r="F96" s="555">
        <f ca="1">HLOOKUP($H105,Supplementary!$C$44:$AF$46,3,FALSE)*F105*F$111</f>
        <v>15.664650606231783</v>
      </c>
      <c r="G96" s="555">
        <f ca="1">HLOOKUP($H105,Supplementary!$C$44:$AF$46,3,FALSE)*G105*G$111</f>
        <v>14.137347172124183</v>
      </c>
      <c r="H96" s="555">
        <f t="shared" si="0"/>
        <v>2015</v>
      </c>
      <c r="I96" s="555"/>
      <c r="J96" s="965"/>
      <c r="N96" s="991"/>
      <c r="O96" s="991"/>
      <c r="P96" s="991"/>
      <c r="Q96" s="991"/>
    </row>
    <row r="97" spans="2:17" s="530" customFormat="1">
      <c r="B97" s="995" t="s">
        <v>165</v>
      </c>
      <c r="C97" s="976" t="s">
        <v>464</v>
      </c>
      <c r="D97" s="992">
        <f ca="1">HLOOKUP($H106,Supplementary!$C$44:$AF$46,3,FALSE)*D106</f>
        <v>0</v>
      </c>
      <c r="E97" s="555">
        <f ca="1">HLOOKUP($H106,Supplementary!$C$44:$AF$46,3,FALSE)*E106</f>
        <v>0</v>
      </c>
      <c r="F97" s="555">
        <f ca="1">HLOOKUP($H106,Supplementary!$C$44:$AF$46,3,FALSE)*F106</f>
        <v>0</v>
      </c>
      <c r="G97" s="555">
        <f ca="1">HLOOKUP($H106,Supplementary!$C$44:$AF$46,3,FALSE)*G106</f>
        <v>0</v>
      </c>
      <c r="H97" s="555">
        <f t="shared" si="0"/>
        <v>2015</v>
      </c>
      <c r="I97" s="555"/>
      <c r="J97" s="965"/>
      <c r="N97" s="991"/>
      <c r="O97" s="991"/>
      <c r="P97" s="991"/>
      <c r="Q97" s="991"/>
    </row>
    <row r="98" spans="2:17" s="530" customFormat="1">
      <c r="B98" s="975"/>
      <c r="C98" s="976"/>
      <c r="D98" s="992"/>
      <c r="E98" s="983"/>
      <c r="F98" s="983"/>
      <c r="G98" s="983"/>
      <c r="H98" s="983"/>
      <c r="I98" s="555"/>
      <c r="J98" s="965"/>
      <c r="N98" s="991"/>
      <c r="O98" s="991"/>
      <c r="P98" s="991"/>
      <c r="Q98" s="991"/>
    </row>
    <row r="99" spans="2:17" s="530" customFormat="1">
      <c r="B99" s="975" t="s">
        <v>2117</v>
      </c>
      <c r="C99" s="976"/>
      <c r="D99" s="992"/>
      <c r="E99" s="983"/>
      <c r="F99" s="983"/>
      <c r="G99" s="983"/>
      <c r="H99" s="983"/>
      <c r="I99" s="555"/>
      <c r="J99" s="965"/>
      <c r="N99" s="991"/>
      <c r="O99" s="991"/>
      <c r="P99" s="991"/>
      <c r="Q99" s="991"/>
    </row>
    <row r="100" spans="2:17" ht="12.75" customHeight="1">
      <c r="B100" s="310" t="s">
        <v>157</v>
      </c>
      <c r="C100" s="976" t="s">
        <v>61</v>
      </c>
      <c r="D100" s="448">
        <f>D143+D152+D161</f>
        <v>141553764.60919487</v>
      </c>
      <c r="E100" s="448">
        <f>E143+E152+E161</f>
        <v>141553764.60919487</v>
      </c>
      <c r="F100" s="448">
        <f>F143+F152+F161</f>
        <v>141553764.60919487</v>
      </c>
      <c r="G100" s="448">
        <f>G143+G152+G161</f>
        <v>141553764.60919487</v>
      </c>
      <c r="H100" s="1663">
        <v>2011</v>
      </c>
      <c r="I100" s="523" t="str">
        <f>Referencer!$B$44</f>
        <v>38, Biogas i Danmark - status, barrierer og perspektiver, Biogas Taskforce, November 2013, Kap 8, Biogasøkonomi. Ea-energianalyser har leveret den bagvedliggende data.</v>
      </c>
      <c r="J100" s="229"/>
      <c r="N100" s="110"/>
      <c r="O100" s="110"/>
      <c r="P100" s="110"/>
      <c r="Q100" s="110"/>
    </row>
    <row r="101" spans="2:17" ht="12.75" customHeight="1">
      <c r="B101" s="230" t="s">
        <v>160</v>
      </c>
      <c r="C101" s="976" t="s">
        <v>464</v>
      </c>
      <c r="D101" s="448">
        <f t="shared" ref="D101:G105" ca="1" si="1">D144+D153+D162</f>
        <v>143.91646073601362</v>
      </c>
      <c r="E101" s="448">
        <f t="shared" ca="1" si="1"/>
        <v>146.9914081973925</v>
      </c>
      <c r="F101" s="448">
        <f t="shared" ca="1" si="1"/>
        <v>150.83964924618769</v>
      </c>
      <c r="G101" s="448">
        <f t="shared" ca="1" si="1"/>
        <v>150.83964924618769</v>
      </c>
      <c r="H101" s="1663">
        <v>2011</v>
      </c>
      <c r="I101" s="235"/>
      <c r="J101" s="229"/>
      <c r="N101" s="110"/>
      <c r="O101" s="110"/>
      <c r="P101" s="110"/>
      <c r="Q101" s="110"/>
    </row>
    <row r="102" spans="2:17" ht="12.75" customHeight="1">
      <c r="B102" s="236" t="s">
        <v>162</v>
      </c>
      <c r="C102" s="976" t="s">
        <v>464</v>
      </c>
      <c r="D102" s="448">
        <f t="shared" ca="1" si="1"/>
        <v>54.268791025299066</v>
      </c>
      <c r="E102" s="448">
        <f t="shared" ca="1" si="1"/>
        <v>54.268791025299066</v>
      </c>
      <c r="F102" s="448">
        <f t="shared" ca="1" si="1"/>
        <v>54.268791025299066</v>
      </c>
      <c r="G102" s="448">
        <f t="shared" ca="1" si="1"/>
        <v>54.268791025299066</v>
      </c>
      <c r="H102" s="1663">
        <v>2011</v>
      </c>
      <c r="I102" s="235"/>
      <c r="J102" s="229"/>
      <c r="N102" s="110"/>
      <c r="O102" s="110"/>
      <c r="P102" s="110"/>
      <c r="Q102" s="110"/>
    </row>
    <row r="103" spans="2:17" ht="12.75" customHeight="1">
      <c r="B103" s="236" t="s">
        <v>163</v>
      </c>
      <c r="C103" s="976" t="s">
        <v>464</v>
      </c>
      <c r="D103" s="448">
        <f t="shared" si="1"/>
        <v>41.099990840475598</v>
      </c>
      <c r="E103" s="448">
        <f t="shared" si="1"/>
        <v>41.099990840475598</v>
      </c>
      <c r="F103" s="448">
        <f t="shared" si="1"/>
        <v>41.099990840475598</v>
      </c>
      <c r="G103" s="448">
        <f t="shared" si="1"/>
        <v>41.099990840475598</v>
      </c>
      <c r="H103" s="1663">
        <v>2011</v>
      </c>
      <c r="I103" s="455"/>
      <c r="J103" s="229"/>
      <c r="K103" s="110"/>
      <c r="N103" s="110"/>
      <c r="O103" s="110"/>
      <c r="P103" s="110"/>
      <c r="Q103" s="110"/>
    </row>
    <row r="104" spans="2:17" ht="12.75" customHeight="1">
      <c r="B104" s="236" t="s">
        <v>164</v>
      </c>
      <c r="C104" s="976" t="s">
        <v>464</v>
      </c>
      <c r="D104" s="448">
        <f t="shared" si="1"/>
        <v>39.980312525081054</v>
      </c>
      <c r="E104" s="448">
        <f t="shared" si="1"/>
        <v>39.980312525081054</v>
      </c>
      <c r="F104" s="448">
        <f t="shared" si="1"/>
        <v>39.980312525081054</v>
      </c>
      <c r="G104" s="448">
        <f t="shared" si="1"/>
        <v>39.980312525081054</v>
      </c>
      <c r="H104" s="1663">
        <v>2011</v>
      </c>
      <c r="I104" s="455"/>
      <c r="J104" s="229"/>
      <c r="K104" s="110"/>
      <c r="N104" s="110"/>
      <c r="O104" s="110"/>
      <c r="P104" s="110"/>
      <c r="Q104" s="110"/>
    </row>
    <row r="105" spans="2:17" ht="12.75" customHeight="1">
      <c r="B105" s="236" t="s">
        <v>264</v>
      </c>
      <c r="C105" s="976" t="s">
        <v>464</v>
      </c>
      <c r="D105" s="448">
        <f t="shared" si="1"/>
        <v>8.5673663451578985</v>
      </c>
      <c r="E105" s="448">
        <f t="shared" si="1"/>
        <v>11.642313806536766</v>
      </c>
      <c r="F105" s="448">
        <f t="shared" si="1"/>
        <v>15.49055485533194</v>
      </c>
      <c r="G105" s="448">
        <f t="shared" si="1"/>
        <v>15.49055485533194</v>
      </c>
      <c r="H105" s="1663">
        <v>2011</v>
      </c>
      <c r="I105" s="455"/>
      <c r="J105" s="229"/>
      <c r="N105" s="110"/>
      <c r="O105" s="110"/>
      <c r="P105" s="110"/>
      <c r="Q105" s="110"/>
    </row>
    <row r="106" spans="2:17" ht="12.75" customHeight="1">
      <c r="B106" s="236" t="s">
        <v>165</v>
      </c>
      <c r="C106" s="976" t="s">
        <v>464</v>
      </c>
      <c r="D106" s="996">
        <f ca="1">-SUMPRODUCT(D37:D56,ProcessEnergy!M35:M54)/D86</f>
        <v>0</v>
      </c>
      <c r="E106" s="996">
        <f ca="1">-SUMPRODUCT(E37:E56,ProcessEnergy!N35:N54)/E86</f>
        <v>0</v>
      </c>
      <c r="F106" s="996">
        <f ca="1">-SUMPRODUCT(F37:F56,ProcessEnergy!O35:O54)/F86</f>
        <v>0</v>
      </c>
      <c r="G106" s="996">
        <f ca="1">-SUMPRODUCT(G37:G56,ProcessEnergy!P35:P54)/G86</f>
        <v>0</v>
      </c>
      <c r="H106" s="1663">
        <v>2011</v>
      </c>
      <c r="I106" s="455"/>
      <c r="J106" s="229"/>
      <c r="N106" s="110"/>
      <c r="O106" s="110"/>
      <c r="P106" s="110"/>
      <c r="Q106" s="110"/>
    </row>
    <row r="107" spans="2:17" ht="12.75" customHeight="1">
      <c r="B107" s="236"/>
      <c r="C107" s="210"/>
      <c r="D107" s="213"/>
      <c r="E107" s="213"/>
      <c r="F107" s="213"/>
      <c r="G107" s="213"/>
      <c r="H107" s="983"/>
      <c r="I107" s="235"/>
      <c r="J107" s="229"/>
      <c r="N107" s="110"/>
      <c r="O107" s="110"/>
      <c r="P107" s="110"/>
      <c r="Q107" s="110"/>
    </row>
    <row r="108" spans="2:17" ht="12.75" customHeight="1">
      <c r="B108" s="216" t="s">
        <v>2113</v>
      </c>
      <c r="C108" s="210"/>
      <c r="D108" s="213"/>
      <c r="E108" s="213"/>
      <c r="F108" s="213"/>
      <c r="G108" s="213"/>
      <c r="H108" s="983"/>
      <c r="I108" s="235"/>
      <c r="J108" s="229"/>
      <c r="N108" s="110"/>
      <c r="O108" s="110"/>
      <c r="P108" s="110"/>
      <c r="Q108" s="110"/>
    </row>
    <row r="109" spans="2:17" ht="12.75" customHeight="1">
      <c r="B109" s="236" t="s">
        <v>2114</v>
      </c>
      <c r="C109" s="210"/>
      <c r="D109" s="1696">
        <v>0.95</v>
      </c>
      <c r="E109" s="1696">
        <v>0.95</v>
      </c>
      <c r="F109" s="1696">
        <v>0.95</v>
      </c>
      <c r="G109" s="1696">
        <v>0.95</v>
      </c>
      <c r="H109" s="983"/>
      <c r="I109" s="235"/>
      <c r="J109" s="229"/>
      <c r="N109" s="110"/>
      <c r="O109" s="110"/>
      <c r="P109" s="110"/>
      <c r="Q109" s="110"/>
    </row>
    <row r="110" spans="2:17" ht="12.75" customHeight="1">
      <c r="B110" s="236" t="s">
        <v>2666</v>
      </c>
      <c r="C110" s="210"/>
      <c r="D110" s="478">
        <f ca="1">OFFSET(Supplementary!C$237,MATCH($C$19,Supplementary!$B$238:$B$241,0),0)</f>
        <v>1</v>
      </c>
      <c r="E110" s="478">
        <f ca="1">OFFSET(Supplementary!D$237,MATCH($C$19,Supplementary!$B$238:$B$241,0),0)</f>
        <v>1</v>
      </c>
      <c r="F110" s="478">
        <f ca="1">OFFSET(Supplementary!E$237,MATCH($C$19,Supplementary!$B$238:$B$241,0),0)</f>
        <v>2</v>
      </c>
      <c r="G110" s="478">
        <f ca="1">OFFSET(Supplementary!F$237,MATCH($C$19,Supplementary!$B$238:$B$241,0),0)</f>
        <v>4</v>
      </c>
      <c r="H110" s="983"/>
      <c r="I110" s="235"/>
      <c r="J110" s="229"/>
      <c r="N110" s="110"/>
      <c r="O110" s="110"/>
      <c r="P110" s="110"/>
      <c r="Q110" s="110"/>
    </row>
    <row r="111" spans="2:17" ht="12.75" customHeight="1">
      <c r="B111" s="236" t="s">
        <v>2115</v>
      </c>
      <c r="C111" s="210"/>
      <c r="D111" s="1698">
        <f ca="1">1*D109^(D110-1)</f>
        <v>1</v>
      </c>
      <c r="E111" s="1698">
        <f ca="1">1*E109^(E110-1)</f>
        <v>1</v>
      </c>
      <c r="F111" s="1698">
        <f ca="1">1*F109^(F110-1)</f>
        <v>0.95</v>
      </c>
      <c r="G111" s="1698">
        <f ca="1">1*G109^(G110-1)</f>
        <v>0.85737499999999989</v>
      </c>
      <c r="H111" s="983"/>
      <c r="I111" s="235"/>
      <c r="J111" s="229"/>
      <c r="N111" s="110"/>
      <c r="O111" s="110"/>
      <c r="P111" s="110"/>
      <c r="Q111" s="110"/>
    </row>
    <row r="112" spans="2:17" ht="12.75" customHeight="1">
      <c r="B112" s="236"/>
      <c r="C112" s="210"/>
      <c r="D112" s="213"/>
      <c r="E112" s="213"/>
      <c r="F112" s="213"/>
      <c r="G112" s="213"/>
      <c r="H112" s="983"/>
      <c r="I112" s="235"/>
      <c r="J112" s="229"/>
      <c r="N112" s="110"/>
      <c r="O112" s="110"/>
      <c r="P112" s="110"/>
      <c r="Q112" s="110"/>
    </row>
    <row r="113" spans="2:17" ht="12.75" customHeight="1">
      <c r="B113" s="216" t="s">
        <v>166</v>
      </c>
      <c r="C113" s="210"/>
      <c r="D113" s="213"/>
      <c r="E113" s="213"/>
      <c r="F113" s="213"/>
      <c r="G113" s="213"/>
      <c r="H113" s="983"/>
      <c r="I113" s="235"/>
      <c r="J113" s="229"/>
      <c r="N113" s="112"/>
      <c r="O113" s="112"/>
      <c r="P113" s="112"/>
      <c r="Q113" s="110"/>
    </row>
    <row r="114" spans="2:17" ht="12.75" customHeight="1">
      <c r="B114" s="230" t="s">
        <v>24</v>
      </c>
      <c r="C114" s="210" t="s">
        <v>465</v>
      </c>
      <c r="D114" s="1168">
        <f>D136/'Biogas ENS'!$J$202</f>
        <v>-66.204492727514221</v>
      </c>
      <c r="E114" s="1168">
        <f>E136/'Biogas ENS'!$J$202</f>
        <v>-66.204492727514221</v>
      </c>
      <c r="F114" s="1168">
        <f>F136/'Biogas ENS'!$J$202</f>
        <v>-66.204492727514221</v>
      </c>
      <c r="G114" s="1168">
        <f>G136/'Biogas ENS'!$J$202</f>
        <v>0</v>
      </c>
      <c r="H114" s="999"/>
      <c r="I114" s="455"/>
      <c r="J114" s="229"/>
      <c r="N114" s="110"/>
      <c r="O114" s="110"/>
      <c r="P114" s="110"/>
      <c r="Q114" s="110"/>
    </row>
    <row r="115" spans="2:17" ht="12.75" customHeight="1">
      <c r="B115" s="230" t="s">
        <v>27</v>
      </c>
      <c r="C115" s="210" t="s">
        <v>465</v>
      </c>
      <c r="D115" s="1169">
        <f>(D135*1000*D138/D32*D139)</f>
        <v>0.11824564115560061</v>
      </c>
      <c r="E115" s="1169">
        <f>E135*1000*E138/E32*E139</f>
        <v>0.11824564115560061</v>
      </c>
      <c r="F115" s="1169">
        <f>F135*1000*F138/F32*F139</f>
        <v>0.11824564115560061</v>
      </c>
      <c r="G115" s="1169">
        <f>G135*1000*G138/G32*G139</f>
        <v>0.11824564115560061</v>
      </c>
      <c r="H115" s="999"/>
      <c r="I115" s="455"/>
      <c r="J115" s="229"/>
      <c r="N115" s="110"/>
      <c r="O115" s="110"/>
      <c r="P115" s="110"/>
      <c r="Q115" s="110"/>
    </row>
    <row r="116" spans="2:17" ht="12.75" customHeight="1">
      <c r="B116" s="230" t="s">
        <v>28</v>
      </c>
      <c r="C116" s="210" t="s">
        <v>465</v>
      </c>
      <c r="D116" s="1170">
        <v>0</v>
      </c>
      <c r="E116" s="1170">
        <v>0</v>
      </c>
      <c r="F116" s="1170">
        <v>0</v>
      </c>
      <c r="G116" s="1170">
        <v>0</v>
      </c>
      <c r="H116" s="999"/>
      <c r="I116" s="455"/>
      <c r="J116" s="229"/>
      <c r="N116" s="110"/>
      <c r="O116" s="110"/>
      <c r="P116" s="110"/>
      <c r="Q116" s="110"/>
    </row>
    <row r="117" spans="2:17" ht="12.75" customHeight="1">
      <c r="B117" s="230" t="s">
        <v>26</v>
      </c>
      <c r="C117" s="210" t="s">
        <v>465</v>
      </c>
      <c r="D117" s="1170">
        <v>0</v>
      </c>
      <c r="E117" s="1170">
        <v>0</v>
      </c>
      <c r="F117" s="1170">
        <v>0</v>
      </c>
      <c r="G117" s="1170">
        <v>0</v>
      </c>
      <c r="H117" s="999"/>
      <c r="I117" s="455"/>
      <c r="J117" s="229"/>
      <c r="N117" s="110"/>
      <c r="O117" s="110"/>
      <c r="P117" s="110"/>
      <c r="Q117" s="110"/>
    </row>
    <row r="118" spans="2:17" ht="12.75" customHeight="1">
      <c r="B118" s="230" t="s">
        <v>167</v>
      </c>
      <c r="C118" s="210" t="s">
        <v>465</v>
      </c>
      <c r="D118" s="1170">
        <v>0</v>
      </c>
      <c r="E118" s="1170">
        <v>0</v>
      </c>
      <c r="F118" s="1170">
        <v>0</v>
      </c>
      <c r="G118" s="1170">
        <v>0</v>
      </c>
      <c r="H118" s="999"/>
      <c r="I118" s="455"/>
      <c r="J118" s="229"/>
      <c r="N118" s="112"/>
      <c r="O118" s="112"/>
      <c r="P118" s="112"/>
      <c r="Q118" s="112"/>
    </row>
    <row r="119" spans="2:17" ht="12.75" customHeight="1">
      <c r="B119" s="230" t="s">
        <v>45</v>
      </c>
      <c r="C119" s="210" t="s">
        <v>465</v>
      </c>
      <c r="D119" s="1169"/>
      <c r="E119" s="1169"/>
      <c r="F119" s="1169"/>
      <c r="G119" s="1169"/>
      <c r="H119" s="1000"/>
      <c r="I119" s="455"/>
      <c r="J119" s="229"/>
    </row>
    <row r="120" spans="2:17" ht="12.75" customHeight="1" thickBot="1">
      <c r="B120" s="1171"/>
      <c r="C120" s="238"/>
      <c r="D120" s="1172"/>
      <c r="E120" s="244"/>
      <c r="F120" s="244"/>
      <c r="G120" s="244"/>
      <c r="H120" s="968"/>
      <c r="I120" s="239"/>
      <c r="J120" s="240"/>
      <c r="L120" s="303"/>
    </row>
    <row r="121" spans="2:17" ht="12.75" customHeight="1"/>
    <row r="122" spans="2:17" ht="12.75" customHeight="1" thickBot="1">
      <c r="B122" s="455"/>
      <c r="C122" s="209"/>
      <c r="D122" s="1205"/>
      <c r="E122" s="1205"/>
      <c r="F122" s="1205"/>
      <c r="G122" s="1205"/>
      <c r="L122" s="303"/>
    </row>
    <row r="123" spans="2:17" ht="12.75" customHeight="1">
      <c r="B123" s="339"/>
      <c r="C123" s="79" t="s">
        <v>70</v>
      </c>
      <c r="D123" s="137">
        <v>2015</v>
      </c>
      <c r="E123" s="137">
        <v>2020</v>
      </c>
      <c r="F123" s="137">
        <v>2035</v>
      </c>
      <c r="G123" s="137">
        <v>2050</v>
      </c>
      <c r="H123" s="137"/>
      <c r="I123" s="80" t="s">
        <v>145</v>
      </c>
      <c r="J123" s="139" t="s">
        <v>146</v>
      </c>
      <c r="L123" s="303"/>
    </row>
    <row r="124" spans="2:17" ht="12.75" customHeight="1">
      <c r="B124" s="310" t="s">
        <v>462</v>
      </c>
      <c r="C124" s="210" t="s">
        <v>443</v>
      </c>
      <c r="D124" s="1060">
        <f>$J$219</f>
        <v>0.648796555798688</v>
      </c>
      <c r="E124" s="1060">
        <f>$J$219</f>
        <v>0.648796555798688</v>
      </c>
      <c r="F124" s="1060">
        <f>$J$219</f>
        <v>0.648796555798688</v>
      </c>
      <c r="G124" s="1060">
        <f>$J$219</f>
        <v>0.648796555798688</v>
      </c>
      <c r="H124" s="1060"/>
      <c r="I124" s="455"/>
      <c r="J124" s="229"/>
      <c r="L124" s="303"/>
    </row>
    <row r="125" spans="2:17" ht="12.75" customHeight="1">
      <c r="B125" s="310" t="s">
        <v>153</v>
      </c>
      <c r="C125" s="210" t="s">
        <v>443</v>
      </c>
      <c r="D125" s="201">
        <f>'Biogas ENS'!$D$196+'Biogas ENS'!$D$197+'Biogas ENS'!D$133</f>
        <v>0.11860001040000016</v>
      </c>
      <c r="E125" s="201">
        <f>'Biogas ENS'!$D$196+'Biogas ENS'!$D$197+'Biogas ENS'!E$133</f>
        <v>0.11860001040000016</v>
      </c>
      <c r="F125" s="201">
        <f>'Biogas ENS'!$D$196+'Biogas ENS'!$D$197+'Biogas ENS'!F$133</f>
        <v>0.11860001040000016</v>
      </c>
      <c r="G125" s="201">
        <f>'Biogas ENS'!$D$196+'Biogas ENS'!$D$197+'Biogas ENS'!G$133</f>
        <v>0.11860001040000016</v>
      </c>
      <c r="H125" s="201"/>
      <c r="I125" s="455"/>
      <c r="J125" s="229"/>
      <c r="L125" s="303"/>
    </row>
    <row r="126" spans="2:17" ht="12.75" customHeight="1">
      <c r="B126" s="310" t="s">
        <v>154</v>
      </c>
      <c r="C126" s="210" t="s">
        <v>443</v>
      </c>
      <c r="D126" s="211"/>
      <c r="E126" s="211"/>
      <c r="F126" s="211"/>
      <c r="G126" s="211"/>
      <c r="H126" s="211"/>
      <c r="I126" s="455"/>
      <c r="J126" s="229"/>
      <c r="L126" s="303"/>
    </row>
    <row r="127" spans="2:17" ht="12.75" customHeight="1">
      <c r="B127" s="310" t="s">
        <v>1499</v>
      </c>
      <c r="C127" s="210" t="s">
        <v>443</v>
      </c>
      <c r="D127" s="237">
        <f>D$32*D$31</f>
        <v>0.71910393351638047</v>
      </c>
      <c r="E127" s="237">
        <f>E$32*E$31</f>
        <v>0.71910393351638047</v>
      </c>
      <c r="F127" s="237">
        <f>F$32*F$31</f>
        <v>0.71910393351638047</v>
      </c>
      <c r="G127" s="237">
        <f>G$32*G$31</f>
        <v>0.71910393351638047</v>
      </c>
      <c r="H127" s="237"/>
      <c r="I127" s="455"/>
      <c r="J127" s="229"/>
      <c r="L127" s="303"/>
    </row>
    <row r="128" spans="2:17" ht="12.75" customHeight="1" thickBot="1">
      <c r="B128" s="1648" t="s">
        <v>155</v>
      </c>
      <c r="C128" s="78" t="s">
        <v>443</v>
      </c>
      <c r="D128" s="1649">
        <f>D124+D125-D126-D127</f>
        <v>4.8292632682307657E-2</v>
      </c>
      <c r="E128" s="1649">
        <f>E124+E125-E126-E127</f>
        <v>4.8292632682307657E-2</v>
      </c>
      <c r="F128" s="1649">
        <f>F124+F125-F126-F127</f>
        <v>4.8292632682307657E-2</v>
      </c>
      <c r="G128" s="1649">
        <f>G124+G125-G126-G127</f>
        <v>4.8292632682307657E-2</v>
      </c>
      <c r="H128" s="1649"/>
      <c r="I128" s="244"/>
      <c r="J128" s="240"/>
      <c r="L128" s="303"/>
    </row>
    <row r="129" spans="2:17" ht="12.75" customHeight="1">
      <c r="B129" s="455"/>
      <c r="C129" s="209"/>
      <c r="D129" s="1205"/>
      <c r="E129" s="1205"/>
      <c r="F129" s="1205"/>
      <c r="G129" s="1205"/>
      <c r="H129" s="1205"/>
      <c r="L129" s="303"/>
    </row>
    <row r="130" spans="2:17" ht="12.75" customHeight="1" thickBot="1">
      <c r="B130" s="455"/>
      <c r="C130" s="209"/>
      <c r="D130" s="1205"/>
      <c r="E130" s="1205"/>
      <c r="F130" s="1205"/>
      <c r="G130" s="1205"/>
      <c r="H130" s="1205"/>
      <c r="L130" s="303"/>
    </row>
    <row r="131" spans="2:17" ht="12.75" customHeight="1">
      <c r="B131" s="339"/>
      <c r="C131" s="79" t="s">
        <v>70</v>
      </c>
      <c r="D131" s="137">
        <v>2015</v>
      </c>
      <c r="E131" s="137">
        <v>2020</v>
      </c>
      <c r="F131" s="137">
        <v>2035</v>
      </c>
      <c r="G131" s="137">
        <v>2050</v>
      </c>
      <c r="H131" s="137"/>
      <c r="I131" s="80" t="s">
        <v>145</v>
      </c>
      <c r="J131" s="139" t="s">
        <v>146</v>
      </c>
    </row>
    <row r="132" spans="2:17" ht="12.75" customHeight="1">
      <c r="B132" s="310" t="s">
        <v>1500</v>
      </c>
      <c r="C132" s="210" t="s">
        <v>443</v>
      </c>
      <c r="D132" s="1304">
        <f>$D$219/1000</f>
        <v>2.7809777872021536E-2</v>
      </c>
      <c r="E132" s="1304">
        <f>$D$219/1000</f>
        <v>2.7809777872021536E-2</v>
      </c>
      <c r="F132" s="1304">
        <f>$D$219/1000</f>
        <v>2.7809777872021536E-2</v>
      </c>
      <c r="G132" s="1304">
        <f>$D$219/1000</f>
        <v>2.7809777872021536E-2</v>
      </c>
      <c r="H132" s="1304"/>
      <c r="I132" s="455"/>
      <c r="J132" s="229"/>
      <c r="L132" s="1173"/>
      <c r="M132" s="524"/>
    </row>
    <row r="133" spans="2:17" ht="12.75" customHeight="1">
      <c r="B133" s="310" t="s">
        <v>1501</v>
      </c>
      <c r="C133" s="210" t="s">
        <v>443</v>
      </c>
      <c r="D133" s="1305">
        <f>$D$190*D$124</f>
        <v>6.48796555798688E-2</v>
      </c>
      <c r="E133" s="1305">
        <f>$D$190*E$124</f>
        <v>6.48796555798688E-2</v>
      </c>
      <c r="F133" s="1305">
        <f>$D$190*F$124</f>
        <v>6.48796555798688E-2</v>
      </c>
      <c r="G133" s="1305">
        <f>$D$190*G$124</f>
        <v>6.48796555798688E-2</v>
      </c>
      <c r="H133" s="1305"/>
      <c r="I133" s="455"/>
      <c r="J133" s="229"/>
    </row>
    <row r="134" spans="2:17" ht="12.75" customHeight="1">
      <c r="B134" s="310" t="s">
        <v>1502</v>
      </c>
      <c r="C134" s="210" t="s">
        <v>1503</v>
      </c>
      <c r="D134" s="1306">
        <v>0.73099999999999998</v>
      </c>
      <c r="E134" s="1306">
        <v>0.73099999999999998</v>
      </c>
      <c r="F134" s="1306">
        <v>0.73099999999999998</v>
      </c>
      <c r="G134" s="1306">
        <v>0.73099999999999998</v>
      </c>
      <c r="H134" s="1306"/>
      <c r="I134" s="455" t="str">
        <f>Referencer!$B$45</f>
        <v>39, http://www.energinet.dk/SiteCollectionDocuments/Danske%20dokumenter/Gas/Faktablad%20-%20gaskvalitet.pdf</v>
      </c>
      <c r="J134" s="229"/>
      <c r="K134" s="1175"/>
    </row>
    <row r="135" spans="2:17" ht="12.75" customHeight="1">
      <c r="B135" s="310" t="s">
        <v>1505</v>
      </c>
      <c r="C135" s="210" t="s">
        <v>1503</v>
      </c>
      <c r="D135" s="1307">
        <f>D134*D186</f>
        <v>0.71784199999999998</v>
      </c>
      <c r="E135" s="1307">
        <f>E134*D186</f>
        <v>0.71784199999999998</v>
      </c>
      <c r="F135" s="1307">
        <f>F134*D186</f>
        <v>0.71784199999999998</v>
      </c>
      <c r="G135" s="1307">
        <f>G134*D186</f>
        <v>0.71784199999999998</v>
      </c>
      <c r="H135" s="1307"/>
      <c r="I135" s="455"/>
      <c r="J135" s="229"/>
    </row>
    <row r="136" spans="2:17" ht="12.75" customHeight="1">
      <c r="B136" s="310" t="s">
        <v>1506</v>
      </c>
      <c r="C136" s="210" t="s">
        <v>1507</v>
      </c>
      <c r="D136" s="1322">
        <f>-$N$219</f>
        <v>-27.454999999999998</v>
      </c>
      <c r="E136" s="1322">
        <f>-$N$219</f>
        <v>-27.454999999999998</v>
      </c>
      <c r="F136" s="1322">
        <f>-$N$219</f>
        <v>-27.454999999999998</v>
      </c>
      <c r="G136" s="2358">
        <v>0</v>
      </c>
      <c r="H136" s="1322"/>
      <c r="I136" s="476"/>
      <c r="J136" s="229" t="s">
        <v>2482</v>
      </c>
      <c r="K136" s="1175"/>
    </row>
    <row r="137" spans="2:17" ht="12.75" customHeight="1">
      <c r="B137" s="310" t="s">
        <v>1508</v>
      </c>
      <c r="C137" s="210" t="s">
        <v>1509</v>
      </c>
      <c r="D137" s="1308">
        <f>$D$219/1000</f>
        <v>2.7809777872021536E-2</v>
      </c>
      <c r="E137" s="1308">
        <f>$D$219/1000</f>
        <v>2.7809777872021536E-2</v>
      </c>
      <c r="F137" s="1308">
        <f>$D$219/1000</f>
        <v>2.7809777872021536E-2</v>
      </c>
      <c r="G137" s="1308">
        <f>$D$219/1000</f>
        <v>2.7809777872021536E-2</v>
      </c>
      <c r="H137" s="1308"/>
      <c r="I137" s="323"/>
      <c r="J137" s="229"/>
      <c r="K137" s="1174"/>
      <c r="P137" s="303"/>
      <c r="Q137" s="303"/>
    </row>
    <row r="138" spans="2:17" ht="12.75" customHeight="1">
      <c r="B138" s="230" t="s">
        <v>1510</v>
      </c>
      <c r="C138" s="210"/>
      <c r="D138" s="1309">
        <v>0.65</v>
      </c>
      <c r="E138" s="1309">
        <v>0.65</v>
      </c>
      <c r="F138" s="1309">
        <v>0.65</v>
      </c>
      <c r="G138" s="1309">
        <v>0.65</v>
      </c>
      <c r="H138" s="1309"/>
      <c r="I138" s="455" t="str">
        <f>Referencer!$B$44</f>
        <v>38, Biogas i Danmark - status, barrierer og perspektiver, Biogas Taskforce, November 2013, Kap 8, Biogasøkonomi. Ea-energianalyser har leveret den bagvedliggende data.</v>
      </c>
      <c r="J138" s="229"/>
    </row>
    <row r="139" spans="2:17" ht="12.75" customHeight="1">
      <c r="B139" s="230" t="s">
        <v>1512</v>
      </c>
      <c r="C139" s="210" t="s">
        <v>29</v>
      </c>
      <c r="D139" s="1309">
        <v>0.01</v>
      </c>
      <c r="E139" s="1309">
        <v>0.01</v>
      </c>
      <c r="F139" s="1309">
        <v>0.01</v>
      </c>
      <c r="G139" s="1309">
        <v>0.01</v>
      </c>
      <c r="H139" s="1309"/>
      <c r="I139" s="455" t="str">
        <f>Referencer!$B$44</f>
        <v>38, Biogas i Danmark - status, barrierer og perspektiver, Biogas Taskforce, November 2013, Kap 8, Biogasøkonomi. Ea-energianalyser har leveret den bagvedliggende data.</v>
      </c>
      <c r="J139" s="229"/>
    </row>
    <row r="140" spans="2:17" ht="12.75" customHeight="1">
      <c r="B140" s="230" t="s">
        <v>1512</v>
      </c>
      <c r="C140" s="210" t="s">
        <v>1513</v>
      </c>
      <c r="D140" s="1310">
        <f>D83*D139</f>
        <v>0.01</v>
      </c>
      <c r="E140" s="1310">
        <f>E83*E139</f>
        <v>0.01</v>
      </c>
      <c r="F140" s="1310">
        <f>F83*F139</f>
        <v>0.01</v>
      </c>
      <c r="G140" s="1310">
        <f>G83*G139</f>
        <v>0.01</v>
      </c>
      <c r="H140" s="1310"/>
      <c r="I140" s="455"/>
      <c r="J140" s="229"/>
    </row>
    <row r="141" spans="2:17" ht="12.75" customHeight="1">
      <c r="B141" s="230"/>
      <c r="C141" s="210"/>
      <c r="D141" s="1311"/>
      <c r="E141" s="1311"/>
      <c r="F141" s="1311"/>
      <c r="G141" s="1311"/>
      <c r="H141" s="1311"/>
      <c r="I141" s="455"/>
      <c r="J141" s="229"/>
    </row>
    <row r="142" spans="2:17" ht="12.75" customHeight="1">
      <c r="B142" s="975" t="s">
        <v>1514</v>
      </c>
      <c r="C142" s="210"/>
      <c r="D142" s="1311"/>
      <c r="E142" s="1311"/>
      <c r="F142" s="1311"/>
      <c r="G142" s="1311"/>
      <c r="H142" s="1311"/>
      <c r="I142" s="455"/>
      <c r="J142" s="229"/>
      <c r="L142" s="524"/>
    </row>
    <row r="143" spans="2:17" ht="12.75" customHeight="1">
      <c r="B143" s="310" t="s">
        <v>157</v>
      </c>
      <c r="C143" s="210" t="s">
        <v>61</v>
      </c>
      <c r="D143" s="1312">
        <f>('Biogas ENS'!$D$172+'Biogas ENS'!$D$174+'Biogas ENS'!$L$219)*'Biogas ENS'!$D$171</f>
        <v>101886900</v>
      </c>
      <c r="E143" s="1312">
        <f>('Biogas ENS'!$D$172+'Biogas ENS'!$D$174+'Biogas ENS'!$L$219)*'Biogas ENS'!$D$171</f>
        <v>101886900</v>
      </c>
      <c r="F143" s="1312">
        <f>('Biogas ENS'!$D$172+'Biogas ENS'!$D$174+'Biogas ENS'!$L$219)*'Biogas ENS'!$D$171</f>
        <v>101886900</v>
      </c>
      <c r="G143" s="1312">
        <f>('Biogas ENS'!$D$172+'Biogas ENS'!$D$174+'Biogas ENS'!$L$219)*'Biogas ENS'!$D$171</f>
        <v>101886900</v>
      </c>
      <c r="H143" s="1312"/>
      <c r="I143" s="455"/>
      <c r="J143" s="229"/>
      <c r="K143" s="296"/>
    </row>
    <row r="144" spans="2:17" ht="12.75" customHeight="1">
      <c r="B144" s="230" t="s">
        <v>160</v>
      </c>
      <c r="C144" s="210" t="s">
        <v>464</v>
      </c>
      <c r="D144" s="1312">
        <f ca="1">SUM(D145:D149)</f>
        <v>121.41000518716314</v>
      </c>
      <c r="E144" s="1312">
        <f ca="1">SUM(E145:E149)</f>
        <v>122.61891053406178</v>
      </c>
      <c r="F144" s="1312">
        <f ca="1">SUM(F145:F149)</f>
        <v>124.0737793255358</v>
      </c>
      <c r="G144" s="1312">
        <f ca="1">SUM(G145:G149)</f>
        <v>124.0737793255358</v>
      </c>
      <c r="H144" s="1312"/>
      <c r="I144" s="455"/>
      <c r="J144" s="229"/>
    </row>
    <row r="145" spans="2:14" ht="12.75" customHeight="1">
      <c r="B145" s="236" t="s">
        <v>162</v>
      </c>
      <c r="C145" s="210" t="s">
        <v>464</v>
      </c>
      <c r="D145" s="1312">
        <f ca="1">PMT(rSØK,'Biogas ENS'!D$34,-(D143))/('Biogas ENS'!D$32*'Biogas ENS'!D$33)</f>
        <v>37.897481739812207</v>
      </c>
      <c r="E145" s="1312">
        <f ca="1">PMT(rSØK,'Biogas ENS'!E$34,-(E143))/('Biogas ENS'!E$32*'Biogas ENS'!E$33)</f>
        <v>37.897481739812207</v>
      </c>
      <c r="F145" s="1312">
        <f ca="1">PMT(rSØK,'Biogas ENS'!F$34,-(F143))/('Biogas ENS'!F$32*'Biogas ENS'!F$33)</f>
        <v>37.897481739812207</v>
      </c>
      <c r="G145" s="1312">
        <f ca="1">PMT(rSØK,'Biogas ENS'!G$34,-(G143))/('Biogas ENS'!G$32*'Biogas ENS'!G$33)</f>
        <v>37.897481739812207</v>
      </c>
      <c r="H145" s="1312"/>
      <c r="I145" s="455"/>
      <c r="J145" s="229"/>
    </row>
    <row r="146" spans="2:14" ht="12.75" customHeight="1">
      <c r="B146" s="236" t="s">
        <v>163</v>
      </c>
      <c r="C146" s="210" t="s">
        <v>464</v>
      </c>
      <c r="D146" s="1312">
        <f>('Biogas ENS'!$D$175+'Biogas ENS'!$M$219)*'Biogas ENS'!$D$171/('Biogas ENS'!D32*'Biogas ENS'!D33)</f>
        <v>40.661716112465044</v>
      </c>
      <c r="E146" s="1312">
        <f>('Biogas ENS'!$D$175+'Biogas ENS'!$M$219)*'Biogas ENS'!$D$171/('Biogas ENS'!E32*'Biogas ENS'!E33)</f>
        <v>40.661716112465044</v>
      </c>
      <c r="F146" s="1312">
        <f>('Biogas ENS'!$D$175+'Biogas ENS'!$M$219)*'Biogas ENS'!$D$171/('Biogas ENS'!F32*'Biogas ENS'!F33)</f>
        <v>40.661716112465044</v>
      </c>
      <c r="G146" s="1312">
        <f>('Biogas ENS'!$D$175+'Biogas ENS'!$M$219)*'Biogas ENS'!$D$171/('Biogas ENS'!G32*'Biogas ENS'!G33)</f>
        <v>40.661716112465044</v>
      </c>
      <c r="H146" s="1312"/>
      <c r="I146" s="455"/>
      <c r="J146" s="229"/>
      <c r="K146" s="1176"/>
      <c r="L146" s="296"/>
      <c r="N146" s="296"/>
    </row>
    <row r="147" spans="2:14" ht="12.75" customHeight="1">
      <c r="B147" s="236" t="s">
        <v>164</v>
      </c>
      <c r="C147" s="210" t="s">
        <v>464</v>
      </c>
      <c r="D147" s="1312">
        <f>('Biogas ENS'!$K$219)*'Biogas ENS'!$D$171/('Biogas ENS'!D32*'Biogas ENS'!D33)</f>
        <v>39.980312525081054</v>
      </c>
      <c r="E147" s="1312">
        <f>('Biogas ENS'!$K$219)*'Biogas ENS'!$D$171/('Biogas ENS'!E32*'Biogas ENS'!E33)</f>
        <v>39.980312525081054</v>
      </c>
      <c r="F147" s="1312">
        <f>('Biogas ENS'!$K$219)*'Biogas ENS'!$D$171/('Biogas ENS'!F32*'Biogas ENS'!F33)</f>
        <v>39.980312525081054</v>
      </c>
      <c r="G147" s="1312">
        <f>('Biogas ENS'!$K$219)*'Biogas ENS'!$D$171/('Biogas ENS'!G32*'Biogas ENS'!G33)</f>
        <v>39.980312525081054</v>
      </c>
      <c r="H147" s="1312"/>
      <c r="I147" s="455"/>
      <c r="J147" s="229"/>
    </row>
    <row r="148" spans="2:14" ht="12.75" customHeight="1">
      <c r="B148" s="236" t="s">
        <v>1515</v>
      </c>
      <c r="C148" s="210" t="s">
        <v>464</v>
      </c>
      <c r="D148" s="1312">
        <f>((('Biogas ENS'!$D$196/3.6)*'Biogas ENS'!$D$171*Prices!D6)+(('Biogas ENS'!$D$133)*'Biogas ENS'!$D$171*Prices!D31))/('Biogas ENS'!D32*'Biogas ENS'!D33)</f>
        <v>2.8704948098048306</v>
      </c>
      <c r="E148" s="1312">
        <f>((('Biogas ENS'!$D$196/3.6)*'Biogas ENS'!$D$171*Prices!E6)+(('Biogas ENS'!$E$133)*'Biogas ENS'!$D$171*Prices!E31))/('Biogas ENS'!E32*'Biogas ENS'!E33)</f>
        <v>4.0794001567034668</v>
      </c>
      <c r="F148" s="1312">
        <f>((('Biogas ENS'!$D$196/3.6)*'Biogas ENS'!$D$171*Prices!F6)+(('Biogas ENS'!$F$133)*'Biogas ENS'!$D$171*Prices!F31))/('Biogas ENS'!F32*'Biogas ENS'!F33)</f>
        <v>5.5342689481774787</v>
      </c>
      <c r="G148" s="1312">
        <f>((('Biogas ENS'!$D$196/3.6)*'Biogas ENS'!$D$171*Prices!G6)+(('Biogas ENS'!$G$133)*'Biogas ENS'!$D$171*Prices!G31))/('Biogas ENS'!G32*'Biogas ENS'!G33)</f>
        <v>5.5342689481774787</v>
      </c>
      <c r="H148" s="1312"/>
      <c r="I148" s="455"/>
      <c r="J148" s="229"/>
      <c r="L148" s="303"/>
    </row>
    <row r="149" spans="2:14" ht="12.75" customHeight="1">
      <c r="B149" s="236" t="s">
        <v>165</v>
      </c>
      <c r="C149" s="210" t="s">
        <v>464</v>
      </c>
      <c r="D149" s="1311"/>
      <c r="E149" s="1311"/>
      <c r="F149" s="1311"/>
      <c r="G149" s="1311"/>
      <c r="H149" s="1311"/>
      <c r="I149" s="455"/>
      <c r="J149" s="229"/>
    </row>
    <row r="150" spans="2:14" ht="12.75" customHeight="1">
      <c r="B150" s="230"/>
      <c r="C150" s="241"/>
      <c r="D150" s="1311"/>
      <c r="E150" s="1311"/>
      <c r="F150" s="1311"/>
      <c r="G150" s="1311"/>
      <c r="H150" s="1311"/>
      <c r="I150" s="455"/>
      <c r="J150" s="229"/>
    </row>
    <row r="151" spans="2:14" ht="12.75" customHeight="1">
      <c r="B151" s="975" t="s">
        <v>1516</v>
      </c>
      <c r="C151" s="241"/>
      <c r="D151" s="1311"/>
      <c r="E151" s="1311"/>
      <c r="F151" s="1311"/>
      <c r="G151" s="1311"/>
      <c r="H151" s="1311"/>
      <c r="I151" s="455"/>
      <c r="J151" s="229"/>
      <c r="N151" s="1177"/>
    </row>
    <row r="152" spans="2:14" ht="12.75" customHeight="1">
      <c r="B152" s="310" t="s">
        <v>157</v>
      </c>
      <c r="C152" s="210" t="s">
        <v>61</v>
      </c>
      <c r="D152" s="1312">
        <f>'Biogas ENS'!$D$187*'Biogas ENS'!$D$176</f>
        <v>21666864.60919486</v>
      </c>
      <c r="E152" s="1312">
        <f>'Biogas ENS'!$D$187*'Biogas ENS'!$D$176</f>
        <v>21666864.60919486</v>
      </c>
      <c r="F152" s="1312">
        <f>'Biogas ENS'!$D$187*'Biogas ENS'!$D$176</f>
        <v>21666864.60919486</v>
      </c>
      <c r="G152" s="1312">
        <f>'Biogas ENS'!$D$187*'Biogas ENS'!$D$176</f>
        <v>21666864.60919486</v>
      </c>
      <c r="H152" s="1312"/>
      <c r="I152" s="455"/>
      <c r="J152" s="229"/>
    </row>
    <row r="153" spans="2:14" ht="12.75" customHeight="1">
      <c r="B153" s="230" t="s">
        <v>160</v>
      </c>
      <c r="C153" s="210" t="s">
        <v>464</v>
      </c>
      <c r="D153" s="1312">
        <f ca="1">SUM(D154:D158)</f>
        <v>14.14153829190202</v>
      </c>
      <c r="E153" s="1312">
        <f ca="1">SUM(E154:E158)</f>
        <v>16.022057720411006</v>
      </c>
      <c r="F153" s="1312">
        <f ca="1">SUM(F154:F158)</f>
        <v>18.285186951592806</v>
      </c>
      <c r="G153" s="1312">
        <f ca="1">SUM(G154:G158)</f>
        <v>18.285186951592806</v>
      </c>
      <c r="H153" s="1312"/>
      <c r="I153" s="455"/>
      <c r="J153" s="229"/>
      <c r="N153" s="302"/>
    </row>
    <row r="154" spans="2:14" ht="12.75" customHeight="1">
      <c r="B154" s="236" t="s">
        <v>162</v>
      </c>
      <c r="C154" s="210" t="s">
        <v>464</v>
      </c>
      <c r="D154" s="1312">
        <f ca="1">PMT(rSØK,'Biogas ENS'!$D$178,-(D152))/('Biogas ENS'!D$32*'Biogas ENS'!D$33)</f>
        <v>9.6760945786244488</v>
      </c>
      <c r="E154" s="1312">
        <f ca="1">PMT(rSØK,'Biogas ENS'!$D$178,-(E152))/('Biogas ENS'!E$32*'Biogas ENS'!E$33)</f>
        <v>9.6760945786244488</v>
      </c>
      <c r="F154" s="1312">
        <f ca="1">PMT(rSØK,'Biogas ENS'!$D$178,-(F152))/('Biogas ENS'!F$32*'Biogas ENS'!F$33)</f>
        <v>9.6760945786244488</v>
      </c>
      <c r="G154" s="1312">
        <f ca="1">PMT(rSØK,'Biogas ENS'!$D$178,-(G152))/('Biogas ENS'!G$32*'Biogas ENS'!G$33)</f>
        <v>9.6760945786244488</v>
      </c>
      <c r="H154" s="1312"/>
      <c r="I154" s="455"/>
      <c r="J154" s="229"/>
    </row>
    <row r="155" spans="2:14" ht="12.75" customHeight="1">
      <c r="B155" s="236" t="s">
        <v>163</v>
      </c>
      <c r="C155" s="210" t="s">
        <v>464</v>
      </c>
      <c r="D155" s="1313">
        <f>'Biogas ENS'!$D$187*'Biogas ENS'!$D$177/('Biogas ENS'!D32*'Biogas ENS'!D33)</f>
        <v>2.2956469227706269E-4</v>
      </c>
      <c r="E155" s="1313">
        <f>'Biogas ENS'!$D$187*'Biogas ENS'!$D$177/('Biogas ENS'!E32*'Biogas ENS'!E33)</f>
        <v>2.2956469227706269E-4</v>
      </c>
      <c r="F155" s="1313">
        <f>'Biogas ENS'!$D$187*'Biogas ENS'!$D$177/('Biogas ENS'!F32*'Biogas ENS'!F33)</f>
        <v>2.2956469227706269E-4</v>
      </c>
      <c r="G155" s="1313">
        <f>'Biogas ENS'!$D$187*'Biogas ENS'!$D$177/('Biogas ENS'!G32*'Biogas ENS'!G33)</f>
        <v>2.2956469227706269E-4</v>
      </c>
      <c r="H155" s="1313"/>
      <c r="I155" s="455"/>
      <c r="J155" s="229"/>
    </row>
    <row r="156" spans="2:14" ht="12.75" customHeight="1">
      <c r="B156" s="236" t="s">
        <v>164</v>
      </c>
      <c r="C156" s="210" t="s">
        <v>464</v>
      </c>
      <c r="D156" s="1311"/>
      <c r="E156" s="1311"/>
      <c r="F156" s="1311"/>
      <c r="G156" s="1311"/>
      <c r="H156" s="1311"/>
      <c r="I156" s="455"/>
      <c r="J156" s="229"/>
    </row>
    <row r="157" spans="2:14" ht="12.75" customHeight="1">
      <c r="B157" s="236" t="s">
        <v>1517</v>
      </c>
      <c r="C157" s="210" t="s">
        <v>464</v>
      </c>
      <c r="D157" s="1312">
        <f>(('Biogas ENS'!$D$197/3.6)*'Biogas ENS'!$D$171*Prices!D6)/('Biogas ENS'!D32*'Biogas ENS'!D33)</f>
        <v>4.4652141485852921</v>
      </c>
      <c r="E157" s="1312">
        <f>(('Biogas ENS'!$D$197/3.6)*'Biogas ENS'!$D$171*Prices!E6)/('Biogas ENS'!E32*'Biogas ENS'!E33)</f>
        <v>6.3457335770942809</v>
      </c>
      <c r="F157" s="1312">
        <f>(('Biogas ENS'!$D$197/3.6)*'Biogas ENS'!$D$171*Prices!F6)/('Biogas ENS'!F32*'Biogas ENS'!F33)</f>
        <v>8.6088628082760774</v>
      </c>
      <c r="G157" s="1312">
        <f>(('Biogas ENS'!$D$197/3.6)*'Biogas ENS'!$D$171*Prices!G6)/('Biogas ENS'!G32*'Biogas ENS'!G33)</f>
        <v>8.6088628082760774</v>
      </c>
      <c r="H157" s="1312"/>
      <c r="I157" s="455"/>
      <c r="J157" s="229"/>
    </row>
    <row r="158" spans="2:14" ht="12.75" customHeight="1">
      <c r="B158" s="236" t="s">
        <v>165</v>
      </c>
      <c r="C158" s="210" t="s">
        <v>464</v>
      </c>
      <c r="D158" s="1311"/>
      <c r="E158" s="1311"/>
      <c r="F158" s="1311"/>
      <c r="G158" s="1311"/>
      <c r="H158" s="1311"/>
      <c r="I158" s="455"/>
      <c r="J158" s="229"/>
    </row>
    <row r="159" spans="2:14" ht="12.75" customHeight="1">
      <c r="B159" s="230"/>
      <c r="C159" s="241"/>
      <c r="D159" s="1311"/>
      <c r="E159" s="1311"/>
      <c r="F159" s="1311"/>
      <c r="G159" s="1311"/>
      <c r="H159" s="1311"/>
      <c r="I159" s="455"/>
      <c r="J159" s="229"/>
    </row>
    <row r="160" spans="2:14" ht="12.75" customHeight="1">
      <c r="B160" s="975" t="s">
        <v>1518</v>
      </c>
      <c r="C160" s="241"/>
      <c r="D160" s="1311"/>
      <c r="E160" s="1311"/>
      <c r="F160" s="1311"/>
      <c r="G160" s="1311"/>
      <c r="H160" s="1311"/>
      <c r="I160" s="455"/>
      <c r="J160" s="229"/>
    </row>
    <row r="161" spans="2:10" ht="12.75" customHeight="1">
      <c r="B161" s="310" t="s">
        <v>157</v>
      </c>
      <c r="C161" s="210" t="s">
        <v>61</v>
      </c>
      <c r="D161" s="1312">
        <f>'Biogas ENS'!$D$179</f>
        <v>18000000</v>
      </c>
      <c r="E161" s="1312">
        <f>'Biogas ENS'!$D$179</f>
        <v>18000000</v>
      </c>
      <c r="F161" s="1312">
        <f>'Biogas ENS'!$D$179</f>
        <v>18000000</v>
      </c>
      <c r="G161" s="1312">
        <f>'Biogas ENS'!$D$179</f>
        <v>18000000</v>
      </c>
      <c r="H161" s="1312"/>
      <c r="I161" s="455"/>
      <c r="J161" s="229"/>
    </row>
    <row r="162" spans="2:10" ht="12.75" customHeight="1">
      <c r="B162" s="230" t="s">
        <v>160</v>
      </c>
      <c r="C162" s="210" t="s">
        <v>464</v>
      </c>
      <c r="D162" s="1311">
        <f ca="1">SUM(D163:D167)</f>
        <v>8.3649172569484644</v>
      </c>
      <c r="E162" s="1311">
        <f ca="1">SUM(E163:E167)</f>
        <v>8.3504399429197083</v>
      </c>
      <c r="F162" s="1311">
        <f ca="1">SUM(F163:F167)</f>
        <v>8.4806829690590746</v>
      </c>
      <c r="G162" s="1311">
        <f ca="1">SUM(G163:G167)</f>
        <v>8.4806829690590746</v>
      </c>
      <c r="H162" s="1311"/>
      <c r="I162" s="455"/>
      <c r="J162" s="229"/>
    </row>
    <row r="163" spans="2:10" ht="12.75" customHeight="1">
      <c r="B163" s="236" t="s">
        <v>162</v>
      </c>
      <c r="C163" s="210" t="s">
        <v>464</v>
      </c>
      <c r="D163" s="1312">
        <f ca="1">PMT(rSØK,'Biogas ENS'!$D$34,-(D161))/('Biogas ENS'!D$32*'Biogas ENS'!D$33)</f>
        <v>6.6952147068624095</v>
      </c>
      <c r="E163" s="1312">
        <f ca="1">PMT(rSØK,'Biogas ENS'!$D$34,-(E161))/('Biogas ENS'!E$32*'Biogas ENS'!E$33)</f>
        <v>6.6952147068624095</v>
      </c>
      <c r="F163" s="1312">
        <f ca="1">PMT(rSØK,'Biogas ENS'!$D$34,-(F161))/('Biogas ENS'!F$32*'Biogas ENS'!F$33)</f>
        <v>6.6952147068624095</v>
      </c>
      <c r="G163" s="1312">
        <f ca="1">PMT(rSØK,'Biogas ENS'!$D$34,-(G161))/('Biogas ENS'!G$32*'Biogas ENS'!G$33)</f>
        <v>6.6952147068624095</v>
      </c>
      <c r="H163" s="1312"/>
      <c r="I163" s="455"/>
      <c r="J163" s="229"/>
    </row>
    <row r="164" spans="2:10" ht="12.75" customHeight="1">
      <c r="B164" s="236" t="s">
        <v>163</v>
      </c>
      <c r="C164" s="210" t="s">
        <v>464</v>
      </c>
      <c r="D164" s="1314">
        <f>'Biogas ENS'!$D$180/('Biogas ENS'!D$32*'Biogas ENS'!D$33)</f>
        <v>0.43804516331827936</v>
      </c>
      <c r="E164" s="1314">
        <f>'Biogas ENS'!$D$180/('Biogas ENS'!E$32*'Biogas ENS'!E$33)</f>
        <v>0.43804516331827936</v>
      </c>
      <c r="F164" s="1314">
        <f>'Biogas ENS'!$D$180/('Biogas ENS'!F$32*'Biogas ENS'!F$33)</f>
        <v>0.43804516331827936</v>
      </c>
      <c r="G164" s="1314">
        <f>'Biogas ENS'!$D$180/('Biogas ENS'!G$32*'Biogas ENS'!G$33)</f>
        <v>0.43804516331827936</v>
      </c>
      <c r="H164" s="1314"/>
      <c r="I164" s="455"/>
      <c r="J164" s="229"/>
    </row>
    <row r="165" spans="2:10" ht="12.75" customHeight="1">
      <c r="B165" s="236" t="s">
        <v>164</v>
      </c>
      <c r="C165" s="210" t="s">
        <v>464</v>
      </c>
      <c r="D165" s="1311"/>
      <c r="E165" s="1311"/>
      <c r="F165" s="1311"/>
      <c r="G165" s="1311"/>
      <c r="H165" s="1311"/>
      <c r="I165" s="455"/>
      <c r="J165" s="229"/>
    </row>
    <row r="166" spans="2:10" ht="12.75" customHeight="1">
      <c r="B166" s="236" t="s">
        <v>1515</v>
      </c>
      <c r="C166" s="210" t="s">
        <v>464</v>
      </c>
      <c r="D166" s="1315">
        <f>('Biogas ENS'!$D$182*Prices!D27)/('Biogas ENS'!D$32*'Biogas ENS'!D$33)</f>
        <v>1.2316573867677756</v>
      </c>
      <c r="E166" s="1315">
        <f>('Biogas ENS'!$D$182*Prices!E27)/('Biogas ENS'!E$32*'Biogas ENS'!E$33)</f>
        <v>1.2171800727390196</v>
      </c>
      <c r="F166" s="1315">
        <f>('Biogas ENS'!$D$182*Prices!F27)/('Biogas ENS'!F$32*'Biogas ENS'!F$33)</f>
        <v>1.3474230988783846</v>
      </c>
      <c r="G166" s="1315">
        <f>('Biogas ENS'!$D$182*Prices!G27)/('Biogas ENS'!G$32*'Biogas ENS'!G$33)</f>
        <v>1.3474230988783846</v>
      </c>
      <c r="H166" s="1315"/>
      <c r="I166" s="455"/>
      <c r="J166" s="229"/>
    </row>
    <row r="167" spans="2:10" ht="12.75" customHeight="1" thickBot="1">
      <c r="B167" s="1303" t="s">
        <v>165</v>
      </c>
      <c r="C167" s="78" t="s">
        <v>464</v>
      </c>
      <c r="D167" s="1316"/>
      <c r="E167" s="1316"/>
      <c r="F167" s="1316"/>
      <c r="G167" s="1316"/>
      <c r="H167" s="1316"/>
      <c r="I167" s="244"/>
      <c r="J167" s="240"/>
    </row>
    <row r="168" spans="2:10" ht="12.75" customHeight="1">
      <c r="H168" s="523"/>
    </row>
    <row r="169" spans="2:10" ht="12.75" customHeight="1" thickBot="1">
      <c r="H169" s="523"/>
    </row>
    <row r="170" spans="2:10" ht="12.75" customHeight="1">
      <c r="B170" s="339"/>
      <c r="C170" s="80"/>
      <c r="D170" s="80">
        <v>2015</v>
      </c>
      <c r="E170" s="80">
        <v>2020</v>
      </c>
      <c r="F170" s="80">
        <v>2035</v>
      </c>
      <c r="G170" s="80">
        <v>2050</v>
      </c>
      <c r="H170" s="80"/>
      <c r="I170" s="80" t="s">
        <v>1663</v>
      </c>
      <c r="J170" s="343" t="s">
        <v>1519</v>
      </c>
    </row>
    <row r="171" spans="2:10" ht="12.75" customHeight="1">
      <c r="B171" s="230" t="s">
        <v>1520</v>
      </c>
      <c r="C171" s="210" t="s">
        <v>1521</v>
      </c>
      <c r="D171" s="1178">
        <v>300000</v>
      </c>
      <c r="E171" s="455"/>
      <c r="F171" s="455"/>
      <c r="G171" s="455"/>
      <c r="H171" s="455"/>
      <c r="I171" s="455" t="str">
        <f>Referencer!$B$44</f>
        <v>38, Biogas i Danmark - status, barrierer og perspektiver, Biogas Taskforce, November 2013, Kap 8, Biogasøkonomi. Ea-energianalyser har leveret den bagvedliggende data.</v>
      </c>
      <c r="J171" s="229"/>
    </row>
    <row r="172" spans="2:10" ht="12.75" customHeight="1">
      <c r="B172" s="230" t="s">
        <v>1523</v>
      </c>
      <c r="C172" s="210" t="s">
        <v>1524</v>
      </c>
      <c r="D172" s="1178">
        <v>275</v>
      </c>
      <c r="E172" s="455"/>
      <c r="F172" s="455"/>
      <c r="G172" s="455"/>
      <c r="H172" s="455"/>
      <c r="I172" s="455" t="str">
        <f>Referencer!$B$44</f>
        <v>38, Biogas i Danmark - status, barrierer og perspektiver, Biogas Taskforce, November 2013, Kap 8, Biogasøkonomi. Ea-energianalyser har leveret den bagvedliggende data.</v>
      </c>
      <c r="J172" s="229"/>
    </row>
    <row r="173" spans="2:10" ht="12.75" customHeight="1">
      <c r="B173" s="230" t="s">
        <v>1527</v>
      </c>
      <c r="C173" s="210" t="s">
        <v>1737</v>
      </c>
      <c r="D173" s="1295">
        <v>0.15</v>
      </c>
      <c r="E173" s="455"/>
      <c r="F173" s="455"/>
      <c r="G173" s="455"/>
      <c r="H173" s="455"/>
      <c r="I173" s="455" t="str">
        <f>Referencer!$B$44</f>
        <v>38, Biogas i Danmark - status, barrierer og perspektiver, Biogas Taskforce, November 2013, Kap 8, Biogasøkonomi. Ea-energianalyser har leveret den bagvedliggende data.</v>
      </c>
      <c r="J173" s="229"/>
    </row>
    <row r="174" spans="2:10" ht="12.75" customHeight="1">
      <c r="B174" s="230" t="s">
        <v>1527</v>
      </c>
      <c r="C174" s="210" t="s">
        <v>1524</v>
      </c>
      <c r="D174" s="1296">
        <f>D172*D173</f>
        <v>41.25</v>
      </c>
      <c r="E174" s="455"/>
      <c r="F174" s="455"/>
      <c r="G174" s="455"/>
      <c r="H174" s="455"/>
      <c r="I174" s="455"/>
      <c r="J174" s="229"/>
    </row>
    <row r="175" spans="2:10" ht="12.75" customHeight="1">
      <c r="B175" s="230" t="s">
        <v>1528</v>
      </c>
      <c r="C175" s="210" t="s">
        <v>1524</v>
      </c>
      <c r="D175" s="1178">
        <v>20.84</v>
      </c>
      <c r="E175" s="455"/>
      <c r="F175" s="455"/>
      <c r="G175" s="455"/>
      <c r="H175" s="455"/>
      <c r="I175" s="455" t="str">
        <f>Referencer!$B$44</f>
        <v>38, Biogas i Danmark - status, barrierer og perspektiver, Biogas Taskforce, November 2013, Kap 8, Biogasøkonomi. Ea-energianalyser har leveret den bagvedliggende data.</v>
      </c>
      <c r="J175" s="229"/>
    </row>
    <row r="176" spans="2:10" ht="12.75" customHeight="1">
      <c r="B176" s="230" t="s">
        <v>1531</v>
      </c>
      <c r="C176" s="210" t="s">
        <v>1532</v>
      </c>
      <c r="D176" s="1178">
        <v>35000</v>
      </c>
      <c r="E176" s="455"/>
      <c r="F176" s="455"/>
      <c r="G176" s="455"/>
      <c r="H176" s="455"/>
      <c r="I176" s="455" t="str">
        <f>Referencer!$B$44</f>
        <v>38, Biogas i Danmark - status, barrierer og perspektiver, Biogas Taskforce, November 2013, Kap 8, Biogasøkonomi. Ea-energianalyser har leveret den bagvedliggende data.</v>
      </c>
      <c r="J176" s="229"/>
    </row>
    <row r="177" spans="2:10" ht="12.75" customHeight="1">
      <c r="B177" s="230" t="s">
        <v>1533</v>
      </c>
      <c r="C177" s="210" t="s">
        <v>1534</v>
      </c>
      <c r="D177" s="1297">
        <v>0.08</v>
      </c>
      <c r="E177" s="455"/>
      <c r="F177" s="455"/>
      <c r="G177" s="455"/>
      <c r="H177" s="455"/>
      <c r="I177" s="455" t="str">
        <f>Referencer!$B$44</f>
        <v>38, Biogas i Danmark - status, barrierer og perspektiver, Biogas Taskforce, November 2013, Kap 8, Biogasøkonomi. Ea-energianalyser har leveret den bagvedliggende data.</v>
      </c>
      <c r="J177" s="229"/>
    </row>
    <row r="178" spans="2:10" ht="12.75" customHeight="1">
      <c r="B178" s="230" t="s">
        <v>98</v>
      </c>
      <c r="C178" s="210" t="s">
        <v>34</v>
      </c>
      <c r="D178" s="1178">
        <v>15</v>
      </c>
      <c r="E178" s="455"/>
      <c r="F178" s="455"/>
      <c r="G178" s="455"/>
      <c r="H178" s="455"/>
      <c r="I178" s="455" t="str">
        <f>Referencer!$B$44</f>
        <v>38, Biogas i Danmark - status, barrierer og perspektiver, Biogas Taskforce, November 2013, Kap 8, Biogasøkonomi. Ea-energianalyser har leveret den bagvedliggende data.</v>
      </c>
      <c r="J178" s="229"/>
    </row>
    <row r="179" spans="2:10" ht="12.75" customHeight="1">
      <c r="B179" s="230" t="s">
        <v>1535</v>
      </c>
      <c r="C179" s="210" t="s">
        <v>1536</v>
      </c>
      <c r="D179" s="1178">
        <v>18000000</v>
      </c>
      <c r="E179" s="455"/>
      <c r="F179" s="455"/>
      <c r="G179" s="455"/>
      <c r="H179" s="455"/>
      <c r="I179" s="455" t="str">
        <f>Referencer!$B$44</f>
        <v>38, Biogas i Danmark - status, barrierer og perspektiver, Biogas Taskforce, November 2013, Kap 8, Biogasøkonomi. Ea-energianalyser har leveret den bagvedliggende data.</v>
      </c>
      <c r="J179" s="229" t="s">
        <v>1736</v>
      </c>
    </row>
    <row r="180" spans="2:10" ht="12.75" customHeight="1">
      <c r="B180" s="230" t="s">
        <v>1533</v>
      </c>
      <c r="C180" s="210" t="s">
        <v>1536</v>
      </c>
      <c r="D180" s="1178">
        <v>94500</v>
      </c>
      <c r="E180" s="455"/>
      <c r="F180" s="455"/>
      <c r="G180" s="455"/>
      <c r="H180" s="455"/>
      <c r="I180" s="455" t="str">
        <f>Referencer!$B$44</f>
        <v>38, Biogas i Danmark - status, barrierer og perspektiver, Biogas Taskforce, November 2013, Kap 8, Biogasøkonomi. Ea-energianalyser har leveret den bagvedliggende data.</v>
      </c>
      <c r="J180" s="229"/>
    </row>
    <row r="181" spans="2:10" ht="12.75" customHeight="1">
      <c r="B181" s="230" t="s">
        <v>1537</v>
      </c>
      <c r="C181" s="210" t="s">
        <v>1536</v>
      </c>
      <c r="D181" s="1178">
        <v>265706.90147076402</v>
      </c>
      <c r="E181" s="455"/>
      <c r="F181" s="455"/>
      <c r="G181" s="455"/>
      <c r="H181" s="455"/>
      <c r="I181" s="455" t="str">
        <f>Referencer!$B$44</f>
        <v>38, Biogas i Danmark - status, barrierer og perspektiver, Biogas Taskforce, November 2013, Kap 8, Biogasøkonomi. Ea-energianalyser har leveret den bagvedliggende data.</v>
      </c>
      <c r="J181" s="229"/>
    </row>
    <row r="182" spans="2:10" ht="12.75" customHeight="1">
      <c r="B182" s="230" t="s">
        <v>1537</v>
      </c>
      <c r="C182" s="210" t="s">
        <v>185</v>
      </c>
      <c r="D182" s="1296">
        <f>D181/Prices!D27</f>
        <v>3967.5250607526277</v>
      </c>
      <c r="E182" s="455"/>
      <c r="F182" s="455"/>
      <c r="G182" s="455"/>
      <c r="H182" s="455"/>
      <c r="I182" s="455"/>
      <c r="J182" s="229"/>
    </row>
    <row r="183" spans="2:10" ht="12.75" customHeight="1">
      <c r="B183" s="230" t="s">
        <v>1522</v>
      </c>
      <c r="C183" s="210" t="s">
        <v>423</v>
      </c>
      <c r="D183" s="1178">
        <f>9.97</f>
        <v>9.9700000000000006</v>
      </c>
      <c r="E183" s="455"/>
      <c r="F183" s="455"/>
      <c r="G183" s="455"/>
      <c r="H183" s="455"/>
      <c r="I183" s="455" t="str">
        <f>Referencer!$B$45</f>
        <v>39, http://www.energinet.dk/SiteCollectionDocuments/Danske%20dokumenter/Gas/Faktablad%20-%20gaskvalitet.pdf</v>
      </c>
      <c r="J183" s="229"/>
    </row>
    <row r="184" spans="2:10" ht="12.75" customHeight="1">
      <c r="B184" s="230" t="s">
        <v>1525</v>
      </c>
      <c r="C184" s="210" t="s">
        <v>1526</v>
      </c>
      <c r="D184" s="1298">
        <f>Supplementary!C50*D183</f>
        <v>3.5892E-2</v>
      </c>
      <c r="E184" s="455"/>
      <c r="F184" s="455"/>
      <c r="G184" s="455"/>
      <c r="H184" s="455"/>
      <c r="I184" s="455"/>
      <c r="J184" s="229"/>
    </row>
    <row r="185" spans="2:10" ht="12.75" customHeight="1">
      <c r="B185" s="230"/>
      <c r="C185" s="210"/>
      <c r="D185" s="1296"/>
      <c r="E185" s="455"/>
      <c r="F185" s="455"/>
      <c r="G185" s="455"/>
      <c r="H185" s="455"/>
      <c r="I185" s="455"/>
      <c r="J185" s="229"/>
    </row>
    <row r="186" spans="2:10" ht="12.75" customHeight="1">
      <c r="B186" s="230" t="s">
        <v>1529</v>
      </c>
      <c r="C186" s="210" t="s">
        <v>1530</v>
      </c>
      <c r="D186" s="1295">
        <v>0.98199999999999998</v>
      </c>
      <c r="E186" s="455"/>
      <c r="F186" s="455"/>
      <c r="G186" s="455"/>
      <c r="H186" s="455"/>
      <c r="I186" s="455" t="str">
        <f>Referencer!$B$45</f>
        <v>39, http://www.energinet.dk/SiteCollectionDocuments/Danske%20dokumenter/Gas/Faktablad%20-%20gaskvalitet.pdf</v>
      </c>
      <c r="J186" s="229"/>
    </row>
    <row r="187" spans="2:10" ht="12.75" customHeight="1">
      <c r="B187" s="230" t="s">
        <v>1566</v>
      </c>
      <c r="C187" s="210" t="s">
        <v>1567</v>
      </c>
      <c r="D187" s="1296">
        <f>(E219*D171)/365/24</f>
        <v>619.05327454842461</v>
      </c>
      <c r="E187" s="455"/>
      <c r="F187" s="455"/>
      <c r="G187" s="455"/>
      <c r="H187" s="455"/>
      <c r="I187" s="455"/>
      <c r="J187" s="229"/>
    </row>
    <row r="188" spans="2:10" ht="12.75" customHeight="1">
      <c r="B188" s="230"/>
      <c r="C188" s="210"/>
      <c r="D188" s="455"/>
      <c r="E188" s="455"/>
      <c r="F188" s="455"/>
      <c r="G188" s="455"/>
      <c r="H188" s="455"/>
      <c r="I188" s="455"/>
      <c r="J188" s="229"/>
    </row>
    <row r="189" spans="2:10" ht="12.75" customHeight="1">
      <c r="B189" s="230" t="s">
        <v>1664</v>
      </c>
      <c r="C189" s="210" t="s">
        <v>585</v>
      </c>
      <c r="D189" s="1299">
        <v>9</v>
      </c>
      <c r="E189" s="455"/>
      <c r="F189" s="455"/>
      <c r="G189" s="455"/>
      <c r="H189" s="455"/>
      <c r="I189" s="455" t="str">
        <f>Referencer!$B$44</f>
        <v>38, Biogas i Danmark - status, barrierer og perspektiver, Biogas Taskforce, November 2013, Kap 8, Biogasøkonomi. Ea-energianalyser har leveret den bagvedliggende data.</v>
      </c>
      <c r="J189" s="229"/>
    </row>
    <row r="190" spans="2:10" ht="12.75" customHeight="1">
      <c r="B190" s="230" t="s">
        <v>1665</v>
      </c>
      <c r="C190" s="210" t="s">
        <v>334</v>
      </c>
      <c r="D190" s="1299">
        <v>0.1</v>
      </c>
      <c r="E190" s="455"/>
      <c r="F190" s="455"/>
      <c r="G190" s="455"/>
      <c r="H190" s="455"/>
      <c r="I190" s="455" t="str">
        <f>Referencer!$B$44</f>
        <v>38, Biogas i Danmark - status, barrierer og perspektiver, Biogas Taskforce, November 2013, Kap 8, Biogasøkonomi. Ea-energianalyser har leveret den bagvedliggende data.</v>
      </c>
      <c r="J190" s="229"/>
    </row>
    <row r="191" spans="2:10" ht="12.75" customHeight="1">
      <c r="B191" s="230" t="s">
        <v>1666</v>
      </c>
      <c r="C191" s="210" t="s">
        <v>585</v>
      </c>
      <c r="D191" s="1299">
        <v>14</v>
      </c>
      <c r="E191" s="455"/>
      <c r="F191" s="455"/>
      <c r="G191" s="455"/>
      <c r="H191" s="455"/>
      <c r="I191" s="455" t="str">
        <f>Referencer!$B$44</f>
        <v>38, Biogas i Danmark - status, barrierer og perspektiver, Biogas Taskforce, November 2013, Kap 8, Biogasøkonomi. Ea-energianalyser har leveret den bagvedliggende data.</v>
      </c>
      <c r="J191" s="229"/>
    </row>
    <row r="192" spans="2:10" ht="12.75" customHeight="1">
      <c r="B192" s="230" t="s">
        <v>1667</v>
      </c>
      <c r="C192" s="210" t="s">
        <v>334</v>
      </c>
      <c r="D192" s="1299">
        <v>0</v>
      </c>
      <c r="E192" s="455"/>
      <c r="F192" s="455"/>
      <c r="G192" s="455"/>
      <c r="H192" s="455"/>
      <c r="I192" s="455" t="str">
        <f>Referencer!$B$44</f>
        <v>38, Biogas i Danmark - status, barrierer og perspektiver, Biogas Taskforce, November 2013, Kap 8, Biogasøkonomi. Ea-energianalyser har leveret den bagvedliggende data.</v>
      </c>
      <c r="J192" s="229"/>
    </row>
    <row r="193" spans="2:20" ht="12.75" customHeight="1">
      <c r="B193" s="230"/>
      <c r="C193" s="210"/>
      <c r="D193" s="1300"/>
      <c r="E193" s="455"/>
      <c r="F193" s="455"/>
      <c r="G193" s="455"/>
      <c r="H193" s="455"/>
      <c r="I193" s="455"/>
      <c r="J193" s="229"/>
      <c r="T193" s="523">
        <v>1</v>
      </c>
    </row>
    <row r="194" spans="2:20" ht="12.75" customHeight="1">
      <c r="B194" s="230" t="s">
        <v>1510</v>
      </c>
      <c r="C194" s="210" t="s">
        <v>29</v>
      </c>
      <c r="D194" s="1299">
        <v>0.65</v>
      </c>
      <c r="E194" s="480"/>
      <c r="F194" s="480"/>
      <c r="G194" s="480"/>
      <c r="H194" s="480"/>
      <c r="I194" s="455" t="str">
        <f>Referencer!$B$44</f>
        <v>38, Biogas i Danmark - status, barrierer og perspektiver, Biogas Taskforce, November 2013, Kap 8, Biogasøkonomi. Ea-energianalyser har leveret den bagvedliggende data.</v>
      </c>
      <c r="J194" s="229"/>
    </row>
    <row r="195" spans="2:20" ht="12.75" customHeight="1">
      <c r="B195" s="230" t="s">
        <v>1511</v>
      </c>
      <c r="C195" s="210" t="s">
        <v>29</v>
      </c>
      <c r="D195" s="1299">
        <v>0.93</v>
      </c>
      <c r="E195" s="480"/>
      <c r="F195" s="480"/>
      <c r="G195" s="480"/>
      <c r="H195" s="480"/>
      <c r="I195" s="455" t="str">
        <f>Referencer!$B$44</f>
        <v>38, Biogas i Danmark - status, barrierer og perspektiver, Biogas Taskforce, November 2013, Kap 8, Biogasøkonomi. Ea-energianalyser har leveret den bagvedliggende data.</v>
      </c>
      <c r="J195" s="229"/>
    </row>
    <row r="196" spans="2:20" ht="12.75" customHeight="1">
      <c r="B196" s="230" t="s">
        <v>1664</v>
      </c>
      <c r="C196" s="210" t="s">
        <v>190</v>
      </c>
      <c r="D196" s="480">
        <f>D189*$J$219*Supplementary!C50</f>
        <v>2.1021008407877489E-2</v>
      </c>
      <c r="E196" s="480"/>
      <c r="F196" s="480"/>
      <c r="G196" s="480"/>
      <c r="H196" s="480"/>
      <c r="I196" s="455"/>
      <c r="J196" s="229"/>
    </row>
    <row r="197" spans="2:20" ht="12.75" customHeight="1" thickBot="1">
      <c r="B197" s="242" t="s">
        <v>1666</v>
      </c>
      <c r="C197" s="78" t="s">
        <v>190</v>
      </c>
      <c r="D197" s="459">
        <f>D191*J219*Supplementary!C50</f>
        <v>3.2699346412253874E-2</v>
      </c>
      <c r="E197" s="459"/>
      <c r="F197" s="459"/>
      <c r="G197" s="459"/>
      <c r="H197" s="459"/>
      <c r="I197" s="244"/>
      <c r="J197" s="240"/>
    </row>
    <row r="198" spans="2:20" ht="12.75" customHeight="1">
      <c r="B198" s="221"/>
      <c r="C198" s="1301"/>
      <c r="D198" s="1302"/>
      <c r="E198" s="1302"/>
      <c r="F198" s="1302"/>
      <c r="G198" s="1302"/>
      <c r="H198" s="1302"/>
      <c r="I198" s="221"/>
      <c r="J198" s="221"/>
    </row>
    <row r="199" spans="2:20" ht="12.75" customHeight="1" thickBot="1">
      <c r="B199" s="455"/>
      <c r="C199" s="209"/>
      <c r="D199" s="455"/>
      <c r="E199" s="480"/>
      <c r="F199" s="480"/>
      <c r="G199" s="480"/>
      <c r="H199" s="480"/>
      <c r="I199" s="455"/>
      <c r="J199" s="455"/>
    </row>
    <row r="200" spans="2:20" ht="12.75" customHeight="1">
      <c r="B200" s="219"/>
      <c r="C200" s="1179" t="s">
        <v>1538</v>
      </c>
      <c r="D200" s="2536" t="s">
        <v>1539</v>
      </c>
      <c r="E200" s="2536"/>
      <c r="F200" s="221"/>
      <c r="G200" s="221"/>
      <c r="H200" s="221"/>
      <c r="I200" s="221"/>
      <c r="J200" s="221"/>
      <c r="K200" s="221"/>
      <c r="L200" s="221"/>
      <c r="M200" s="222"/>
      <c r="N200" s="1319"/>
      <c r="P200" s="219" t="s">
        <v>2033</v>
      </c>
      <c r="Q200" s="221"/>
      <c r="R200" s="222"/>
      <c r="T200" s="1319">
        <v>1</v>
      </c>
    </row>
    <row r="201" spans="2:20" ht="12.75" customHeight="1">
      <c r="B201" s="230"/>
      <c r="C201" s="1180" t="s">
        <v>1540</v>
      </c>
      <c r="D201" s="1181" t="s">
        <v>1541</v>
      </c>
      <c r="E201" s="1181" t="s">
        <v>1542</v>
      </c>
      <c r="F201" s="1182" t="s">
        <v>1543</v>
      </c>
      <c r="G201" s="1181" t="s">
        <v>1544</v>
      </c>
      <c r="H201" s="1181"/>
      <c r="I201" s="1183" t="s">
        <v>1545</v>
      </c>
      <c r="J201" s="1184" t="s">
        <v>321</v>
      </c>
      <c r="K201" s="1185" t="s">
        <v>1546</v>
      </c>
      <c r="L201" s="1185" t="s">
        <v>1547</v>
      </c>
      <c r="M201" s="1186" t="s">
        <v>1548</v>
      </c>
      <c r="N201" s="1320" t="s">
        <v>1739</v>
      </c>
      <c r="P201" s="223">
        <v>1</v>
      </c>
      <c r="Q201" s="226">
        <v>2</v>
      </c>
      <c r="R201" s="227">
        <v>3</v>
      </c>
      <c r="S201" s="523">
        <v>1</v>
      </c>
      <c r="T201" s="1320">
        <v>1</v>
      </c>
    </row>
    <row r="202" spans="2:20" ht="12.75" customHeight="1">
      <c r="B202" s="1187" t="s">
        <v>1549</v>
      </c>
      <c r="C202" s="2452">
        <f t="shared" ref="C202:C218" si="2">CHOOSE(BG_valg,P202,Q202,R202)</f>
        <v>0.85</v>
      </c>
      <c r="D202" s="1188">
        <f>E202/'Biogas ENS'!$D$194</f>
        <v>17.775546839677588</v>
      </c>
      <c r="E202" s="1189">
        <f t="shared" ref="E202:E218" si="3">I202*G202*F202</f>
        <v>11.554105445790432</v>
      </c>
      <c r="F202" s="1190">
        <v>240.89912280701753</v>
      </c>
      <c r="G202" s="1191">
        <v>5.9953027802462866E-2</v>
      </c>
      <c r="H202" s="1191"/>
      <c r="I202" s="1192">
        <v>0.8</v>
      </c>
      <c r="J202" s="2421">
        <f>E202*'Biogas ENS'!$D$184</f>
        <v>0.41469995266031018</v>
      </c>
      <c r="K202" s="1194">
        <v>25</v>
      </c>
      <c r="L202" s="1194">
        <v>0</v>
      </c>
      <c r="M202" s="1195">
        <v>0</v>
      </c>
      <c r="N202" s="1321">
        <v>18.2</v>
      </c>
      <c r="P202" s="1638">
        <v>0.85</v>
      </c>
      <c r="Q202" s="1639">
        <v>0.85</v>
      </c>
      <c r="R202" s="1640">
        <v>0.85</v>
      </c>
      <c r="T202" s="1646" t="s">
        <v>2034</v>
      </c>
    </row>
    <row r="203" spans="2:20" ht="12.75" customHeight="1">
      <c r="B203" s="1196" t="s">
        <v>1550</v>
      </c>
      <c r="C203" s="2453">
        <f t="shared" si="2"/>
        <v>0.15</v>
      </c>
      <c r="D203" s="1188">
        <f>E203/'Biogas ENS'!$D$194</f>
        <v>84.67042038863724</v>
      </c>
      <c r="E203" s="1189">
        <f t="shared" si="3"/>
        <v>55.035773252614206</v>
      </c>
      <c r="F203" s="1190">
        <v>245.09803921568627</v>
      </c>
      <c r="G203" s="1191">
        <v>0.28068244358833244</v>
      </c>
      <c r="H203" s="1191"/>
      <c r="I203" s="1192">
        <v>0.8</v>
      </c>
      <c r="J203" s="1193">
        <f>E203*'Biogas ENS'!$D$184</f>
        <v>1.9753439735828291</v>
      </c>
      <c r="K203" s="1194">
        <v>50</v>
      </c>
      <c r="L203" s="1194">
        <v>155.82</v>
      </c>
      <c r="M203" s="1195">
        <v>56</v>
      </c>
      <c r="N203" s="1321">
        <v>79.900000000000006</v>
      </c>
      <c r="P203" s="1641">
        <v>0.15</v>
      </c>
      <c r="Q203" s="1642">
        <v>0.1</v>
      </c>
      <c r="R203" s="1643">
        <v>0.1</v>
      </c>
      <c r="T203" s="1646" t="s">
        <v>2035</v>
      </c>
    </row>
    <row r="204" spans="2:20" ht="12.75" customHeight="1" thickBot="1">
      <c r="B204" s="1196" t="s">
        <v>1551</v>
      </c>
      <c r="C204" s="2453">
        <f t="shared" si="2"/>
        <v>0</v>
      </c>
      <c r="D204" s="1188">
        <f>E204/'Biogas ENS'!$D$194</f>
        <v>61.62431318681319</v>
      </c>
      <c r="E204" s="1189">
        <f t="shared" si="3"/>
        <v>40.055803571428577</v>
      </c>
      <c r="F204" s="1190">
        <v>231.25</v>
      </c>
      <c r="G204" s="1191">
        <v>0.21651785714285715</v>
      </c>
      <c r="H204" s="1191"/>
      <c r="I204" s="1192">
        <v>0.8</v>
      </c>
      <c r="J204" s="1193">
        <f>E204*'Biogas ENS'!$D$184</f>
        <v>1.4376829017857145</v>
      </c>
      <c r="K204" s="1194">
        <v>50</v>
      </c>
      <c r="L204" s="1194">
        <v>130</v>
      </c>
      <c r="M204" s="1195">
        <v>50</v>
      </c>
      <c r="N204" s="1321"/>
      <c r="P204" s="1641"/>
      <c r="Q204" s="1642"/>
      <c r="R204" s="1643"/>
      <c r="T204" s="1647" t="s">
        <v>2036</v>
      </c>
    </row>
    <row r="205" spans="2:20" ht="12.75" customHeight="1">
      <c r="B205" s="1196" t="s">
        <v>1552</v>
      </c>
      <c r="C205" s="2453">
        <f t="shared" si="2"/>
        <v>0</v>
      </c>
      <c r="D205" s="1188">
        <f>E205/'Biogas ENS'!$D$194</f>
        <v>9.452616349168073</v>
      </c>
      <c r="E205" s="1189">
        <f t="shared" si="3"/>
        <v>6.1442006269592477</v>
      </c>
      <c r="F205" s="1190">
        <v>350</v>
      </c>
      <c r="G205" s="1191">
        <v>2.1943573667711599E-2</v>
      </c>
      <c r="H205" s="1191"/>
      <c r="I205" s="1192">
        <v>0.8</v>
      </c>
      <c r="J205" s="1193">
        <f>E205*'Biogas ENS'!$D$184</f>
        <v>0.22052764890282131</v>
      </c>
      <c r="K205" s="1194">
        <v>50</v>
      </c>
      <c r="L205" s="1194"/>
      <c r="M205" s="1195">
        <v>0</v>
      </c>
      <c r="N205" s="1321"/>
      <c r="P205" s="1641"/>
      <c r="Q205" s="1642"/>
      <c r="R205" s="1643"/>
      <c r="T205" s="523">
        <v>1</v>
      </c>
    </row>
    <row r="206" spans="2:20" ht="12.75" customHeight="1">
      <c r="B206" s="1196" t="s">
        <v>1553</v>
      </c>
      <c r="C206" s="2453">
        <f t="shared" si="2"/>
        <v>0</v>
      </c>
      <c r="D206" s="1188">
        <f>E206/'Biogas ENS'!$D$194</f>
        <v>341.63461538461536</v>
      </c>
      <c r="E206" s="1189">
        <f t="shared" si="3"/>
        <v>222.0625</v>
      </c>
      <c r="F206" s="1190">
        <v>275</v>
      </c>
      <c r="G206" s="1191">
        <v>0.85</v>
      </c>
      <c r="H206" s="1191"/>
      <c r="I206" s="1192">
        <v>0.95</v>
      </c>
      <c r="J206" s="1193">
        <f>E206*'Biogas ENS'!$D$184</f>
        <v>7.97026725</v>
      </c>
      <c r="K206" s="1194">
        <v>501.5</v>
      </c>
      <c r="L206" s="1194">
        <v>430</v>
      </c>
      <c r="M206" s="1195">
        <v>115</v>
      </c>
      <c r="N206" s="1321">
        <f>-14.5*5.64</f>
        <v>-81.78</v>
      </c>
      <c r="P206" s="1641"/>
      <c r="Q206" s="1642"/>
      <c r="R206" s="1643">
        <v>0.03</v>
      </c>
    </row>
    <row r="207" spans="2:20" ht="12.75" customHeight="1">
      <c r="B207" s="1196" t="s">
        <v>1554</v>
      </c>
      <c r="C207" s="2453">
        <f t="shared" si="2"/>
        <v>0</v>
      </c>
      <c r="D207" s="1188">
        <f>E207/'Biogas ENS'!$D$194</f>
        <v>38.141025641025642</v>
      </c>
      <c r="E207" s="1189">
        <f t="shared" si="3"/>
        <v>24.791666666666668</v>
      </c>
      <c r="F207" s="1190">
        <v>275.46296296296293</v>
      </c>
      <c r="G207" s="1191">
        <v>0.1</v>
      </c>
      <c r="H207" s="1191"/>
      <c r="I207" s="1192">
        <v>0.9</v>
      </c>
      <c r="J207" s="1193">
        <f>E207*'Biogas ENS'!$D$184</f>
        <v>0.88982250000000007</v>
      </c>
      <c r="K207" s="1194">
        <v>144</v>
      </c>
      <c r="L207" s="1194">
        <v>100</v>
      </c>
      <c r="M207" s="1195">
        <v>50</v>
      </c>
      <c r="N207" s="1321"/>
      <c r="P207" s="1641"/>
      <c r="Q207" s="1642"/>
      <c r="R207" s="1643"/>
    </row>
    <row r="208" spans="2:20" ht="12.75" customHeight="1">
      <c r="B208" s="1196" t="s">
        <v>1555</v>
      </c>
      <c r="C208" s="2453">
        <f t="shared" si="2"/>
        <v>0</v>
      </c>
      <c r="D208" s="1188">
        <f>E208/'Biogas ENS'!$D$194</f>
        <v>220.78586970433889</v>
      </c>
      <c r="E208" s="1189">
        <f t="shared" si="3"/>
        <v>143.51081530782028</v>
      </c>
      <c r="F208" s="1190">
        <v>277.31558513588465</v>
      </c>
      <c r="G208" s="1191">
        <v>0.57499999999999996</v>
      </c>
      <c r="H208" s="1191"/>
      <c r="I208" s="1192">
        <v>0.9</v>
      </c>
      <c r="J208" s="1193">
        <f>E208*'Biogas ENS'!$D$184</f>
        <v>5.1508901830282854</v>
      </c>
      <c r="K208" s="1194">
        <v>287.5</v>
      </c>
      <c r="L208" s="1194">
        <v>300</v>
      </c>
      <c r="M208" s="1195">
        <v>90</v>
      </c>
      <c r="N208" s="1321"/>
      <c r="P208" s="1641"/>
      <c r="Q208" s="1642"/>
      <c r="R208" s="1643"/>
    </row>
    <row r="209" spans="2:18" ht="12.75" customHeight="1">
      <c r="B209" s="1196" t="s">
        <v>1556</v>
      </c>
      <c r="C209" s="2453">
        <f t="shared" si="2"/>
        <v>0</v>
      </c>
      <c r="D209" s="1188">
        <f>E209/'Biogas ENS'!$D$194</f>
        <v>91.575091575091577</v>
      </c>
      <c r="E209" s="1189">
        <f t="shared" si="3"/>
        <v>59.523809523809526</v>
      </c>
      <c r="F209" s="1190">
        <v>264.55026455026456</v>
      </c>
      <c r="G209" s="1191">
        <v>0.25</v>
      </c>
      <c r="H209" s="1191"/>
      <c r="I209" s="1192">
        <v>0.9</v>
      </c>
      <c r="J209" s="1193">
        <f>E209*'Biogas ENS'!$D$184</f>
        <v>2.1364285714285716</v>
      </c>
      <c r="K209" s="1194">
        <v>250</v>
      </c>
      <c r="L209" s="1194">
        <v>100</v>
      </c>
      <c r="M209" s="1195">
        <v>50</v>
      </c>
      <c r="N209" s="1321"/>
      <c r="P209" s="1641"/>
      <c r="Q209" s="1642"/>
      <c r="R209" s="1643"/>
    </row>
    <row r="210" spans="2:18" ht="12.75" customHeight="1">
      <c r="B210" s="1196" t="s">
        <v>1557</v>
      </c>
      <c r="C210" s="2453">
        <f t="shared" si="2"/>
        <v>0</v>
      </c>
      <c r="D210" s="1188">
        <f>E210/'Biogas ENS'!$D$194</f>
        <v>84.973166368515209</v>
      </c>
      <c r="E210" s="1189">
        <f t="shared" si="3"/>
        <v>55.232558139534888</v>
      </c>
      <c r="F210" s="1190">
        <v>245.4780361757106</v>
      </c>
      <c r="G210" s="1191">
        <v>0.25</v>
      </c>
      <c r="H210" s="1191"/>
      <c r="I210" s="1192">
        <v>0.9</v>
      </c>
      <c r="J210" s="1193">
        <f>E210*'Biogas ENS'!$D$184</f>
        <v>1.9824069767441863</v>
      </c>
      <c r="K210" s="1194">
        <v>240</v>
      </c>
      <c r="L210" s="1194">
        <v>100</v>
      </c>
      <c r="M210" s="1195">
        <v>50</v>
      </c>
      <c r="N210" s="1321"/>
      <c r="P210" s="1641"/>
      <c r="Q210" s="1642"/>
      <c r="R210" s="1643"/>
    </row>
    <row r="211" spans="2:18" ht="12.75" customHeight="1">
      <c r="B211" s="1196" t="s">
        <v>1558</v>
      </c>
      <c r="C211" s="2453">
        <f t="shared" si="2"/>
        <v>0</v>
      </c>
      <c r="D211" s="1188">
        <f>E211/'Biogas ENS'!$D$194</f>
        <v>72.715318869165017</v>
      </c>
      <c r="E211" s="1189">
        <f t="shared" si="3"/>
        <v>47.26495726495726</v>
      </c>
      <c r="F211" s="1190">
        <v>175.05539727761948</v>
      </c>
      <c r="G211" s="1191">
        <v>0.3</v>
      </c>
      <c r="H211" s="1191"/>
      <c r="I211" s="1192">
        <v>0.9</v>
      </c>
      <c r="J211" s="1193">
        <f>E211*'Biogas ENS'!$D$184</f>
        <v>1.696433846153846</v>
      </c>
      <c r="K211" s="1194">
        <v>45</v>
      </c>
      <c r="L211" s="1194">
        <v>430</v>
      </c>
      <c r="M211" s="1195">
        <v>115</v>
      </c>
      <c r="N211" s="1321"/>
      <c r="P211" s="1641"/>
      <c r="Q211" s="1642"/>
      <c r="R211" s="1643"/>
    </row>
    <row r="212" spans="2:18" ht="12.75" customHeight="1">
      <c r="B212" s="1196" t="s">
        <v>1559</v>
      </c>
      <c r="C212" s="2453">
        <f t="shared" si="2"/>
        <v>0</v>
      </c>
      <c r="D212" s="1188">
        <f>E212/'Biogas ENS'!$D$194</f>
        <v>43.607800650054173</v>
      </c>
      <c r="E212" s="1189">
        <f t="shared" si="3"/>
        <v>28.345070422535212</v>
      </c>
      <c r="F212" s="1190">
        <v>209.96348461137194</v>
      </c>
      <c r="G212" s="1191">
        <v>0.15</v>
      </c>
      <c r="H212" s="1191"/>
      <c r="I212" s="1192">
        <v>0.9</v>
      </c>
      <c r="J212" s="1193">
        <f>E212*'Biogas ENS'!$D$184</f>
        <v>1.0173612676056338</v>
      </c>
      <c r="K212" s="1194">
        <v>22.5</v>
      </c>
      <c r="L212" s="1194">
        <v>175</v>
      </c>
      <c r="M212" s="1195">
        <v>56</v>
      </c>
      <c r="N212" s="1321"/>
      <c r="P212" s="1641"/>
      <c r="Q212" s="1642"/>
      <c r="R212" s="1643"/>
    </row>
    <row r="213" spans="2:18" ht="12.75" customHeight="1">
      <c r="B213" s="1196" t="s">
        <v>1560</v>
      </c>
      <c r="C213" s="2453">
        <f t="shared" si="2"/>
        <v>0</v>
      </c>
      <c r="D213" s="1188">
        <f>E213/'Biogas ENS'!$D$194</f>
        <v>163.46153846153842</v>
      </c>
      <c r="E213" s="1189">
        <f t="shared" si="3"/>
        <v>106.24999999999999</v>
      </c>
      <c r="F213" s="1190">
        <v>419.75308641975306</v>
      </c>
      <c r="G213" s="1191">
        <v>0.28125</v>
      </c>
      <c r="H213" s="1191"/>
      <c r="I213" s="1192">
        <v>0.9</v>
      </c>
      <c r="J213" s="1193">
        <f>E213*'Biogas ENS'!$D$184</f>
        <v>3.8135249999999994</v>
      </c>
      <c r="K213" s="1194">
        <v>140.5</v>
      </c>
      <c r="L213" s="1194">
        <v>50</v>
      </c>
      <c r="M213" s="1195">
        <v>56</v>
      </c>
      <c r="N213" s="1321"/>
      <c r="P213" s="1641"/>
      <c r="Q213" s="1642"/>
      <c r="R213" s="1643"/>
    </row>
    <row r="214" spans="2:18" ht="12.75" customHeight="1">
      <c r="B214" s="1196" t="s">
        <v>1561</v>
      </c>
      <c r="C214" s="2453">
        <f t="shared" si="2"/>
        <v>0</v>
      </c>
      <c r="D214" s="1188">
        <f>E214/'Biogas ENS'!$D$194</f>
        <v>305.2503052503053</v>
      </c>
      <c r="E214" s="1189">
        <f t="shared" si="3"/>
        <v>198.41269841269846</v>
      </c>
      <c r="F214" s="1190">
        <v>250</v>
      </c>
      <c r="G214" s="1191">
        <v>0.88183421516754867</v>
      </c>
      <c r="H214" s="1191"/>
      <c r="I214" s="1192">
        <v>0.9</v>
      </c>
      <c r="J214" s="1193">
        <f>E214*'Biogas ENS'!$D$184</f>
        <v>7.1214285714285737</v>
      </c>
      <c r="K214" s="1194">
        <v>300</v>
      </c>
      <c r="L214" s="1194"/>
      <c r="M214" s="1195">
        <v>38</v>
      </c>
      <c r="N214" s="1321"/>
      <c r="P214" s="1641"/>
      <c r="Q214" s="1642"/>
      <c r="R214" s="1643">
        <v>0.02</v>
      </c>
    </row>
    <row r="215" spans="2:18" ht="12.75" customHeight="1">
      <c r="B215" s="1196" t="s">
        <v>1562</v>
      </c>
      <c r="C215" s="2453">
        <f t="shared" si="2"/>
        <v>0</v>
      </c>
      <c r="D215" s="1188">
        <f>E215/'Biogas ENS'!$D$194</f>
        <v>153.84615384615384</v>
      </c>
      <c r="E215" s="1189">
        <f t="shared" si="3"/>
        <v>100</v>
      </c>
      <c r="F215" s="1190">
        <v>350.87719298245617</v>
      </c>
      <c r="G215" s="1191">
        <v>0.3</v>
      </c>
      <c r="H215" s="1191"/>
      <c r="I215" s="1192">
        <v>0.95</v>
      </c>
      <c r="J215" s="1193">
        <f>E215*'Biogas ENS'!$D$184</f>
        <v>3.5891999999999999</v>
      </c>
      <c r="K215" s="1194">
        <v>260</v>
      </c>
      <c r="L215" s="1194">
        <v>50</v>
      </c>
      <c r="M215" s="1195">
        <v>18</v>
      </c>
      <c r="N215" s="2439">
        <v>-60.2</v>
      </c>
      <c r="P215" s="1641"/>
      <c r="Q215" s="1642">
        <v>0.05</v>
      </c>
      <c r="R215" s="1643"/>
    </row>
    <row r="216" spans="2:18" ht="12.75" customHeight="1">
      <c r="B216" s="1196" t="s">
        <v>1563</v>
      </c>
      <c r="C216" s="2453">
        <f t="shared" si="2"/>
        <v>0</v>
      </c>
      <c r="D216" s="1188">
        <f>E216/'Biogas ENS'!$D$194</f>
        <v>116.23931623931624</v>
      </c>
      <c r="E216" s="1189">
        <f t="shared" si="3"/>
        <v>75.555555555555557</v>
      </c>
      <c r="F216" s="1190">
        <v>397.66081871345028</v>
      </c>
      <c r="G216" s="1191">
        <v>0.2</v>
      </c>
      <c r="H216" s="1191"/>
      <c r="I216" s="1192">
        <v>0.95</v>
      </c>
      <c r="J216" s="1193">
        <f>E216*'Biogas ENS'!$D$184</f>
        <v>2.71184</v>
      </c>
      <c r="K216" s="1194">
        <v>275</v>
      </c>
      <c r="L216" s="1194">
        <v>50</v>
      </c>
      <c r="M216" s="1195">
        <v>18</v>
      </c>
      <c r="N216" s="1321"/>
      <c r="P216" s="1641"/>
      <c r="Q216" s="1642"/>
      <c r="R216" s="1643"/>
    </row>
    <row r="217" spans="2:18" ht="12.75" customHeight="1">
      <c r="B217" s="1196" t="s">
        <v>1564</v>
      </c>
      <c r="C217" s="2453">
        <f t="shared" si="2"/>
        <v>0</v>
      </c>
      <c r="D217" s="1188">
        <f>E217/'Biogas ENS'!$D$194</f>
        <v>62.443438914027155</v>
      </c>
      <c r="E217" s="1189">
        <f t="shared" si="3"/>
        <v>40.588235294117652</v>
      </c>
      <c r="F217" s="1190">
        <v>300.65359477124184</v>
      </c>
      <c r="G217" s="1191">
        <v>0.15</v>
      </c>
      <c r="H217" s="1191"/>
      <c r="I217" s="1192">
        <v>0.9</v>
      </c>
      <c r="J217" s="1193">
        <f>E217*'Biogas ENS'!$D$184</f>
        <v>1.4567929411764708</v>
      </c>
      <c r="K217" s="1194">
        <v>165</v>
      </c>
      <c r="L217" s="1194">
        <v>50</v>
      </c>
      <c r="M217" s="1195">
        <v>18</v>
      </c>
      <c r="N217" s="2439">
        <v>-71.900000000000006</v>
      </c>
      <c r="P217" s="1641"/>
      <c r="Q217" s="1642"/>
      <c r="R217" s="1643"/>
    </row>
    <row r="218" spans="2:18" ht="12.75" customHeight="1">
      <c r="B218" s="1196" t="s">
        <v>1565</v>
      </c>
      <c r="C218" s="2454">
        <f t="shared" si="2"/>
        <v>0</v>
      </c>
      <c r="D218" s="1188">
        <f>E218/'Biogas ENS'!$D$194</f>
        <v>51.811701811701823</v>
      </c>
      <c r="E218" s="1189">
        <f t="shared" si="3"/>
        <v>33.677606177606187</v>
      </c>
      <c r="F218" s="1190">
        <v>299.3564993564994</v>
      </c>
      <c r="G218" s="1191">
        <v>0.125</v>
      </c>
      <c r="H218" s="1191"/>
      <c r="I218" s="1192">
        <v>0.9</v>
      </c>
      <c r="J218" s="1197">
        <f>E218*'Biogas ENS'!$D$184</f>
        <v>1.2087566409266413</v>
      </c>
      <c r="K218" s="1194">
        <v>56.2</v>
      </c>
      <c r="L218" s="1194">
        <v>50</v>
      </c>
      <c r="M218" s="1195">
        <v>18</v>
      </c>
      <c r="N218" s="1321"/>
      <c r="P218" s="1641"/>
      <c r="Q218" s="1642"/>
      <c r="R218" s="1643"/>
    </row>
    <row r="219" spans="2:18" ht="12.75" customHeight="1" thickBot="1">
      <c r="B219" s="1198"/>
      <c r="C219" s="1199"/>
      <c r="D219" s="1200">
        <f>SUMPRODUCT($C$202:$C$218,D$202:D$218)</f>
        <v>27.809777872021535</v>
      </c>
      <c r="E219" s="1200">
        <f>SUMPRODUCT($C$202:$C$218,E$202:E$218)</f>
        <v>18.076355616813998</v>
      </c>
      <c r="F219" s="1201"/>
      <c r="G219" s="1200"/>
      <c r="H219" s="1200"/>
      <c r="I219" s="1202"/>
      <c r="J219" s="1203">
        <f>SUMPRODUCT($C$202:$C$218,J$202:J$218)</f>
        <v>0.648796555798688</v>
      </c>
      <c r="K219" s="1201">
        <f>SUMPRODUCT($C$202:$C$218,K$202:K$218)</f>
        <v>28.75</v>
      </c>
      <c r="L219" s="1200">
        <f>SUMPRODUCT($C$202:$C$218,L$202:L$218)</f>
        <v>23.372999999999998</v>
      </c>
      <c r="M219" s="1204">
        <f>SUMPRODUCT($C$202:$C$218,M$202:M$218)</f>
        <v>8.4</v>
      </c>
      <c r="N219" s="1204">
        <f>SUMPRODUCT($C$202:$C$218,N$202:N$218)</f>
        <v>27.454999999999998</v>
      </c>
      <c r="P219" s="1644">
        <f>SUM(P202:P218)</f>
        <v>1</v>
      </c>
      <c r="Q219" s="1341">
        <f>SUM(Q202:Q218)</f>
        <v>1</v>
      </c>
      <c r="R219" s="1645">
        <f>SUM(R202:R218)</f>
        <v>1</v>
      </c>
    </row>
    <row r="220" spans="2:18" ht="12.75" customHeight="1">
      <c r="B220" s="523" t="str">
        <f>CONCATENATE("Source: ",Referencer!B44)</f>
        <v>Source: 38, Biogas i Danmark - status, barrierer og perspektiver, Biogas Taskforce, November 2013, Kap 8, Biogasøkonomi. Ea-energianalyser har leveret den bagvedliggende data.</v>
      </c>
      <c r="J220" s="455"/>
      <c r="K220" s="455"/>
      <c r="L220" s="455"/>
      <c r="M220" s="455"/>
      <c r="N220" s="523" t="str">
        <f>CONCATENATE("Source: ",Referencer!B46)</f>
        <v>Source: 40, IFRO rapport 220: Biogasproduktion i Danmark – Vurderinger af drifts- og samfundsøkonomi, 2013, tabel 5.6. http://curis.ku.dk/ws/files/46258309/IFRO_rapport_220.pdf</v>
      </c>
    </row>
    <row r="221" spans="2:18" ht="12.75" customHeight="1"/>
    <row r="222" spans="2:18" ht="12.75" customHeight="1"/>
    <row r="223" spans="2:18" ht="12.75" customHeight="1"/>
    <row r="224" spans="2:18" ht="12.75" customHeight="1">
      <c r="D224" s="1318"/>
    </row>
    <row r="225" spans="4:16" ht="12.75" customHeight="1">
      <c r="D225" s="1318"/>
      <c r="P225" s="302"/>
    </row>
    <row r="226" spans="4:16" ht="12.75" customHeight="1">
      <c r="D226" s="1318"/>
    </row>
    <row r="227" spans="4:16" ht="12.75" customHeight="1">
      <c r="D227" s="1318"/>
    </row>
    <row r="228" spans="4:16" ht="12.75" customHeight="1">
      <c r="D228" s="1318"/>
      <c r="M228" s="1317"/>
      <c r="N228" s="1317"/>
    </row>
    <row r="229" spans="4:16" ht="12.75" customHeight="1">
      <c r="D229" s="1318"/>
      <c r="M229" s="1317"/>
      <c r="N229" s="1317"/>
    </row>
    <row r="230" spans="4:16" ht="12.75" customHeight="1">
      <c r="D230" s="297"/>
      <c r="M230" s="1317"/>
      <c r="N230" s="1317"/>
    </row>
    <row r="231" spans="4:16" ht="12.75" customHeight="1">
      <c r="M231" s="1317"/>
      <c r="N231" s="1317"/>
    </row>
    <row r="232" spans="4:16" ht="12.75" customHeight="1"/>
    <row r="233" spans="4:16" ht="12.75" customHeight="1"/>
    <row r="234" spans="4:16" ht="12.75" customHeight="1"/>
    <row r="235" spans="4:16" ht="12.75" customHeight="1"/>
    <row r="236" spans="4:16" ht="12.75" customHeight="1"/>
    <row r="237" spans="4:16" ht="12.75" customHeight="1"/>
    <row r="238" spans="4:16" ht="12.75" customHeight="1"/>
    <row r="239" spans="4:16" ht="12.75" customHeight="1"/>
    <row r="240" spans="4:16"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sheetData>
  <mergeCells count="1">
    <mergeCell ref="D200:E200"/>
  </mergeCells>
  <pageMargins left="0.15748031496062992" right="0.15748031496062992" top="1.25" bottom="0.19685039370078741" header="0.51181102362204722" footer="0.51181102362204722"/>
  <pageSetup paperSize="9" scale="38" orientation="landscape" r:id="rId1"/>
  <headerFooter alignWithMargins="0">
    <oddHeader>&amp;L&amp;"Arial"&amp;14&amp;BBeregningsmodel
&amp;"Arial"&amp;08&amp;B64329, Teknologivurdering af alternative drivmidler til transportsektoren&amp;R&amp;"Arial"&amp;08Page &amp;P of &amp;N</oddHeader>
    <oddFooter>&amp;L&amp;"Arial"&amp;08&amp;Z&amp;F
Sheet: &amp;A&amp;C&amp;"Arial"&amp;08Printed &amp;D &amp;T&amp;R&amp;G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127425" r:id="rId5" name="Button 1">
              <controlPr defaultSize="0" print="0" autoFill="0" autoPict="0">
                <anchor>
                  <from>
                    <xdr:col>5</xdr:col>
                    <xdr:colOff>676275</xdr:colOff>
                    <xdr:row>0</xdr:row>
                    <xdr:rowOff>38100</xdr:rowOff>
                  </from>
                  <to>
                    <xdr:col>6</xdr:col>
                    <xdr:colOff>695325</xdr:colOff>
                    <xdr:row>0</xdr:row>
                    <xdr:rowOff>238125</xdr:rowOff>
                  </to>
                </anchor>
              </controlPr>
            </control>
          </mc:Choice>
        </mc:AlternateContent>
        <mc:AlternateContent xmlns:mc="http://schemas.openxmlformats.org/markup-compatibility/2006">
          <mc:Choice Requires="x14">
            <control shapeId="1127426" r:id="rId6" name="Button 2">
              <controlPr defaultSize="0" print="0" autoFill="0" autoPict="0">
                <anchor>
                  <from>
                    <xdr:col>6</xdr:col>
                    <xdr:colOff>866775</xdr:colOff>
                    <xdr:row>0</xdr:row>
                    <xdr:rowOff>38100</xdr:rowOff>
                  </from>
                  <to>
                    <xdr:col>7</xdr:col>
                    <xdr:colOff>885825</xdr:colOff>
                    <xdr:row>0</xdr:row>
                    <xdr:rowOff>238125</xdr:rowOff>
                  </to>
                </anchor>
              </controlPr>
            </control>
          </mc:Choice>
        </mc:AlternateContent>
        <mc:AlternateContent xmlns:mc="http://schemas.openxmlformats.org/markup-compatibility/2006">
          <mc:Choice Requires="x14">
            <control shapeId="1127428" r:id="rId7" name="Drop Down 4">
              <controlPr defaultSize="0" autoLine="0" autoPict="0" macro="[0]!Biogas">
                <anchor moveWithCells="1">
                  <from>
                    <xdr:col>3</xdr:col>
                    <xdr:colOff>266700</xdr:colOff>
                    <xdr:row>9</xdr:row>
                    <xdr:rowOff>161925</xdr:rowOff>
                  </from>
                  <to>
                    <xdr:col>4</xdr:col>
                    <xdr:colOff>304800</xdr:colOff>
                    <xdr:row>11</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Supplementary!$B$238:$B$241</xm:f>
          </x14:formula1>
          <xm:sqref>C19</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00B0F0"/>
    <pageSetUpPr fitToPage="1"/>
  </sheetPr>
  <dimension ref="A1:R285"/>
  <sheetViews>
    <sheetView topLeftCell="A64" zoomScale="80" zoomScaleNormal="80" workbookViewId="0">
      <selection activeCell="H100" sqref="H100:H106"/>
    </sheetView>
  </sheetViews>
  <sheetFormatPr defaultColWidth="8.85546875" defaultRowHeight="12.75"/>
  <cols>
    <col min="1" max="1" width="3.28515625" style="167" customWidth="1"/>
    <col min="2" max="2" width="36" style="167" customWidth="1"/>
    <col min="3" max="3" width="16.5703125" style="167" customWidth="1"/>
    <col min="4" max="4" width="18.7109375" style="167" bestFit="1" customWidth="1"/>
    <col min="5" max="7" width="15.7109375" style="167" customWidth="1"/>
    <col min="8" max="8" width="15.7109375" style="530" customWidth="1"/>
    <col min="9" max="9" width="7.28515625" style="167" customWidth="1"/>
    <col min="10" max="10" width="12.7109375" style="167" customWidth="1"/>
    <col min="11" max="11" width="10.85546875" style="167" customWidth="1"/>
    <col min="12" max="12" width="13.28515625" style="167" customWidth="1"/>
    <col min="13" max="13" width="10.85546875" style="167" customWidth="1"/>
    <col min="14" max="14" width="37.85546875" style="167" customWidth="1"/>
    <col min="15" max="16" width="8.85546875" style="167"/>
    <col min="17" max="18" width="11.42578125" style="167" customWidth="1"/>
    <col min="19" max="16384" width="8.85546875" style="167"/>
  </cols>
  <sheetData>
    <row r="1" spans="2:18" s="465" customFormat="1" ht="21">
      <c r="B1" s="465" t="s">
        <v>307</v>
      </c>
      <c r="Q1" s="467">
        <f ca="1">'Log2015'!M1</f>
        <v>-8.0112614142160741</v>
      </c>
      <c r="R1" s="468">
        <f ca="1">'Log2015'!N1</f>
        <v>-160807.124977848</v>
      </c>
    </row>
    <row r="2" spans="2:18" ht="12.75" customHeight="1">
      <c r="Q2" s="623">
        <f ca="1">Q1</f>
        <v>-8.0112614142160741</v>
      </c>
      <c r="R2" s="623">
        <f ca="1">R1</f>
        <v>-160807.124977848</v>
      </c>
    </row>
    <row r="3" spans="2:18" ht="12.75" customHeight="1"/>
    <row r="4" spans="2:18" s="215" customFormat="1" ht="12.75" customHeight="1">
      <c r="B4" s="454" t="s">
        <v>81</v>
      </c>
      <c r="H4" s="530"/>
    </row>
    <row r="5" spans="2:18" ht="12.75" customHeight="1" thickBot="1">
      <c r="B5" s="167" t="s">
        <v>137</v>
      </c>
    </row>
    <row r="6" spans="2:18" ht="12.75" customHeight="1" thickBot="1">
      <c r="B6" s="219" t="s">
        <v>137</v>
      </c>
      <c r="C6" s="245"/>
      <c r="D6" s="245"/>
      <c r="E6" s="245"/>
      <c r="F6" s="245"/>
      <c r="G6" s="245"/>
      <c r="H6" s="962"/>
      <c r="I6" s="245"/>
      <c r="J6" s="245"/>
      <c r="K6" s="245"/>
      <c r="L6" s="245"/>
      <c r="M6" s="246"/>
    </row>
    <row r="7" spans="2:18" ht="12.75" customHeight="1">
      <c r="B7" s="219" t="s">
        <v>308</v>
      </c>
      <c r="C7" s="248"/>
      <c r="D7" s="248"/>
      <c r="E7" s="248"/>
      <c r="F7" s="248"/>
      <c r="G7" s="248"/>
      <c r="H7" s="555"/>
      <c r="I7" s="248"/>
      <c r="J7" s="248"/>
      <c r="K7" s="248"/>
      <c r="L7" s="248"/>
      <c r="M7" s="249"/>
    </row>
    <row r="8" spans="2:18" ht="12.75" customHeight="1">
      <c r="B8" s="230"/>
      <c r="C8" s="248"/>
      <c r="D8" s="248"/>
      <c r="E8" s="248"/>
      <c r="F8" s="248"/>
      <c r="G8" s="248"/>
      <c r="H8" s="555"/>
      <c r="I8" s="248"/>
      <c r="J8" s="248"/>
      <c r="K8" s="248"/>
      <c r="L8" s="248"/>
      <c r="M8" s="249"/>
    </row>
    <row r="9" spans="2:18" ht="12.75" customHeight="1">
      <c r="B9" s="230"/>
      <c r="C9" s="248"/>
      <c r="D9" s="248"/>
      <c r="E9" s="248"/>
      <c r="F9" s="248"/>
      <c r="G9" s="248"/>
      <c r="H9" s="555"/>
      <c r="I9" s="248"/>
      <c r="J9" s="248"/>
      <c r="K9" s="248"/>
      <c r="L9" s="248"/>
      <c r="M9" s="249"/>
    </row>
    <row r="10" spans="2:18" ht="12.75" customHeight="1">
      <c r="B10" s="230" t="s">
        <v>2385</v>
      </c>
      <c r="C10" s="217" t="s">
        <v>2387</v>
      </c>
      <c r="D10" s="248"/>
      <c r="E10" s="248"/>
      <c r="F10" s="248"/>
      <c r="G10" s="248"/>
      <c r="H10" s="555"/>
      <c r="I10" s="248"/>
      <c r="J10" s="248"/>
      <c r="K10" s="248"/>
      <c r="L10" s="248"/>
      <c r="M10" s="249"/>
    </row>
    <row r="11" spans="2:18" ht="12.75" customHeight="1">
      <c r="B11" s="230" t="s">
        <v>309</v>
      </c>
      <c r="C11" s="217" t="s">
        <v>192</v>
      </c>
      <c r="D11" s="248"/>
      <c r="E11" s="248"/>
      <c r="F11" s="248"/>
      <c r="G11" s="248"/>
      <c r="H11" s="555"/>
      <c r="I11" s="248"/>
      <c r="J11" s="248"/>
      <c r="K11" s="248"/>
      <c r="L11" s="248"/>
      <c r="M11" s="249"/>
    </row>
    <row r="12" spans="2:18" ht="12.75" customHeight="1">
      <c r="B12" s="230" t="s">
        <v>310</v>
      </c>
      <c r="C12" s="248"/>
      <c r="D12" s="248"/>
      <c r="E12" s="248"/>
      <c r="F12" s="248"/>
      <c r="G12" s="248"/>
      <c r="H12" s="555"/>
      <c r="I12" s="248"/>
      <c r="J12" s="248"/>
      <c r="K12" s="248"/>
      <c r="L12" s="248"/>
      <c r="M12" s="249"/>
    </row>
    <row r="13" spans="2:18" ht="12.75" customHeight="1">
      <c r="B13" s="230"/>
      <c r="C13" s="248"/>
      <c r="D13" s="248"/>
      <c r="E13" s="248"/>
      <c r="F13" s="248"/>
      <c r="G13" s="248"/>
      <c r="H13" s="555"/>
      <c r="I13" s="248"/>
      <c r="J13" s="248"/>
      <c r="K13" s="248"/>
      <c r="L13" s="248"/>
      <c r="M13" s="249"/>
    </row>
    <row r="14" spans="2:18" ht="12.75" customHeight="1">
      <c r="B14" s="230" t="s">
        <v>140</v>
      </c>
      <c r="C14" s="248"/>
      <c r="D14" s="248"/>
      <c r="E14" s="248"/>
      <c r="F14" s="248"/>
      <c r="G14" s="248"/>
      <c r="H14" s="555"/>
      <c r="I14" s="248"/>
      <c r="J14" s="248"/>
      <c r="K14" s="248"/>
      <c r="L14" s="248"/>
      <c r="M14" s="249"/>
    </row>
    <row r="15" spans="2:18" ht="12.75" customHeight="1">
      <c r="B15" s="230" t="s">
        <v>311</v>
      </c>
      <c r="C15" s="248"/>
      <c r="D15" s="248"/>
      <c r="E15" s="248"/>
      <c r="F15" s="248"/>
      <c r="G15" s="248"/>
      <c r="H15" s="555"/>
      <c r="I15" s="248"/>
      <c r="J15" s="248"/>
      <c r="K15" s="248"/>
      <c r="L15" s="248"/>
      <c r="M15" s="249"/>
    </row>
    <row r="16" spans="2:18" ht="12.75" customHeight="1">
      <c r="B16" s="230"/>
      <c r="C16" s="248"/>
      <c r="D16" s="248"/>
      <c r="E16" s="248"/>
      <c r="F16" s="248"/>
      <c r="G16" s="248"/>
      <c r="H16" s="555"/>
      <c r="I16" s="248"/>
      <c r="J16" s="248"/>
      <c r="K16" s="248"/>
      <c r="L16" s="248"/>
      <c r="M16" s="249"/>
    </row>
    <row r="17" spans="2:13" ht="12.75" customHeight="1">
      <c r="B17" s="230" t="s">
        <v>256</v>
      </c>
      <c r="C17" s="248"/>
      <c r="D17" s="248"/>
      <c r="E17" s="248"/>
      <c r="F17" s="248"/>
      <c r="G17" s="248"/>
      <c r="H17" s="555"/>
      <c r="I17" s="248"/>
      <c r="J17" s="248"/>
      <c r="K17" s="248"/>
      <c r="L17" s="248"/>
      <c r="M17" s="249"/>
    </row>
    <row r="18" spans="2:13" ht="12.75" customHeight="1">
      <c r="B18" s="230"/>
      <c r="C18" s="248"/>
      <c r="D18" s="248"/>
      <c r="E18" s="248"/>
      <c r="F18" s="248"/>
      <c r="G18" s="248"/>
      <c r="H18" s="555"/>
      <c r="I18" s="248"/>
      <c r="J18" s="248"/>
      <c r="K18" s="248"/>
      <c r="L18" s="248"/>
      <c r="M18" s="249"/>
    </row>
    <row r="19" spans="2:13" ht="12.75" customHeight="1">
      <c r="B19" s="230"/>
      <c r="C19" s="248"/>
      <c r="D19" s="248"/>
      <c r="E19" s="248"/>
      <c r="F19" s="248"/>
      <c r="G19" s="248"/>
      <c r="H19" s="555"/>
      <c r="I19" s="248"/>
      <c r="J19" s="248"/>
      <c r="K19" s="248"/>
      <c r="L19" s="248"/>
      <c r="M19" s="249"/>
    </row>
    <row r="20" spans="2:13" ht="12.75" customHeight="1">
      <c r="B20" s="230" t="s">
        <v>143</v>
      </c>
      <c r="C20" s="248"/>
      <c r="D20" s="248"/>
      <c r="E20" s="248"/>
      <c r="F20" s="248"/>
      <c r="G20" s="248"/>
      <c r="H20" s="555"/>
      <c r="I20" s="248"/>
      <c r="J20" s="248"/>
      <c r="K20" s="248"/>
      <c r="L20" s="248"/>
      <c r="M20" s="249"/>
    </row>
    <row r="21" spans="2:13" ht="12.75" customHeight="1">
      <c r="B21" s="230"/>
      <c r="C21" s="248"/>
      <c r="D21" s="248"/>
      <c r="E21" s="248"/>
      <c r="F21" s="248"/>
      <c r="G21" s="248"/>
      <c r="H21" s="555"/>
      <c r="I21" s="248"/>
      <c r="J21" s="248"/>
      <c r="K21" s="248"/>
      <c r="L21" s="248"/>
      <c r="M21" s="249"/>
    </row>
    <row r="22" spans="2:13" ht="12.75" customHeight="1">
      <c r="B22" s="230"/>
      <c r="C22" s="248"/>
      <c r="D22" s="248"/>
      <c r="E22" s="248"/>
      <c r="F22" s="248"/>
      <c r="G22" s="248"/>
      <c r="H22" s="555"/>
      <c r="I22" s="248"/>
      <c r="J22" s="248"/>
      <c r="K22" s="248"/>
      <c r="L22" s="248"/>
      <c r="M22" s="249"/>
    </row>
    <row r="23" spans="2:13" ht="12.75" customHeight="1">
      <c r="B23" s="230"/>
      <c r="C23" s="248"/>
      <c r="D23" s="248"/>
      <c r="E23" s="248"/>
      <c r="F23" s="248"/>
      <c r="G23" s="248"/>
      <c r="H23" s="555"/>
      <c r="I23" s="248"/>
      <c r="J23" s="248"/>
      <c r="K23" s="248"/>
      <c r="L23" s="248"/>
      <c r="M23" s="249"/>
    </row>
    <row r="24" spans="2:13" ht="12.75" customHeight="1" thickBot="1">
      <c r="B24" s="242"/>
      <c r="C24" s="250"/>
      <c r="D24" s="250"/>
      <c r="E24" s="250"/>
      <c r="F24" s="250"/>
      <c r="G24" s="250"/>
      <c r="H24" s="968"/>
      <c r="I24" s="250"/>
      <c r="J24" s="250"/>
      <c r="K24" s="250"/>
      <c r="L24" s="250"/>
      <c r="M24" s="251"/>
    </row>
    <row r="25" spans="2:13" ht="12.75" customHeight="1">
      <c r="F25" s="86"/>
      <c r="H25" s="529"/>
    </row>
    <row r="26" spans="2:13" s="215" customFormat="1" ht="12.75" customHeight="1">
      <c r="B26" s="454" t="s">
        <v>144</v>
      </c>
      <c r="H26" s="530"/>
    </row>
    <row r="27" spans="2:13" s="215" customFormat="1" ht="12.75" customHeight="1" thickBot="1">
      <c r="B27" s="167"/>
      <c r="H27" s="530"/>
    </row>
    <row r="28" spans="2:13" ht="12.75" customHeight="1">
      <c r="B28" s="219"/>
      <c r="C28" s="220"/>
      <c r="D28" s="221"/>
      <c r="E28" s="221"/>
      <c r="F28" s="221"/>
      <c r="G28" s="221"/>
      <c r="H28" s="962"/>
      <c r="I28" s="221"/>
      <c r="J28" s="222"/>
    </row>
    <row r="29" spans="2:13" ht="12.75" customHeight="1">
      <c r="B29" s="223"/>
      <c r="C29" s="224" t="s">
        <v>70</v>
      </c>
      <c r="D29" s="225">
        <v>2015</v>
      </c>
      <c r="E29" s="225">
        <v>2020</v>
      </c>
      <c r="F29" s="225">
        <v>2035</v>
      </c>
      <c r="G29" s="225">
        <v>2050</v>
      </c>
      <c r="H29" s="973" t="s">
        <v>978</v>
      </c>
      <c r="I29" s="226" t="s">
        <v>145</v>
      </c>
      <c r="J29" s="227" t="s">
        <v>146</v>
      </c>
    </row>
    <row r="30" spans="2:13" ht="12.75" customHeight="1">
      <c r="B30" s="216" t="s">
        <v>147</v>
      </c>
      <c r="C30" s="210"/>
      <c r="D30" s="209"/>
      <c r="E30" s="209"/>
      <c r="F30" s="209"/>
      <c r="G30" s="209"/>
      <c r="H30" s="977"/>
      <c r="I30" s="228"/>
      <c r="J30" s="229"/>
    </row>
    <row r="31" spans="2:13" ht="12.75" customHeight="1">
      <c r="B31" s="247" t="s">
        <v>148</v>
      </c>
      <c r="C31" s="210" t="s">
        <v>312</v>
      </c>
      <c r="D31" s="1134">
        <f>D160</f>
        <v>0.47335271317829458</v>
      </c>
      <c r="E31" s="1134">
        <f>E160</f>
        <v>0.47335271317829458</v>
      </c>
      <c r="F31" s="1134">
        <f>F160</f>
        <v>0.47335271317829458</v>
      </c>
      <c r="G31" s="1134">
        <f>G160</f>
        <v>0.47335271317829458</v>
      </c>
      <c r="H31" s="1333"/>
      <c r="I31" s="228"/>
      <c r="J31" s="229"/>
    </row>
    <row r="32" spans="2:13" ht="12.75" customHeight="1">
      <c r="B32" s="247" t="s">
        <v>67</v>
      </c>
      <c r="C32" s="210" t="s">
        <v>313</v>
      </c>
      <c r="D32" s="1134">
        <f>Supplementary!$D$164</f>
        <v>42.7</v>
      </c>
      <c r="E32" s="1134">
        <f>Supplementary!$D$164</f>
        <v>42.7</v>
      </c>
      <c r="F32" s="1134">
        <f>Supplementary!$D$164</f>
        <v>42.7</v>
      </c>
      <c r="G32" s="1134">
        <f>Supplementary!$D$164</f>
        <v>42.7</v>
      </c>
      <c r="H32" s="978"/>
      <c r="I32" s="228"/>
      <c r="J32" s="229"/>
    </row>
    <row r="33" spans="2:10" ht="12.75" customHeight="1">
      <c r="B33" s="230" t="s">
        <v>149</v>
      </c>
      <c r="C33" s="210" t="s">
        <v>314</v>
      </c>
      <c r="D33" s="921">
        <v>4700000</v>
      </c>
      <c r="E33" s="921">
        <v>4700000</v>
      </c>
      <c r="F33" s="921">
        <v>4700000</v>
      </c>
      <c r="G33" s="921">
        <v>4700000</v>
      </c>
      <c r="H33" s="1397"/>
      <c r="I33" s="228" t="str">
        <f>CONCATENATE(Referencer!$B$49)</f>
        <v>43, Energistyrelsen Juni 1999. Brændselsprisforudsætninger for samfundsøkonomiske beregninger</v>
      </c>
      <c r="J33" s="229"/>
    </row>
    <row r="34" spans="2:10" ht="12.75" customHeight="1">
      <c r="B34" s="247" t="s">
        <v>150</v>
      </c>
      <c r="C34" s="210" t="s">
        <v>34</v>
      </c>
      <c r="D34" s="212"/>
      <c r="E34" s="212"/>
      <c r="F34" s="212"/>
      <c r="G34" s="212"/>
      <c r="H34" s="1332"/>
      <c r="I34" s="228"/>
      <c r="J34" s="229"/>
    </row>
    <row r="35" spans="2:10" ht="12.75" customHeight="1">
      <c r="B35" s="230"/>
      <c r="C35" s="231"/>
      <c r="D35" s="253"/>
      <c r="E35" s="213"/>
      <c r="F35" s="213"/>
      <c r="G35" s="213"/>
      <c r="H35" s="983"/>
      <c r="I35" s="228"/>
      <c r="J35" s="229"/>
    </row>
    <row r="36" spans="2:10" ht="12.75" customHeight="1">
      <c r="B36" s="216" t="s">
        <v>315</v>
      </c>
      <c r="C36" s="231"/>
      <c r="D36" s="253"/>
      <c r="E36" s="213"/>
      <c r="F36" s="213"/>
      <c r="G36" s="213"/>
      <c r="H36" s="983"/>
      <c r="I36" s="228"/>
      <c r="J36" s="229"/>
    </row>
    <row r="37" spans="2:10" ht="12.75" customHeight="1">
      <c r="B37" s="247" t="str">
        <f>ProcessEnergy!B35</f>
        <v xml:space="preserve">Green diesel </v>
      </c>
      <c r="C37" s="210" t="s">
        <v>316</v>
      </c>
      <c r="D37" s="105"/>
      <c r="E37" s="105"/>
      <c r="F37" s="105"/>
      <c r="G37" s="105"/>
      <c r="H37" s="984"/>
      <c r="I37" s="228"/>
      <c r="J37" s="229"/>
    </row>
    <row r="38" spans="2:10" ht="12.75" customHeight="1">
      <c r="B38" s="232" t="str">
        <f>ProcessEnergy!B36</f>
        <v>Green gasoline</v>
      </c>
      <c r="C38" s="210"/>
      <c r="D38" s="105"/>
      <c r="E38" s="105"/>
      <c r="F38" s="105"/>
      <c r="G38" s="105"/>
      <c r="H38" s="984"/>
      <c r="I38" s="228"/>
      <c r="J38" s="229"/>
    </row>
    <row r="39" spans="2:10" ht="12.75" customHeight="1">
      <c r="B39" s="232" t="str">
        <f>ProcessEnergy!B37</f>
        <v>Electricity - balancing</v>
      </c>
      <c r="C39" s="210"/>
      <c r="D39" s="105"/>
      <c r="E39" s="105"/>
      <c r="F39" s="105"/>
      <c r="G39" s="105"/>
      <c r="H39" s="984"/>
      <c r="I39" s="228"/>
      <c r="J39" s="229"/>
    </row>
    <row r="40" spans="2:10" ht="12.75" customHeight="1">
      <c r="B40" s="232" t="str">
        <f>ProcessEnergy!B38</f>
        <v>Electricity  - continous</v>
      </c>
      <c r="C40" s="210"/>
      <c r="D40" s="105"/>
      <c r="E40" s="105"/>
      <c r="F40" s="105"/>
      <c r="G40" s="105"/>
      <c r="H40" s="984"/>
      <c r="I40" s="228"/>
      <c r="J40" s="229"/>
    </row>
    <row r="41" spans="2:10" ht="12.75" customHeight="1">
      <c r="B41" s="232" t="str">
        <f>ProcessEnergy!B39</f>
        <v>Elec/heat fuel</v>
      </c>
      <c r="C41" s="210"/>
      <c r="D41" s="105"/>
      <c r="E41" s="105"/>
      <c r="F41" s="105"/>
      <c r="G41" s="105"/>
      <c r="H41" s="984"/>
      <c r="I41" s="228"/>
      <c r="J41" s="229"/>
    </row>
    <row r="42" spans="2:10" ht="12.75" customHeight="1">
      <c r="B42" s="232" t="str">
        <f>ProcessEnergy!B40</f>
        <v>Biogas (100% CH4)</v>
      </c>
      <c r="C42" s="210"/>
      <c r="D42" s="105"/>
      <c r="E42" s="105"/>
      <c r="F42" s="105"/>
      <c r="G42" s="105"/>
      <c r="H42" s="984"/>
      <c r="I42" s="228"/>
      <c r="J42" s="229"/>
    </row>
    <row r="43" spans="2:10" ht="12.75" customHeight="1">
      <c r="B43" s="232" t="str">
        <f>ProcessEnergy!B41</f>
        <v>District heating</v>
      </c>
      <c r="C43" s="210"/>
      <c r="D43" s="105"/>
      <c r="E43" s="105"/>
      <c r="F43" s="105"/>
      <c r="G43" s="105"/>
      <c r="H43" s="978"/>
      <c r="I43" s="228"/>
      <c r="J43" s="229"/>
    </row>
    <row r="44" spans="2:10" s="1240" customFormat="1" ht="12.75" customHeight="1">
      <c r="B44" s="232" t="str">
        <f>ProcessEnergy!B42</f>
        <v>&lt;empty&gt;</v>
      </c>
      <c r="C44" s="1469"/>
      <c r="D44" s="105"/>
      <c r="E44" s="105"/>
      <c r="F44" s="105"/>
      <c r="G44" s="105"/>
      <c r="H44" s="978"/>
      <c r="I44" s="1471"/>
      <c r="J44" s="1488"/>
    </row>
    <row r="45" spans="2:10" s="1240" customFormat="1" ht="12.75" customHeight="1">
      <c r="B45" s="232" t="str">
        <f>ProcessEnergy!B43</f>
        <v>&lt;empty&gt;</v>
      </c>
      <c r="C45" s="1469"/>
      <c r="D45" s="105"/>
      <c r="E45" s="105"/>
      <c r="F45" s="105"/>
      <c r="G45" s="105"/>
      <c r="H45" s="978"/>
      <c r="I45" s="1471"/>
      <c r="J45" s="1488"/>
    </row>
    <row r="46" spans="2:10" s="1240" customFormat="1" ht="12.75" customHeight="1">
      <c r="B46" s="232" t="str">
        <f>ProcessEnergy!B44</f>
        <v>&lt;empty&gt;</v>
      </c>
      <c r="C46" s="1469"/>
      <c r="D46" s="105"/>
      <c r="E46" s="105"/>
      <c r="F46" s="105"/>
      <c r="G46" s="105"/>
      <c r="H46" s="978"/>
      <c r="I46" s="1471"/>
      <c r="J46" s="1488"/>
    </row>
    <row r="47" spans="2:10" s="1240" customFormat="1" ht="12.75" customHeight="1">
      <c r="B47" s="232" t="str">
        <f>ProcessEnergy!B45</f>
        <v>&lt;empty&gt;</v>
      </c>
      <c r="C47" s="1469"/>
      <c r="D47" s="105"/>
      <c r="E47" s="105"/>
      <c r="F47" s="105"/>
      <c r="G47" s="105"/>
      <c r="H47" s="978"/>
      <c r="I47" s="1471"/>
      <c r="J47" s="1488"/>
    </row>
    <row r="48" spans="2:10" s="1240" customFormat="1" ht="12.75" customHeight="1">
      <c r="B48" s="232" t="str">
        <f>ProcessEnergy!B46</f>
        <v>&lt;empty&gt;</v>
      </c>
      <c r="C48" s="1469"/>
      <c r="D48" s="105"/>
      <c r="E48" s="105"/>
      <c r="F48" s="105"/>
      <c r="G48" s="105"/>
      <c r="H48" s="978"/>
      <c r="I48" s="1471"/>
      <c r="J48" s="1488"/>
    </row>
    <row r="49" spans="2:10" s="1240" customFormat="1" ht="12.75" customHeight="1">
      <c r="B49" s="232" t="str">
        <f>ProcessEnergy!B47</f>
        <v>&lt;empty&gt;</v>
      </c>
      <c r="C49" s="1469"/>
      <c r="D49" s="105"/>
      <c r="E49" s="105"/>
      <c r="F49" s="105"/>
      <c r="G49" s="105"/>
      <c r="H49" s="978"/>
      <c r="I49" s="1471"/>
      <c r="J49" s="1488"/>
    </row>
    <row r="50" spans="2:10" s="1240" customFormat="1" ht="12.75" customHeight="1">
      <c r="B50" s="232" t="str">
        <f>ProcessEnergy!B48</f>
        <v>Glycerol</v>
      </c>
      <c r="C50" s="1469"/>
      <c r="D50" s="105"/>
      <c r="E50" s="105"/>
      <c r="F50" s="105"/>
      <c r="G50" s="105"/>
      <c r="H50" s="978"/>
      <c r="I50" s="1471"/>
      <c r="J50" s="1488"/>
    </row>
    <row r="51" spans="2:10" s="1240" customFormat="1" ht="12.75" customHeight="1">
      <c r="B51" s="232" t="str">
        <f>ProcessEnergy!B49</f>
        <v>&lt;empty&gt;</v>
      </c>
      <c r="C51" s="1469"/>
      <c r="D51" s="105"/>
      <c r="E51" s="105"/>
      <c r="F51" s="105"/>
      <c r="G51" s="105"/>
      <c r="H51" s="978"/>
      <c r="I51" s="1471"/>
      <c r="J51" s="1488"/>
    </row>
    <row r="52" spans="2:10" s="1240" customFormat="1" ht="12.75" customHeight="1">
      <c r="B52" s="232" t="str">
        <f>ProcessEnergy!B50</f>
        <v>&lt;empty&gt;</v>
      </c>
      <c r="C52" s="1469"/>
      <c r="D52" s="105"/>
      <c r="E52" s="105"/>
      <c r="F52" s="105"/>
      <c r="G52" s="105"/>
      <c r="H52" s="978"/>
      <c r="I52" s="1471"/>
      <c r="J52" s="1488"/>
    </row>
    <row r="53" spans="2:10" ht="12.75" customHeight="1">
      <c r="B53" s="232" t="str">
        <f>ProcessEnergy!B51</f>
        <v>Fodder (wheat like)</v>
      </c>
      <c r="C53" s="210"/>
      <c r="D53" s="105"/>
      <c r="E53" s="105"/>
      <c r="F53" s="105"/>
      <c r="G53" s="105"/>
      <c r="H53" s="984"/>
      <c r="I53" s="228"/>
      <c r="J53" s="229"/>
    </row>
    <row r="54" spans="2:10" ht="12.75" customHeight="1">
      <c r="B54" s="232" t="str">
        <f>ProcessEnergy!B52</f>
        <v>Rape seed cake</v>
      </c>
      <c r="C54" s="210"/>
      <c r="D54" s="105"/>
      <c r="E54" s="105"/>
      <c r="F54" s="105"/>
      <c r="G54" s="105"/>
      <c r="H54" s="984"/>
      <c r="I54" s="228"/>
      <c r="J54" s="229"/>
    </row>
    <row r="55" spans="2:10" ht="12.75" customHeight="1">
      <c r="B55" s="232" t="str">
        <f>ProcessEnergy!B53</f>
        <v>&lt;empty&gt;</v>
      </c>
      <c r="C55" s="210"/>
      <c r="D55" s="105"/>
      <c r="E55" s="105"/>
      <c r="F55" s="105"/>
      <c r="G55" s="105"/>
      <c r="H55" s="984"/>
      <c r="I55" s="228"/>
      <c r="J55" s="229"/>
    </row>
    <row r="56" spans="2:10" ht="12.75" customHeight="1">
      <c r="B56" s="232" t="str">
        <f>ProcessEnergy!B54</f>
        <v>DDGS</v>
      </c>
      <c r="C56" s="210"/>
      <c r="D56" s="105"/>
      <c r="E56" s="105"/>
      <c r="F56" s="105"/>
      <c r="G56" s="105"/>
      <c r="H56" s="984"/>
      <c r="I56" s="228"/>
      <c r="J56" s="229"/>
    </row>
    <row r="57" spans="2:10" ht="12.75" customHeight="1">
      <c r="B57" s="247"/>
      <c r="C57" s="210"/>
      <c r="D57" s="105"/>
      <c r="E57" s="105"/>
      <c r="F57" s="105"/>
      <c r="G57" s="105"/>
      <c r="H57" s="984"/>
      <c r="I57" s="228"/>
      <c r="J57" s="229"/>
    </row>
    <row r="58" spans="2:10" ht="12.75" customHeight="1">
      <c r="B58" s="216" t="s">
        <v>873</v>
      </c>
      <c r="C58" s="210"/>
      <c r="D58" s="105"/>
      <c r="E58" s="105"/>
      <c r="F58" s="105"/>
      <c r="G58" s="105"/>
      <c r="H58" s="984"/>
      <c r="I58" s="228"/>
      <c r="J58" s="229"/>
    </row>
    <row r="59" spans="2:10" ht="12.75" customHeight="1">
      <c r="B59" s="230" t="str">
        <f>ProcessEnergy!B5</f>
        <v>EL - peakload</v>
      </c>
      <c r="C59" s="210" t="s">
        <v>888</v>
      </c>
      <c r="G59" s="523"/>
      <c r="H59" s="984"/>
      <c r="I59" s="228"/>
      <c r="J59" s="229"/>
    </row>
    <row r="60" spans="2:10" ht="12.75" customHeight="1">
      <c r="B60" s="230" t="str">
        <f>ProcessEnergy!B6</f>
        <v>El - baseload</v>
      </c>
      <c r="C60" s="210" t="s">
        <v>888</v>
      </c>
      <c r="D60" s="1398">
        <f>D139</f>
        <v>3.6002230935640888E-3</v>
      </c>
      <c r="E60" s="1398">
        <f>(E132/(E33*E31*E32))*Supplementary!$C$50*1000</f>
        <v>6.7270855976767551E-3</v>
      </c>
      <c r="F60" s="1398">
        <f>(F132/(F33*F31*F32))*Supplementary!$C$50*1000</f>
        <v>6.7270855976767551E-3</v>
      </c>
      <c r="G60" s="1398">
        <f>(G132/(G33*G31*G32))*Supplementary!$C$50*1000</f>
        <v>6.7270855976767551E-3</v>
      </c>
      <c r="H60" s="984"/>
      <c r="I60" s="228"/>
      <c r="J60" s="229"/>
    </row>
    <row r="61" spans="2:10" ht="12.75" customHeight="1">
      <c r="B61" s="230" t="str">
        <f>ProcessEnergy!B7</f>
        <v xml:space="preserve">Varme </v>
      </c>
      <c r="C61" s="210" t="s">
        <v>888</v>
      </c>
      <c r="D61" s="1399"/>
      <c r="E61" s="1400"/>
      <c r="F61" s="1400"/>
      <c r="G61" s="1400"/>
      <c r="H61" s="984"/>
      <c r="I61" s="228"/>
      <c r="J61" s="229"/>
    </row>
    <row r="62" spans="2:10" ht="12.75" customHeight="1">
      <c r="B62" s="230" t="str">
        <f>ProcessEnergy!B8</f>
        <v>Damp</v>
      </c>
      <c r="C62" s="210" t="s">
        <v>888</v>
      </c>
      <c r="D62" s="1398">
        <f>D140</f>
        <v>2.6665359653866953E-3</v>
      </c>
      <c r="E62" s="1398">
        <f>(E133/(E33*E31*E32))*Supplementary!$C$50*1000</f>
        <v>4.982473369638309E-3</v>
      </c>
      <c r="F62" s="1398">
        <f>(F133/(F33*F31*F32))*Supplementary!$C$50*1000</f>
        <v>4.982473369638309E-3</v>
      </c>
      <c r="G62" s="1398">
        <f>(G133/(G33*G31*G32))*Supplementary!$C$50*1000</f>
        <v>4.982473369638309E-3</v>
      </c>
      <c r="H62" s="984"/>
      <c r="I62" s="228"/>
      <c r="J62" s="229"/>
    </row>
    <row r="63" spans="2:10" ht="12.75" customHeight="1">
      <c r="B63" s="230" t="str">
        <f>ProcessEnergy!B9</f>
        <v xml:space="preserve">Olie </v>
      </c>
      <c r="C63" s="210" t="s">
        <v>888</v>
      </c>
      <c r="D63" s="1133"/>
      <c r="E63" s="1133"/>
      <c r="F63" s="1133"/>
      <c r="G63" s="1133"/>
      <c r="H63" s="984"/>
      <c r="I63" s="228"/>
      <c r="J63" s="229"/>
    </row>
    <row r="64" spans="2:10" ht="12.75" customHeight="1">
      <c r="B64" s="230" t="str">
        <f>ProcessEnergy!B10</f>
        <v>Kul</v>
      </c>
      <c r="C64" s="210" t="s">
        <v>888</v>
      </c>
      <c r="D64" s="1133"/>
      <c r="E64" s="1133"/>
      <c r="F64" s="1133"/>
      <c r="G64" s="1133"/>
      <c r="H64" s="984"/>
      <c r="I64" s="228"/>
      <c r="J64" s="229"/>
    </row>
    <row r="65" spans="2:10" ht="12.75" customHeight="1">
      <c r="B65" s="230" t="str">
        <f>ProcessEnergy!B11</f>
        <v>Naturgas kedel</v>
      </c>
      <c r="C65" s="210" t="s">
        <v>888</v>
      </c>
      <c r="D65" s="1398">
        <f>D141</f>
        <v>4.5287425635478641E-2</v>
      </c>
      <c r="E65" s="1398">
        <f>E141</f>
        <v>4.5287425635478641E-2</v>
      </c>
      <c r="F65" s="1398">
        <f>F141</f>
        <v>4.5287425635478641E-2</v>
      </c>
      <c r="G65" s="1398">
        <f>G141</f>
        <v>4.5287425635478641E-2</v>
      </c>
      <c r="H65" s="984"/>
      <c r="I65" s="228"/>
      <c r="J65" s="229"/>
    </row>
    <row r="66" spans="2:10" ht="12.75" customHeight="1">
      <c r="B66" s="230" t="str">
        <f>ProcessEnergy!B12</f>
        <v>Gylle</v>
      </c>
      <c r="C66" s="210" t="s">
        <v>888</v>
      </c>
      <c r="D66" s="105"/>
      <c r="E66" s="105"/>
      <c r="F66" s="105"/>
      <c r="G66" s="105"/>
      <c r="H66" s="984"/>
      <c r="I66" s="228"/>
      <c r="J66" s="229"/>
    </row>
    <row r="67" spans="2:10" ht="12.75" customHeight="1">
      <c r="B67" s="230" t="str">
        <f>ProcessEnergy!B13</f>
        <v>Affald</v>
      </c>
      <c r="C67" s="210" t="s">
        <v>888</v>
      </c>
      <c r="D67" s="105"/>
      <c r="E67" s="105"/>
      <c r="F67" s="105"/>
      <c r="G67" s="105"/>
      <c r="H67" s="984"/>
      <c r="I67" s="228"/>
      <c r="J67" s="229"/>
    </row>
    <row r="68" spans="2:10" ht="12.75" customHeight="1">
      <c r="B68" s="230" t="str">
        <f>ProcessEnergy!B14</f>
        <v>Hydrogen</v>
      </c>
      <c r="C68" s="210" t="s">
        <v>888</v>
      </c>
      <c r="D68" s="105"/>
      <c r="E68" s="105"/>
      <c r="F68" s="105"/>
      <c r="G68" s="105"/>
      <c r="H68" s="984"/>
      <c r="I68" s="228"/>
      <c r="J68" s="229"/>
    </row>
    <row r="69" spans="2:10" ht="12.75" customHeight="1">
      <c r="B69" s="230" t="str">
        <f>ProcessEnergy!B15</f>
        <v>Biomasse</v>
      </c>
      <c r="C69" s="210" t="s">
        <v>888</v>
      </c>
      <c r="D69" s="105"/>
      <c r="E69" s="105"/>
      <c r="F69" s="105"/>
      <c r="G69" s="105"/>
      <c r="H69" s="984"/>
      <c r="I69" s="228"/>
      <c r="J69" s="229"/>
    </row>
    <row r="70" spans="2:10" s="1240" customFormat="1" ht="12.75" customHeight="1">
      <c r="B70" s="1487" t="str">
        <f>ProcessEnergy!B16</f>
        <v>Methanol</v>
      </c>
      <c r="C70" s="1469"/>
      <c r="D70" s="105"/>
      <c r="E70" s="105"/>
      <c r="F70" s="105"/>
      <c r="G70" s="105"/>
      <c r="H70" s="984"/>
      <c r="I70" s="1471"/>
      <c r="J70" s="1488"/>
    </row>
    <row r="71" spans="2:10" s="1240" customFormat="1" ht="12.75" customHeight="1">
      <c r="B71" s="1487" t="str">
        <f>ProcessEnergy!B17</f>
        <v>&lt;empty&gt;</v>
      </c>
      <c r="C71" s="1469"/>
      <c r="D71" s="105"/>
      <c r="E71" s="105"/>
      <c r="F71" s="105"/>
      <c r="G71" s="105"/>
      <c r="H71" s="984"/>
      <c r="I71" s="1471"/>
      <c r="J71" s="1488"/>
    </row>
    <row r="72" spans="2:10" s="1240" customFormat="1" ht="12.75" customHeight="1">
      <c r="B72" s="1487" t="str">
        <f>ProcessEnergy!B18</f>
        <v>&lt;empty&gt;</v>
      </c>
      <c r="C72" s="1469"/>
      <c r="D72" s="105"/>
      <c r="E72" s="105"/>
      <c r="F72" s="105"/>
      <c r="G72" s="105"/>
      <c r="H72" s="984"/>
      <c r="I72" s="1471"/>
      <c r="J72" s="1488"/>
    </row>
    <row r="73" spans="2:10" s="1240" customFormat="1" ht="12.75" customHeight="1">
      <c r="B73" s="1487" t="str">
        <f>ProcessEnergy!B19</f>
        <v>&lt;empty&gt;</v>
      </c>
      <c r="C73" s="1469"/>
      <c r="D73" s="105"/>
      <c r="E73" s="105"/>
      <c r="F73" s="105"/>
      <c r="G73" s="105"/>
      <c r="H73" s="984"/>
      <c r="I73" s="1471"/>
      <c r="J73" s="1488"/>
    </row>
    <row r="74" spans="2:10" s="1240" customFormat="1" ht="12.75" customHeight="1">
      <c r="B74" s="1487" t="str">
        <f>ProcessEnergy!B20</f>
        <v>&lt;empty&gt;</v>
      </c>
      <c r="C74" s="1469"/>
      <c r="D74" s="105"/>
      <c r="E74" s="105"/>
      <c r="F74" s="105"/>
      <c r="G74" s="105"/>
      <c r="H74" s="984"/>
      <c r="I74" s="1471"/>
      <c r="J74" s="1488"/>
    </row>
    <row r="75" spans="2:10" s="1240" customFormat="1" ht="12.75" customHeight="1">
      <c r="B75" s="1487" t="str">
        <f>ProcessEnergy!B21</f>
        <v>&lt;empty&gt;</v>
      </c>
      <c r="C75" s="1469"/>
      <c r="D75" s="105"/>
      <c r="E75" s="105"/>
      <c r="F75" s="105"/>
      <c r="G75" s="105"/>
      <c r="H75" s="984"/>
      <c r="I75" s="1471"/>
      <c r="J75" s="1488"/>
    </row>
    <row r="76" spans="2:10" s="1240" customFormat="1" ht="12.75" customHeight="1">
      <c r="B76" s="1487" t="str">
        <f>ProcessEnergy!B22</f>
        <v>&lt;empty&gt;</v>
      </c>
      <c r="C76" s="1469"/>
      <c r="D76" s="105"/>
      <c r="E76" s="105"/>
      <c r="F76" s="105"/>
      <c r="G76" s="105"/>
      <c r="H76" s="984"/>
      <c r="I76" s="1471"/>
      <c r="J76" s="1488"/>
    </row>
    <row r="77" spans="2:10" s="1240" customFormat="1" ht="12.75" customHeight="1">
      <c r="B77" s="1487" t="str">
        <f>ProcessEnergy!B23</f>
        <v>&lt;empty&gt;</v>
      </c>
      <c r="C77" s="1469"/>
      <c r="D77" s="105"/>
      <c r="E77" s="105"/>
      <c r="F77" s="105"/>
      <c r="G77" s="105"/>
      <c r="H77" s="984"/>
      <c r="I77" s="1471"/>
      <c r="J77" s="1488"/>
    </row>
    <row r="78" spans="2:10" ht="12.75" customHeight="1">
      <c r="B78" s="230" t="str">
        <f>ProcessEnergy!B24</f>
        <v>&lt;empty&gt;</v>
      </c>
      <c r="C78" s="210" t="s">
        <v>888</v>
      </c>
      <c r="D78" s="105"/>
      <c r="E78" s="105"/>
      <c r="F78" s="105"/>
      <c r="G78" s="105"/>
      <c r="H78" s="984"/>
      <c r="I78" s="228"/>
      <c r="J78" s="229"/>
    </row>
    <row r="79" spans="2:10" ht="12.75" customHeight="1">
      <c r="B79" s="310"/>
      <c r="C79" s="210"/>
      <c r="D79" s="105"/>
      <c r="E79" s="105"/>
      <c r="F79" s="105"/>
      <c r="G79" s="105"/>
      <c r="H79" s="984"/>
      <c r="I79" s="228"/>
      <c r="J79" s="229"/>
    </row>
    <row r="80" spans="2:10" ht="12.75" customHeight="1">
      <c r="B80" s="310"/>
      <c r="C80" s="210"/>
      <c r="D80" s="105"/>
      <c r="E80" s="105"/>
      <c r="F80" s="105"/>
      <c r="G80" s="105"/>
      <c r="H80" s="984"/>
      <c r="I80" s="228"/>
      <c r="J80" s="229"/>
    </row>
    <row r="81" spans="1:17" ht="12.75" customHeight="1">
      <c r="B81" s="247"/>
      <c r="C81" s="210"/>
      <c r="D81" s="106"/>
      <c r="E81" s="106"/>
      <c r="F81" s="106"/>
      <c r="G81" s="106"/>
      <c r="H81" s="986"/>
      <c r="I81" s="228"/>
      <c r="J81" s="229"/>
      <c r="M81" s="303"/>
    </row>
    <row r="82" spans="1:17" ht="12.75" customHeight="1">
      <c r="B82" s="216" t="s">
        <v>152</v>
      </c>
      <c r="C82" s="210"/>
      <c r="D82" s="106"/>
      <c r="E82" s="106"/>
      <c r="F82" s="106"/>
      <c r="G82" s="106"/>
      <c r="H82" s="986"/>
      <c r="I82" s="228"/>
      <c r="J82" s="229"/>
    </row>
    <row r="83" spans="1:17" ht="12.75" customHeight="1">
      <c r="A83" s="167">
        <v>4</v>
      </c>
      <c r="B83" s="247" t="s">
        <v>317</v>
      </c>
      <c r="C83" s="210" t="s">
        <v>725</v>
      </c>
      <c r="D83" s="295">
        <v>1</v>
      </c>
      <c r="E83" s="295">
        <v>1</v>
      </c>
      <c r="F83" s="295">
        <v>1</v>
      </c>
      <c r="G83" s="295">
        <v>1</v>
      </c>
      <c r="H83" s="978"/>
      <c r="I83" s="228"/>
      <c r="J83" s="229"/>
      <c r="N83" s="296"/>
    </row>
    <row r="84" spans="1:17" ht="12.75" customHeight="1">
      <c r="B84" s="247" t="s">
        <v>153</v>
      </c>
      <c r="C84" s="210" t="s">
        <v>725</v>
      </c>
      <c r="D84" s="307">
        <f>D125/D124</f>
        <v>5.1554184694429427E-2</v>
      </c>
      <c r="E84" s="307">
        <f>E125/E124</f>
        <v>5.1554184694429427E-2</v>
      </c>
      <c r="F84" s="307">
        <f>F125/F124</f>
        <v>5.1554184694429427E-2</v>
      </c>
      <c r="G84" s="307">
        <f>G125/G124</f>
        <v>5.1554184694429427E-2</v>
      </c>
      <c r="H84" s="1334"/>
      <c r="I84" s="228"/>
      <c r="J84" s="229"/>
    </row>
    <row r="85" spans="1:17" ht="12.75" customHeight="1">
      <c r="B85" s="247" t="s">
        <v>154</v>
      </c>
      <c r="C85" s="210" t="s">
        <v>725</v>
      </c>
      <c r="D85" s="307">
        <f>D126/D124</f>
        <v>0.57834480655641118</v>
      </c>
      <c r="E85" s="307">
        <f>E126/E124</f>
        <v>0.57834480655641118</v>
      </c>
      <c r="F85" s="307">
        <f>F126/F124</f>
        <v>0.57834480655641118</v>
      </c>
      <c r="G85" s="307">
        <f>G126/G124</f>
        <v>0.57834480655641118</v>
      </c>
      <c r="H85" s="978"/>
      <c r="I85" s="228"/>
      <c r="J85" s="229"/>
    </row>
    <row r="86" spans="1:17" ht="12.75" customHeight="1">
      <c r="B86" s="247" t="s">
        <v>2</v>
      </c>
      <c r="C86" s="210" t="s">
        <v>725</v>
      </c>
      <c r="D86" s="237">
        <f>D127/D124</f>
        <v>0.47005025238867859</v>
      </c>
      <c r="E86" s="237">
        <f>E127/E124</f>
        <v>0.47005025238867859</v>
      </c>
      <c r="F86" s="237">
        <f>F127/F124</f>
        <v>0.47005025238867859</v>
      </c>
      <c r="G86" s="237">
        <f>G127/G124</f>
        <v>0.47005025238867859</v>
      </c>
      <c r="H86" s="978"/>
      <c r="I86" s="228"/>
      <c r="J86" s="229"/>
      <c r="L86" s="297"/>
    </row>
    <row r="87" spans="1:17" ht="12.75" customHeight="1">
      <c r="B87" s="108" t="s">
        <v>155</v>
      </c>
      <c r="C87" s="210" t="s">
        <v>725</v>
      </c>
      <c r="D87" s="109">
        <f>D83+D84-D85-D86</f>
        <v>3.1591257493396308E-3</v>
      </c>
      <c r="E87" s="109">
        <f>E83+E84-E85-E86</f>
        <v>3.1591257493396308E-3</v>
      </c>
      <c r="F87" s="109">
        <f>F83+F84-F85-F86</f>
        <v>3.1591257493396308E-3</v>
      </c>
      <c r="G87" s="109">
        <f>G83+G84-G85-G86</f>
        <v>3.1591257493396308E-3</v>
      </c>
      <c r="H87" s="978"/>
      <c r="I87" s="228"/>
      <c r="J87" s="229"/>
      <c r="L87" s="297"/>
      <c r="M87" s="523"/>
    </row>
    <row r="88" spans="1:17" ht="12.75" customHeight="1">
      <c r="B88" s="108" t="s">
        <v>156</v>
      </c>
      <c r="C88" s="233"/>
      <c r="D88" s="462">
        <f>(D86+D85)/(D83+D84)</f>
        <v>0.99699575562027976</v>
      </c>
      <c r="E88" s="462">
        <f>(E86+E85)/(E83+E84)</f>
        <v>0.99699575562027976</v>
      </c>
      <c r="F88" s="462">
        <f>(F86+F85)/(F83+F84)</f>
        <v>0.99699575562027976</v>
      </c>
      <c r="G88" s="462">
        <f>(G86+G85)/(G83+G84)</f>
        <v>0.99699575562027976</v>
      </c>
      <c r="H88" s="990"/>
      <c r="I88" s="228"/>
      <c r="J88" s="229"/>
      <c r="L88" s="523"/>
      <c r="M88" s="523"/>
    </row>
    <row r="89" spans="1:17" ht="12.75" customHeight="1">
      <c r="B89" s="247"/>
      <c r="C89" s="210"/>
      <c r="D89" s="213"/>
      <c r="E89" s="213"/>
      <c r="F89" s="213"/>
      <c r="G89" s="213"/>
      <c r="H89" s="990"/>
      <c r="I89" s="228"/>
      <c r="J89" s="229"/>
      <c r="L89" s="303"/>
      <c r="M89" s="523"/>
      <c r="N89" s="234"/>
    </row>
    <row r="90" spans="1:17" ht="12.75" customHeight="1">
      <c r="B90" s="216" t="s">
        <v>33</v>
      </c>
      <c r="C90" s="210"/>
      <c r="D90" s="213"/>
      <c r="E90" s="213"/>
      <c r="F90" s="213"/>
      <c r="G90" s="213"/>
      <c r="H90" s="983"/>
      <c r="I90" s="228"/>
      <c r="J90" s="229"/>
      <c r="L90" s="523"/>
      <c r="M90" s="523"/>
      <c r="N90" s="110"/>
      <c r="O90" s="110"/>
      <c r="P90" s="110"/>
      <c r="Q90" s="110"/>
    </row>
    <row r="91" spans="1:17" s="530" customFormat="1">
      <c r="A91" s="167"/>
      <c r="B91" s="964" t="s">
        <v>157</v>
      </c>
      <c r="C91" s="976" t="s">
        <v>61</v>
      </c>
      <c r="D91" s="992">
        <f>HLOOKUP($H100,Supplementary!$C$44:$AF$46,3,FALSE)*D100</f>
        <v>0</v>
      </c>
      <c r="E91" s="555">
        <f>HLOOKUP($H100,Supplementary!$C$44:$AF$46,3,FALSE)*E100</f>
        <v>0</v>
      </c>
      <c r="F91" s="555">
        <f>HLOOKUP($H100,Supplementary!$C$44:$AF$46,3,FALSE)*F100</f>
        <v>0</v>
      </c>
      <c r="G91" s="555">
        <f>HLOOKUP($H100,Supplementary!$C$44:$AF$46,3,FALSE)*G100</f>
        <v>0</v>
      </c>
      <c r="H91" s="555">
        <f t="shared" ref="H91:H97" si="0">priceYear</f>
        <v>2015</v>
      </c>
      <c r="I91" s="555"/>
      <c r="J91" s="965"/>
      <c r="N91" s="991"/>
      <c r="O91" s="991"/>
      <c r="P91" s="991"/>
      <c r="Q91" s="991"/>
    </row>
    <row r="92" spans="1:17" s="530" customFormat="1">
      <c r="A92" s="167"/>
      <c r="B92" s="964" t="s">
        <v>160</v>
      </c>
      <c r="C92" s="976" t="s">
        <v>1094</v>
      </c>
      <c r="D92" s="992">
        <f ca="1">HLOOKUP($H101,Supplementary!$C$44:$AF$46,3,FALSE)*D101</f>
        <v>122.83890659698737</v>
      </c>
      <c r="E92" s="555">
        <f ca="1">HLOOKUP($H101,Supplementary!$C$44:$AF$46,3,FALSE)*E101</f>
        <v>126.35163096241249</v>
      </c>
      <c r="F92" s="555">
        <f ca="1">HLOOKUP($H101,Supplementary!$C$44:$AF$46,3,FALSE)*F101</f>
        <v>135.61244974398781</v>
      </c>
      <c r="G92" s="555">
        <f ca="1">HLOOKUP($H101,Supplementary!$C$44:$AF$46,3,FALSE)*G101</f>
        <v>135.61244974398781</v>
      </c>
      <c r="H92" s="555">
        <f t="shared" si="0"/>
        <v>2015</v>
      </c>
      <c r="I92" s="555"/>
      <c r="J92" s="965"/>
      <c r="N92" s="991"/>
      <c r="O92" s="991"/>
      <c r="P92" s="991"/>
      <c r="Q92" s="991"/>
    </row>
    <row r="93" spans="1:17" s="530" customFormat="1">
      <c r="A93" s="167"/>
      <c r="B93" s="995" t="s">
        <v>162</v>
      </c>
      <c r="C93" s="976" t="s">
        <v>1094</v>
      </c>
      <c r="D93" s="992">
        <f ca="1">HLOOKUP($H102,Supplementary!$C$44:$AF$46,3,FALSE)*D102</f>
        <v>20.63894328797042</v>
      </c>
      <c r="E93" s="555">
        <f ca="1">HLOOKUP($H102,Supplementary!$C$44:$AF$46,3,FALSE)*E102</f>
        <v>21.177092422586952</v>
      </c>
      <c r="F93" s="555">
        <f ca="1">HLOOKUP($H102,Supplementary!$C$44:$AF$46,3,FALSE)*F102</f>
        <v>16.404233980320782</v>
      </c>
      <c r="G93" s="555">
        <f ca="1">HLOOKUP($H102,Supplementary!$C$44:$AF$46,3,FALSE)*G102</f>
        <v>16.404233980320782</v>
      </c>
      <c r="H93" s="555">
        <f t="shared" si="0"/>
        <v>2015</v>
      </c>
      <c r="I93" s="555"/>
      <c r="J93" s="965"/>
      <c r="N93" s="991"/>
      <c r="O93" s="991"/>
      <c r="P93" s="991"/>
      <c r="Q93" s="991"/>
    </row>
    <row r="94" spans="1:17" s="530" customFormat="1">
      <c r="A94" s="167"/>
      <c r="B94" s="995" t="s">
        <v>163</v>
      </c>
      <c r="C94" s="976" t="s">
        <v>1094</v>
      </c>
      <c r="D94" s="992">
        <f>HLOOKUP($H103,Supplementary!$C$44:$AF$46,3,FALSE)*D103</f>
        <v>0</v>
      </c>
      <c r="E94" s="555">
        <f>HLOOKUP($H103,Supplementary!$C$44:$AF$46,3,FALSE)*E103</f>
        <v>0</v>
      </c>
      <c r="F94" s="555">
        <f>HLOOKUP($H103,Supplementary!$C$44:$AF$46,3,FALSE)*F103</f>
        <v>0</v>
      </c>
      <c r="G94" s="555">
        <f>HLOOKUP($H103,Supplementary!$C$44:$AF$46,3,FALSE)*G103</f>
        <v>0</v>
      </c>
      <c r="H94" s="555">
        <f t="shared" si="0"/>
        <v>2015</v>
      </c>
      <c r="I94" s="555"/>
      <c r="J94" s="965"/>
      <c r="N94" s="991"/>
      <c r="O94" s="991"/>
      <c r="P94" s="991"/>
      <c r="Q94" s="991"/>
    </row>
    <row r="95" spans="1:17" s="530" customFormat="1">
      <c r="A95" s="167">
        <v>6</v>
      </c>
      <c r="B95" s="995" t="s">
        <v>164</v>
      </c>
      <c r="C95" s="976" t="s">
        <v>464</v>
      </c>
      <c r="D95" s="992">
        <f ca="1">HLOOKUP($H104,Supplementary!$C$44:$AF$46,3,FALSE)*D104</f>
        <v>229.40099032241051</v>
      </c>
      <c r="E95" s="555">
        <f ca="1">HLOOKUP($H104,Supplementary!$C$44:$AF$46,3,FALSE)*E104</f>
        <v>236.0136808261432</v>
      </c>
      <c r="F95" s="555">
        <f ca="1">HLOOKUP($H104,Supplementary!$C$44:$AF$46,3,FALSE)*F104</f>
        <v>259.921659073027</v>
      </c>
      <c r="G95" s="555">
        <f ca="1">HLOOKUP($H104,Supplementary!$C$44:$AF$46,3,FALSE)*G104</f>
        <v>259.921659073027</v>
      </c>
      <c r="H95" s="555">
        <f t="shared" si="0"/>
        <v>2015</v>
      </c>
      <c r="I95" s="555"/>
      <c r="J95" s="965"/>
      <c r="N95" s="991"/>
      <c r="O95" s="991"/>
      <c r="P95" s="991"/>
      <c r="Q95" s="991"/>
    </row>
    <row r="96" spans="1:17" s="530" customFormat="1">
      <c r="A96" s="167"/>
      <c r="B96" s="995" t="s">
        <v>264</v>
      </c>
      <c r="C96" s="976" t="s">
        <v>464</v>
      </c>
      <c r="D96" s="992">
        <f>HLOOKUP($H105,Supplementary!$C$44:$AF$46,3,FALSE)*D105</f>
        <v>0</v>
      </c>
      <c r="E96" s="555">
        <f>HLOOKUP($H105,Supplementary!$C$44:$AF$46,3,FALSE)*E105</f>
        <v>0</v>
      </c>
      <c r="F96" s="555">
        <f>HLOOKUP($H105,Supplementary!$C$44:$AF$46,3,FALSE)*F105</f>
        <v>0</v>
      </c>
      <c r="G96" s="555">
        <f>HLOOKUP($H105,Supplementary!$C$44:$AF$46,3,FALSE)*G105</f>
        <v>0</v>
      </c>
      <c r="H96" s="555">
        <f t="shared" si="0"/>
        <v>2015</v>
      </c>
      <c r="I96" s="555"/>
      <c r="J96" s="965"/>
      <c r="N96" s="991"/>
      <c r="O96" s="991"/>
      <c r="P96" s="991"/>
      <c r="Q96" s="991"/>
    </row>
    <row r="97" spans="1:17" s="530" customFormat="1">
      <c r="A97" s="167"/>
      <c r="B97" s="995" t="s">
        <v>165</v>
      </c>
      <c r="C97" s="976" t="s">
        <v>464</v>
      </c>
      <c r="D97" s="992">
        <f ca="1">HLOOKUP($H106,Supplementary!$C$44:$AF$46,3,FALSE)*D106</f>
        <v>-127.20102701339356</v>
      </c>
      <c r="E97" s="555">
        <f ca="1">HLOOKUP($H106,Supplementary!$C$44:$AF$46,3,FALSE)*E106</f>
        <v>-130.83914228631767</v>
      </c>
      <c r="F97" s="555">
        <f ca="1">HLOOKUP($H106,Supplementary!$C$44:$AF$46,3,FALSE)*F106</f>
        <v>-140.71344330935997</v>
      </c>
      <c r="G97" s="555">
        <f ca="1">HLOOKUP($H106,Supplementary!$C$44:$AF$46,3,FALSE)*G106</f>
        <v>-140.71344330935997</v>
      </c>
      <c r="H97" s="555">
        <f t="shared" si="0"/>
        <v>2015</v>
      </c>
      <c r="I97" s="555"/>
      <c r="J97" s="965"/>
      <c r="N97" s="991"/>
      <c r="O97" s="991"/>
      <c r="P97" s="991"/>
      <c r="Q97" s="991"/>
    </row>
    <row r="98" spans="1:17" s="530" customFormat="1">
      <c r="B98" s="975"/>
      <c r="C98" s="976"/>
      <c r="D98" s="992"/>
      <c r="E98" s="983"/>
      <c r="F98" s="983"/>
      <c r="G98" s="983"/>
      <c r="H98" s="983"/>
      <c r="I98" s="555"/>
      <c r="J98" s="965"/>
      <c r="N98" s="991"/>
      <c r="O98" s="991"/>
      <c r="P98" s="991"/>
      <c r="Q98" s="991"/>
    </row>
    <row r="99" spans="1:17" s="530" customFormat="1">
      <c r="B99" s="975"/>
      <c r="C99" s="976"/>
      <c r="D99" s="992"/>
      <c r="E99" s="983"/>
      <c r="F99" s="983"/>
      <c r="G99" s="983"/>
      <c r="H99" s="983"/>
      <c r="I99" s="555"/>
      <c r="J99" s="965"/>
      <c r="N99" s="991"/>
      <c r="O99" s="991"/>
      <c r="P99" s="991"/>
      <c r="Q99" s="991"/>
    </row>
    <row r="100" spans="1:17" ht="12.75" customHeight="1">
      <c r="B100" s="247" t="s">
        <v>157</v>
      </c>
      <c r="C100" s="210" t="s">
        <v>61</v>
      </c>
      <c r="D100" s="115"/>
      <c r="E100" s="115"/>
      <c r="F100" s="115"/>
      <c r="G100" s="115"/>
      <c r="H100" s="1668">
        <v>2015</v>
      </c>
      <c r="I100" s="228"/>
      <c r="J100" s="229"/>
      <c r="L100" s="523"/>
      <c r="M100" s="523"/>
      <c r="N100" s="110"/>
      <c r="O100" s="110"/>
      <c r="P100" s="110"/>
      <c r="Q100" s="110"/>
    </row>
    <row r="101" spans="1:17" ht="12.75" customHeight="1">
      <c r="B101" s="230" t="s">
        <v>160</v>
      </c>
      <c r="C101" s="210" t="s">
        <v>247</v>
      </c>
      <c r="D101" s="166">
        <f ca="1">D175</f>
        <v>122.83890659698737</v>
      </c>
      <c r="E101" s="166">
        <f ca="1">E175</f>
        <v>126.35163096241249</v>
      </c>
      <c r="F101" s="166">
        <f ca="1">F175</f>
        <v>135.61244974398781</v>
      </c>
      <c r="G101" s="166">
        <f ca="1">G175</f>
        <v>135.61244974398781</v>
      </c>
      <c r="H101" s="1668">
        <v>2015</v>
      </c>
      <c r="I101" s="248"/>
      <c r="J101" s="229"/>
      <c r="L101" s="303"/>
      <c r="M101" s="523"/>
      <c r="N101" s="110"/>
      <c r="O101" s="110"/>
      <c r="P101" s="110"/>
      <c r="Q101" s="110"/>
    </row>
    <row r="102" spans="1:17" ht="12.75" customHeight="1">
      <c r="B102" s="236" t="s">
        <v>162</v>
      </c>
      <c r="C102" s="210" t="s">
        <v>247</v>
      </c>
      <c r="D102" s="166">
        <f ca="1">D101-D104-D106</f>
        <v>20.63894328797042</v>
      </c>
      <c r="E102" s="166">
        <f ca="1">E101-E104-E106</f>
        <v>21.177092422586952</v>
      </c>
      <c r="F102" s="166">
        <f ca="1">F101-F104-F106</f>
        <v>16.404233980320782</v>
      </c>
      <c r="G102" s="166">
        <f ca="1">G101-G104-G106</f>
        <v>16.404233980320782</v>
      </c>
      <c r="H102" s="1668">
        <v>2015</v>
      </c>
      <c r="I102" s="235"/>
      <c r="J102" s="229"/>
      <c r="N102" s="110"/>
      <c r="O102" s="110"/>
      <c r="P102" s="110"/>
      <c r="Q102" s="110"/>
    </row>
    <row r="103" spans="1:17" ht="12.75" customHeight="1">
      <c r="B103" s="236" t="s">
        <v>163</v>
      </c>
      <c r="C103" s="210" t="s">
        <v>247</v>
      </c>
      <c r="D103" s="460"/>
      <c r="E103" s="460"/>
      <c r="F103" s="460"/>
      <c r="G103" s="460"/>
      <c r="H103" s="1668">
        <v>2015</v>
      </c>
      <c r="I103" s="228"/>
      <c r="J103" s="229"/>
      <c r="N103" s="110"/>
      <c r="O103" s="110"/>
      <c r="P103" s="110"/>
      <c r="Q103" s="110"/>
    </row>
    <row r="104" spans="1:17" ht="12.75" customHeight="1">
      <c r="B104" s="236" t="s">
        <v>164</v>
      </c>
      <c r="C104" s="210" t="s">
        <v>247</v>
      </c>
      <c r="D104" s="463">
        <f ca="1">D179/D168</f>
        <v>229.40099032241051</v>
      </c>
      <c r="E104" s="463">
        <f ca="1">E179/E168</f>
        <v>236.0136808261432</v>
      </c>
      <c r="F104" s="463">
        <f ca="1">F179/F168</f>
        <v>259.921659073027</v>
      </c>
      <c r="G104" s="463">
        <f ca="1">G179/G168</f>
        <v>259.921659073027</v>
      </c>
      <c r="H104" s="1668">
        <v>2015</v>
      </c>
      <c r="I104" s="228"/>
      <c r="J104" s="229"/>
      <c r="N104" s="110"/>
      <c r="O104" s="110"/>
      <c r="P104" s="110"/>
      <c r="Q104" s="110"/>
    </row>
    <row r="105" spans="1:17" ht="12.75" customHeight="1">
      <c r="B105" s="236" t="s">
        <v>264</v>
      </c>
      <c r="C105" s="210" t="s">
        <v>247</v>
      </c>
      <c r="D105" s="460"/>
      <c r="E105" s="460"/>
      <c r="F105" s="460"/>
      <c r="G105" s="460"/>
      <c r="H105" s="1668">
        <v>2015</v>
      </c>
      <c r="I105" s="228"/>
      <c r="J105" s="229"/>
      <c r="N105" s="110"/>
      <c r="O105" s="110"/>
      <c r="P105" s="110"/>
      <c r="Q105" s="110"/>
    </row>
    <row r="106" spans="1:17" ht="12.75" customHeight="1">
      <c r="B106" s="236" t="s">
        <v>165</v>
      </c>
      <c r="C106" s="210" t="s">
        <v>247</v>
      </c>
      <c r="D106" s="463">
        <f ca="1">-(D182+D183+D185)/D168</f>
        <v>-127.20102701339356</v>
      </c>
      <c r="E106" s="463">
        <f ca="1">-(E182+E183+E185)/E168</f>
        <v>-130.83914228631767</v>
      </c>
      <c r="F106" s="463">
        <f ca="1">-(F182+F183+F185)/F168</f>
        <v>-140.71344330935997</v>
      </c>
      <c r="G106" s="463">
        <f ca="1">-(G182+G183+G185)/G168</f>
        <v>-140.71344330935997</v>
      </c>
      <c r="H106" s="1668">
        <v>2015</v>
      </c>
      <c r="I106" s="228"/>
      <c r="J106" s="229"/>
      <c r="N106" s="110"/>
      <c r="O106" s="110"/>
      <c r="P106" s="110"/>
      <c r="Q106" s="110"/>
    </row>
    <row r="107" spans="1:17" ht="12.75" customHeight="1">
      <c r="B107" s="236"/>
      <c r="C107" s="210"/>
      <c r="D107" s="213"/>
      <c r="E107" s="213"/>
      <c r="F107" s="213"/>
      <c r="G107" s="213"/>
      <c r="H107" s="983"/>
      <c r="I107" s="235"/>
      <c r="J107" s="229"/>
      <c r="N107" s="110"/>
      <c r="O107" s="110"/>
      <c r="P107" s="110"/>
      <c r="Q107" s="110"/>
    </row>
    <row r="108" spans="1:17" s="523" customFormat="1" ht="12.75" customHeight="1">
      <c r="B108" s="236"/>
      <c r="C108" s="210"/>
      <c r="D108" s="213"/>
      <c r="E108" s="213"/>
      <c r="F108" s="213"/>
      <c r="G108" s="213"/>
      <c r="H108" s="983"/>
      <c r="I108" s="235"/>
      <c r="J108" s="229"/>
      <c r="N108" s="110"/>
      <c r="O108" s="110"/>
      <c r="P108" s="110"/>
      <c r="Q108" s="110"/>
    </row>
    <row r="109" spans="1:17" s="523" customFormat="1" ht="12.75" customHeight="1">
      <c r="B109" s="236"/>
      <c r="C109" s="210"/>
      <c r="D109" s="213"/>
      <c r="E109" s="213"/>
      <c r="F109" s="213"/>
      <c r="G109" s="213"/>
      <c r="H109" s="983"/>
      <c r="I109" s="235"/>
      <c r="J109" s="229"/>
      <c r="N109" s="110"/>
      <c r="O109" s="110"/>
      <c r="P109" s="110"/>
      <c r="Q109" s="110"/>
    </row>
    <row r="110" spans="1:17" s="523" customFormat="1" ht="12.75" customHeight="1">
      <c r="B110" s="236"/>
      <c r="C110" s="210"/>
      <c r="D110" s="213"/>
      <c r="E110" s="213"/>
      <c r="F110" s="213"/>
      <c r="G110" s="213"/>
      <c r="H110" s="983"/>
      <c r="I110" s="235"/>
      <c r="J110" s="229"/>
      <c r="N110" s="110"/>
      <c r="O110" s="110"/>
      <c r="P110" s="110"/>
      <c r="Q110" s="110"/>
    </row>
    <row r="111" spans="1:17" s="523" customFormat="1" ht="12.75" customHeight="1">
      <c r="B111" s="236"/>
      <c r="C111" s="210"/>
      <c r="D111" s="213"/>
      <c r="E111" s="213"/>
      <c r="F111" s="213"/>
      <c r="G111" s="213"/>
      <c r="H111" s="983"/>
      <c r="I111" s="235"/>
      <c r="J111" s="229"/>
      <c r="N111" s="110"/>
      <c r="O111" s="110"/>
      <c r="P111" s="110"/>
      <c r="Q111" s="110"/>
    </row>
    <row r="112" spans="1:17" s="523" customFormat="1" ht="12.75" customHeight="1">
      <c r="B112" s="236"/>
      <c r="C112" s="210"/>
      <c r="D112" s="213"/>
      <c r="E112" s="213"/>
      <c r="F112" s="213"/>
      <c r="G112" s="213"/>
      <c r="H112" s="983"/>
      <c r="I112" s="235"/>
      <c r="J112" s="229"/>
      <c r="N112" s="110"/>
      <c r="O112" s="110"/>
      <c r="P112" s="110"/>
      <c r="Q112" s="110"/>
    </row>
    <row r="113" spans="2:17" ht="12.75" customHeight="1">
      <c r="B113" s="216" t="s">
        <v>166</v>
      </c>
      <c r="C113" s="210"/>
      <c r="D113" s="213"/>
      <c r="E113" s="213"/>
      <c r="F113" s="213"/>
      <c r="G113" s="213"/>
      <c r="H113" s="983"/>
      <c r="I113" s="235"/>
      <c r="J113" s="229"/>
      <c r="N113" s="112"/>
      <c r="O113" s="112"/>
      <c r="P113" s="112"/>
      <c r="Q113" s="110"/>
    </row>
    <row r="114" spans="2:17" ht="12.75" customHeight="1">
      <c r="B114" s="230" t="s">
        <v>24</v>
      </c>
      <c r="C114" s="210" t="s">
        <v>319</v>
      </c>
      <c r="D114" s="1136"/>
      <c r="E114" s="1136"/>
      <c r="F114" s="1136"/>
      <c r="G114" s="1136"/>
      <c r="H114" s="999"/>
      <c r="I114" s="228"/>
      <c r="J114" s="229"/>
      <c r="N114" s="110"/>
      <c r="O114" s="110"/>
      <c r="P114" s="110"/>
      <c r="Q114" s="110"/>
    </row>
    <row r="115" spans="2:17" ht="12.75" customHeight="1">
      <c r="B115" s="230" t="s">
        <v>27</v>
      </c>
      <c r="C115" s="210" t="s">
        <v>319</v>
      </c>
      <c r="D115" s="1136"/>
      <c r="E115" s="1136"/>
      <c r="F115" s="1136"/>
      <c r="G115" s="1136"/>
      <c r="H115" s="999"/>
      <c r="I115" s="228"/>
      <c r="J115" s="229"/>
      <c r="N115" s="110"/>
      <c r="O115" s="110"/>
      <c r="P115" s="110"/>
      <c r="Q115" s="110"/>
    </row>
    <row r="116" spans="2:17" ht="12.75" customHeight="1">
      <c r="B116" s="230" t="s">
        <v>28</v>
      </c>
      <c r="C116" s="210" t="s">
        <v>319</v>
      </c>
      <c r="D116" s="1136"/>
      <c r="E116" s="1136"/>
      <c r="F116" s="1136"/>
      <c r="G116" s="1136"/>
      <c r="H116" s="999"/>
      <c r="I116" s="228"/>
      <c r="J116" s="229"/>
      <c r="N116" s="110"/>
      <c r="O116" s="110"/>
      <c r="P116" s="110"/>
      <c r="Q116" s="110"/>
    </row>
    <row r="117" spans="2:17" ht="12.75" customHeight="1">
      <c r="B117" s="230" t="s">
        <v>26</v>
      </c>
      <c r="C117" s="210" t="s">
        <v>319</v>
      </c>
      <c r="D117" s="1136"/>
      <c r="E117" s="1136"/>
      <c r="F117" s="1136"/>
      <c r="G117" s="1136"/>
      <c r="H117" s="999"/>
      <c r="I117" s="228"/>
      <c r="J117" s="229"/>
      <c r="N117" s="110"/>
      <c r="O117" s="110"/>
      <c r="P117" s="110"/>
      <c r="Q117" s="110"/>
    </row>
    <row r="118" spans="2:17" ht="12.75" customHeight="1">
      <c r="B118" s="230" t="s">
        <v>25</v>
      </c>
      <c r="C118" s="210" t="s">
        <v>319</v>
      </c>
      <c r="D118" s="1136"/>
      <c r="E118" s="1136"/>
      <c r="F118" s="1136"/>
      <c r="G118" s="1136"/>
      <c r="H118" s="999"/>
      <c r="I118" s="228"/>
      <c r="J118" s="229"/>
      <c r="N118" s="112"/>
      <c r="O118" s="112"/>
      <c r="P118" s="112"/>
      <c r="Q118" s="112"/>
    </row>
    <row r="119" spans="2:17" ht="12.75" customHeight="1">
      <c r="B119" s="230" t="s">
        <v>45</v>
      </c>
      <c r="C119" s="210" t="s">
        <v>319</v>
      </c>
      <c r="D119" s="1137"/>
      <c r="E119" s="1137"/>
      <c r="F119" s="1137"/>
      <c r="G119" s="1137"/>
      <c r="H119" s="1000"/>
      <c r="I119" s="228"/>
      <c r="J119" s="229"/>
    </row>
    <row r="120" spans="2:17" ht="12.75" customHeight="1" thickBot="1">
      <c r="B120" s="113"/>
      <c r="C120" s="238"/>
      <c r="D120" s="96"/>
      <c r="E120" s="244"/>
      <c r="F120" s="244"/>
      <c r="G120" s="244"/>
      <c r="H120" s="968"/>
      <c r="I120" s="239"/>
      <c r="J120" s="240"/>
    </row>
    <row r="121" spans="2:17" ht="12.75" customHeight="1"/>
    <row r="122" spans="2:17" s="523" customFormat="1" ht="18.75" thickBot="1">
      <c r="B122" s="1111" t="s">
        <v>2023</v>
      </c>
      <c r="C122" s="215"/>
      <c r="D122" s="215"/>
      <c r="E122" s="215"/>
      <c r="F122" s="215"/>
      <c r="G122" s="215"/>
      <c r="H122" s="530"/>
      <c r="I122" s="215"/>
      <c r="J122" s="215"/>
    </row>
    <row r="123" spans="2:17" s="523" customFormat="1" ht="12.75" customHeight="1">
      <c r="B123" s="339"/>
      <c r="C123" s="137" t="s">
        <v>1438</v>
      </c>
      <c r="D123" s="138">
        <v>2015</v>
      </c>
      <c r="E123" s="137">
        <v>2020</v>
      </c>
      <c r="F123" s="137">
        <v>2035</v>
      </c>
      <c r="G123" s="137">
        <v>2050</v>
      </c>
      <c r="H123" s="137"/>
      <c r="I123" s="80" t="s">
        <v>145</v>
      </c>
      <c r="J123" s="139" t="s">
        <v>146</v>
      </c>
    </row>
    <row r="124" spans="2:17" s="523" customFormat="1" ht="12.75" customHeight="1">
      <c r="B124" s="247" t="s">
        <v>317</v>
      </c>
      <c r="C124" s="210" t="s">
        <v>318</v>
      </c>
      <c r="D124" s="461">
        <f>VLOOKUP($C$11,Feedstocks!$B$10:$D$23,3,0)</f>
        <v>43</v>
      </c>
      <c r="E124" s="461">
        <f>VLOOKUP($C$11,Feedstocks!$B$10:$D$23,3,0)</f>
        <v>43</v>
      </c>
      <c r="F124" s="461">
        <f>VLOOKUP($C$11,Feedstocks!$B$10:$D$23,3,0)</f>
        <v>43</v>
      </c>
      <c r="G124" s="461">
        <f>VLOOKUP($C$11,Feedstocks!$B$10:$D$23,3,0)</f>
        <v>43</v>
      </c>
      <c r="H124" s="461"/>
    </row>
    <row r="125" spans="2:17" s="523" customFormat="1" ht="12.75" customHeight="1">
      <c r="B125" s="247" t="s">
        <v>153</v>
      </c>
      <c r="C125" s="210" t="s">
        <v>318</v>
      </c>
      <c r="D125" s="307">
        <f>SUM(D$132:D$134)*3.6/D$146/1000</f>
        <v>2.2168299418604653</v>
      </c>
      <c r="E125" s="307">
        <f>SUM(E$132:E$134)*3.6/E$146/1000</f>
        <v>2.2168299418604653</v>
      </c>
      <c r="F125" s="307">
        <f>SUM(F$132:F$134)*3.6/F$146/1000</f>
        <v>2.2168299418604653</v>
      </c>
      <c r="G125" s="307">
        <f>SUM(G$132:G$134)*3.6/G$146/1000</f>
        <v>2.2168299418604653</v>
      </c>
      <c r="H125" s="307"/>
    </row>
    <row r="126" spans="2:17" s="523" customFormat="1" ht="12.75" customHeight="1">
      <c r="B126" s="247" t="s">
        <v>154</v>
      </c>
      <c r="C126" s="210" t="s">
        <v>318</v>
      </c>
      <c r="D126" s="307">
        <f>SUM(D$165:D$167,D$169)/D$33</f>
        <v>24.868826681925679</v>
      </c>
      <c r="E126" s="307">
        <f>SUM(E$165:E$167,E$169)/E$33</f>
        <v>24.868826681925679</v>
      </c>
      <c r="F126" s="307">
        <f>SUM(F$165:F$167,F$169)/F$33</f>
        <v>24.868826681925679</v>
      </c>
      <c r="G126" s="307">
        <f>SUM(G$165:G$167,G$169)/G$33</f>
        <v>24.868826681925679</v>
      </c>
      <c r="H126" s="307"/>
    </row>
    <row r="127" spans="2:17" s="523" customFormat="1" ht="12.75" customHeight="1">
      <c r="B127" s="247" t="s">
        <v>2</v>
      </c>
      <c r="C127" s="210" t="s">
        <v>318</v>
      </c>
      <c r="D127" s="237">
        <f>D$32*D$31</f>
        <v>20.212160852713179</v>
      </c>
      <c r="E127" s="237">
        <f>E$32*E$31</f>
        <v>20.212160852713179</v>
      </c>
      <c r="F127" s="237">
        <f>F$32*F$31</f>
        <v>20.212160852713179</v>
      </c>
      <c r="G127" s="237">
        <f>G$32*G$31</f>
        <v>20.212160852713179</v>
      </c>
      <c r="H127" s="237"/>
    </row>
    <row r="128" spans="2:17" s="523" customFormat="1" ht="12.75" customHeight="1"/>
    <row r="129" spans="2:10" s="215" customFormat="1" ht="19.5" customHeight="1" thickBot="1">
      <c r="B129" s="1111" t="s">
        <v>1453</v>
      </c>
    </row>
    <row r="130" spans="2:10" ht="12.75" customHeight="1">
      <c r="B130" s="339"/>
      <c r="C130" s="137" t="s">
        <v>1438</v>
      </c>
      <c r="D130" s="138">
        <v>2015</v>
      </c>
      <c r="E130" s="137">
        <v>2020</v>
      </c>
      <c r="F130" s="137">
        <v>2035</v>
      </c>
      <c r="G130" s="137">
        <v>2050</v>
      </c>
      <c r="H130" s="137"/>
      <c r="I130" s="80" t="s">
        <v>145</v>
      </c>
      <c r="J130" s="139" t="s">
        <v>146</v>
      </c>
    </row>
    <row r="131" spans="2:10" s="523" customFormat="1" ht="12.75" customHeight="1">
      <c r="B131" s="230" t="s">
        <v>8</v>
      </c>
      <c r="C131" s="209"/>
      <c r="D131" s="136"/>
      <c r="E131" s="115"/>
      <c r="F131" s="115"/>
      <c r="G131" s="115"/>
      <c r="H131" s="115"/>
      <c r="I131" s="1107"/>
      <c r="J131" s="229"/>
    </row>
    <row r="132" spans="2:10" ht="12.75" customHeight="1">
      <c r="B132" s="247" t="s">
        <v>557</v>
      </c>
      <c r="C132" s="209" t="s">
        <v>436</v>
      </c>
      <c r="D132" s="136">
        <v>177515</v>
      </c>
      <c r="E132" s="1108">
        <f t="shared" ref="E132:G133" si="1">D132</f>
        <v>177515</v>
      </c>
      <c r="F132" s="1108">
        <f t="shared" si="1"/>
        <v>177515</v>
      </c>
      <c r="G132" s="1108">
        <f t="shared" si="1"/>
        <v>177515</v>
      </c>
      <c r="H132" s="1108"/>
      <c r="I132" s="555" t="str">
        <f>Referencer!$B$41</f>
        <v>35, Statoil, Grønt Regnskab 2012</v>
      </c>
      <c r="J132" s="229" t="s">
        <v>1448</v>
      </c>
    </row>
    <row r="133" spans="2:10" ht="12.75" customHeight="1">
      <c r="B133" s="247" t="s">
        <v>558</v>
      </c>
      <c r="C133" s="209" t="s">
        <v>436</v>
      </c>
      <c r="D133" s="136">
        <v>131478</v>
      </c>
      <c r="E133" s="1108">
        <f t="shared" si="1"/>
        <v>131478</v>
      </c>
      <c r="F133" s="1108">
        <f t="shared" si="1"/>
        <v>131478</v>
      </c>
      <c r="G133" s="1108">
        <f t="shared" si="1"/>
        <v>131478</v>
      </c>
      <c r="H133" s="1108"/>
      <c r="I133" s="555" t="str">
        <f>Referencer!$B$41</f>
        <v>35, Statoil, Grønt Regnskab 2012</v>
      </c>
      <c r="J133" s="229" t="s">
        <v>1448</v>
      </c>
    </row>
    <row r="134" spans="2:10" ht="12.75" customHeight="1">
      <c r="B134" s="247" t="s">
        <v>559</v>
      </c>
      <c r="C134" s="209" t="s">
        <v>436</v>
      </c>
      <c r="D134" s="136">
        <v>2232972</v>
      </c>
      <c r="E134" s="1108">
        <f t="shared" ref="E134:G135" si="2">D134</f>
        <v>2232972</v>
      </c>
      <c r="F134" s="1108">
        <f t="shared" si="2"/>
        <v>2232972</v>
      </c>
      <c r="G134" s="1108">
        <f t="shared" si="2"/>
        <v>2232972</v>
      </c>
      <c r="H134" s="1108"/>
      <c r="I134" s="555" t="str">
        <f>Referencer!$B$41</f>
        <v>35, Statoil, Grønt Regnskab 2012</v>
      </c>
      <c r="J134" s="229" t="s">
        <v>1448</v>
      </c>
    </row>
    <row r="135" spans="2:10" s="523" customFormat="1" ht="12.75" customHeight="1">
      <c r="B135" s="247" t="s">
        <v>559</v>
      </c>
      <c r="C135" s="209" t="s">
        <v>1455</v>
      </c>
      <c r="D135" s="136">
        <v>162250</v>
      </c>
      <c r="E135" s="1108">
        <f t="shared" si="2"/>
        <v>162250</v>
      </c>
      <c r="F135" s="1108">
        <f t="shared" si="2"/>
        <v>162250</v>
      </c>
      <c r="G135" s="1108">
        <f t="shared" si="2"/>
        <v>162250</v>
      </c>
      <c r="H135" s="1108"/>
      <c r="I135" s="555" t="str">
        <f>Referencer!$B$41</f>
        <v>35, Statoil, Grønt Regnskab 2012</v>
      </c>
      <c r="J135" s="229" t="s">
        <v>1448</v>
      </c>
    </row>
    <row r="136" spans="2:10" s="523" customFormat="1" ht="12.75" customHeight="1">
      <c r="B136" s="247" t="s">
        <v>559</v>
      </c>
      <c r="C136" s="209" t="s">
        <v>1457</v>
      </c>
      <c r="D136" s="1106">
        <f>D134/D135</f>
        <v>13.762539291217257</v>
      </c>
      <c r="E136" s="1135">
        <f>E134/E135</f>
        <v>13.762539291217257</v>
      </c>
      <c r="F136" s="1135">
        <f>F134/F135</f>
        <v>13.762539291217257</v>
      </c>
      <c r="G136" s="1135">
        <f>G134/G135</f>
        <v>13.762539291217257</v>
      </c>
      <c r="H136" s="1135"/>
      <c r="I136" s="555"/>
      <c r="J136" s="229"/>
    </row>
    <row r="137" spans="2:10" s="523" customFormat="1" ht="12.75" customHeight="1">
      <c r="B137" s="247" t="s">
        <v>559</v>
      </c>
      <c r="C137" s="209" t="s">
        <v>1458</v>
      </c>
      <c r="D137" s="1106">
        <f>D136*3.6</f>
        <v>49.545141448382125</v>
      </c>
      <c r="E137" s="1135">
        <f>E136*3.6</f>
        <v>49.545141448382125</v>
      </c>
      <c r="F137" s="1135">
        <f>F136*3.6</f>
        <v>49.545141448382125</v>
      </c>
      <c r="G137" s="1135">
        <f>G136*3.6</f>
        <v>49.545141448382125</v>
      </c>
      <c r="H137" s="1135"/>
      <c r="I137" s="1107"/>
      <c r="J137" s="229"/>
    </row>
    <row r="138" spans="2:10" s="523" customFormat="1" ht="12.75" customHeight="1">
      <c r="B138" s="247" t="s">
        <v>192</v>
      </c>
      <c r="C138" s="209" t="s">
        <v>18</v>
      </c>
      <c r="D138" s="447">
        <f>D124*D146*1000</f>
        <v>177504000</v>
      </c>
      <c r="E138" s="448">
        <f>E124*E146*1000</f>
        <v>177504000</v>
      </c>
      <c r="F138" s="448">
        <f>F124*F146*1000</f>
        <v>177504000</v>
      </c>
      <c r="G138" s="448">
        <f>G124*G146*1000</f>
        <v>177504000</v>
      </c>
      <c r="H138" s="448"/>
      <c r="I138" s="455"/>
      <c r="J138" s="229" t="s">
        <v>1778</v>
      </c>
    </row>
    <row r="139" spans="2:10" s="523" customFormat="1" ht="12.75" customHeight="1">
      <c r="B139" s="247" t="s">
        <v>557</v>
      </c>
      <c r="C139" s="209" t="s">
        <v>888</v>
      </c>
      <c r="D139" s="304">
        <f t="shared" ref="D139:G141" si="3">D132*3.6/D$138</f>
        <v>3.6002230935640888E-3</v>
      </c>
      <c r="E139" s="305">
        <f t="shared" si="3"/>
        <v>3.6002230935640888E-3</v>
      </c>
      <c r="F139" s="305">
        <f t="shared" si="3"/>
        <v>3.6002230935640888E-3</v>
      </c>
      <c r="G139" s="305">
        <f t="shared" si="3"/>
        <v>3.6002230935640888E-3</v>
      </c>
      <c r="H139" s="305"/>
      <c r="I139" s="455"/>
      <c r="J139" s="229"/>
    </row>
    <row r="140" spans="2:10" s="523" customFormat="1" ht="12.75" customHeight="1">
      <c r="B140" s="247" t="s">
        <v>558</v>
      </c>
      <c r="C140" s="209" t="s">
        <v>888</v>
      </c>
      <c r="D140" s="304">
        <f t="shared" si="3"/>
        <v>2.6665359653866953E-3</v>
      </c>
      <c r="E140" s="305">
        <f t="shared" si="3"/>
        <v>2.6665359653866953E-3</v>
      </c>
      <c r="F140" s="305">
        <f t="shared" si="3"/>
        <v>2.6665359653866953E-3</v>
      </c>
      <c r="G140" s="305">
        <f t="shared" si="3"/>
        <v>2.6665359653866953E-3</v>
      </c>
      <c r="H140" s="305"/>
      <c r="I140" s="455"/>
      <c r="J140" s="229"/>
    </row>
    <row r="141" spans="2:10" s="523" customFormat="1" ht="12.75" customHeight="1">
      <c r="B141" s="247" t="s">
        <v>559</v>
      </c>
      <c r="C141" s="209" t="s">
        <v>888</v>
      </c>
      <c r="D141" s="304">
        <f t="shared" si="3"/>
        <v>4.5287425635478641E-2</v>
      </c>
      <c r="E141" s="305">
        <f t="shared" si="3"/>
        <v>4.5287425635478641E-2</v>
      </c>
      <c r="F141" s="305">
        <f t="shared" si="3"/>
        <v>4.5287425635478641E-2</v>
      </c>
      <c r="G141" s="305">
        <f t="shared" si="3"/>
        <v>4.5287425635478641E-2</v>
      </c>
      <c r="H141" s="305"/>
      <c r="I141" s="455"/>
      <c r="J141" s="229"/>
    </row>
    <row r="142" spans="2:10" ht="12.75" customHeight="1">
      <c r="B142" s="247"/>
      <c r="C142" s="209"/>
      <c r="D142" s="136"/>
      <c r="E142" s="115"/>
      <c r="F142" s="115"/>
      <c r="G142" s="115"/>
      <c r="H142" s="115"/>
      <c r="I142" s="1107"/>
      <c r="J142" s="229"/>
    </row>
    <row r="143" spans="2:10" ht="12.75" customHeight="1">
      <c r="B143" s="247" t="s">
        <v>1152</v>
      </c>
      <c r="C143" s="209"/>
      <c r="D143" s="136"/>
      <c r="E143" s="115"/>
      <c r="F143" s="115"/>
      <c r="G143" s="115"/>
      <c r="H143" s="115"/>
      <c r="I143" s="1107"/>
      <c r="J143" s="229"/>
    </row>
    <row r="144" spans="2:10" ht="12.75" customHeight="1">
      <c r="B144" s="247" t="s">
        <v>192</v>
      </c>
      <c r="C144" s="209" t="s">
        <v>1439</v>
      </c>
      <c r="D144" s="136">
        <v>3365</v>
      </c>
      <c r="E144" s="1108">
        <f t="shared" ref="E144:G145" si="4">D144</f>
        <v>3365</v>
      </c>
      <c r="F144" s="1108">
        <f t="shared" si="4"/>
        <v>3365</v>
      </c>
      <c r="G144" s="1108">
        <f t="shared" si="4"/>
        <v>3365</v>
      </c>
      <c r="H144" s="1108"/>
      <c r="I144" s="555" t="str">
        <f>Referencer!$B$41</f>
        <v>35, Statoil, Grønt Regnskab 2012</v>
      </c>
      <c r="J144" s="229" t="s">
        <v>1448</v>
      </c>
    </row>
    <row r="145" spans="2:10" ht="12.75" customHeight="1">
      <c r="B145" s="247" t="s">
        <v>1440</v>
      </c>
      <c r="C145" s="209" t="s">
        <v>1439</v>
      </c>
      <c r="D145" s="136">
        <v>763</v>
      </c>
      <c r="E145" s="1108">
        <f t="shared" si="4"/>
        <v>763</v>
      </c>
      <c r="F145" s="1108">
        <f t="shared" si="4"/>
        <v>763</v>
      </c>
      <c r="G145" s="1108">
        <f t="shared" si="4"/>
        <v>763</v>
      </c>
      <c r="H145" s="1108"/>
      <c r="I145" s="555" t="str">
        <f>Referencer!$B$41</f>
        <v>35, Statoil, Grønt Regnskab 2012</v>
      </c>
      <c r="J145" s="229" t="s">
        <v>1448</v>
      </c>
    </row>
    <row r="146" spans="2:10" ht="12.75" customHeight="1">
      <c r="B146" s="310" t="s">
        <v>983</v>
      </c>
      <c r="C146" s="209" t="s">
        <v>1439</v>
      </c>
      <c r="D146" s="447">
        <f>SUM(D144:D145)</f>
        <v>4128</v>
      </c>
      <c r="E146" s="448">
        <f>SUM(E144:E145)</f>
        <v>4128</v>
      </c>
      <c r="F146" s="448">
        <f>SUM(F144:F145)</f>
        <v>4128</v>
      </c>
      <c r="G146" s="448">
        <f>SUM(G144:G145)</f>
        <v>4128</v>
      </c>
      <c r="H146" s="448"/>
      <c r="I146" s="555"/>
      <c r="J146" s="229"/>
    </row>
    <row r="147" spans="2:10" ht="12.75" customHeight="1">
      <c r="B147" s="247"/>
      <c r="C147" s="209"/>
      <c r="D147" s="136"/>
      <c r="E147" s="115"/>
      <c r="F147" s="115"/>
      <c r="G147" s="115"/>
      <c r="H147" s="115"/>
      <c r="I147" s="555"/>
      <c r="J147" s="229"/>
    </row>
    <row r="148" spans="2:10" ht="12.75" customHeight="1">
      <c r="B148" s="247" t="s">
        <v>1153</v>
      </c>
      <c r="C148" s="209"/>
      <c r="D148" s="136"/>
      <c r="E148" s="115"/>
      <c r="F148" s="115"/>
      <c r="G148" s="115"/>
      <c r="H148" s="115"/>
      <c r="I148" s="555"/>
      <c r="J148" s="229"/>
    </row>
    <row r="149" spans="2:10" ht="12.75" customHeight="1">
      <c r="B149" s="247" t="s">
        <v>322</v>
      </c>
      <c r="C149" s="209" t="s">
        <v>1439</v>
      </c>
      <c r="D149" s="136">
        <v>223</v>
      </c>
      <c r="E149" s="1108">
        <f t="shared" ref="E149:G154" si="5">D149</f>
        <v>223</v>
      </c>
      <c r="F149" s="1108">
        <f t="shared" si="5"/>
        <v>223</v>
      </c>
      <c r="G149" s="1108">
        <f t="shared" si="5"/>
        <v>223</v>
      </c>
      <c r="H149" s="1108"/>
      <c r="I149" s="555" t="str">
        <f>Referencer!$B$41</f>
        <v>35, Statoil, Grønt Regnskab 2012</v>
      </c>
      <c r="J149" s="229" t="s">
        <v>1448</v>
      </c>
    </row>
    <row r="150" spans="2:10" ht="12.75" customHeight="1">
      <c r="B150" s="247" t="s">
        <v>323</v>
      </c>
      <c r="C150" s="209" t="s">
        <v>1439</v>
      </c>
      <c r="D150" s="136">
        <v>1401</v>
      </c>
      <c r="E150" s="1108">
        <f t="shared" si="5"/>
        <v>1401</v>
      </c>
      <c r="F150" s="1108">
        <f t="shared" si="5"/>
        <v>1401</v>
      </c>
      <c r="G150" s="1108">
        <f t="shared" si="5"/>
        <v>1401</v>
      </c>
      <c r="H150" s="1108"/>
      <c r="I150" s="555" t="str">
        <f>Referencer!$B$41</f>
        <v>35, Statoil, Grønt Regnskab 2012</v>
      </c>
      <c r="J150" s="229" t="s">
        <v>1448</v>
      </c>
    </row>
    <row r="151" spans="2:10" ht="12.75" customHeight="1">
      <c r="B151" s="247" t="s">
        <v>1441</v>
      </c>
      <c r="C151" s="209" t="s">
        <v>1439</v>
      </c>
      <c r="D151" s="136">
        <v>39</v>
      </c>
      <c r="E151" s="1108">
        <f t="shared" si="5"/>
        <v>39</v>
      </c>
      <c r="F151" s="1108">
        <f t="shared" si="5"/>
        <v>39</v>
      </c>
      <c r="G151" s="1108">
        <f t="shared" si="5"/>
        <v>39</v>
      </c>
      <c r="H151" s="1108"/>
      <c r="I151" s="555" t="str">
        <f>Referencer!$B$41</f>
        <v>35, Statoil, Grønt Regnskab 2012</v>
      </c>
      <c r="J151" s="229" t="s">
        <v>1448</v>
      </c>
    </row>
    <row r="152" spans="2:10" ht="12.75" customHeight="1">
      <c r="B152" s="247" t="s">
        <v>1442</v>
      </c>
      <c r="C152" s="209" t="s">
        <v>1439</v>
      </c>
      <c r="D152" s="136">
        <v>1954</v>
      </c>
      <c r="E152" s="1108">
        <f t="shared" si="5"/>
        <v>1954</v>
      </c>
      <c r="F152" s="1108">
        <f t="shared" si="5"/>
        <v>1954</v>
      </c>
      <c r="G152" s="1108">
        <f t="shared" si="5"/>
        <v>1954</v>
      </c>
      <c r="H152" s="1108"/>
      <c r="I152" s="555" t="str">
        <f>Referencer!$B$41</f>
        <v>35, Statoil, Grønt Regnskab 2012</v>
      </c>
      <c r="J152" s="229" t="s">
        <v>1448</v>
      </c>
    </row>
    <row r="153" spans="2:10" ht="12.75" customHeight="1">
      <c r="B153" s="247" t="s">
        <v>324</v>
      </c>
      <c r="C153" s="209" t="s">
        <v>1439</v>
      </c>
      <c r="D153" s="136">
        <v>703</v>
      </c>
      <c r="E153" s="1108">
        <f t="shared" si="5"/>
        <v>703</v>
      </c>
      <c r="F153" s="1108">
        <f t="shared" si="5"/>
        <v>703</v>
      </c>
      <c r="G153" s="1108">
        <f t="shared" si="5"/>
        <v>703</v>
      </c>
      <c r="H153" s="1108"/>
      <c r="I153" s="555" t="str">
        <f>Referencer!$B$41</f>
        <v>35, Statoil, Grønt Regnskab 2012</v>
      </c>
      <c r="J153" s="229" t="s">
        <v>1448</v>
      </c>
    </row>
    <row r="154" spans="2:10" ht="12.75" customHeight="1">
      <c r="B154" s="247" t="s">
        <v>1443</v>
      </c>
      <c r="C154" s="209" t="s">
        <v>1439</v>
      </c>
      <c r="D154" s="136">
        <v>6.4</v>
      </c>
      <c r="E154" s="1108">
        <f t="shared" si="5"/>
        <v>6.4</v>
      </c>
      <c r="F154" s="1108">
        <f t="shared" si="5"/>
        <v>6.4</v>
      </c>
      <c r="G154" s="1108">
        <f t="shared" si="5"/>
        <v>6.4</v>
      </c>
      <c r="H154" s="1108"/>
      <c r="I154" s="555" t="str">
        <f>Referencer!$B$41</f>
        <v>35, Statoil, Grønt Regnskab 2012</v>
      </c>
      <c r="J154" s="229" t="s">
        <v>1448</v>
      </c>
    </row>
    <row r="155" spans="2:10" ht="12.75" customHeight="1">
      <c r="B155" s="247"/>
      <c r="C155" s="209"/>
      <c r="D155" s="136"/>
      <c r="E155" s="115"/>
      <c r="F155" s="115"/>
      <c r="G155" s="115"/>
      <c r="H155" s="115"/>
      <c r="I155" s="555"/>
      <c r="J155" s="229"/>
    </row>
    <row r="156" spans="2:10" ht="12.75" customHeight="1">
      <c r="B156" s="247" t="s">
        <v>1153</v>
      </c>
      <c r="C156" s="209"/>
      <c r="D156" s="136"/>
      <c r="E156" s="115"/>
      <c r="F156" s="115"/>
      <c r="G156" s="115"/>
      <c r="H156" s="115"/>
      <c r="I156" s="1107"/>
      <c r="J156" s="229"/>
    </row>
    <row r="157" spans="2:10" ht="12.75" customHeight="1">
      <c r="B157" s="247" t="s">
        <v>322</v>
      </c>
      <c r="C157" s="209" t="s">
        <v>316</v>
      </c>
      <c r="D157" s="1109">
        <f>D149/D$146</f>
        <v>5.4021317829457363E-2</v>
      </c>
      <c r="E157" s="1110">
        <f>E149/E$146</f>
        <v>5.4021317829457363E-2</v>
      </c>
      <c r="F157" s="1110">
        <f>F149/F$146</f>
        <v>5.4021317829457363E-2</v>
      </c>
      <c r="G157" s="1110">
        <f>G149/G$146</f>
        <v>5.4021317829457363E-2</v>
      </c>
      <c r="H157" s="1110"/>
      <c r="I157" s="1107"/>
      <c r="J157" s="229"/>
    </row>
    <row r="158" spans="2:10" ht="12.75" customHeight="1">
      <c r="B158" s="247" t="s">
        <v>323</v>
      </c>
      <c r="C158" s="209" t="s">
        <v>316</v>
      </c>
      <c r="D158" s="1109">
        <f t="shared" ref="D158:G162" si="6">D150/D$146</f>
        <v>0.33938953488372092</v>
      </c>
      <c r="E158" s="1110">
        <f t="shared" si="6"/>
        <v>0.33938953488372092</v>
      </c>
      <c r="F158" s="1110">
        <f t="shared" si="6"/>
        <v>0.33938953488372092</v>
      </c>
      <c r="G158" s="1110">
        <f t="shared" si="6"/>
        <v>0.33938953488372092</v>
      </c>
      <c r="H158" s="1110"/>
      <c r="I158" s="1107"/>
      <c r="J158" s="229"/>
    </row>
    <row r="159" spans="2:10" ht="12.75" customHeight="1">
      <c r="B159" s="247" t="s">
        <v>1441</v>
      </c>
      <c r="C159" s="209" t="s">
        <v>316</v>
      </c>
      <c r="D159" s="1109">
        <f t="shared" si="6"/>
        <v>9.4476744186046506E-3</v>
      </c>
      <c r="E159" s="1110">
        <f t="shared" si="6"/>
        <v>9.4476744186046506E-3</v>
      </c>
      <c r="F159" s="1110">
        <f t="shared" si="6"/>
        <v>9.4476744186046506E-3</v>
      </c>
      <c r="G159" s="1110">
        <f t="shared" si="6"/>
        <v>9.4476744186046506E-3</v>
      </c>
      <c r="H159" s="1110"/>
      <c r="I159" s="1107"/>
      <c r="J159" s="229"/>
    </row>
    <row r="160" spans="2:10" ht="12.75" customHeight="1">
      <c r="B160" s="247" t="s">
        <v>1442</v>
      </c>
      <c r="C160" s="209" t="s">
        <v>316</v>
      </c>
      <c r="D160" s="1109">
        <f t="shared" si="6"/>
        <v>0.47335271317829458</v>
      </c>
      <c r="E160" s="1110">
        <f t="shared" si="6"/>
        <v>0.47335271317829458</v>
      </c>
      <c r="F160" s="1110">
        <f t="shared" si="6"/>
        <v>0.47335271317829458</v>
      </c>
      <c r="G160" s="1110">
        <f t="shared" si="6"/>
        <v>0.47335271317829458</v>
      </c>
      <c r="H160" s="1110"/>
      <c r="I160" s="1107"/>
      <c r="J160" s="229"/>
    </row>
    <row r="161" spans="2:10" ht="12.75" customHeight="1">
      <c r="B161" s="247" t="s">
        <v>324</v>
      </c>
      <c r="C161" s="209" t="s">
        <v>316</v>
      </c>
      <c r="D161" s="1109">
        <f t="shared" si="6"/>
        <v>0.17030038759689922</v>
      </c>
      <c r="E161" s="1110">
        <f t="shared" si="6"/>
        <v>0.17030038759689922</v>
      </c>
      <c r="F161" s="1110">
        <f t="shared" si="6"/>
        <v>0.17030038759689922</v>
      </c>
      <c r="G161" s="1110">
        <f t="shared" si="6"/>
        <v>0.17030038759689922</v>
      </c>
      <c r="H161" s="1110"/>
      <c r="I161" s="1107"/>
      <c r="J161" s="229"/>
    </row>
    <row r="162" spans="2:10" ht="12.75" customHeight="1">
      <c r="B162" s="247" t="s">
        <v>1443</v>
      </c>
      <c r="C162" s="209" t="s">
        <v>316</v>
      </c>
      <c r="D162" s="1109">
        <f t="shared" si="6"/>
        <v>1.5503875968992248E-3</v>
      </c>
      <c r="E162" s="1110">
        <f t="shared" si="6"/>
        <v>1.5503875968992248E-3</v>
      </c>
      <c r="F162" s="1110">
        <f t="shared" si="6"/>
        <v>1.5503875968992248E-3</v>
      </c>
      <c r="G162" s="1110">
        <f t="shared" si="6"/>
        <v>1.5503875968992248E-3</v>
      </c>
      <c r="H162" s="1110"/>
      <c r="I162" s="1107"/>
      <c r="J162" s="229"/>
    </row>
    <row r="163" spans="2:10" ht="12.75" customHeight="1">
      <c r="B163" s="247"/>
      <c r="C163" s="209"/>
      <c r="D163" s="136"/>
      <c r="E163" s="115"/>
      <c r="F163" s="115"/>
      <c r="G163" s="115"/>
      <c r="H163" s="115"/>
      <c r="I163" s="1107"/>
      <c r="J163" s="229"/>
    </row>
    <row r="164" spans="2:10" s="523" customFormat="1" ht="12.75" customHeight="1">
      <c r="B164" s="310" t="s">
        <v>1456</v>
      </c>
      <c r="C164" s="209"/>
      <c r="D164" s="136"/>
      <c r="E164" s="115"/>
      <c r="F164" s="115"/>
      <c r="G164" s="115"/>
      <c r="H164" s="115"/>
      <c r="I164" s="1107"/>
      <c r="J164" s="229"/>
    </row>
    <row r="165" spans="2:10" s="523" customFormat="1" ht="12.75" customHeight="1">
      <c r="B165" s="247" t="s">
        <v>322</v>
      </c>
      <c r="C165" s="209" t="s">
        <v>18</v>
      </c>
      <c r="D165" s="447">
        <f>D137*D157*D33</f>
        <v>12579521.015515819</v>
      </c>
      <c r="E165" s="448">
        <f>E137*E157*E33</f>
        <v>12579521.015515819</v>
      </c>
      <c r="F165" s="448">
        <f>F137*F157*F33</f>
        <v>12579521.015515819</v>
      </c>
      <c r="G165" s="448">
        <f>G137*G157*G33</f>
        <v>12579521.015515819</v>
      </c>
      <c r="H165" s="448"/>
      <c r="I165" s="1107"/>
      <c r="J165" s="229"/>
    </row>
    <row r="166" spans="2:10" s="523" customFormat="1" ht="12.75" customHeight="1">
      <c r="B166" s="247" t="s">
        <v>323</v>
      </c>
      <c r="C166" s="209" t="s">
        <v>18</v>
      </c>
      <c r="D166" s="447">
        <f>D158*D$33*Supplementary!$D$158</f>
        <v>69866729.651162788</v>
      </c>
      <c r="E166" s="448">
        <f>E158*E$33*Supplementary!$D$158</f>
        <v>69866729.651162788</v>
      </c>
      <c r="F166" s="448">
        <f>F158*F$33*Supplementary!$D$158</f>
        <v>69866729.651162788</v>
      </c>
      <c r="G166" s="448">
        <f>G158*G$33*Supplementary!$D$158</f>
        <v>69866729.651162788</v>
      </c>
      <c r="H166" s="448"/>
      <c r="I166" s="1107"/>
      <c r="J166" s="229"/>
    </row>
    <row r="167" spans="2:10" s="523" customFormat="1" ht="12.75" customHeight="1">
      <c r="B167" s="247" t="s">
        <v>1441</v>
      </c>
      <c r="C167" s="209" t="s">
        <v>18</v>
      </c>
      <c r="D167" s="447">
        <f>D159*D$33*Supplementary!$D$159</f>
        <v>1900494.1860465112</v>
      </c>
      <c r="E167" s="448">
        <f>E159*E$33*Supplementary!$D$159</f>
        <v>1900494.1860465112</v>
      </c>
      <c r="F167" s="448">
        <f>F159*F$33*Supplementary!$D$159</f>
        <v>1900494.1860465112</v>
      </c>
      <c r="G167" s="448">
        <f>G159*G$33*Supplementary!$D$159</f>
        <v>1900494.1860465112</v>
      </c>
      <c r="H167" s="448"/>
      <c r="I167" s="1107"/>
      <c r="J167" s="229"/>
    </row>
    <row r="168" spans="2:10" s="523" customFormat="1" ht="12.75" customHeight="1">
      <c r="B168" s="247" t="s">
        <v>1442</v>
      </c>
      <c r="C168" s="209" t="s">
        <v>18</v>
      </c>
      <c r="D168" s="447">
        <f>D160*D$33*Supplementary!$D$164</f>
        <v>94997156.007751942</v>
      </c>
      <c r="E168" s="448">
        <f>E160*E$33*Supplementary!$D$164</f>
        <v>94997156.007751942</v>
      </c>
      <c r="F168" s="448">
        <f>F160*F$33*Supplementary!$D$164</f>
        <v>94997156.007751942</v>
      </c>
      <c r="G168" s="448">
        <f>G160*G$33*Supplementary!$D$164</f>
        <v>94997156.007751942</v>
      </c>
      <c r="H168" s="448"/>
      <c r="I168" s="1107"/>
      <c r="J168" s="229"/>
    </row>
    <row r="169" spans="2:10" s="523" customFormat="1" ht="12.75" customHeight="1">
      <c r="B169" s="247" t="s">
        <v>324</v>
      </c>
      <c r="C169" s="209" t="s">
        <v>18</v>
      </c>
      <c r="D169" s="447">
        <f>D161*D$33*Supplementary!$D$160</f>
        <v>32536740.55232558</v>
      </c>
      <c r="E169" s="448">
        <f>E161*E$33*Supplementary!$D$160</f>
        <v>32536740.55232558</v>
      </c>
      <c r="F169" s="448">
        <f>F161*F$33*Supplementary!$D$160</f>
        <v>32536740.55232558</v>
      </c>
      <c r="G169" s="448">
        <f>G161*G$33*Supplementary!$D$160</f>
        <v>32536740.55232558</v>
      </c>
      <c r="H169" s="448"/>
      <c r="I169" s="1107"/>
      <c r="J169" s="229"/>
    </row>
    <row r="170" spans="2:10" s="523" customFormat="1" ht="12.75" customHeight="1">
      <c r="B170" s="247"/>
      <c r="C170" s="209"/>
      <c r="D170" s="136"/>
      <c r="E170" s="115"/>
      <c r="F170" s="115"/>
      <c r="G170" s="115"/>
      <c r="H170" s="115"/>
      <c r="I170" s="1107"/>
      <c r="J170" s="229"/>
    </row>
    <row r="171" spans="2:10" s="523" customFormat="1" ht="12.75" customHeight="1">
      <c r="B171" s="310" t="s">
        <v>1445</v>
      </c>
      <c r="C171" s="209"/>
      <c r="D171" s="136"/>
      <c r="E171" s="115"/>
      <c r="F171" s="115"/>
      <c r="G171" s="115"/>
      <c r="H171" s="115"/>
      <c r="I171" s="555"/>
      <c r="J171" s="229"/>
    </row>
    <row r="172" spans="2:10" s="523" customFormat="1" ht="12.75" customHeight="1">
      <c r="B172" s="310" t="s">
        <v>976</v>
      </c>
      <c r="C172" s="209" t="s">
        <v>23</v>
      </c>
      <c r="D172" s="2133">
        <f ca="1">VLOOKUP($B172,Prices!$B$5:$Q$27,COLUMN(Prices!M$4)-1,FALSE)</f>
        <v>107.82999339926188</v>
      </c>
      <c r="E172" s="2134">
        <f ca="1">VLOOKUP($B172,Prices!$B$5:$Q$27,COLUMN(Prices!N$4)-1,FALSE)</f>
        <v>110.93829023950966</v>
      </c>
      <c r="F172" s="2134">
        <f ca="1">VLOOKUP($B172,Prices!$B$5:$Q$27,COLUMN(Prices!O$4)-1,FALSE)</f>
        <v>122.1762414485604</v>
      </c>
      <c r="G172" s="2134">
        <f ca="1">VLOOKUP($B172,Prices!$B$5:$Q$27,COLUMN(Prices!P$4)-1,FALSE)</f>
        <v>122.1762414485604</v>
      </c>
      <c r="H172" s="1108"/>
      <c r="I172" s="555" t="str">
        <f>Referencer!$B$37</f>
        <v>31, Forudsætninger for samfundsøkonomiske analyser på energiområdet. Energistyrelsen. April 2011, opdateret dataark oktober 2012</v>
      </c>
      <c r="J172" s="229" t="s">
        <v>1446</v>
      </c>
    </row>
    <row r="173" spans="2:10" s="523" customFormat="1" ht="12.75" customHeight="1">
      <c r="B173" s="310" t="s">
        <v>2293</v>
      </c>
      <c r="C173" s="209" t="s">
        <v>23</v>
      </c>
      <c r="D173" s="2133">
        <f ca="1">VLOOKUP($B173,Prices!$B$5:$Q$27,COLUMN(Prices!M$4)-1,FALSE)</f>
        <v>124.11626091168741</v>
      </c>
      <c r="E173" s="2134">
        <f ca="1">VLOOKUP($B173,Prices!$B$5:$Q$27,COLUMN(Prices!N$4)-1,FALSE)</f>
        <v>127.62898527711253</v>
      </c>
      <c r="F173" s="2134">
        <f ca="1">VLOOKUP($B173,Prices!$B$5:$Q$27,COLUMN(Prices!O$4)-1,FALSE)</f>
        <v>136.88980405868782</v>
      </c>
      <c r="G173" s="2134">
        <f ca="1">VLOOKUP($B173,Prices!$B$5:$Q$27,COLUMN(Prices!P$4)-1,FALSE)</f>
        <v>136.88980405868782</v>
      </c>
      <c r="H173" s="115"/>
      <c r="I173" s="555" t="str">
        <f>Referencer!$B$37</f>
        <v>31, Forudsætninger for samfundsøkonomiske analyser på energiområdet. Energistyrelsen. April 2011, opdateret dataark oktober 2012</v>
      </c>
      <c r="J173" s="229" t="s">
        <v>1446</v>
      </c>
    </row>
    <row r="174" spans="2:10" s="523" customFormat="1" ht="12.75" customHeight="1">
      <c r="B174" s="310" t="s">
        <v>2295</v>
      </c>
      <c r="C174" s="209" t="s">
        <v>23</v>
      </c>
      <c r="D174" s="2133">
        <f ca="1">VLOOKUP($B174,Prices!$B$5:$Q$27,COLUMN(Prices!M$4)-1,FALSE)</f>
        <v>131.56749441410432</v>
      </c>
      <c r="E174" s="2134">
        <f ca="1">VLOOKUP($B174,Prices!$B$5:$Q$27,COLUMN(Prices!N$4)-1,FALSE)</f>
        <v>135.08021877952945</v>
      </c>
      <c r="F174" s="2134">
        <f ca="1">VLOOKUP($B174,Prices!$B$5:$Q$27,COLUMN(Prices!O$4)-1,FALSE)</f>
        <v>144.23459136821307</v>
      </c>
      <c r="G174" s="2134">
        <f ca="1">VLOOKUP($B174,Prices!$B$5:$Q$27,COLUMN(Prices!P$4)-1,FALSE)</f>
        <v>144.23459136821307</v>
      </c>
      <c r="H174" s="115"/>
      <c r="I174" s="555" t="str">
        <f>Referencer!$B$37</f>
        <v>31, Forudsætninger for samfundsøkonomiske analyser på energiområdet. Energistyrelsen. April 2011, opdateret dataark oktober 2012</v>
      </c>
      <c r="J174" s="229" t="s">
        <v>1446</v>
      </c>
    </row>
    <row r="175" spans="2:10" s="523" customFormat="1" ht="12.75" customHeight="1">
      <c r="B175" s="310" t="s">
        <v>2294</v>
      </c>
      <c r="C175" s="209" t="s">
        <v>23</v>
      </c>
      <c r="D175" s="2133">
        <f ca="1">VLOOKUP($B175,Prices!$B$5:$Q$27,COLUMN(Prices!M$4)-1,FALSE)</f>
        <v>122.83890659698737</v>
      </c>
      <c r="E175" s="2134">
        <f ca="1">VLOOKUP($B175,Prices!$B$5:$Q$27,COLUMN(Prices!N$4)-1,FALSE)</f>
        <v>126.35163096241249</v>
      </c>
      <c r="F175" s="2134">
        <f ca="1">VLOOKUP($B175,Prices!$B$5:$Q$27,COLUMN(Prices!O$4)-1,FALSE)</f>
        <v>135.61244974398781</v>
      </c>
      <c r="G175" s="2134">
        <f ca="1">VLOOKUP($B175,Prices!$B$5:$Q$27,COLUMN(Prices!P$4)-1,FALSE)</f>
        <v>135.61244974398781</v>
      </c>
      <c r="H175" s="115"/>
      <c r="I175" s="555" t="str">
        <f>Referencer!$B$37</f>
        <v>31, Forudsætninger for samfundsøkonomiske analyser på energiområdet. Energistyrelsen. April 2011, opdateret dataark oktober 2012</v>
      </c>
      <c r="J175" s="229" t="s">
        <v>1446</v>
      </c>
    </row>
    <row r="176" spans="2:10" s="523" customFormat="1" ht="12.75" customHeight="1">
      <c r="B176" s="310" t="s">
        <v>2296</v>
      </c>
      <c r="C176" s="209" t="s">
        <v>23</v>
      </c>
      <c r="D176" s="2133">
        <f ca="1">VLOOKUP($B176,Prices!$B$5:$Q$27,COLUMN(Prices!M$4)-1,FALSE)</f>
        <v>97.185374110094855</v>
      </c>
      <c r="E176" s="2134">
        <f ca="1">VLOOKUP($B176,Prices!$B$5:$Q$27,COLUMN(Prices!N$4)-1,FALSE)</f>
        <v>100.05942131816995</v>
      </c>
      <c r="F176" s="2134">
        <f ca="1">VLOOKUP($B176,Prices!$B$5:$Q$27,COLUMN(Prices!O$4)-1,FALSE)</f>
        <v>108.46867055661191</v>
      </c>
      <c r="G176" s="2134">
        <f ca="1">VLOOKUP($B176,Prices!$B$5:$Q$27,COLUMN(Prices!P$4)-1,FALSE)</f>
        <v>108.46867055661191</v>
      </c>
      <c r="H176" s="115"/>
      <c r="I176" s="555" t="str">
        <f>Referencer!$B$37</f>
        <v>31, Forudsætninger for samfundsøkonomiske analyser på energiområdet. Energistyrelsen. April 2011, opdateret dataark oktober 2012</v>
      </c>
      <c r="J176" s="229" t="s">
        <v>1446</v>
      </c>
    </row>
    <row r="177" spans="2:10" s="523" customFormat="1" ht="12.75" customHeight="1">
      <c r="B177" s="247"/>
      <c r="C177" s="209"/>
      <c r="D177" s="447"/>
      <c r="E177" s="448"/>
      <c r="F177" s="448"/>
      <c r="G177" s="448"/>
      <c r="H177" s="448"/>
      <c r="I177" s="555"/>
      <c r="J177" s="229"/>
    </row>
    <row r="178" spans="2:10" s="523" customFormat="1" ht="12.75" customHeight="1">
      <c r="B178" s="310" t="s">
        <v>1454</v>
      </c>
      <c r="C178" s="209"/>
      <c r="D178" s="447"/>
      <c r="E178" s="448"/>
      <c r="F178" s="448"/>
      <c r="G178" s="448"/>
      <c r="H178" s="448"/>
      <c r="I178" s="555"/>
      <c r="J178" s="229"/>
    </row>
    <row r="179" spans="2:10" s="523" customFormat="1" ht="12.75" customHeight="1">
      <c r="B179" s="310" t="s">
        <v>192</v>
      </c>
      <c r="C179" s="209" t="s">
        <v>61</v>
      </c>
      <c r="D179" s="447">
        <f ca="1">D124*D33*D172</f>
        <v>21792441665.990826</v>
      </c>
      <c r="E179" s="448">
        <f ca="1">E124*E33*E172</f>
        <v>22420628457.4049</v>
      </c>
      <c r="F179" s="448">
        <f ca="1">F124*F33*F172</f>
        <v>24691818396.754059</v>
      </c>
      <c r="G179" s="448">
        <f ca="1">G124*G33*G172</f>
        <v>24691818396.754059</v>
      </c>
      <c r="H179" s="448"/>
      <c r="I179" s="1107"/>
      <c r="J179" s="229"/>
    </row>
    <row r="180" spans="2:10" s="523" customFormat="1" ht="12.75" customHeight="1">
      <c r="B180" s="247"/>
      <c r="C180" s="209"/>
      <c r="D180" s="447"/>
      <c r="E180" s="448"/>
      <c r="F180" s="448"/>
      <c r="G180" s="448"/>
      <c r="H180" s="448"/>
      <c r="I180" s="1107"/>
      <c r="J180" s="229"/>
    </row>
    <row r="181" spans="2:10" ht="12.75" customHeight="1">
      <c r="B181" s="310" t="s">
        <v>1447</v>
      </c>
      <c r="C181" s="209"/>
      <c r="D181" s="136"/>
      <c r="E181" s="115"/>
      <c r="F181" s="115"/>
      <c r="G181" s="115"/>
      <c r="H181" s="115"/>
      <c r="I181" s="1107"/>
      <c r="J181" s="229"/>
    </row>
    <row r="182" spans="2:10" ht="12.75" customHeight="1">
      <c r="B182" s="310" t="s">
        <v>1</v>
      </c>
      <c r="C182" s="209" t="s">
        <v>61</v>
      </c>
      <c r="D182" s="447">
        <f t="shared" ref="D182:G185" ca="1" si="7">D166*D173</f>
        <v>8671597246.430048</v>
      </c>
      <c r="E182" s="448">
        <f t="shared" ca="1" si="7"/>
        <v>8917019810.0082569</v>
      </c>
      <c r="F182" s="448">
        <f t="shared" ca="1" si="7"/>
        <v>9564042932.1689873</v>
      </c>
      <c r="G182" s="448">
        <f t="shared" ca="1" si="7"/>
        <v>9564042932.1689873</v>
      </c>
      <c r="H182" s="448"/>
      <c r="I182" s="1107"/>
      <c r="J182" s="229"/>
    </row>
    <row r="183" spans="2:10" ht="12.75" customHeight="1">
      <c r="B183" s="310" t="s">
        <v>1436</v>
      </c>
      <c r="C183" s="209" t="s">
        <v>61</v>
      </c>
      <c r="D183" s="447">
        <f t="shared" ca="1" si="7"/>
        <v>250043258.2067121</v>
      </c>
      <c r="E183" s="448">
        <f t="shared" ca="1" si="7"/>
        <v>256719170.44038647</v>
      </c>
      <c r="F183" s="448">
        <f t="shared" ca="1" si="7"/>
        <v>274117002.32208323</v>
      </c>
      <c r="G183" s="448">
        <f t="shared" ca="1" si="7"/>
        <v>274117002.32208323</v>
      </c>
      <c r="H183" s="448"/>
      <c r="I183" s="1107"/>
      <c r="J183" s="229"/>
    </row>
    <row r="184" spans="2:10" ht="12.75" customHeight="1">
      <c r="B184" s="310" t="s">
        <v>2</v>
      </c>
      <c r="C184" s="209" t="s">
        <v>61</v>
      </c>
      <c r="D184" s="447">
        <f t="shared" ca="1" si="7"/>
        <v>11669346773.815678</v>
      </c>
      <c r="E184" s="448">
        <f t="shared" ca="1" si="7"/>
        <v>12003045598.370199</v>
      </c>
      <c r="F184" s="448">
        <f t="shared" ca="1" si="7"/>
        <v>12882797044.923029</v>
      </c>
      <c r="G184" s="448">
        <f t="shared" ca="1" si="7"/>
        <v>12882797044.923029</v>
      </c>
      <c r="H184" s="448"/>
      <c r="I184" s="1107"/>
      <c r="J184" s="229"/>
    </row>
    <row r="185" spans="2:10" ht="12.75" customHeight="1" thickBot="1">
      <c r="B185" s="337" t="s">
        <v>1437</v>
      </c>
      <c r="C185" s="1401" t="s">
        <v>61</v>
      </c>
      <c r="D185" s="1402">
        <f t="shared" ca="1" si="7"/>
        <v>3162095302.900856</v>
      </c>
      <c r="E185" s="1403">
        <f t="shared" ca="1" si="7"/>
        <v>3255607431.245131</v>
      </c>
      <c r="F185" s="1403">
        <f t="shared" ca="1" si="7"/>
        <v>3529216991.9561586</v>
      </c>
      <c r="G185" s="1403">
        <f t="shared" ca="1" si="7"/>
        <v>3529216991.9561586</v>
      </c>
      <c r="H185" s="1403"/>
      <c r="I185" s="1404"/>
      <c r="J185" s="240"/>
    </row>
    <row r="186" spans="2:10" ht="12.75" customHeight="1">
      <c r="B186" s="455"/>
      <c r="C186" s="455"/>
      <c r="D186" s="115"/>
      <c r="E186" s="115"/>
      <c r="F186" s="115"/>
      <c r="G186" s="115"/>
      <c r="I186" s="1107"/>
      <c r="J186" s="455"/>
    </row>
    <row r="187" spans="2:10" ht="12.75" customHeight="1"/>
    <row r="188" spans="2:10" ht="12.75" customHeight="1"/>
    <row r="189" spans="2:10" ht="12.75" customHeight="1"/>
    <row r="190" spans="2:10" ht="12.75" customHeight="1"/>
    <row r="191" spans="2:10" ht="12.75" customHeight="1"/>
    <row r="192" spans="2:10" ht="12.75" customHeight="1"/>
    <row r="193" spans="4:4" ht="12.75" customHeight="1"/>
    <row r="194" spans="4:4" ht="12.75" customHeight="1">
      <c r="D194" s="303"/>
    </row>
    <row r="195" spans="4:4" ht="12.75" customHeight="1"/>
    <row r="196" spans="4:4" ht="12.75" customHeight="1"/>
    <row r="197" spans="4:4" ht="12.75" customHeight="1"/>
    <row r="198" spans="4:4" ht="12.75" customHeight="1"/>
    <row r="199" spans="4:4" ht="12.75" customHeight="1"/>
    <row r="200" spans="4:4" ht="12.75" customHeight="1"/>
    <row r="201" spans="4:4" ht="12.75" customHeight="1"/>
    <row r="202" spans="4:4" ht="12.75" customHeight="1"/>
    <row r="203" spans="4:4" ht="12.75" customHeight="1"/>
    <row r="204" spans="4:4" ht="12.75" customHeight="1"/>
    <row r="205" spans="4:4" ht="12.75" customHeight="1"/>
    <row r="206" spans="4:4" ht="12.75" customHeight="1"/>
    <row r="207" spans="4:4" ht="12.75" customHeight="1"/>
    <row r="208" spans="4:4"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sheetData>
  <pageMargins left="0.15748031496062992" right="0.15748031496062992" top="1.25" bottom="0.19685039370078741" header="0.51181102362204722" footer="0.51181102362204722"/>
  <pageSetup paperSize="9" scale="38" orientation="landscape" r:id="rId1"/>
  <headerFooter alignWithMargins="0">
    <oddHeader>&amp;L&amp;"Arial"&amp;14&amp;BBeregningsmodel
&amp;"Arial"&amp;08&amp;B64329, Teknologivurdering af alternative drivmidler til transportsektoren&amp;R&amp;"Arial"&amp;08Page &amp;P of &amp;N</oddHeader>
    <oddFooter>&amp;L&amp;"Arial"&amp;08&amp;Z&amp;F
Sheet: &amp;A&amp;C&amp;"Arial"&amp;08Printed &amp;D &amp;T&amp;R&amp;G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7914" r:id="rId5" name="Button 26">
              <controlPr defaultSize="0" print="0" autoFill="0" autoPict="0" macro="[0]!GtOver">
                <anchor>
                  <from>
                    <xdr:col>7</xdr:col>
                    <xdr:colOff>619125</xdr:colOff>
                    <xdr:row>0</xdr:row>
                    <xdr:rowOff>38100</xdr:rowOff>
                  </from>
                  <to>
                    <xdr:col>9</xdr:col>
                    <xdr:colOff>161925</xdr:colOff>
                    <xdr:row>0</xdr:row>
                    <xdr:rowOff>238125</xdr:rowOff>
                  </to>
                </anchor>
              </controlPr>
            </control>
          </mc:Choice>
        </mc:AlternateContent>
        <mc:AlternateContent xmlns:mc="http://schemas.openxmlformats.org/markup-compatibility/2006">
          <mc:Choice Requires="x14">
            <control shapeId="37915" r:id="rId6" name="Button 27">
              <controlPr defaultSize="0" print="0" autoFill="0" autoPict="0" macro="[0]!GtRes">
                <anchor>
                  <from>
                    <xdr:col>9</xdr:col>
                    <xdr:colOff>323850</xdr:colOff>
                    <xdr:row>0</xdr:row>
                    <xdr:rowOff>38100</xdr:rowOff>
                  </from>
                  <to>
                    <xdr:col>10</xdr:col>
                    <xdr:colOff>542925</xdr:colOff>
                    <xdr:row>0</xdr:row>
                    <xdr:rowOff>238125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rgb="FF00B0F0"/>
    <pageSetUpPr fitToPage="1"/>
  </sheetPr>
  <dimension ref="A1:R326"/>
  <sheetViews>
    <sheetView topLeftCell="A67" zoomScale="80" zoomScaleNormal="80" workbookViewId="0">
      <selection activeCell="H100" sqref="H100:H106"/>
    </sheetView>
  </sheetViews>
  <sheetFormatPr defaultColWidth="8.85546875" defaultRowHeight="12.75"/>
  <cols>
    <col min="1" max="1" width="3.28515625" style="167" customWidth="1"/>
    <col min="2" max="2" width="36" style="167" customWidth="1"/>
    <col min="3" max="3" width="16.5703125" style="167" customWidth="1"/>
    <col min="4" max="7" width="15.7109375" style="167" customWidth="1"/>
    <col min="8" max="8" width="15.7109375" style="530" customWidth="1"/>
    <col min="9" max="9" width="7.28515625" style="167" customWidth="1"/>
    <col min="10" max="10" width="12.7109375" style="167" customWidth="1"/>
    <col min="11" max="11" width="10.85546875" style="167" customWidth="1"/>
    <col min="12" max="12" width="13.28515625" style="167" customWidth="1"/>
    <col min="13" max="13" width="10.28515625" style="167" customWidth="1"/>
    <col min="14" max="14" width="37.85546875" style="167" customWidth="1"/>
    <col min="15" max="16" width="8.85546875" style="167"/>
    <col min="17" max="18" width="11.42578125" style="167" customWidth="1"/>
    <col min="19" max="16384" width="8.85546875" style="167"/>
  </cols>
  <sheetData>
    <row r="1" spans="2:18" s="465" customFormat="1" ht="21">
      <c r="B1" s="465" t="s">
        <v>328</v>
      </c>
      <c r="Q1" s="467">
        <f ca="1">'Log2015'!M1</f>
        <v>-8.0112614142160741</v>
      </c>
      <c r="R1" s="468">
        <f ca="1">'Log2015'!N1</f>
        <v>-160807.124977848</v>
      </c>
    </row>
    <row r="2" spans="2:18" ht="12.75" customHeight="1">
      <c r="Q2" s="623">
        <f ca="1">Q1</f>
        <v>-8.0112614142160741</v>
      </c>
      <c r="R2" s="623">
        <f ca="1">R1</f>
        <v>-160807.124977848</v>
      </c>
    </row>
    <row r="3" spans="2:18" ht="12.75" customHeight="1"/>
    <row r="4" spans="2:18" s="215" customFormat="1" ht="12.75" customHeight="1">
      <c r="B4" s="454" t="s">
        <v>81</v>
      </c>
      <c r="H4" s="530"/>
    </row>
    <row r="5" spans="2:18" ht="12.75" customHeight="1" thickBot="1">
      <c r="B5" s="167" t="s">
        <v>137</v>
      </c>
    </row>
    <row r="6" spans="2:18" ht="12.75" customHeight="1">
      <c r="B6" s="219" t="s">
        <v>137</v>
      </c>
      <c r="C6" s="245"/>
      <c r="D6" s="245"/>
      <c r="E6" s="245"/>
      <c r="F6" s="245"/>
      <c r="G6" s="245"/>
      <c r="H6" s="962"/>
      <c r="I6" s="245"/>
      <c r="J6" s="245"/>
      <c r="K6" s="245"/>
      <c r="L6" s="245"/>
      <c r="M6" s="246"/>
    </row>
    <row r="7" spans="2:18" ht="12.75" customHeight="1">
      <c r="B7" s="230" t="s">
        <v>329</v>
      </c>
      <c r="C7" s="248"/>
      <c r="D7" s="248"/>
      <c r="E7" s="248"/>
      <c r="F7" s="248"/>
      <c r="G7" s="248"/>
      <c r="H7" s="555"/>
      <c r="I7" s="248"/>
      <c r="J7" s="248"/>
      <c r="K7" s="248"/>
      <c r="L7" s="248"/>
      <c r="M7" s="249"/>
    </row>
    <row r="8" spans="2:18" ht="12.75" customHeight="1">
      <c r="B8" s="230"/>
      <c r="C8" s="248"/>
      <c r="D8" s="248"/>
      <c r="E8" s="248"/>
      <c r="F8" s="248"/>
      <c r="G8" s="248"/>
      <c r="H8" s="555"/>
      <c r="I8" s="248"/>
      <c r="J8" s="248"/>
      <c r="K8" s="248"/>
      <c r="L8" s="248"/>
      <c r="M8" s="249"/>
    </row>
    <row r="9" spans="2:18" ht="12.75" customHeight="1">
      <c r="B9" s="230"/>
      <c r="C9" s="248"/>
      <c r="D9" s="248"/>
      <c r="E9" s="248"/>
      <c r="F9" s="248"/>
      <c r="G9" s="248"/>
      <c r="H9" s="555"/>
      <c r="I9" s="248"/>
      <c r="J9" s="248"/>
      <c r="K9" s="248"/>
      <c r="L9" s="248"/>
      <c r="M9" s="249"/>
    </row>
    <row r="10" spans="2:18" ht="12.75" customHeight="1">
      <c r="B10" s="230" t="s">
        <v>2385</v>
      </c>
      <c r="C10" s="217" t="s">
        <v>2387</v>
      </c>
      <c r="D10" s="248"/>
      <c r="E10" s="248"/>
      <c r="F10" s="248"/>
      <c r="G10" s="248"/>
      <c r="H10" s="555"/>
      <c r="I10" s="248"/>
      <c r="J10" s="248"/>
      <c r="K10" s="248"/>
      <c r="L10" s="248"/>
      <c r="M10" s="249"/>
    </row>
    <row r="11" spans="2:18" ht="12.75" customHeight="1">
      <c r="B11" s="230" t="s">
        <v>309</v>
      </c>
      <c r="C11" s="217" t="s">
        <v>192</v>
      </c>
      <c r="D11" s="248"/>
      <c r="E11" s="248"/>
      <c r="F11" s="248"/>
      <c r="G11" s="248"/>
      <c r="H11" s="555"/>
      <c r="I11" s="248"/>
      <c r="J11" s="248"/>
      <c r="K11" s="248"/>
      <c r="L11" s="248"/>
      <c r="M11" s="249"/>
    </row>
    <row r="12" spans="2:18" ht="12.75" customHeight="1">
      <c r="B12" s="230" t="s">
        <v>310</v>
      </c>
      <c r="C12" s="248"/>
      <c r="D12" s="248"/>
      <c r="E12" s="248"/>
      <c r="F12" s="248"/>
      <c r="G12" s="248"/>
      <c r="H12" s="555"/>
      <c r="I12" s="248"/>
      <c r="J12" s="248"/>
      <c r="K12" s="248"/>
      <c r="L12" s="248"/>
      <c r="M12" s="249"/>
    </row>
    <row r="13" spans="2:18" ht="12.75" customHeight="1">
      <c r="B13" s="230"/>
      <c r="C13" s="228"/>
      <c r="D13" s="228"/>
      <c r="E13" s="228"/>
      <c r="F13" s="248"/>
      <c r="G13" s="248"/>
      <c r="H13" s="555"/>
      <c r="I13" s="248"/>
      <c r="J13" s="248"/>
      <c r="K13" s="248"/>
      <c r="L13" s="248"/>
      <c r="M13" s="249"/>
    </row>
    <row r="14" spans="2:18" ht="12.75" customHeight="1">
      <c r="B14" s="230"/>
      <c r="C14" s="248"/>
      <c r="D14" s="248"/>
      <c r="E14" s="248"/>
      <c r="F14" s="248"/>
      <c r="G14" s="248"/>
      <c r="H14" s="555"/>
      <c r="I14" s="248"/>
      <c r="J14" s="248"/>
      <c r="K14" s="248"/>
      <c r="L14" s="248"/>
      <c r="M14" s="249"/>
    </row>
    <row r="15" spans="2:18" ht="12.75" customHeight="1">
      <c r="B15" s="230" t="s">
        <v>140</v>
      </c>
      <c r="C15" s="248"/>
      <c r="D15" s="248"/>
      <c r="E15" s="248"/>
      <c r="F15" s="248"/>
      <c r="G15" s="248"/>
      <c r="H15" s="555"/>
      <c r="I15" s="248"/>
      <c r="J15" s="248"/>
      <c r="K15" s="248"/>
      <c r="L15" s="248"/>
      <c r="M15" s="249"/>
    </row>
    <row r="16" spans="2:18" ht="12.75" customHeight="1">
      <c r="B16" s="230" t="s">
        <v>311</v>
      </c>
      <c r="C16" s="248"/>
      <c r="D16" s="248"/>
      <c r="E16" s="248"/>
      <c r="F16" s="248"/>
      <c r="G16" s="248"/>
      <c r="H16" s="555"/>
      <c r="I16" s="248"/>
      <c r="J16" s="248"/>
      <c r="K16" s="248"/>
      <c r="L16" s="248"/>
      <c r="M16" s="249"/>
    </row>
    <row r="17" spans="2:13" ht="12.75" customHeight="1">
      <c r="B17" s="230"/>
      <c r="C17" s="248"/>
      <c r="D17" s="248"/>
      <c r="E17" s="248"/>
      <c r="F17" s="248"/>
      <c r="G17" s="248"/>
      <c r="H17" s="555"/>
      <c r="I17" s="248"/>
      <c r="J17" s="248"/>
      <c r="K17" s="248"/>
      <c r="L17" s="248"/>
      <c r="M17" s="249"/>
    </row>
    <row r="18" spans="2:13" ht="12.75" customHeight="1">
      <c r="B18" s="230" t="s">
        <v>256</v>
      </c>
      <c r="C18" s="248"/>
      <c r="D18" s="248"/>
      <c r="E18" s="248"/>
      <c r="F18" s="248"/>
      <c r="G18" s="248"/>
      <c r="H18" s="555"/>
      <c r="I18" s="248"/>
      <c r="J18" s="248"/>
      <c r="K18" s="248"/>
      <c r="L18" s="248"/>
      <c r="M18" s="249"/>
    </row>
    <row r="19" spans="2:13" ht="12.75" customHeight="1">
      <c r="B19" s="230"/>
      <c r="C19" s="248"/>
      <c r="D19" s="248"/>
      <c r="E19" s="248"/>
      <c r="F19" s="248"/>
      <c r="G19" s="248"/>
      <c r="H19" s="555"/>
      <c r="I19" s="248"/>
      <c r="J19" s="248"/>
      <c r="K19" s="248"/>
      <c r="L19" s="248"/>
      <c r="M19" s="249"/>
    </row>
    <row r="20" spans="2:13" ht="12.75" customHeight="1">
      <c r="B20" s="230"/>
      <c r="C20" s="248"/>
      <c r="D20" s="248"/>
      <c r="E20" s="248"/>
      <c r="F20" s="248"/>
      <c r="G20" s="248"/>
      <c r="H20" s="555"/>
      <c r="I20" s="248"/>
      <c r="J20" s="248"/>
      <c r="K20" s="248"/>
      <c r="L20" s="248"/>
      <c r="M20" s="249"/>
    </row>
    <row r="21" spans="2:13" ht="12.75" customHeight="1">
      <c r="B21" s="230" t="s">
        <v>143</v>
      </c>
      <c r="C21" s="248"/>
      <c r="D21" s="248"/>
      <c r="E21" s="248"/>
      <c r="F21" s="248"/>
      <c r="G21" s="248"/>
      <c r="H21" s="555"/>
      <c r="I21" s="248"/>
      <c r="J21" s="248"/>
      <c r="K21" s="248"/>
      <c r="L21" s="248"/>
      <c r="M21" s="249"/>
    </row>
    <row r="22" spans="2:13" ht="12.75" customHeight="1">
      <c r="B22" s="230"/>
      <c r="C22" s="248"/>
      <c r="D22" s="248"/>
      <c r="E22" s="248"/>
      <c r="F22" s="248"/>
      <c r="G22" s="248"/>
      <c r="H22" s="555"/>
      <c r="I22" s="248"/>
      <c r="J22" s="248"/>
      <c r="K22" s="248"/>
      <c r="L22" s="248"/>
      <c r="M22" s="249"/>
    </row>
    <row r="23" spans="2:13" ht="12.75" customHeight="1">
      <c r="B23" s="230"/>
      <c r="C23" s="248"/>
      <c r="D23" s="248"/>
      <c r="E23" s="248"/>
      <c r="F23" s="248"/>
      <c r="G23" s="248"/>
      <c r="H23" s="555"/>
      <c r="I23" s="248"/>
      <c r="J23" s="248"/>
      <c r="K23" s="248"/>
      <c r="L23" s="248"/>
      <c r="M23" s="249"/>
    </row>
    <row r="24" spans="2:13" ht="12.75" customHeight="1" thickBot="1">
      <c r="B24" s="242"/>
      <c r="C24" s="250"/>
      <c r="D24" s="250"/>
      <c r="E24" s="250"/>
      <c r="F24" s="250"/>
      <c r="G24" s="250"/>
      <c r="H24" s="968"/>
      <c r="I24" s="250"/>
      <c r="J24" s="250"/>
      <c r="K24" s="250"/>
      <c r="L24" s="250"/>
      <c r="M24" s="251"/>
    </row>
    <row r="25" spans="2:13" ht="12.75" customHeight="1">
      <c r="F25" s="86"/>
      <c r="H25" s="529"/>
    </row>
    <row r="26" spans="2:13" s="215" customFormat="1" ht="12.75" customHeight="1">
      <c r="B26" s="454" t="s">
        <v>144</v>
      </c>
      <c r="H26" s="530"/>
    </row>
    <row r="27" spans="2:13" s="215" customFormat="1" ht="12.75" customHeight="1" thickBot="1">
      <c r="B27" s="167"/>
      <c r="H27" s="530"/>
    </row>
    <row r="28" spans="2:13" ht="12.75" customHeight="1">
      <c r="B28" s="219"/>
      <c r="C28" s="220"/>
      <c r="D28" s="221"/>
      <c r="E28" s="221"/>
      <c r="F28" s="221"/>
      <c r="G28" s="221"/>
      <c r="H28" s="962"/>
      <c r="I28" s="221"/>
      <c r="J28" s="222"/>
    </row>
    <row r="29" spans="2:13" ht="12.75" customHeight="1">
      <c r="B29" s="223"/>
      <c r="C29" s="224" t="s">
        <v>70</v>
      </c>
      <c r="D29" s="225">
        <v>2015</v>
      </c>
      <c r="E29" s="225">
        <v>2020</v>
      </c>
      <c r="F29" s="225">
        <v>2035</v>
      </c>
      <c r="G29" s="225">
        <v>2050</v>
      </c>
      <c r="H29" s="973" t="s">
        <v>978</v>
      </c>
      <c r="I29" s="226" t="s">
        <v>145</v>
      </c>
      <c r="J29" s="227" t="s">
        <v>146</v>
      </c>
    </row>
    <row r="30" spans="2:13" ht="12.75" customHeight="1">
      <c r="B30" s="216" t="s">
        <v>147</v>
      </c>
      <c r="C30" s="210"/>
      <c r="D30" s="209"/>
      <c r="E30" s="209"/>
      <c r="F30" s="209"/>
      <c r="G30" s="209"/>
      <c r="H30" s="977"/>
      <c r="I30" s="455"/>
      <c r="J30" s="229"/>
    </row>
    <row r="31" spans="2:13" ht="12.75" customHeight="1">
      <c r="B31" s="247" t="s">
        <v>148</v>
      </c>
      <c r="C31" s="210" t="s">
        <v>330</v>
      </c>
      <c r="D31" s="1134">
        <f>D158</f>
        <v>0.33938953488372092</v>
      </c>
      <c r="E31" s="1134">
        <f>E158</f>
        <v>0.33938953488372092</v>
      </c>
      <c r="F31" s="1134">
        <f>F158</f>
        <v>0.33938953488372092</v>
      </c>
      <c r="G31" s="1134">
        <f>G158</f>
        <v>0.33938953488372092</v>
      </c>
      <c r="H31" s="1333"/>
      <c r="I31" s="455"/>
      <c r="J31" s="229"/>
    </row>
    <row r="32" spans="2:13" ht="12.75" customHeight="1">
      <c r="B32" s="247" t="s">
        <v>67</v>
      </c>
      <c r="C32" s="210" t="s">
        <v>331</v>
      </c>
      <c r="D32" s="1134">
        <f>Supplementary!$D$158</f>
        <v>43.8</v>
      </c>
      <c r="E32" s="1134">
        <f>Supplementary!$D$158</f>
        <v>43.8</v>
      </c>
      <c r="F32" s="1134">
        <f>Supplementary!$D$158</f>
        <v>43.8</v>
      </c>
      <c r="G32" s="1134">
        <f>Supplementary!$D$158</f>
        <v>43.8</v>
      </c>
      <c r="H32" s="978"/>
      <c r="I32" s="455"/>
      <c r="J32" s="229"/>
    </row>
    <row r="33" spans="2:10" ht="12.75" customHeight="1">
      <c r="B33" s="230" t="s">
        <v>149</v>
      </c>
      <c r="C33" s="210" t="s">
        <v>314</v>
      </c>
      <c r="D33" s="921">
        <v>4700000</v>
      </c>
      <c r="E33" s="921">
        <v>4700000</v>
      </c>
      <c r="F33" s="921">
        <v>4700000</v>
      </c>
      <c r="G33" s="921">
        <v>4700000</v>
      </c>
      <c r="H33" s="1397"/>
      <c r="I33" s="455" t="str">
        <f>CONCATENATE(Referencer!$B$49)</f>
        <v>43, Energistyrelsen Juni 1999. Brændselsprisforudsætninger for samfundsøkonomiske beregninger</v>
      </c>
      <c r="J33" s="229"/>
    </row>
    <row r="34" spans="2:10" ht="12.75" customHeight="1">
      <c r="B34" s="247" t="s">
        <v>150</v>
      </c>
      <c r="C34" s="210" t="s">
        <v>34</v>
      </c>
      <c r="D34" s="212"/>
      <c r="E34" s="212"/>
      <c r="F34" s="212"/>
      <c r="G34" s="212"/>
      <c r="H34" s="1332"/>
      <c r="I34" s="455"/>
      <c r="J34" s="229"/>
    </row>
    <row r="35" spans="2:10" ht="12.75" customHeight="1">
      <c r="B35" s="230"/>
      <c r="C35" s="231"/>
      <c r="D35" s="253"/>
      <c r="E35" s="213"/>
      <c r="F35" s="213"/>
      <c r="G35" s="213"/>
      <c r="H35" s="983"/>
      <c r="I35" s="455"/>
      <c r="J35" s="229"/>
    </row>
    <row r="36" spans="2:10" ht="12.75" customHeight="1">
      <c r="B36" s="216" t="s">
        <v>315</v>
      </c>
      <c r="C36" s="231"/>
      <c r="D36" s="253"/>
      <c r="E36" s="213"/>
      <c r="F36" s="213"/>
      <c r="G36" s="213"/>
      <c r="H36" s="983"/>
      <c r="I36" s="455"/>
      <c r="J36" s="229"/>
    </row>
    <row r="37" spans="2:10" ht="12.75" customHeight="1">
      <c r="B37" s="247" t="str">
        <f>ProcessEnergy!B35</f>
        <v xml:space="preserve">Green diesel </v>
      </c>
      <c r="C37" s="210" t="s">
        <v>316</v>
      </c>
      <c r="D37" s="105"/>
      <c r="E37" s="105"/>
      <c r="F37" s="105"/>
      <c r="G37" s="105"/>
      <c r="H37" s="984"/>
      <c r="I37" s="455"/>
      <c r="J37" s="229"/>
    </row>
    <row r="38" spans="2:10" ht="12.75" customHeight="1">
      <c r="B38" s="232" t="str">
        <f>ProcessEnergy!B36</f>
        <v>Green gasoline</v>
      </c>
      <c r="C38" s="210"/>
      <c r="D38" s="105"/>
      <c r="E38" s="105"/>
      <c r="F38" s="105"/>
      <c r="G38" s="105"/>
      <c r="H38" s="984"/>
      <c r="I38" s="455"/>
      <c r="J38" s="229"/>
    </row>
    <row r="39" spans="2:10" ht="12.75" customHeight="1">
      <c r="B39" s="232" t="str">
        <f>ProcessEnergy!B37</f>
        <v>Electricity - balancing</v>
      </c>
      <c r="C39" s="210"/>
      <c r="D39" s="105"/>
      <c r="E39" s="105"/>
      <c r="F39" s="105"/>
      <c r="G39" s="105"/>
      <c r="H39" s="984"/>
      <c r="I39" s="455"/>
      <c r="J39" s="229"/>
    </row>
    <row r="40" spans="2:10" ht="12.75" customHeight="1">
      <c r="B40" s="232" t="str">
        <f>ProcessEnergy!B38</f>
        <v>Electricity  - continous</v>
      </c>
      <c r="C40" s="210"/>
      <c r="D40" s="105"/>
      <c r="E40" s="105"/>
      <c r="F40" s="105"/>
      <c r="G40" s="105"/>
      <c r="H40" s="984"/>
      <c r="I40" s="455"/>
      <c r="J40" s="229"/>
    </row>
    <row r="41" spans="2:10" ht="12.75" customHeight="1">
      <c r="B41" s="232" t="str">
        <f>ProcessEnergy!B39</f>
        <v>Elec/heat fuel</v>
      </c>
      <c r="C41" s="210"/>
      <c r="D41" s="105"/>
      <c r="E41" s="105"/>
      <c r="F41" s="105"/>
      <c r="G41" s="105"/>
      <c r="H41" s="984"/>
      <c r="I41" s="455"/>
      <c r="J41" s="229"/>
    </row>
    <row r="42" spans="2:10" ht="12.75" customHeight="1">
      <c r="B42" s="232" t="str">
        <f>ProcessEnergy!B40</f>
        <v>Biogas (100% CH4)</v>
      </c>
      <c r="C42" s="210"/>
      <c r="D42" s="105"/>
      <c r="E42" s="105"/>
      <c r="F42" s="105"/>
      <c r="G42" s="105"/>
      <c r="H42" s="984"/>
      <c r="I42" s="455"/>
      <c r="J42" s="229"/>
    </row>
    <row r="43" spans="2:10" ht="12.75" customHeight="1">
      <c r="B43" s="232" t="str">
        <f>ProcessEnergy!B41</f>
        <v>District heating</v>
      </c>
      <c r="C43" s="210"/>
      <c r="D43" s="105"/>
      <c r="E43" s="105"/>
      <c r="F43" s="105"/>
      <c r="G43" s="105"/>
      <c r="H43" s="978"/>
      <c r="I43" s="455"/>
      <c r="J43" s="229"/>
    </row>
    <row r="44" spans="2:10" s="1240" customFormat="1" ht="12.75" customHeight="1">
      <c r="B44" s="232" t="str">
        <f>ProcessEnergy!B42</f>
        <v>&lt;empty&gt;</v>
      </c>
      <c r="C44" s="1469"/>
      <c r="D44" s="105"/>
      <c r="E44" s="105"/>
      <c r="F44" s="105"/>
      <c r="G44" s="105"/>
      <c r="H44" s="978"/>
      <c r="I44" s="1471"/>
      <c r="J44" s="1488"/>
    </row>
    <row r="45" spans="2:10" s="1240" customFormat="1" ht="12.75" customHeight="1">
      <c r="B45" s="232" t="str">
        <f>ProcessEnergy!B43</f>
        <v>&lt;empty&gt;</v>
      </c>
      <c r="C45" s="1469"/>
      <c r="D45" s="105"/>
      <c r="E45" s="105"/>
      <c r="F45" s="105"/>
      <c r="G45" s="105"/>
      <c r="H45" s="978"/>
      <c r="I45" s="1471"/>
      <c r="J45" s="1488"/>
    </row>
    <row r="46" spans="2:10" s="1240" customFormat="1" ht="12.75" customHeight="1">
      <c r="B46" s="232" t="str">
        <f>ProcessEnergy!B44</f>
        <v>&lt;empty&gt;</v>
      </c>
      <c r="C46" s="1469"/>
      <c r="D46" s="105"/>
      <c r="E46" s="105"/>
      <c r="F46" s="105"/>
      <c r="G46" s="105"/>
      <c r="H46" s="978"/>
      <c r="I46" s="1471"/>
      <c r="J46" s="1488"/>
    </row>
    <row r="47" spans="2:10" s="1240" customFormat="1" ht="12.75" customHeight="1">
      <c r="B47" s="232" t="str">
        <f>ProcessEnergy!B45</f>
        <v>&lt;empty&gt;</v>
      </c>
      <c r="C47" s="1469"/>
      <c r="D47" s="105"/>
      <c r="E47" s="105"/>
      <c r="F47" s="105"/>
      <c r="G47" s="105"/>
      <c r="H47" s="978"/>
      <c r="I47" s="1471"/>
      <c r="J47" s="1488"/>
    </row>
    <row r="48" spans="2:10" s="1240" customFormat="1" ht="12.75" customHeight="1">
      <c r="B48" s="232" t="str">
        <f>ProcessEnergy!B46</f>
        <v>&lt;empty&gt;</v>
      </c>
      <c r="C48" s="1469"/>
      <c r="D48" s="105"/>
      <c r="E48" s="105"/>
      <c r="F48" s="105"/>
      <c r="G48" s="105"/>
      <c r="H48" s="978"/>
      <c r="I48" s="1471"/>
      <c r="J48" s="1488"/>
    </row>
    <row r="49" spans="2:10" s="1240" customFormat="1" ht="12.75" customHeight="1">
      <c r="B49" s="232" t="str">
        <f>ProcessEnergy!B47</f>
        <v>&lt;empty&gt;</v>
      </c>
      <c r="C49" s="1469"/>
      <c r="D49" s="105"/>
      <c r="E49" s="105"/>
      <c r="F49" s="105"/>
      <c r="G49" s="105"/>
      <c r="H49" s="978"/>
      <c r="I49" s="1471"/>
      <c r="J49" s="1488"/>
    </row>
    <row r="50" spans="2:10" s="1240" customFormat="1" ht="12.75" customHeight="1">
      <c r="B50" s="232" t="str">
        <f>ProcessEnergy!B48</f>
        <v>Glycerol</v>
      </c>
      <c r="C50" s="1469"/>
      <c r="D50" s="105"/>
      <c r="E50" s="105"/>
      <c r="F50" s="105"/>
      <c r="G50" s="105"/>
      <c r="H50" s="978"/>
      <c r="I50" s="1471"/>
      <c r="J50" s="1488"/>
    </row>
    <row r="51" spans="2:10" s="1240" customFormat="1" ht="12.75" customHeight="1">
      <c r="B51" s="232" t="str">
        <f>ProcessEnergy!B49</f>
        <v>&lt;empty&gt;</v>
      </c>
      <c r="C51" s="1469"/>
      <c r="D51" s="105"/>
      <c r="E51" s="105"/>
      <c r="F51" s="105"/>
      <c r="G51" s="105"/>
      <c r="H51" s="978"/>
      <c r="I51" s="1471"/>
      <c r="J51" s="1488"/>
    </row>
    <row r="52" spans="2:10" s="1240" customFormat="1" ht="12.75" customHeight="1">
      <c r="B52" s="232" t="str">
        <f>ProcessEnergy!B50</f>
        <v>&lt;empty&gt;</v>
      </c>
      <c r="C52" s="1469"/>
      <c r="D52" s="105"/>
      <c r="E52" s="105"/>
      <c r="F52" s="105"/>
      <c r="G52" s="105"/>
      <c r="H52" s="978"/>
      <c r="I52" s="1471"/>
      <c r="J52" s="1488"/>
    </row>
    <row r="53" spans="2:10" ht="12.75" customHeight="1">
      <c r="B53" s="232" t="str">
        <f>ProcessEnergy!B51</f>
        <v>Fodder (wheat like)</v>
      </c>
      <c r="C53" s="210"/>
      <c r="D53" s="105"/>
      <c r="E53" s="105"/>
      <c r="F53" s="105"/>
      <c r="G53" s="105"/>
      <c r="H53" s="984"/>
      <c r="I53" s="455"/>
      <c r="J53" s="229"/>
    </row>
    <row r="54" spans="2:10" ht="12.75" customHeight="1">
      <c r="B54" s="232" t="str">
        <f>ProcessEnergy!B52</f>
        <v>Rape seed cake</v>
      </c>
      <c r="C54" s="210"/>
      <c r="D54" s="105"/>
      <c r="E54" s="105"/>
      <c r="F54" s="105"/>
      <c r="G54" s="105"/>
      <c r="H54" s="984"/>
      <c r="I54" s="455"/>
      <c r="J54" s="229"/>
    </row>
    <row r="55" spans="2:10" ht="12.75" customHeight="1">
      <c r="B55" s="232" t="str">
        <f>ProcessEnergy!B53</f>
        <v>&lt;empty&gt;</v>
      </c>
      <c r="C55" s="210"/>
      <c r="D55" s="105"/>
      <c r="E55" s="105"/>
      <c r="F55" s="105"/>
      <c r="G55" s="105"/>
      <c r="H55" s="984"/>
      <c r="I55" s="455"/>
      <c r="J55" s="229"/>
    </row>
    <row r="56" spans="2:10" ht="12.75" customHeight="1">
      <c r="B56" s="232" t="str">
        <f>ProcessEnergy!B54</f>
        <v>DDGS</v>
      </c>
      <c r="C56" s="210"/>
      <c r="D56" s="105"/>
      <c r="E56" s="105"/>
      <c r="F56" s="105"/>
      <c r="G56" s="105"/>
      <c r="H56" s="984"/>
      <c r="I56" s="455"/>
      <c r="J56" s="229"/>
    </row>
    <row r="57" spans="2:10" ht="12.75" customHeight="1">
      <c r="B57" s="247"/>
      <c r="C57" s="210"/>
      <c r="D57" s="105"/>
      <c r="E57" s="105"/>
      <c r="F57" s="105"/>
      <c r="G57" s="105"/>
      <c r="H57" s="984"/>
      <c r="I57" s="455"/>
      <c r="J57" s="229"/>
    </row>
    <row r="58" spans="2:10" ht="12.75" customHeight="1">
      <c r="B58" s="216" t="s">
        <v>873</v>
      </c>
      <c r="C58" s="210"/>
      <c r="D58" s="105"/>
      <c r="E58" s="105"/>
      <c r="F58" s="105"/>
      <c r="G58" s="105"/>
      <c r="H58" s="984"/>
      <c r="I58" s="455"/>
      <c r="J58" s="229"/>
    </row>
    <row r="59" spans="2:10" ht="12.75" customHeight="1">
      <c r="B59" s="230" t="str">
        <f>ProcessEnergy!B5</f>
        <v>EL - peakload</v>
      </c>
      <c r="C59" s="210" t="s">
        <v>888</v>
      </c>
      <c r="D59" s="523"/>
      <c r="E59" s="523"/>
      <c r="F59" s="523"/>
      <c r="G59" s="523"/>
      <c r="H59" s="984"/>
      <c r="I59" s="455"/>
      <c r="J59" s="229"/>
    </row>
    <row r="60" spans="2:10" ht="12.75" customHeight="1">
      <c r="B60" s="230" t="str">
        <f>ProcessEnergy!B6</f>
        <v>El - baseload</v>
      </c>
      <c r="C60" s="210" t="s">
        <v>888</v>
      </c>
      <c r="D60" s="1398">
        <f>D139</f>
        <v>3.6002230935640888E-3</v>
      </c>
      <c r="E60" s="1398">
        <f>(E132/(E33*E31*E32))*Supplementary!$C$50*1000</f>
        <v>9.1467570214139003E-3</v>
      </c>
      <c r="F60" s="1398">
        <f>(F132/(F33*F31*F32))*Supplementary!$C$50*1000</f>
        <v>9.1467570214139003E-3</v>
      </c>
      <c r="G60" s="1398">
        <f>(G132/(G33*G31*G32))*Supplementary!$C$50*1000</f>
        <v>9.1467570214139003E-3</v>
      </c>
      <c r="H60" s="984"/>
      <c r="I60" s="455"/>
      <c r="J60" s="229"/>
    </row>
    <row r="61" spans="2:10" ht="12.75" customHeight="1">
      <c r="B61" s="230" t="str">
        <f>ProcessEnergy!B7</f>
        <v xml:space="preserve">Varme </v>
      </c>
      <c r="C61" s="210" t="s">
        <v>888</v>
      </c>
      <c r="D61" s="1399"/>
      <c r="E61" s="1400"/>
      <c r="F61" s="1400"/>
      <c r="G61" s="1400"/>
      <c r="H61" s="984"/>
      <c r="I61" s="455"/>
      <c r="J61" s="229"/>
    </row>
    <row r="62" spans="2:10" ht="12.75" customHeight="1">
      <c r="B62" s="230" t="str">
        <f>ProcessEnergy!B8</f>
        <v>Damp</v>
      </c>
      <c r="C62" s="210" t="s">
        <v>888</v>
      </c>
      <c r="D62" s="1398">
        <f>D140</f>
        <v>2.6665359653866953E-3</v>
      </c>
      <c r="E62" s="1398">
        <f>(E133/(E33*E31*E32))*Supplementary!$C$50*1000</f>
        <v>6.7746236636985991E-3</v>
      </c>
      <c r="F62" s="1398">
        <f>(F133/(F33*F31*F32))*Supplementary!$C$50*1000</f>
        <v>6.7746236636985991E-3</v>
      </c>
      <c r="G62" s="1398">
        <f>(G133/(G33*G31*G32))*Supplementary!$C$50*1000</f>
        <v>6.7746236636985991E-3</v>
      </c>
      <c r="H62" s="984"/>
      <c r="I62" s="455"/>
      <c r="J62" s="229"/>
    </row>
    <row r="63" spans="2:10" ht="12.75" customHeight="1">
      <c r="B63" s="230" t="str">
        <f>ProcessEnergy!B9</f>
        <v xml:space="preserve">Olie </v>
      </c>
      <c r="C63" s="210" t="s">
        <v>888</v>
      </c>
      <c r="D63" s="1133"/>
      <c r="E63" s="1133"/>
      <c r="F63" s="1133"/>
      <c r="G63" s="1133"/>
      <c r="H63" s="984"/>
      <c r="I63" s="455"/>
      <c r="J63" s="229"/>
    </row>
    <row r="64" spans="2:10" ht="12.75" customHeight="1">
      <c r="B64" s="230" t="str">
        <f>ProcessEnergy!B10</f>
        <v>Kul</v>
      </c>
      <c r="C64" s="210" t="s">
        <v>888</v>
      </c>
      <c r="D64" s="1133"/>
      <c r="E64" s="1133"/>
      <c r="F64" s="1133"/>
      <c r="G64" s="1133"/>
      <c r="H64" s="984"/>
      <c r="I64" s="455"/>
      <c r="J64" s="229"/>
    </row>
    <row r="65" spans="2:10" ht="12.75" customHeight="1">
      <c r="B65" s="230" t="str">
        <f>ProcessEnergy!B11</f>
        <v>Naturgas kedel</v>
      </c>
      <c r="C65" s="210" t="s">
        <v>888</v>
      </c>
      <c r="D65" s="1398">
        <f>D141</f>
        <v>4.5287425635478641E-2</v>
      </c>
      <c r="E65" s="1398">
        <f>E141</f>
        <v>4.5287425635478641E-2</v>
      </c>
      <c r="F65" s="1398">
        <f>F141</f>
        <v>4.5287425635478641E-2</v>
      </c>
      <c r="G65" s="1398">
        <f>G141</f>
        <v>4.5287425635478641E-2</v>
      </c>
      <c r="H65" s="984"/>
      <c r="I65" s="455"/>
      <c r="J65" s="229"/>
    </row>
    <row r="66" spans="2:10" ht="12.75" customHeight="1">
      <c r="B66" s="230" t="str">
        <f>ProcessEnergy!B12</f>
        <v>Gylle</v>
      </c>
      <c r="C66" s="210" t="s">
        <v>888</v>
      </c>
      <c r="D66" s="105"/>
      <c r="E66" s="105"/>
      <c r="F66" s="105"/>
      <c r="G66" s="105"/>
      <c r="H66" s="984"/>
      <c r="I66" s="455"/>
      <c r="J66" s="229"/>
    </row>
    <row r="67" spans="2:10" ht="12.75" customHeight="1">
      <c r="B67" s="230" t="str">
        <f>ProcessEnergy!B13</f>
        <v>Affald</v>
      </c>
      <c r="C67" s="210" t="s">
        <v>888</v>
      </c>
      <c r="D67" s="105"/>
      <c r="E67" s="105"/>
      <c r="F67" s="105"/>
      <c r="G67" s="105"/>
      <c r="H67" s="984"/>
      <c r="I67" s="455"/>
      <c r="J67" s="229"/>
    </row>
    <row r="68" spans="2:10" ht="12.75" customHeight="1">
      <c r="B68" s="230" t="str">
        <f>ProcessEnergy!B14</f>
        <v>Hydrogen</v>
      </c>
      <c r="C68" s="210" t="s">
        <v>888</v>
      </c>
      <c r="D68" s="105"/>
      <c r="E68" s="105"/>
      <c r="F68" s="105"/>
      <c r="G68" s="105"/>
      <c r="H68" s="984"/>
      <c r="I68" s="455"/>
      <c r="J68" s="229"/>
    </row>
    <row r="69" spans="2:10" ht="12.75" customHeight="1">
      <c r="B69" s="230" t="str">
        <f>ProcessEnergy!B15</f>
        <v>Biomasse</v>
      </c>
      <c r="C69" s="210" t="s">
        <v>888</v>
      </c>
      <c r="D69" s="105"/>
      <c r="E69" s="105"/>
      <c r="F69" s="105"/>
      <c r="G69" s="105"/>
      <c r="H69" s="984"/>
      <c r="I69" s="455"/>
      <c r="J69" s="229"/>
    </row>
    <row r="70" spans="2:10" s="1240" customFormat="1" ht="12.75" customHeight="1">
      <c r="B70" s="1487" t="str">
        <f>ProcessEnergy!B16</f>
        <v>Methanol</v>
      </c>
      <c r="C70" s="1469"/>
      <c r="D70" s="105"/>
      <c r="E70" s="105"/>
      <c r="F70" s="105"/>
      <c r="G70" s="105"/>
      <c r="H70" s="984"/>
      <c r="I70" s="1471"/>
      <c r="J70" s="1488"/>
    </row>
    <row r="71" spans="2:10" s="1240" customFormat="1" ht="12.75" customHeight="1">
      <c r="B71" s="1487" t="str">
        <f>ProcessEnergy!B17</f>
        <v>&lt;empty&gt;</v>
      </c>
      <c r="C71" s="1469"/>
      <c r="D71" s="105"/>
      <c r="E71" s="105"/>
      <c r="F71" s="105"/>
      <c r="G71" s="105"/>
      <c r="H71" s="984"/>
      <c r="I71" s="1471"/>
      <c r="J71" s="1488"/>
    </row>
    <row r="72" spans="2:10" s="1240" customFormat="1" ht="12.75" customHeight="1">
      <c r="B72" s="1487" t="str">
        <f>ProcessEnergy!B18</f>
        <v>&lt;empty&gt;</v>
      </c>
      <c r="C72" s="1469"/>
      <c r="D72" s="105"/>
      <c r="E72" s="105"/>
      <c r="F72" s="105"/>
      <c r="G72" s="105"/>
      <c r="H72" s="984"/>
      <c r="I72" s="1471"/>
      <c r="J72" s="1488"/>
    </row>
    <row r="73" spans="2:10" s="1240" customFormat="1" ht="12.75" customHeight="1">
      <c r="B73" s="1487" t="str">
        <f>ProcessEnergy!B19</f>
        <v>&lt;empty&gt;</v>
      </c>
      <c r="C73" s="1469"/>
      <c r="D73" s="105"/>
      <c r="E73" s="105"/>
      <c r="F73" s="105"/>
      <c r="G73" s="105"/>
      <c r="H73" s="984"/>
      <c r="I73" s="1471"/>
      <c r="J73" s="1488"/>
    </row>
    <row r="74" spans="2:10" s="1240" customFormat="1" ht="12.75" customHeight="1">
      <c r="B74" s="1487" t="str">
        <f>ProcessEnergy!B20</f>
        <v>&lt;empty&gt;</v>
      </c>
      <c r="C74" s="1469"/>
      <c r="D74" s="105"/>
      <c r="E74" s="105"/>
      <c r="F74" s="105"/>
      <c r="G74" s="105"/>
      <c r="H74" s="984"/>
      <c r="I74" s="1471"/>
      <c r="J74" s="1488"/>
    </row>
    <row r="75" spans="2:10" s="1240" customFormat="1" ht="12.75" customHeight="1">
      <c r="B75" s="1487" t="str">
        <f>ProcessEnergy!B21</f>
        <v>&lt;empty&gt;</v>
      </c>
      <c r="C75" s="1469"/>
      <c r="D75" s="105"/>
      <c r="E75" s="105"/>
      <c r="F75" s="105"/>
      <c r="G75" s="105"/>
      <c r="H75" s="984"/>
      <c r="I75" s="1471"/>
      <c r="J75" s="1488"/>
    </row>
    <row r="76" spans="2:10" s="1240" customFormat="1" ht="12.75" customHeight="1">
      <c r="B76" s="1487" t="str">
        <f>ProcessEnergy!B22</f>
        <v>&lt;empty&gt;</v>
      </c>
      <c r="C76" s="1469"/>
      <c r="D76" s="105"/>
      <c r="E76" s="105"/>
      <c r="F76" s="105"/>
      <c r="G76" s="105"/>
      <c r="H76" s="984"/>
      <c r="I76" s="1471"/>
      <c r="J76" s="1488"/>
    </row>
    <row r="77" spans="2:10" s="1240" customFormat="1" ht="12.75" customHeight="1">
      <c r="B77" s="1487" t="str">
        <f>ProcessEnergy!B23</f>
        <v>&lt;empty&gt;</v>
      </c>
      <c r="C77" s="1469"/>
      <c r="D77" s="105"/>
      <c r="E77" s="105"/>
      <c r="F77" s="105"/>
      <c r="G77" s="105"/>
      <c r="H77" s="984"/>
      <c r="I77" s="1471"/>
      <c r="J77" s="1488"/>
    </row>
    <row r="78" spans="2:10" ht="12.75" customHeight="1">
      <c r="B78" s="230" t="str">
        <f>ProcessEnergy!B24</f>
        <v>&lt;empty&gt;</v>
      </c>
      <c r="C78" s="210" t="s">
        <v>888</v>
      </c>
      <c r="D78" s="105"/>
      <c r="E78" s="105"/>
      <c r="F78" s="105"/>
      <c r="G78" s="105"/>
      <c r="H78" s="984"/>
      <c r="I78" s="455"/>
      <c r="J78" s="229"/>
    </row>
    <row r="79" spans="2:10" ht="12.75" customHeight="1">
      <c r="B79" s="310"/>
      <c r="C79" s="210"/>
      <c r="D79" s="105"/>
      <c r="E79" s="105"/>
      <c r="F79" s="105"/>
      <c r="G79" s="105"/>
      <c r="H79" s="984"/>
      <c r="I79" s="455"/>
      <c r="J79" s="229"/>
    </row>
    <row r="80" spans="2:10" ht="12.75" customHeight="1">
      <c r="B80" s="310"/>
      <c r="C80" s="210"/>
      <c r="D80" s="105"/>
      <c r="E80" s="105"/>
      <c r="F80" s="105"/>
      <c r="G80" s="105"/>
      <c r="H80" s="984"/>
      <c r="I80" s="455"/>
      <c r="J80" s="229"/>
    </row>
    <row r="81" spans="1:17" ht="12.75" customHeight="1">
      <c r="B81" s="247"/>
      <c r="C81" s="210"/>
      <c r="D81" s="106"/>
      <c r="E81" s="106"/>
      <c r="F81" s="106"/>
      <c r="G81" s="106"/>
      <c r="H81" s="986"/>
      <c r="I81" s="455"/>
      <c r="J81" s="229"/>
    </row>
    <row r="82" spans="1:17" ht="12.75" customHeight="1">
      <c r="B82" s="216" t="s">
        <v>152</v>
      </c>
      <c r="C82" s="210"/>
      <c r="D82" s="106"/>
      <c r="E82" s="106"/>
      <c r="F82" s="106"/>
      <c r="G82" s="106"/>
      <c r="H82" s="986"/>
      <c r="I82" s="455"/>
      <c r="J82" s="229"/>
    </row>
    <row r="83" spans="1:17" ht="12.75" customHeight="1">
      <c r="A83" s="167">
        <v>4</v>
      </c>
      <c r="B83" s="247" t="s">
        <v>317</v>
      </c>
      <c r="C83" s="976" t="s">
        <v>725</v>
      </c>
      <c r="D83" s="295">
        <v>1</v>
      </c>
      <c r="E83" s="295">
        <v>1</v>
      </c>
      <c r="F83" s="295">
        <v>1</v>
      </c>
      <c r="G83" s="295">
        <v>1</v>
      </c>
      <c r="H83" s="978"/>
      <c r="I83" s="455"/>
      <c r="J83" s="229"/>
    </row>
    <row r="84" spans="1:17" ht="12.75" customHeight="1">
      <c r="B84" s="247" t="s">
        <v>153</v>
      </c>
      <c r="C84" s="976" t="s">
        <v>725</v>
      </c>
      <c r="D84" s="307">
        <f>D125/D124</f>
        <v>5.1554184694429427E-2</v>
      </c>
      <c r="E84" s="307">
        <f>E125/E124</f>
        <v>5.1554184694429427E-2</v>
      </c>
      <c r="F84" s="307">
        <f>F125/F124</f>
        <v>5.1554184694429427E-2</v>
      </c>
      <c r="G84" s="307">
        <f>G125/G124</f>
        <v>5.1554184694429427E-2</v>
      </c>
      <c r="H84" s="1334"/>
      <c r="I84" s="455"/>
      <c r="J84" s="229"/>
    </row>
    <row r="85" spans="1:17" ht="12.75" customHeight="1">
      <c r="B85" s="247" t="s">
        <v>154</v>
      </c>
      <c r="C85" s="976" t="s">
        <v>725</v>
      </c>
      <c r="D85" s="307">
        <f>D126/D124</f>
        <v>0.70269130015655534</v>
      </c>
      <c r="E85" s="307">
        <f>E126/E124</f>
        <v>0.70269130015655534</v>
      </c>
      <c r="F85" s="307">
        <f>F126/F124</f>
        <v>0.70269130015655534</v>
      </c>
      <c r="G85" s="307">
        <f>G126/G124</f>
        <v>0.70269130015655534</v>
      </c>
      <c r="H85" s="978"/>
      <c r="I85" s="455"/>
      <c r="J85" s="229"/>
    </row>
    <row r="86" spans="1:17" ht="12.75" customHeight="1">
      <c r="B86" s="247" t="s">
        <v>2</v>
      </c>
      <c r="C86" s="976" t="s">
        <v>725</v>
      </c>
      <c r="D86" s="237">
        <f>D127/D124</f>
        <v>0.34570375878853432</v>
      </c>
      <c r="E86" s="237">
        <f>E127/E124</f>
        <v>0.34570375878853432</v>
      </c>
      <c r="F86" s="237">
        <f>F127/F124</f>
        <v>0.34570375878853432</v>
      </c>
      <c r="G86" s="237">
        <f>G127/G124</f>
        <v>0.34570375878853432</v>
      </c>
      <c r="H86" s="978"/>
      <c r="I86" s="455"/>
      <c r="J86" s="229"/>
    </row>
    <row r="87" spans="1:17" ht="12.75" customHeight="1">
      <c r="B87" s="108" t="s">
        <v>155</v>
      </c>
      <c r="C87" s="976" t="s">
        <v>725</v>
      </c>
      <c r="D87" s="109">
        <f>D83+D84-D85-D86</f>
        <v>3.1591257493397418E-3</v>
      </c>
      <c r="E87" s="109">
        <f>E83+E84-E85-E86</f>
        <v>3.1591257493397418E-3</v>
      </c>
      <c r="F87" s="109">
        <f>F83+F84-F85-F86</f>
        <v>3.1591257493397418E-3</v>
      </c>
      <c r="G87" s="109">
        <f>G83+G84-G85-G86</f>
        <v>3.1591257493397418E-3</v>
      </c>
      <c r="H87" s="978"/>
      <c r="I87" s="455"/>
      <c r="J87" s="229"/>
    </row>
    <row r="88" spans="1:17" ht="12.75" customHeight="1">
      <c r="B88" s="108" t="s">
        <v>156</v>
      </c>
      <c r="C88" s="988" t="s">
        <v>726</v>
      </c>
      <c r="D88" s="462">
        <f>(D86+D85)/(D83+D84)</f>
        <v>0.99699575562027953</v>
      </c>
      <c r="E88" s="462">
        <f>(E86+E85)/(E83+E84)</f>
        <v>0.99699575562027953</v>
      </c>
      <c r="F88" s="462">
        <f>(F86+F85)/(F83+F84)</f>
        <v>0.99699575562027953</v>
      </c>
      <c r="G88" s="462">
        <f>(G86+G85)/(G83+G84)</f>
        <v>0.99699575562027953</v>
      </c>
      <c r="H88" s="990"/>
      <c r="I88" s="455"/>
      <c r="J88" s="229"/>
    </row>
    <row r="89" spans="1:17" ht="12.75" customHeight="1">
      <c r="B89" s="247"/>
      <c r="C89" s="210"/>
      <c r="D89" s="213"/>
      <c r="E89" s="213"/>
      <c r="F89" s="213"/>
      <c r="G89" s="213"/>
      <c r="H89" s="990"/>
      <c r="I89" s="455"/>
      <c r="J89" s="229"/>
      <c r="N89" s="234"/>
    </row>
    <row r="90" spans="1:17" ht="12.75" customHeight="1">
      <c r="B90" s="216" t="s">
        <v>33</v>
      </c>
      <c r="C90" s="210"/>
      <c r="D90" s="213"/>
      <c r="E90" s="213"/>
      <c r="F90" s="213"/>
      <c r="G90" s="213"/>
      <c r="H90" s="983"/>
      <c r="I90" s="455"/>
      <c r="J90" s="229"/>
      <c r="N90" s="110"/>
      <c r="O90" s="110"/>
      <c r="P90" s="110"/>
      <c r="Q90" s="110"/>
    </row>
    <row r="91" spans="1:17" s="530" customFormat="1">
      <c r="A91" s="167"/>
      <c r="B91" s="964" t="s">
        <v>157</v>
      </c>
      <c r="C91" s="976" t="s">
        <v>61</v>
      </c>
      <c r="D91" s="992">
        <f>HLOOKUP($H100,Supplementary!$C$44:$AF$46,3,FALSE)*D100</f>
        <v>0</v>
      </c>
      <c r="E91" s="555">
        <f>HLOOKUP($H100,Supplementary!$C$44:$AF$46,3,FALSE)*E100</f>
        <v>0</v>
      </c>
      <c r="F91" s="555">
        <f>HLOOKUP($H100,Supplementary!$C$44:$AF$46,3,FALSE)*F100</f>
        <v>0</v>
      </c>
      <c r="G91" s="555">
        <f>HLOOKUP($H100,Supplementary!$C$44:$AF$46,3,FALSE)*G100</f>
        <v>0</v>
      </c>
      <c r="H91" s="555">
        <f t="shared" ref="H91:H97" si="0">priceYear</f>
        <v>2015</v>
      </c>
      <c r="I91" s="555"/>
      <c r="J91" s="965"/>
      <c r="N91" s="991"/>
      <c r="O91" s="991"/>
      <c r="P91" s="991"/>
      <c r="Q91" s="991"/>
    </row>
    <row r="92" spans="1:17" s="530" customFormat="1">
      <c r="A92" s="167"/>
      <c r="B92" s="964" t="s">
        <v>160</v>
      </c>
      <c r="C92" s="976" t="s">
        <v>1094</v>
      </c>
      <c r="D92" s="992">
        <f ca="1">HLOOKUP($H101,Supplementary!$C$44:$AF$46,3,FALSE)*D101</f>
        <v>124.11626091168741</v>
      </c>
      <c r="E92" s="555">
        <f ca="1">HLOOKUP($H101,Supplementary!$C$44:$AF$46,3,FALSE)*E101</f>
        <v>127.62898527711253</v>
      </c>
      <c r="F92" s="555">
        <f ca="1">HLOOKUP($H101,Supplementary!$C$44:$AF$46,3,FALSE)*F101</f>
        <v>136.88980405868782</v>
      </c>
      <c r="G92" s="555">
        <f ca="1">HLOOKUP($H101,Supplementary!$C$44:$AF$46,3,FALSE)*G101</f>
        <v>136.88980405868782</v>
      </c>
      <c r="H92" s="555">
        <f t="shared" si="0"/>
        <v>2015</v>
      </c>
      <c r="I92" s="555"/>
      <c r="J92" s="965"/>
      <c r="N92" s="991"/>
      <c r="O92" s="991"/>
      <c r="P92" s="991"/>
      <c r="Q92" s="991"/>
    </row>
    <row r="93" spans="1:17" s="530" customFormat="1">
      <c r="A93" s="167"/>
      <c r="B93" s="995" t="s">
        <v>162</v>
      </c>
      <c r="C93" s="976" t="s">
        <v>1094</v>
      </c>
      <c r="D93" s="992">
        <f ca="1">HLOOKUP($H102,Supplementary!$C$44:$AF$46,3,FALSE)*D102</f>
        <v>28.062583223112625</v>
      </c>
      <c r="E93" s="555">
        <f ca="1">HLOOKUP($H102,Supplementary!$C$44:$AF$46,3,FALSE)*E102</f>
        <v>28.794299700352298</v>
      </c>
      <c r="F93" s="555">
        <f ca="1">HLOOKUP($H102,Supplementary!$C$44:$AF$46,3,FALSE)*F102</f>
        <v>22.304687544370609</v>
      </c>
      <c r="G93" s="555">
        <f ca="1">HLOOKUP($H102,Supplementary!$C$44:$AF$46,3,FALSE)*G102</f>
        <v>22.304687544370609</v>
      </c>
      <c r="H93" s="555">
        <f t="shared" si="0"/>
        <v>2015</v>
      </c>
      <c r="I93" s="555"/>
      <c r="J93" s="965"/>
      <c r="N93" s="991"/>
      <c r="O93" s="991"/>
      <c r="P93" s="991"/>
      <c r="Q93" s="991"/>
    </row>
    <row r="94" spans="1:17" s="530" customFormat="1">
      <c r="A94" s="167"/>
      <c r="B94" s="995" t="s">
        <v>163</v>
      </c>
      <c r="C94" s="976" t="s">
        <v>1094</v>
      </c>
      <c r="D94" s="992">
        <f>HLOOKUP($H103,Supplementary!$C$44:$AF$46,3,FALSE)*D103</f>
        <v>0</v>
      </c>
      <c r="E94" s="555">
        <f>HLOOKUP($H103,Supplementary!$C$44:$AF$46,3,FALSE)*E103</f>
        <v>0</v>
      </c>
      <c r="F94" s="555">
        <f>HLOOKUP($H103,Supplementary!$C$44:$AF$46,3,FALSE)*F103</f>
        <v>0</v>
      </c>
      <c r="G94" s="555">
        <f>HLOOKUP($H103,Supplementary!$C$44:$AF$46,3,FALSE)*G103</f>
        <v>0</v>
      </c>
      <c r="H94" s="555">
        <f t="shared" si="0"/>
        <v>2015</v>
      </c>
      <c r="I94" s="555"/>
      <c r="J94" s="965"/>
      <c r="N94" s="991"/>
      <c r="O94" s="991"/>
      <c r="P94" s="991"/>
      <c r="Q94" s="991"/>
    </row>
    <row r="95" spans="1:17" s="530" customFormat="1">
      <c r="A95" s="167">
        <v>6</v>
      </c>
      <c r="B95" s="995" t="s">
        <v>164</v>
      </c>
      <c r="C95" s="976" t="s">
        <v>464</v>
      </c>
      <c r="D95" s="992">
        <f ca="1">HLOOKUP($H104,Supplementary!$C$44:$AF$46,3,FALSE)*D104</f>
        <v>311.91443731226849</v>
      </c>
      <c r="E95" s="555">
        <f ca="1">HLOOKUP($H104,Supplementary!$C$44:$AF$46,3,FALSE)*E104</f>
        <v>320.90565236627981</v>
      </c>
      <c r="F95" s="555">
        <f ca="1">HLOOKUP($H104,Supplementary!$C$44:$AF$46,3,FALSE)*F104</f>
        <v>353.41311265086694</v>
      </c>
      <c r="G95" s="555">
        <f ca="1">HLOOKUP($H104,Supplementary!$C$44:$AF$46,3,FALSE)*G104</f>
        <v>353.41311265086694</v>
      </c>
      <c r="H95" s="555">
        <f t="shared" si="0"/>
        <v>2015</v>
      </c>
      <c r="I95" s="555"/>
      <c r="J95" s="965"/>
      <c r="N95" s="991"/>
      <c r="O95" s="991"/>
      <c r="P95" s="991"/>
      <c r="Q95" s="991"/>
    </row>
    <row r="96" spans="1:17" s="530" customFormat="1">
      <c r="A96" s="167"/>
      <c r="B96" s="995" t="s">
        <v>264</v>
      </c>
      <c r="C96" s="976" t="s">
        <v>464</v>
      </c>
      <c r="D96" s="992">
        <f>HLOOKUP($H105,Supplementary!$C$44:$AF$46,3,FALSE)*D105</f>
        <v>0</v>
      </c>
      <c r="E96" s="555">
        <f>HLOOKUP($H105,Supplementary!$C$44:$AF$46,3,FALSE)*E105</f>
        <v>0</v>
      </c>
      <c r="F96" s="555">
        <f>HLOOKUP($H105,Supplementary!$C$44:$AF$46,3,FALSE)*F105</f>
        <v>0</v>
      </c>
      <c r="G96" s="555">
        <f>HLOOKUP($H105,Supplementary!$C$44:$AF$46,3,FALSE)*G105</f>
        <v>0</v>
      </c>
      <c r="H96" s="555">
        <f t="shared" si="0"/>
        <v>2015</v>
      </c>
      <c r="I96" s="555"/>
      <c r="J96" s="965"/>
      <c r="N96" s="991"/>
      <c r="O96" s="991"/>
      <c r="P96" s="991"/>
      <c r="Q96" s="991"/>
    </row>
    <row r="97" spans="1:17" s="530" customFormat="1">
      <c r="A97" s="167"/>
      <c r="B97" s="995" t="s">
        <v>165</v>
      </c>
      <c r="C97" s="976" t="s">
        <v>464</v>
      </c>
      <c r="D97" s="992">
        <f ca="1">HLOOKUP($H106,Supplementary!$C$44:$AF$46,3,FALSE)*D106</f>
        <v>-215.86075962369372</v>
      </c>
      <c r="E97" s="555">
        <f ca="1">HLOOKUP($H106,Supplementary!$C$44:$AF$46,3,FALSE)*E106</f>
        <v>-222.07096678951959</v>
      </c>
      <c r="F97" s="555">
        <f ca="1">HLOOKUP($H106,Supplementary!$C$44:$AF$46,3,FALSE)*F106</f>
        <v>-238.82799613654973</v>
      </c>
      <c r="G97" s="555">
        <f ca="1">HLOOKUP($H106,Supplementary!$C$44:$AF$46,3,FALSE)*G106</f>
        <v>-238.82799613654973</v>
      </c>
      <c r="H97" s="555">
        <f t="shared" si="0"/>
        <v>2015</v>
      </c>
      <c r="I97" s="555"/>
      <c r="J97" s="965"/>
      <c r="N97" s="991"/>
      <c r="O97" s="991"/>
      <c r="P97" s="991"/>
      <c r="Q97" s="991"/>
    </row>
    <row r="98" spans="1:17" s="530" customFormat="1">
      <c r="B98" s="975"/>
      <c r="C98" s="976"/>
      <c r="D98" s="992"/>
      <c r="E98" s="983"/>
      <c r="F98" s="983"/>
      <c r="G98" s="983"/>
      <c r="H98" s="983"/>
      <c r="I98" s="555"/>
      <c r="J98" s="965"/>
      <c r="N98" s="991"/>
      <c r="O98" s="991"/>
      <c r="P98" s="991"/>
      <c r="Q98" s="991"/>
    </row>
    <row r="99" spans="1:17" s="530" customFormat="1">
      <c r="B99" s="975"/>
      <c r="C99" s="976"/>
      <c r="D99" s="992"/>
      <c r="E99" s="983"/>
      <c r="F99" s="983"/>
      <c r="G99" s="983"/>
      <c r="H99" s="983"/>
      <c r="I99" s="555"/>
      <c r="J99" s="965"/>
      <c r="N99" s="991"/>
      <c r="O99" s="991"/>
      <c r="P99" s="991"/>
      <c r="Q99" s="991"/>
    </row>
    <row r="100" spans="1:17" ht="12.75" customHeight="1">
      <c r="B100" s="247" t="s">
        <v>157</v>
      </c>
      <c r="C100" s="210" t="s">
        <v>61</v>
      </c>
      <c r="D100" s="115"/>
      <c r="E100" s="115"/>
      <c r="F100" s="115"/>
      <c r="G100" s="115"/>
      <c r="H100" s="1668">
        <v>2015</v>
      </c>
      <c r="I100" s="455"/>
      <c r="J100" s="229"/>
      <c r="N100" s="110"/>
      <c r="O100" s="110"/>
      <c r="P100" s="110"/>
      <c r="Q100" s="110"/>
    </row>
    <row r="101" spans="1:17" ht="12.75" customHeight="1">
      <c r="B101" s="230" t="s">
        <v>160</v>
      </c>
      <c r="C101" s="210" t="s">
        <v>248</v>
      </c>
      <c r="D101" s="1394">
        <f ca="1">D173</f>
        <v>124.11626091168741</v>
      </c>
      <c r="E101" s="1394">
        <f ca="1">E173</f>
        <v>127.62898527711253</v>
      </c>
      <c r="F101" s="1394">
        <f ca="1">F173</f>
        <v>136.88980405868782</v>
      </c>
      <c r="G101" s="1394">
        <f ca="1">G173</f>
        <v>136.88980405868782</v>
      </c>
      <c r="H101" s="1668">
        <v>2015</v>
      </c>
      <c r="I101" s="248"/>
      <c r="J101" s="229"/>
      <c r="N101" s="110"/>
      <c r="O101" s="110"/>
      <c r="P101" s="110"/>
      <c r="Q101" s="110"/>
    </row>
    <row r="102" spans="1:17" ht="12.75" customHeight="1">
      <c r="B102" s="236" t="s">
        <v>162</v>
      </c>
      <c r="C102" s="210" t="s">
        <v>248</v>
      </c>
      <c r="D102" s="166">
        <f ca="1">D101-D104-D106</f>
        <v>28.062583223112625</v>
      </c>
      <c r="E102" s="166">
        <f ca="1">E101-E104-E106</f>
        <v>28.794299700352298</v>
      </c>
      <c r="F102" s="166">
        <f ca="1">F101-F104-F106</f>
        <v>22.304687544370609</v>
      </c>
      <c r="G102" s="166">
        <f ca="1">G101-G104-G106</f>
        <v>22.304687544370609</v>
      </c>
      <c r="H102" s="1668">
        <v>2015</v>
      </c>
      <c r="I102" s="235"/>
      <c r="J102" s="229"/>
      <c r="N102" s="110"/>
      <c r="O102" s="110"/>
      <c r="P102" s="110"/>
      <c r="Q102" s="110"/>
    </row>
    <row r="103" spans="1:17" ht="12.75" customHeight="1">
      <c r="B103" s="236" t="s">
        <v>163</v>
      </c>
      <c r="C103" s="210" t="s">
        <v>248</v>
      </c>
      <c r="D103" s="460"/>
      <c r="E103" s="460"/>
      <c r="F103" s="460"/>
      <c r="G103" s="460"/>
      <c r="H103" s="1668">
        <v>2015</v>
      </c>
      <c r="I103" s="455"/>
      <c r="J103" s="229"/>
      <c r="N103" s="110"/>
      <c r="O103" s="110"/>
      <c r="P103" s="110"/>
      <c r="Q103" s="110"/>
    </row>
    <row r="104" spans="1:17" ht="12.75" customHeight="1">
      <c r="B104" s="236" t="s">
        <v>164</v>
      </c>
      <c r="C104" s="210" t="s">
        <v>248</v>
      </c>
      <c r="D104" s="463">
        <f ca="1">D179/D166</f>
        <v>311.91443731226849</v>
      </c>
      <c r="E104" s="463">
        <f ca="1">E179/E166</f>
        <v>320.90565236627981</v>
      </c>
      <c r="F104" s="463">
        <f ca="1">F179/F166</f>
        <v>353.41311265086694</v>
      </c>
      <c r="G104" s="463">
        <f ca="1">G179/G166</f>
        <v>353.41311265086694</v>
      </c>
      <c r="H104" s="1668">
        <v>2015</v>
      </c>
      <c r="I104" s="455"/>
      <c r="J104" s="229"/>
      <c r="N104" s="110"/>
      <c r="O104" s="110"/>
      <c r="P104" s="110"/>
      <c r="Q104" s="110"/>
    </row>
    <row r="105" spans="1:17" ht="12.75" customHeight="1">
      <c r="B105" s="236" t="s">
        <v>264</v>
      </c>
      <c r="C105" s="210" t="s">
        <v>248</v>
      </c>
      <c r="D105" s="460"/>
      <c r="E105" s="460"/>
      <c r="F105" s="460"/>
      <c r="G105" s="460"/>
      <c r="H105" s="1668">
        <v>2015</v>
      </c>
      <c r="I105" s="455"/>
      <c r="J105" s="229"/>
      <c r="N105" s="110"/>
      <c r="O105" s="110"/>
      <c r="P105" s="110"/>
      <c r="Q105" s="110"/>
    </row>
    <row r="106" spans="1:17" ht="12.75" customHeight="1">
      <c r="B106" s="236" t="s">
        <v>165</v>
      </c>
      <c r="C106" s="210" t="s">
        <v>248</v>
      </c>
      <c r="D106" s="463">
        <f ca="1">-(D184+D183+D185)/D166</f>
        <v>-215.86075962369372</v>
      </c>
      <c r="E106" s="463">
        <f ca="1">-(E184+E183+E185)/E166</f>
        <v>-222.07096678951959</v>
      </c>
      <c r="F106" s="463">
        <f ca="1">-(F184+F183+F185)/F166</f>
        <v>-238.82799613654973</v>
      </c>
      <c r="G106" s="463">
        <f ca="1">-(G184+G183+G185)/G166</f>
        <v>-238.82799613654973</v>
      </c>
      <c r="H106" s="1668">
        <v>2015</v>
      </c>
      <c r="I106" s="455"/>
      <c r="J106" s="229"/>
      <c r="N106" s="110"/>
      <c r="O106" s="110"/>
      <c r="P106" s="110"/>
      <c r="Q106" s="110"/>
    </row>
    <row r="107" spans="1:17" ht="12.75" customHeight="1">
      <c r="B107" s="236"/>
      <c r="C107" s="210"/>
      <c r="D107" s="213"/>
      <c r="E107" s="213"/>
      <c r="F107" s="213"/>
      <c r="G107" s="213"/>
      <c r="H107" s="983"/>
      <c r="I107" s="235"/>
      <c r="J107" s="229"/>
      <c r="N107" s="110"/>
      <c r="O107" s="110"/>
      <c r="P107" s="110"/>
      <c r="Q107" s="110"/>
    </row>
    <row r="108" spans="1:17" s="523" customFormat="1" ht="12.75" customHeight="1">
      <c r="B108" s="236"/>
      <c r="C108" s="210"/>
      <c r="D108" s="213"/>
      <c r="E108" s="213"/>
      <c r="F108" s="213"/>
      <c r="G108" s="213"/>
      <c r="H108" s="983"/>
      <c r="I108" s="235"/>
      <c r="J108" s="229"/>
      <c r="N108" s="110"/>
      <c r="O108" s="110"/>
      <c r="P108" s="110"/>
      <c r="Q108" s="110"/>
    </row>
    <row r="109" spans="1:17" s="523" customFormat="1" ht="12.75" customHeight="1">
      <c r="B109" s="236"/>
      <c r="C109" s="210"/>
      <c r="D109" s="213"/>
      <c r="E109" s="213"/>
      <c r="F109" s="213"/>
      <c r="G109" s="213"/>
      <c r="H109" s="983"/>
      <c r="I109" s="235"/>
      <c r="J109" s="229"/>
      <c r="N109" s="110"/>
      <c r="O109" s="110"/>
      <c r="P109" s="110"/>
      <c r="Q109" s="110"/>
    </row>
    <row r="110" spans="1:17" s="523" customFormat="1" ht="12.75" customHeight="1">
      <c r="B110" s="236"/>
      <c r="C110" s="210"/>
      <c r="D110" s="213"/>
      <c r="E110" s="213"/>
      <c r="F110" s="213"/>
      <c r="G110" s="213"/>
      <c r="H110" s="983"/>
      <c r="I110" s="235"/>
      <c r="J110" s="229"/>
      <c r="N110" s="110"/>
      <c r="O110" s="110"/>
      <c r="P110" s="110"/>
      <c r="Q110" s="110"/>
    </row>
    <row r="111" spans="1:17" s="523" customFormat="1" ht="12.75" customHeight="1">
      <c r="B111" s="236"/>
      <c r="C111" s="210"/>
      <c r="D111" s="213"/>
      <c r="E111" s="213"/>
      <c r="F111" s="213"/>
      <c r="G111" s="213"/>
      <c r="H111" s="983"/>
      <c r="I111" s="235"/>
      <c r="J111" s="229"/>
      <c r="N111" s="110"/>
      <c r="O111" s="110"/>
      <c r="P111" s="110"/>
      <c r="Q111" s="110"/>
    </row>
    <row r="112" spans="1:17" s="523" customFormat="1" ht="12.75" customHeight="1">
      <c r="B112" s="236"/>
      <c r="C112" s="210"/>
      <c r="D112" s="213"/>
      <c r="E112" s="213"/>
      <c r="F112" s="213"/>
      <c r="G112" s="213"/>
      <c r="H112" s="983"/>
      <c r="I112" s="235"/>
      <c r="J112" s="229"/>
      <c r="N112" s="110"/>
      <c r="O112" s="110"/>
      <c r="P112" s="110"/>
      <c r="Q112" s="110"/>
    </row>
    <row r="113" spans="2:17" ht="12.75" customHeight="1">
      <c r="B113" s="216" t="s">
        <v>166</v>
      </c>
      <c r="C113" s="210"/>
      <c r="D113" s="213"/>
      <c r="E113" s="213"/>
      <c r="F113" s="213"/>
      <c r="G113" s="213"/>
      <c r="H113" s="983"/>
      <c r="I113" s="235"/>
      <c r="J113" s="229"/>
      <c r="N113" s="112"/>
      <c r="O113" s="112"/>
      <c r="P113" s="112"/>
      <c r="Q113" s="110"/>
    </row>
    <row r="114" spans="2:17" ht="12.75" customHeight="1">
      <c r="B114" s="230" t="s">
        <v>24</v>
      </c>
      <c r="C114" s="210" t="s">
        <v>319</v>
      </c>
      <c r="D114" s="1136"/>
      <c r="E114" s="1136"/>
      <c r="F114" s="1136"/>
      <c r="G114" s="1136"/>
      <c r="H114" s="999"/>
      <c r="I114" s="455"/>
      <c r="J114" s="229"/>
      <c r="N114" s="110"/>
      <c r="O114" s="110"/>
      <c r="P114" s="110"/>
      <c r="Q114" s="110"/>
    </row>
    <row r="115" spans="2:17" ht="12.75" customHeight="1">
      <c r="B115" s="230" t="s">
        <v>27</v>
      </c>
      <c r="C115" s="210" t="s">
        <v>319</v>
      </c>
      <c r="D115" s="1136"/>
      <c r="E115" s="1136"/>
      <c r="F115" s="1136"/>
      <c r="G115" s="1136"/>
      <c r="H115" s="999"/>
      <c r="I115" s="455"/>
      <c r="J115" s="229"/>
      <c r="N115" s="110"/>
      <c r="O115" s="110"/>
      <c r="P115" s="110"/>
      <c r="Q115" s="110"/>
    </row>
    <row r="116" spans="2:17" ht="12.75" customHeight="1">
      <c r="B116" s="230" t="s">
        <v>28</v>
      </c>
      <c r="C116" s="210" t="s">
        <v>319</v>
      </c>
      <c r="D116" s="1136"/>
      <c r="E116" s="1136"/>
      <c r="F116" s="1136"/>
      <c r="G116" s="1136"/>
      <c r="H116" s="999"/>
      <c r="I116" s="455"/>
      <c r="J116" s="229"/>
      <c r="N116" s="110"/>
      <c r="O116" s="110"/>
      <c r="P116" s="110"/>
      <c r="Q116" s="110"/>
    </row>
    <row r="117" spans="2:17" ht="12.75" customHeight="1">
      <c r="B117" s="230" t="s">
        <v>26</v>
      </c>
      <c r="C117" s="210" t="s">
        <v>319</v>
      </c>
      <c r="D117" s="1136"/>
      <c r="E117" s="1136"/>
      <c r="F117" s="1136"/>
      <c r="G117" s="1136"/>
      <c r="H117" s="999"/>
      <c r="I117" s="455"/>
      <c r="J117" s="229"/>
      <c r="N117" s="110"/>
      <c r="O117" s="110"/>
      <c r="P117" s="110"/>
      <c r="Q117" s="110"/>
    </row>
    <row r="118" spans="2:17" ht="12.75" customHeight="1">
      <c r="B118" s="230" t="s">
        <v>25</v>
      </c>
      <c r="C118" s="210" t="s">
        <v>319</v>
      </c>
      <c r="D118" s="1136"/>
      <c r="E118" s="1136"/>
      <c r="F118" s="1136"/>
      <c r="G118" s="1136"/>
      <c r="H118" s="999"/>
      <c r="I118" s="455"/>
      <c r="J118" s="229"/>
      <c r="N118" s="112"/>
      <c r="O118" s="112"/>
      <c r="P118" s="112"/>
      <c r="Q118" s="112"/>
    </row>
    <row r="119" spans="2:17" ht="12.75" customHeight="1">
      <c r="B119" s="230" t="s">
        <v>45</v>
      </c>
      <c r="C119" s="210" t="s">
        <v>319</v>
      </c>
      <c r="D119" s="1137"/>
      <c r="E119" s="1137"/>
      <c r="F119" s="1137"/>
      <c r="G119" s="1137"/>
      <c r="H119" s="1000"/>
      <c r="I119" s="455"/>
      <c r="J119" s="229"/>
    </row>
    <row r="120" spans="2:17" ht="12.75" customHeight="1" thickBot="1">
      <c r="B120" s="113"/>
      <c r="C120" s="238"/>
      <c r="D120" s="96"/>
      <c r="E120" s="244"/>
      <c r="F120" s="244"/>
      <c r="G120" s="244"/>
      <c r="H120" s="968"/>
      <c r="I120" s="239"/>
      <c r="J120" s="240"/>
    </row>
    <row r="121" spans="2:17" ht="12.75" customHeight="1"/>
    <row r="122" spans="2:17" s="523" customFormat="1" ht="18.75" thickBot="1">
      <c r="B122" s="1111" t="s">
        <v>2023</v>
      </c>
      <c r="C122" s="215"/>
      <c r="D122" s="215"/>
      <c r="E122" s="215"/>
      <c r="F122" s="215"/>
      <c r="G122" s="215"/>
      <c r="H122" s="530"/>
      <c r="I122" s="215"/>
      <c r="J122" s="215"/>
    </row>
    <row r="123" spans="2:17" s="523" customFormat="1" ht="12.75" customHeight="1">
      <c r="B123" s="339"/>
      <c r="C123" s="137" t="s">
        <v>1438</v>
      </c>
      <c r="D123" s="138">
        <v>2015</v>
      </c>
      <c r="E123" s="137">
        <v>2020</v>
      </c>
      <c r="F123" s="137">
        <v>2035</v>
      </c>
      <c r="G123" s="137">
        <v>2050</v>
      </c>
      <c r="H123" s="137"/>
      <c r="I123" s="80" t="s">
        <v>145</v>
      </c>
      <c r="J123" s="139" t="s">
        <v>146</v>
      </c>
    </row>
    <row r="124" spans="2:17" s="523" customFormat="1" ht="12.75" customHeight="1">
      <c r="B124" s="247" t="s">
        <v>317</v>
      </c>
      <c r="C124" s="210" t="s">
        <v>318</v>
      </c>
      <c r="D124" s="461">
        <f>VLOOKUP($C$11,Feedstocks!$B$10:$D$23,3,0)</f>
        <v>43</v>
      </c>
      <c r="E124" s="461">
        <f>VLOOKUP($C$11,Feedstocks!$B$10:$D$23,3,0)</f>
        <v>43</v>
      </c>
      <c r="F124" s="461">
        <f>VLOOKUP($C$11,Feedstocks!$B$10:$D$23,3,0)</f>
        <v>43</v>
      </c>
      <c r="G124" s="461">
        <f>VLOOKUP($C$11,Feedstocks!$B$10:$D$23,3,0)</f>
        <v>43</v>
      </c>
      <c r="H124" s="461"/>
    </row>
    <row r="125" spans="2:17" s="523" customFormat="1" ht="12.75" customHeight="1">
      <c r="B125" s="247" t="s">
        <v>153</v>
      </c>
      <c r="C125" s="210" t="s">
        <v>318</v>
      </c>
      <c r="D125" s="307">
        <f>SUM(D$132:D$134)*3.6/D$146/1000</f>
        <v>2.2168299418604653</v>
      </c>
      <c r="E125" s="307">
        <f>SUM(E$132:E$134)*3.6/E$146/1000</f>
        <v>2.2168299418604653</v>
      </c>
      <c r="F125" s="307">
        <f>SUM(F$132:F$134)*3.6/F$146/1000</f>
        <v>2.2168299418604653</v>
      </c>
      <c r="G125" s="307">
        <f>SUM(G$132:G$134)*3.6/G$146/1000</f>
        <v>2.2168299418604653</v>
      </c>
      <c r="H125" s="307"/>
    </row>
    <row r="126" spans="2:17" s="523" customFormat="1" ht="12.75" customHeight="1">
      <c r="B126" s="247" t="s">
        <v>154</v>
      </c>
      <c r="C126" s="210" t="s">
        <v>318</v>
      </c>
      <c r="D126" s="307">
        <f>SUM(D$167:D$169,D$165)/D$33</f>
        <v>30.21572590673188</v>
      </c>
      <c r="E126" s="307">
        <f>SUM(E$167:E$169,E$165)/E$33</f>
        <v>30.21572590673188</v>
      </c>
      <c r="F126" s="307">
        <f>SUM(F$167:F$169,F$165)/F$33</f>
        <v>30.21572590673188</v>
      </c>
      <c r="G126" s="307">
        <f>SUM(G$167:G$169,G$165)/G$33</f>
        <v>30.21572590673188</v>
      </c>
      <c r="H126" s="307"/>
    </row>
    <row r="127" spans="2:17" s="523" customFormat="1" ht="12.75" customHeight="1">
      <c r="B127" s="247" t="s">
        <v>2</v>
      </c>
      <c r="C127" s="210" t="s">
        <v>318</v>
      </c>
      <c r="D127" s="237">
        <f>D$32*D$31</f>
        <v>14.865261627906975</v>
      </c>
      <c r="E127" s="237">
        <f>E$32*E$31</f>
        <v>14.865261627906975</v>
      </c>
      <c r="F127" s="237">
        <f>F$32*F$31</f>
        <v>14.865261627906975</v>
      </c>
      <c r="G127" s="237">
        <f>G$32*G$31</f>
        <v>14.865261627906975</v>
      </c>
      <c r="H127" s="237"/>
    </row>
    <row r="128" spans="2:17" s="523" customFormat="1" ht="12.75" customHeight="1"/>
    <row r="129" spans="2:10" ht="18.75" thickBot="1">
      <c r="B129" s="1111" t="s">
        <v>1453</v>
      </c>
      <c r="C129" s="215"/>
      <c r="D129" s="215"/>
      <c r="E129" s="215"/>
      <c r="F129" s="215"/>
      <c r="G129" s="1160" t="s">
        <v>1459</v>
      </c>
      <c r="H129" s="1160"/>
    </row>
    <row r="130" spans="2:10" s="215" customFormat="1" ht="12.75" customHeight="1">
      <c r="B130" s="1139"/>
      <c r="C130" s="1140" t="s">
        <v>1438</v>
      </c>
      <c r="D130" s="1141">
        <v>2015</v>
      </c>
      <c r="E130" s="1140">
        <v>2020</v>
      </c>
      <c r="F130" s="1140">
        <v>2035</v>
      </c>
      <c r="G130" s="1140">
        <v>2050</v>
      </c>
      <c r="H130" s="1140"/>
      <c r="I130" s="1142"/>
      <c r="J130" s="1143"/>
    </row>
    <row r="131" spans="2:10" ht="12.75" customHeight="1">
      <c r="B131" s="1144" t="str">
        <f>Diesel!B131</f>
        <v>Energiforbrug</v>
      </c>
      <c r="C131" s="1145"/>
      <c r="D131" s="1146"/>
      <c r="E131" s="1147"/>
      <c r="F131" s="1147"/>
      <c r="G131" s="1147"/>
      <c r="H131" s="1147"/>
      <c r="I131" s="1148"/>
      <c r="J131" s="1149"/>
    </row>
    <row r="132" spans="2:10" ht="12.75" customHeight="1">
      <c r="B132" s="1150" t="str">
        <f>Diesel!B132</f>
        <v>el-forbrug</v>
      </c>
      <c r="C132" s="1145" t="str">
        <f>Diesel!C132</f>
        <v>MWh/år</v>
      </c>
      <c r="D132" s="1151">
        <f>Diesel!D132</f>
        <v>177515</v>
      </c>
      <c r="E132" s="1152">
        <f>Diesel!E132</f>
        <v>177515</v>
      </c>
      <c r="F132" s="1152">
        <f>Diesel!F132</f>
        <v>177515</v>
      </c>
      <c r="G132" s="1152">
        <f>Diesel!G132</f>
        <v>177515</v>
      </c>
      <c r="H132" s="1152"/>
      <c r="I132" s="1405" t="str">
        <f>Diesel!I132</f>
        <v>35, Statoil, Grønt Regnskab 2012</v>
      </c>
      <c r="J132" s="1149" t="str">
        <f>Diesel!J132</f>
        <v>p.19, 2011 figures</v>
      </c>
    </row>
    <row r="133" spans="2:10" ht="12.75" customHeight="1">
      <c r="B133" s="1150" t="str">
        <f>Diesel!B133</f>
        <v>Dampforbrug</v>
      </c>
      <c r="C133" s="1145" t="str">
        <f>Diesel!C133</f>
        <v>MWh/år</v>
      </c>
      <c r="D133" s="1151">
        <f>Diesel!D133</f>
        <v>131478</v>
      </c>
      <c r="E133" s="1152">
        <f>Diesel!E133</f>
        <v>131478</v>
      </c>
      <c r="F133" s="1152">
        <f>Diesel!F133</f>
        <v>131478</v>
      </c>
      <c r="G133" s="1152">
        <f>Diesel!G133</f>
        <v>131478</v>
      </c>
      <c r="H133" s="1152"/>
      <c r="I133" s="1405" t="str">
        <f>Diesel!I133</f>
        <v>35, Statoil, Grønt Regnskab 2012</v>
      </c>
      <c r="J133" s="1149" t="str">
        <f>Diesel!J133</f>
        <v>p.19, 2011 figures</v>
      </c>
    </row>
    <row r="134" spans="2:10" ht="12.75" customHeight="1">
      <c r="B134" s="1150" t="str">
        <f>Diesel!B134</f>
        <v>Rafinaderigas</v>
      </c>
      <c r="C134" s="1145" t="str">
        <f>Diesel!C134</f>
        <v>MWh/år</v>
      </c>
      <c r="D134" s="1151">
        <f>Diesel!D134</f>
        <v>2232972</v>
      </c>
      <c r="E134" s="1152">
        <f>Diesel!E134</f>
        <v>2232972</v>
      </c>
      <c r="F134" s="1152">
        <f>Diesel!F134</f>
        <v>2232972</v>
      </c>
      <c r="G134" s="1152">
        <f>Diesel!G134</f>
        <v>2232972</v>
      </c>
      <c r="H134" s="1152"/>
      <c r="I134" s="1405" t="str">
        <f>Diesel!I134</f>
        <v>35, Statoil, Grønt Regnskab 2012</v>
      </c>
      <c r="J134" s="1149" t="str">
        <f>Diesel!J134</f>
        <v>p.19, 2011 figures</v>
      </c>
    </row>
    <row r="135" spans="2:10" ht="12.75" customHeight="1">
      <c r="B135" s="1150" t="str">
        <f>Diesel!B135</f>
        <v>Rafinaderigas</v>
      </c>
      <c r="C135" s="1145" t="str">
        <f>Diesel!C135</f>
        <v>Tons/år</v>
      </c>
      <c r="D135" s="1151">
        <f>Diesel!D135</f>
        <v>162250</v>
      </c>
      <c r="E135" s="1152">
        <f>Diesel!E135</f>
        <v>162250</v>
      </c>
      <c r="F135" s="1152">
        <f>Diesel!F135</f>
        <v>162250</v>
      </c>
      <c r="G135" s="1152">
        <f>Diesel!G135</f>
        <v>162250</v>
      </c>
      <c r="H135" s="1152"/>
      <c r="I135" s="1405" t="str">
        <f>Diesel!I135</f>
        <v>35, Statoil, Grønt Regnskab 2012</v>
      </c>
      <c r="J135" s="1149" t="str">
        <f>Diesel!J135</f>
        <v>p.19, 2011 figures</v>
      </c>
    </row>
    <row r="136" spans="2:10" ht="12.75" customHeight="1">
      <c r="B136" s="1150" t="str">
        <f>Diesel!B136</f>
        <v>Rafinaderigas</v>
      </c>
      <c r="C136" s="1145" t="str">
        <f>Diesel!C136</f>
        <v>MWh/Tons</v>
      </c>
      <c r="D136" s="1153">
        <f>Diesel!D136</f>
        <v>13.762539291217257</v>
      </c>
      <c r="E136" s="1154">
        <f>Diesel!E136</f>
        <v>13.762539291217257</v>
      </c>
      <c r="F136" s="1154">
        <f>Diesel!F136</f>
        <v>13.762539291217257</v>
      </c>
      <c r="G136" s="1154">
        <f>Diesel!G136</f>
        <v>13.762539291217257</v>
      </c>
      <c r="H136" s="1154"/>
      <c r="I136" s="1405"/>
      <c r="J136" s="1149"/>
    </row>
    <row r="137" spans="2:10" ht="12.75" customHeight="1">
      <c r="B137" s="1150" t="str">
        <f>Diesel!B137</f>
        <v>Rafinaderigas</v>
      </c>
      <c r="C137" s="1145" t="str">
        <f>Diesel!C137</f>
        <v>GJ/Tons</v>
      </c>
      <c r="D137" s="1153">
        <f>Diesel!D137</f>
        <v>49.545141448382125</v>
      </c>
      <c r="E137" s="1154">
        <f>Diesel!E137</f>
        <v>49.545141448382125</v>
      </c>
      <c r="F137" s="1154">
        <f>Diesel!F137</f>
        <v>49.545141448382125</v>
      </c>
      <c r="G137" s="1154">
        <f>Diesel!G137</f>
        <v>49.545141448382125</v>
      </c>
      <c r="H137" s="1154"/>
      <c r="I137" s="1405"/>
      <c r="J137" s="1149"/>
    </row>
    <row r="138" spans="2:10" ht="12.75" customHeight="1">
      <c r="B138" s="1150" t="str">
        <f>Diesel!B138</f>
        <v>Råolie</v>
      </c>
      <c r="C138" s="1145" t="str">
        <f>Diesel!C138</f>
        <v>GJ</v>
      </c>
      <c r="D138" s="1151">
        <f>Diesel!D138</f>
        <v>177504000</v>
      </c>
      <c r="E138" s="1152">
        <f>Diesel!E138</f>
        <v>177504000</v>
      </c>
      <c r="F138" s="1152">
        <f>Diesel!F138</f>
        <v>177504000</v>
      </c>
      <c r="G138" s="1152">
        <f>Diesel!G138</f>
        <v>177504000</v>
      </c>
      <c r="H138" s="1152"/>
      <c r="I138" s="1405"/>
      <c r="J138" s="1149" t="str">
        <f>Diesel!J138</f>
        <v>Antaget, at kondensat har samme energiindhold som råolie</v>
      </c>
    </row>
    <row r="139" spans="2:10" ht="12.75" customHeight="1">
      <c r="B139" s="1150" t="str">
        <f>Diesel!B139</f>
        <v>el-forbrug</v>
      </c>
      <c r="C139" s="1145" t="str">
        <f>Diesel!C139</f>
        <v>GJ/GJ råolie</v>
      </c>
      <c r="D139" s="1155">
        <f>Diesel!D139</f>
        <v>3.6002230935640888E-3</v>
      </c>
      <c r="E139" s="1156">
        <f>Diesel!E139</f>
        <v>3.6002230935640888E-3</v>
      </c>
      <c r="F139" s="1156">
        <f>Diesel!F139</f>
        <v>3.6002230935640888E-3</v>
      </c>
      <c r="G139" s="1156">
        <f>Diesel!G139</f>
        <v>3.6002230935640888E-3</v>
      </c>
      <c r="H139" s="1156"/>
      <c r="I139" s="1405"/>
      <c r="J139" s="1149"/>
    </row>
    <row r="140" spans="2:10" ht="12.75" customHeight="1">
      <c r="B140" s="1150" t="str">
        <f>Diesel!B140</f>
        <v>Dampforbrug</v>
      </c>
      <c r="C140" s="1145" t="str">
        <f>Diesel!C140</f>
        <v>GJ/GJ råolie</v>
      </c>
      <c r="D140" s="1155">
        <f>Diesel!D140</f>
        <v>2.6665359653866953E-3</v>
      </c>
      <c r="E140" s="1156">
        <f>Diesel!E140</f>
        <v>2.6665359653866953E-3</v>
      </c>
      <c r="F140" s="1156">
        <f>Diesel!F140</f>
        <v>2.6665359653866953E-3</v>
      </c>
      <c r="G140" s="1156">
        <f>Diesel!G140</f>
        <v>2.6665359653866953E-3</v>
      </c>
      <c r="H140" s="1156"/>
      <c r="I140" s="1405"/>
      <c r="J140" s="1149"/>
    </row>
    <row r="141" spans="2:10" ht="12.75" customHeight="1">
      <c r="B141" s="1150" t="str">
        <f>Diesel!B141</f>
        <v>Rafinaderigas</v>
      </c>
      <c r="C141" s="1145" t="str">
        <f>Diesel!C141</f>
        <v>GJ/GJ råolie</v>
      </c>
      <c r="D141" s="1155">
        <f>Diesel!D141</f>
        <v>4.5287425635478641E-2</v>
      </c>
      <c r="E141" s="1156">
        <f>Diesel!E141</f>
        <v>4.5287425635478641E-2</v>
      </c>
      <c r="F141" s="1156">
        <f>Diesel!F141</f>
        <v>4.5287425635478641E-2</v>
      </c>
      <c r="G141" s="1156">
        <f>Diesel!G141</f>
        <v>4.5287425635478641E-2</v>
      </c>
      <c r="H141" s="1156"/>
      <c r="I141" s="1405"/>
      <c r="J141" s="1149"/>
    </row>
    <row r="142" spans="2:10" ht="12.75" customHeight="1">
      <c r="B142" s="1150"/>
      <c r="C142" s="1145"/>
      <c r="D142" s="1151"/>
      <c r="E142" s="1152"/>
      <c r="F142" s="1152"/>
      <c r="G142" s="1152"/>
      <c r="H142" s="1152"/>
      <c r="I142" s="1405"/>
      <c r="J142" s="1149"/>
    </row>
    <row r="143" spans="2:10" ht="12.75" customHeight="1">
      <c r="B143" s="1150" t="str">
        <f>Diesel!B143</f>
        <v>Input</v>
      </c>
      <c r="C143" s="1145"/>
      <c r="D143" s="1151"/>
      <c r="E143" s="1152"/>
      <c r="F143" s="1152"/>
      <c r="G143" s="1152"/>
      <c r="H143" s="1152"/>
      <c r="I143" s="1405"/>
      <c r="J143" s="1149"/>
    </row>
    <row r="144" spans="2:10" ht="12.75" customHeight="1">
      <c r="B144" s="1150" t="str">
        <f>Diesel!B144</f>
        <v>Råolie</v>
      </c>
      <c r="C144" s="1145" t="str">
        <f>Diesel!C144</f>
        <v>1000 ton</v>
      </c>
      <c r="D144" s="1151">
        <f>Diesel!D144</f>
        <v>3365</v>
      </c>
      <c r="E144" s="1152">
        <f>Diesel!E144</f>
        <v>3365</v>
      </c>
      <c r="F144" s="1152">
        <f>Diesel!F144</f>
        <v>3365</v>
      </c>
      <c r="G144" s="1152">
        <f>Diesel!G144</f>
        <v>3365</v>
      </c>
      <c r="H144" s="1152"/>
      <c r="I144" s="1405" t="str">
        <f>Diesel!I144</f>
        <v>35, Statoil, Grønt Regnskab 2012</v>
      </c>
      <c r="J144" s="1149" t="str">
        <f>Diesel!J144</f>
        <v>p.19, 2011 figures</v>
      </c>
    </row>
    <row r="145" spans="2:10" ht="12.75" customHeight="1">
      <c r="B145" s="1150" t="str">
        <f>Diesel!B145</f>
        <v>Kondensat</v>
      </c>
      <c r="C145" s="1145" t="str">
        <f>Diesel!C145</f>
        <v>1000 ton</v>
      </c>
      <c r="D145" s="1151">
        <f>Diesel!D145</f>
        <v>763</v>
      </c>
      <c r="E145" s="1152">
        <f>Diesel!E145</f>
        <v>763</v>
      </c>
      <c r="F145" s="1152">
        <f>Diesel!F145</f>
        <v>763</v>
      </c>
      <c r="G145" s="1152">
        <f>Diesel!G145</f>
        <v>763</v>
      </c>
      <c r="H145" s="1152"/>
      <c r="I145" s="1405" t="str">
        <f>Diesel!I145</f>
        <v>35, Statoil, Grønt Regnskab 2012</v>
      </c>
      <c r="J145" s="1149" t="str">
        <f>Diesel!J145</f>
        <v>p.19, 2011 figures</v>
      </c>
    </row>
    <row r="146" spans="2:10" s="215" customFormat="1" ht="12.75" customHeight="1">
      <c r="B146" s="1157" t="str">
        <f>Diesel!B146</f>
        <v>Total</v>
      </c>
      <c r="C146" s="1145" t="str">
        <f>Diesel!C146</f>
        <v>1000 ton</v>
      </c>
      <c r="D146" s="1151">
        <f>Diesel!D146</f>
        <v>4128</v>
      </c>
      <c r="E146" s="1152">
        <f>Diesel!E146</f>
        <v>4128</v>
      </c>
      <c r="F146" s="1152">
        <f>Diesel!F146</f>
        <v>4128</v>
      </c>
      <c r="G146" s="1152">
        <f>Diesel!G146</f>
        <v>4128</v>
      </c>
      <c r="H146" s="1152"/>
      <c r="I146" s="1405"/>
      <c r="J146" s="1149"/>
    </row>
    <row r="147" spans="2:10" ht="12.75" customHeight="1">
      <c r="B147" s="1150"/>
      <c r="C147" s="1145"/>
      <c r="D147" s="1151"/>
      <c r="E147" s="1152"/>
      <c r="F147" s="1152"/>
      <c r="G147" s="1152"/>
      <c r="H147" s="1152"/>
      <c r="I147" s="1405"/>
      <c r="J147" s="1149"/>
    </row>
    <row r="148" spans="2:10" ht="12.75" customHeight="1">
      <c r="B148" s="1150" t="str">
        <f>Diesel!B148</f>
        <v>Output</v>
      </c>
      <c r="C148" s="1145"/>
      <c r="D148" s="1151"/>
      <c r="E148" s="1152"/>
      <c r="F148" s="1152"/>
      <c r="G148" s="1152"/>
      <c r="H148" s="1152"/>
      <c r="I148" s="1405"/>
      <c r="J148" s="1149"/>
    </row>
    <row r="149" spans="2:10" ht="12.75" customHeight="1">
      <c r="B149" s="1150" t="str">
        <f>Diesel!B149</f>
        <v>Raffinaderigas</v>
      </c>
      <c r="C149" s="1145" t="str">
        <f>Diesel!C149</f>
        <v>1000 ton</v>
      </c>
      <c r="D149" s="1151">
        <f>Diesel!D149</f>
        <v>223</v>
      </c>
      <c r="E149" s="1152">
        <f>Diesel!E149</f>
        <v>223</v>
      </c>
      <c r="F149" s="1152">
        <f>Diesel!F149</f>
        <v>223</v>
      </c>
      <c r="G149" s="1152">
        <f>Diesel!G149</f>
        <v>223</v>
      </c>
      <c r="H149" s="1152"/>
      <c r="I149" s="1405" t="str">
        <f>Diesel!I149</f>
        <v>35, Statoil, Grønt Regnskab 2012</v>
      </c>
      <c r="J149" s="1149" t="str">
        <f>Diesel!J149</f>
        <v>p.19, 2011 figures</v>
      </c>
    </row>
    <row r="150" spans="2:10" ht="12.75" customHeight="1">
      <c r="B150" s="1150" t="str">
        <f>Diesel!B150</f>
        <v>Benzin/nafta</v>
      </c>
      <c r="C150" s="1145" t="str">
        <f>Diesel!C150</f>
        <v>1000 ton</v>
      </c>
      <c r="D150" s="1151">
        <f>Diesel!D150</f>
        <v>1401</v>
      </c>
      <c r="E150" s="1152">
        <f>Diesel!E150</f>
        <v>1401</v>
      </c>
      <c r="F150" s="1152">
        <f>Diesel!F150</f>
        <v>1401</v>
      </c>
      <c r="G150" s="1152">
        <f>Diesel!G150</f>
        <v>1401</v>
      </c>
      <c r="H150" s="1152"/>
      <c r="I150" s="1405" t="str">
        <f>Diesel!I150</f>
        <v>35, Statoil, Grønt Regnskab 2012</v>
      </c>
      <c r="J150" s="1149" t="str">
        <f>Diesel!J150</f>
        <v>p.19, 2011 figures</v>
      </c>
    </row>
    <row r="151" spans="2:10" ht="12.75" customHeight="1">
      <c r="B151" s="1150" t="str">
        <f>Diesel!B151</f>
        <v>Jet fuel/kerosin</v>
      </c>
      <c r="C151" s="1145" t="str">
        <f>Diesel!C151</f>
        <v>1000 ton</v>
      </c>
      <c r="D151" s="1151">
        <f>Diesel!D151</f>
        <v>39</v>
      </c>
      <c r="E151" s="1152">
        <f>Diesel!E151</f>
        <v>39</v>
      </c>
      <c r="F151" s="1152">
        <f>Diesel!F151</f>
        <v>39</v>
      </c>
      <c r="G151" s="1152">
        <f>Diesel!G151</f>
        <v>39</v>
      </c>
      <c r="H151" s="1152"/>
      <c r="I151" s="1405" t="str">
        <f>Diesel!I151</f>
        <v>35, Statoil, Grønt Regnskab 2012</v>
      </c>
      <c r="J151" s="1149" t="str">
        <f>Diesel!J151</f>
        <v>p.19, 2011 figures</v>
      </c>
    </row>
    <row r="152" spans="2:10" ht="12.75" customHeight="1">
      <c r="B152" s="1150" t="str">
        <f>Diesel!B152</f>
        <v>Autodiesel &amp; fyringsolie</v>
      </c>
      <c r="C152" s="1145" t="str">
        <f>Diesel!C152</f>
        <v>1000 ton</v>
      </c>
      <c r="D152" s="1151">
        <f>Diesel!D152</f>
        <v>1954</v>
      </c>
      <c r="E152" s="1152">
        <f>Diesel!E152</f>
        <v>1954</v>
      </c>
      <c r="F152" s="1152">
        <f>Diesel!F152</f>
        <v>1954</v>
      </c>
      <c r="G152" s="1152">
        <f>Diesel!G152</f>
        <v>1954</v>
      </c>
      <c r="H152" s="1152"/>
      <c r="I152" s="1405" t="str">
        <f>Diesel!I152</f>
        <v>35, Statoil, Grønt Regnskab 2012</v>
      </c>
      <c r="J152" s="1149" t="str">
        <f>Diesel!J152</f>
        <v>p.19, 2011 figures</v>
      </c>
    </row>
    <row r="153" spans="2:10" ht="12.75" customHeight="1">
      <c r="B153" s="1150" t="str">
        <f>Diesel!B153</f>
        <v>Brændselsolie</v>
      </c>
      <c r="C153" s="1145" t="str">
        <f>Diesel!C153</f>
        <v>1000 ton</v>
      </c>
      <c r="D153" s="1151">
        <f>Diesel!D153</f>
        <v>703</v>
      </c>
      <c r="E153" s="1152">
        <f>Diesel!E153</f>
        <v>703</v>
      </c>
      <c r="F153" s="1152">
        <f>Diesel!F153</f>
        <v>703</v>
      </c>
      <c r="G153" s="1152">
        <f>Diesel!G153</f>
        <v>703</v>
      </c>
      <c r="H153" s="1152"/>
      <c r="I153" s="1405" t="str">
        <f>Diesel!I153</f>
        <v>35, Statoil, Grønt Regnskab 2012</v>
      </c>
      <c r="J153" s="1149" t="str">
        <f>Diesel!J153</f>
        <v>p.19, 2011 figures</v>
      </c>
    </row>
    <row r="154" spans="2:10" ht="12.75" customHeight="1">
      <c r="B154" s="1150" t="str">
        <f>Diesel!B154</f>
        <v>Svovl</v>
      </c>
      <c r="C154" s="1145" t="str">
        <f>Diesel!C154</f>
        <v>1000 ton</v>
      </c>
      <c r="D154" s="1151">
        <f>Diesel!D154</f>
        <v>6.4</v>
      </c>
      <c r="E154" s="1152">
        <f>Diesel!E154</f>
        <v>6.4</v>
      </c>
      <c r="F154" s="1152">
        <f>Diesel!F154</f>
        <v>6.4</v>
      </c>
      <c r="G154" s="1152">
        <f>Diesel!G154</f>
        <v>6.4</v>
      </c>
      <c r="H154" s="1152"/>
      <c r="I154" s="1405" t="str">
        <f>Diesel!I154</f>
        <v>35, Statoil, Grønt Regnskab 2012</v>
      </c>
      <c r="J154" s="1149" t="str">
        <f>Diesel!J154</f>
        <v>p.19, 2011 figures</v>
      </c>
    </row>
    <row r="155" spans="2:10" ht="12.75" customHeight="1">
      <c r="B155" s="1150"/>
      <c r="C155" s="1145"/>
      <c r="D155" s="1151"/>
      <c r="E155" s="1152"/>
      <c r="F155" s="1152"/>
      <c r="G155" s="1152"/>
      <c r="H155" s="1152"/>
      <c r="I155" s="1405"/>
      <c r="J155" s="1149"/>
    </row>
    <row r="156" spans="2:10" ht="12.75" customHeight="1">
      <c r="B156" s="1150" t="str">
        <f>Diesel!B156</f>
        <v>Output</v>
      </c>
      <c r="C156" s="1145"/>
      <c r="D156" s="1151"/>
      <c r="E156" s="1152"/>
      <c r="F156" s="1152"/>
      <c r="G156" s="1152"/>
      <c r="H156" s="1152"/>
      <c r="I156" s="1405"/>
      <c r="J156" s="1149"/>
    </row>
    <row r="157" spans="2:10" ht="12.75" customHeight="1">
      <c r="B157" s="1150" t="str">
        <f>Diesel!B157</f>
        <v>Raffinaderigas</v>
      </c>
      <c r="C157" s="1145" t="str">
        <f>Diesel!C157</f>
        <v>t/t råolie</v>
      </c>
      <c r="D157" s="1158">
        <f>Diesel!D157</f>
        <v>5.4021317829457363E-2</v>
      </c>
      <c r="E157" s="1159">
        <f>Diesel!E157</f>
        <v>5.4021317829457363E-2</v>
      </c>
      <c r="F157" s="1159">
        <f>Diesel!F157</f>
        <v>5.4021317829457363E-2</v>
      </c>
      <c r="G157" s="1159">
        <f>Diesel!G157</f>
        <v>5.4021317829457363E-2</v>
      </c>
      <c r="H157" s="1159"/>
      <c r="I157" s="1148"/>
      <c r="J157" s="1149"/>
    </row>
    <row r="158" spans="2:10" ht="12.75" customHeight="1">
      <c r="B158" s="1150" t="str">
        <f>Diesel!B158</f>
        <v>Benzin/nafta</v>
      </c>
      <c r="C158" s="1145" t="str">
        <f>Diesel!C158</f>
        <v>t/t råolie</v>
      </c>
      <c r="D158" s="1158">
        <f>Diesel!D158</f>
        <v>0.33938953488372092</v>
      </c>
      <c r="E158" s="1159">
        <f>Diesel!E158</f>
        <v>0.33938953488372092</v>
      </c>
      <c r="F158" s="1159">
        <f>Diesel!F158</f>
        <v>0.33938953488372092</v>
      </c>
      <c r="G158" s="1159">
        <f>Diesel!G158</f>
        <v>0.33938953488372092</v>
      </c>
      <c r="H158" s="1159"/>
      <c r="I158" s="1148"/>
      <c r="J158" s="1149"/>
    </row>
    <row r="159" spans="2:10" ht="12.75" customHeight="1">
      <c r="B159" s="1150" t="str">
        <f>Diesel!B159</f>
        <v>Jet fuel/kerosin</v>
      </c>
      <c r="C159" s="1145" t="str">
        <f>Diesel!C159</f>
        <v>t/t råolie</v>
      </c>
      <c r="D159" s="1158">
        <f>Diesel!D159</f>
        <v>9.4476744186046506E-3</v>
      </c>
      <c r="E159" s="1159">
        <f>Diesel!E159</f>
        <v>9.4476744186046506E-3</v>
      </c>
      <c r="F159" s="1159">
        <f>Diesel!F159</f>
        <v>9.4476744186046506E-3</v>
      </c>
      <c r="G159" s="1159">
        <f>Diesel!G159</f>
        <v>9.4476744186046506E-3</v>
      </c>
      <c r="H159" s="1159"/>
      <c r="I159" s="1148"/>
      <c r="J159" s="1149"/>
    </row>
    <row r="160" spans="2:10" ht="12.75" customHeight="1">
      <c r="B160" s="1150" t="str">
        <f>Diesel!B160</f>
        <v>Autodiesel &amp; fyringsolie</v>
      </c>
      <c r="C160" s="1145" t="str">
        <f>Diesel!C160</f>
        <v>t/t råolie</v>
      </c>
      <c r="D160" s="1158">
        <f>Diesel!D160</f>
        <v>0.47335271317829458</v>
      </c>
      <c r="E160" s="1159">
        <f>Diesel!E160</f>
        <v>0.47335271317829458</v>
      </c>
      <c r="F160" s="1159">
        <f>Diesel!F160</f>
        <v>0.47335271317829458</v>
      </c>
      <c r="G160" s="1159">
        <f>Diesel!G160</f>
        <v>0.47335271317829458</v>
      </c>
      <c r="H160" s="1159"/>
      <c r="I160" s="1148"/>
      <c r="J160" s="1149"/>
    </row>
    <row r="161" spans="2:14" s="215" customFormat="1" ht="12.75" customHeight="1">
      <c r="B161" s="1150" t="str">
        <f>Diesel!B161</f>
        <v>Brændselsolie</v>
      </c>
      <c r="C161" s="1145" t="str">
        <f>Diesel!C161</f>
        <v>t/t råolie</v>
      </c>
      <c r="D161" s="1158">
        <f>Diesel!D161</f>
        <v>0.17030038759689922</v>
      </c>
      <c r="E161" s="1159">
        <f>Diesel!E161</f>
        <v>0.17030038759689922</v>
      </c>
      <c r="F161" s="1159">
        <f>Diesel!F161</f>
        <v>0.17030038759689922</v>
      </c>
      <c r="G161" s="1159">
        <f>Diesel!G161</f>
        <v>0.17030038759689922</v>
      </c>
      <c r="H161" s="1159"/>
      <c r="I161" s="1148"/>
      <c r="J161" s="1149"/>
    </row>
    <row r="162" spans="2:14" ht="12.75" customHeight="1">
      <c r="B162" s="1150" t="str">
        <f>Diesel!B162</f>
        <v>Svovl</v>
      </c>
      <c r="C162" s="1145" t="str">
        <f>Diesel!C162</f>
        <v>t/t råolie</v>
      </c>
      <c r="D162" s="1158">
        <f>Diesel!D162</f>
        <v>1.5503875968992248E-3</v>
      </c>
      <c r="E162" s="1159">
        <f>Diesel!E162</f>
        <v>1.5503875968992248E-3</v>
      </c>
      <c r="F162" s="1159">
        <f>Diesel!F162</f>
        <v>1.5503875968992248E-3</v>
      </c>
      <c r="G162" s="1159">
        <f>Diesel!G162</f>
        <v>1.5503875968992248E-3</v>
      </c>
      <c r="H162" s="1159"/>
      <c r="I162" s="1148"/>
      <c r="J162" s="1149"/>
    </row>
    <row r="163" spans="2:14" ht="12.75" customHeight="1">
      <c r="B163" s="1150"/>
      <c r="C163" s="1145"/>
      <c r="D163" s="1151"/>
      <c r="E163" s="1152"/>
      <c r="F163" s="1152"/>
      <c r="G163" s="1152"/>
      <c r="H163" s="1152"/>
      <c r="I163" s="1148"/>
      <c r="J163" s="1149"/>
    </row>
    <row r="164" spans="2:14" ht="12.75" customHeight="1">
      <c r="B164" s="1157" t="str">
        <f>Diesel!B164</f>
        <v>Output, based on max max capacity</v>
      </c>
      <c r="C164" s="1145"/>
      <c r="D164" s="1151"/>
      <c r="E164" s="1152"/>
      <c r="F164" s="1152"/>
      <c r="G164" s="1152"/>
      <c r="H164" s="1152"/>
      <c r="I164" s="1148"/>
      <c r="J164" s="1149"/>
    </row>
    <row r="165" spans="2:14" ht="12.75" customHeight="1">
      <c r="B165" s="1150" t="str">
        <f>Diesel!B165</f>
        <v>Raffinaderigas</v>
      </c>
      <c r="C165" s="1145" t="str">
        <f>Diesel!C165</f>
        <v>GJ</v>
      </c>
      <c r="D165" s="1151">
        <f>Diesel!D165</f>
        <v>12579521.015515819</v>
      </c>
      <c r="E165" s="1152">
        <f>Diesel!E165</f>
        <v>12579521.015515819</v>
      </c>
      <c r="F165" s="1152">
        <f>Diesel!F165</f>
        <v>12579521.015515819</v>
      </c>
      <c r="G165" s="1152">
        <f>Diesel!G165</f>
        <v>12579521.015515819</v>
      </c>
      <c r="H165" s="1152"/>
      <c r="I165" s="1148"/>
      <c r="J165" s="1149"/>
    </row>
    <row r="166" spans="2:14" ht="12.75" customHeight="1">
      <c r="B166" s="1150" t="str">
        <f>Diesel!B166</f>
        <v>Benzin/nafta</v>
      </c>
      <c r="C166" s="1145" t="str">
        <f>Diesel!C166</f>
        <v>GJ</v>
      </c>
      <c r="D166" s="1151">
        <f>Diesel!D166</f>
        <v>69866729.651162788</v>
      </c>
      <c r="E166" s="1152">
        <f>Diesel!E166</f>
        <v>69866729.651162788</v>
      </c>
      <c r="F166" s="1152">
        <f>Diesel!F166</f>
        <v>69866729.651162788</v>
      </c>
      <c r="G166" s="1152">
        <f>Diesel!G166</f>
        <v>69866729.651162788</v>
      </c>
      <c r="H166" s="1152"/>
      <c r="I166" s="1148"/>
      <c r="J166" s="1149"/>
      <c r="L166" s="455"/>
    </row>
    <row r="167" spans="2:14" ht="12.75" customHeight="1">
      <c r="B167" s="1150" t="str">
        <f>Diesel!B167</f>
        <v>Jet fuel/kerosin</v>
      </c>
      <c r="C167" s="1145" t="str">
        <f>Diesel!C167</f>
        <v>GJ</v>
      </c>
      <c r="D167" s="1151">
        <f>Diesel!D167</f>
        <v>1900494.1860465112</v>
      </c>
      <c r="E167" s="1152">
        <f>Diesel!E167</f>
        <v>1900494.1860465112</v>
      </c>
      <c r="F167" s="1152">
        <f>Diesel!F167</f>
        <v>1900494.1860465112</v>
      </c>
      <c r="G167" s="1152">
        <f>Diesel!G167</f>
        <v>1900494.1860465112</v>
      </c>
      <c r="H167" s="1152"/>
      <c r="I167" s="1148"/>
      <c r="J167" s="1149"/>
      <c r="L167" s="455"/>
    </row>
    <row r="168" spans="2:14" ht="12.75" customHeight="1">
      <c r="B168" s="1150" t="str">
        <f>Diesel!B168</f>
        <v>Autodiesel &amp; fyringsolie</v>
      </c>
      <c r="C168" s="1145" t="str">
        <f>Diesel!C168</f>
        <v>GJ</v>
      </c>
      <c r="D168" s="1151">
        <f>Diesel!D168</f>
        <v>94997156.007751942</v>
      </c>
      <c r="E168" s="1152">
        <f>Diesel!E168</f>
        <v>94997156.007751942</v>
      </c>
      <c r="F168" s="1152">
        <f>Diesel!F168</f>
        <v>94997156.007751942</v>
      </c>
      <c r="G168" s="1152">
        <f>Diesel!G168</f>
        <v>94997156.007751942</v>
      </c>
      <c r="H168" s="1152"/>
      <c r="I168" s="1148"/>
      <c r="J168" s="1149"/>
      <c r="L168" s="455"/>
    </row>
    <row r="169" spans="2:14" ht="12.75" customHeight="1">
      <c r="B169" s="1150" t="str">
        <f>Diesel!B169</f>
        <v>Brændselsolie</v>
      </c>
      <c r="C169" s="1145" t="str">
        <f>Diesel!C169</f>
        <v>GJ</v>
      </c>
      <c r="D169" s="1151">
        <f>Diesel!D169</f>
        <v>32536740.55232558</v>
      </c>
      <c r="E169" s="1152">
        <f>Diesel!E169</f>
        <v>32536740.55232558</v>
      </c>
      <c r="F169" s="1152">
        <f>Diesel!F169</f>
        <v>32536740.55232558</v>
      </c>
      <c r="G169" s="1152">
        <f>Diesel!G169</f>
        <v>32536740.55232558</v>
      </c>
      <c r="H169" s="1152"/>
      <c r="I169" s="1148"/>
      <c r="J169" s="1149"/>
      <c r="L169" s="1138"/>
      <c r="M169" s="165"/>
      <c r="N169" s="165"/>
    </row>
    <row r="170" spans="2:14" ht="12.75" customHeight="1">
      <c r="B170" s="1150"/>
      <c r="C170" s="1145"/>
      <c r="D170" s="1151"/>
      <c r="E170" s="1152"/>
      <c r="F170" s="1152"/>
      <c r="G170" s="1152"/>
      <c r="H170" s="1152"/>
      <c r="I170" s="1148"/>
      <c r="J170" s="1149"/>
      <c r="L170" s="1138"/>
      <c r="M170" s="165"/>
      <c r="N170" s="165"/>
    </row>
    <row r="171" spans="2:14" ht="12.75" customHeight="1">
      <c r="B171" s="1157" t="str">
        <f>Diesel!B171</f>
        <v>Importpriser (CIF)</v>
      </c>
      <c r="C171" s="1145"/>
      <c r="D171" s="1151"/>
      <c r="E171" s="1152"/>
      <c r="F171" s="1152"/>
      <c r="G171" s="1152"/>
      <c r="H171" s="1152"/>
      <c r="I171" s="1405"/>
      <c r="J171" s="1149"/>
      <c r="L171" s="1138"/>
      <c r="M171" s="165"/>
      <c r="N171" s="165"/>
    </row>
    <row r="172" spans="2:14" ht="12.75" customHeight="1">
      <c r="B172" s="1157" t="str">
        <f>Diesel!B172</f>
        <v>Råolie pris CIF</v>
      </c>
      <c r="C172" s="1145" t="str">
        <f>Diesel!C172</f>
        <v>DKK/GJ</v>
      </c>
      <c r="D172" s="1151">
        <f ca="1">Diesel!D172</f>
        <v>107.82999339926188</v>
      </c>
      <c r="E172" s="1152">
        <f ca="1">Diesel!E172</f>
        <v>110.93829023950966</v>
      </c>
      <c r="F172" s="1152">
        <f ca="1">Diesel!F172</f>
        <v>122.1762414485604</v>
      </c>
      <c r="G172" s="1152">
        <f ca="1">Diesel!G172</f>
        <v>122.1762414485604</v>
      </c>
      <c r="H172" s="1152"/>
      <c r="I172" s="1405" t="str">
        <f>Diesel!I172</f>
        <v>31, Forudsætninger for samfundsøkonomiske analyser på energiområdet. Energistyrelsen. April 2011, opdateret dataark oktober 2012</v>
      </c>
      <c r="J172" s="1149" t="str">
        <f>Diesel!J172</f>
        <v>Tabel 4</v>
      </c>
      <c r="L172" s="455"/>
    </row>
    <row r="173" spans="2:14" ht="12.75" customHeight="1">
      <c r="B173" s="1157" t="str">
        <f>Diesel!B173</f>
        <v>Benzin pris CIF</v>
      </c>
      <c r="C173" s="1145" t="str">
        <f>Diesel!C173</f>
        <v>DKK/GJ</v>
      </c>
      <c r="D173" s="1151">
        <f ca="1">Diesel!D173</f>
        <v>124.11626091168741</v>
      </c>
      <c r="E173" s="1152">
        <f ca="1">Diesel!E173</f>
        <v>127.62898527711253</v>
      </c>
      <c r="F173" s="1152">
        <f ca="1">Diesel!F173</f>
        <v>136.88980405868782</v>
      </c>
      <c r="G173" s="1152">
        <f ca="1">Diesel!G173</f>
        <v>136.88980405868782</v>
      </c>
      <c r="H173" s="1152"/>
      <c r="I173" s="1405" t="str">
        <f>Diesel!I173</f>
        <v>31, Forudsætninger for samfundsøkonomiske analyser på energiområdet. Energistyrelsen. April 2011, opdateret dataark oktober 2012</v>
      </c>
      <c r="J173" s="1149" t="str">
        <f>Diesel!J173</f>
        <v>Tabel 4</v>
      </c>
    </row>
    <row r="174" spans="2:14" ht="12.75" customHeight="1">
      <c r="B174" s="1157" t="str">
        <f>Diesel!B174</f>
        <v>JP1 pris CIF</v>
      </c>
      <c r="C174" s="1145" t="str">
        <f>Diesel!C174</f>
        <v>DKK/GJ</v>
      </c>
      <c r="D174" s="1151">
        <f ca="1">Diesel!D174</f>
        <v>131.56749441410432</v>
      </c>
      <c r="E174" s="1152">
        <f ca="1">Diesel!E174</f>
        <v>135.08021877952945</v>
      </c>
      <c r="F174" s="1152">
        <f ca="1">Diesel!F174</f>
        <v>144.23459136821307</v>
      </c>
      <c r="G174" s="1152">
        <f ca="1">Diesel!G174</f>
        <v>144.23459136821307</v>
      </c>
      <c r="H174" s="1152"/>
      <c r="I174" s="1405" t="str">
        <f>Diesel!I174</f>
        <v>31, Forudsætninger for samfundsøkonomiske analyser på energiområdet. Energistyrelsen. April 2011, opdateret dataark oktober 2012</v>
      </c>
      <c r="J174" s="1149" t="str">
        <f>Diesel!J174</f>
        <v>Tabel 4</v>
      </c>
    </row>
    <row r="175" spans="2:14" ht="12.75" customHeight="1">
      <c r="B175" s="1157" t="str">
        <f>Diesel!B175</f>
        <v>Diesel pris CIF</v>
      </c>
      <c r="C175" s="1145" t="str">
        <f>Diesel!C175</f>
        <v>DKK/GJ</v>
      </c>
      <c r="D175" s="1151">
        <f ca="1">Diesel!D175</f>
        <v>122.83890659698737</v>
      </c>
      <c r="E175" s="1152">
        <f ca="1">Diesel!E175</f>
        <v>126.35163096241249</v>
      </c>
      <c r="F175" s="1152">
        <f ca="1">Diesel!F175</f>
        <v>135.61244974398781</v>
      </c>
      <c r="G175" s="1152">
        <f ca="1">Diesel!G175</f>
        <v>135.61244974398781</v>
      </c>
      <c r="H175" s="1152"/>
      <c r="I175" s="1405" t="str">
        <f>Diesel!I175</f>
        <v>31, Forudsætninger for samfundsøkonomiske analyser på energiområdet. Energistyrelsen. April 2011, opdateret dataark oktober 2012</v>
      </c>
      <c r="J175" s="1149" t="str">
        <f>Diesel!J175</f>
        <v>Tabel 4</v>
      </c>
    </row>
    <row r="176" spans="2:14" ht="12.75" customHeight="1">
      <c r="B176" s="1157" t="str">
        <f>Diesel!B176</f>
        <v>HFO pris CIF</v>
      </c>
      <c r="C176" s="1145" t="str">
        <f>Diesel!C176</f>
        <v>DKK/GJ</v>
      </c>
      <c r="D176" s="1151">
        <f ca="1">Diesel!D176</f>
        <v>97.185374110094855</v>
      </c>
      <c r="E176" s="1152">
        <f ca="1">Diesel!E176</f>
        <v>100.05942131816995</v>
      </c>
      <c r="F176" s="1152">
        <f ca="1">Diesel!F176</f>
        <v>108.46867055661191</v>
      </c>
      <c r="G176" s="1152">
        <f ca="1">Diesel!G176</f>
        <v>108.46867055661191</v>
      </c>
      <c r="H176" s="1152"/>
      <c r="I176" s="1405" t="str">
        <f>Diesel!I176</f>
        <v>31, Forudsætninger for samfundsøkonomiske analyser på energiområdet. Energistyrelsen. April 2011, opdateret dataark oktober 2012</v>
      </c>
      <c r="J176" s="1149" t="str">
        <f>Diesel!J176</f>
        <v>Tabel 4</v>
      </c>
    </row>
    <row r="177" spans="2:10" ht="12.75" customHeight="1">
      <c r="B177" s="1150"/>
      <c r="C177" s="1145"/>
      <c r="D177" s="1151"/>
      <c r="E177" s="1152"/>
      <c r="F177" s="1152"/>
      <c r="G177" s="1152"/>
      <c r="H177" s="1152"/>
      <c r="I177" s="1405"/>
      <c r="J177" s="1149"/>
    </row>
    <row r="178" spans="2:10" ht="12.75" customHeight="1">
      <c r="B178" s="1157" t="str">
        <f>Diesel!B178</f>
        <v>Omkostninger</v>
      </c>
      <c r="C178" s="1145"/>
      <c r="D178" s="1151"/>
      <c r="E178" s="1152"/>
      <c r="F178" s="1152"/>
      <c r="G178" s="1152"/>
      <c r="H178" s="1152"/>
      <c r="I178" s="1148"/>
      <c r="J178" s="1149"/>
    </row>
    <row r="179" spans="2:10" ht="12.75" customHeight="1">
      <c r="B179" s="1157" t="str">
        <f>Diesel!B179</f>
        <v>Råolie</v>
      </c>
      <c r="C179" s="1145" t="str">
        <f>Diesel!C179</f>
        <v>DKK</v>
      </c>
      <c r="D179" s="1151">
        <f ca="1">Diesel!D179</f>
        <v>21792441665.990826</v>
      </c>
      <c r="E179" s="1152">
        <f ca="1">Diesel!E179</f>
        <v>22420628457.4049</v>
      </c>
      <c r="F179" s="1152">
        <f ca="1">Diesel!F179</f>
        <v>24691818396.754059</v>
      </c>
      <c r="G179" s="1152">
        <f ca="1">Diesel!G179</f>
        <v>24691818396.754059</v>
      </c>
      <c r="H179" s="1152"/>
      <c r="I179" s="1148"/>
      <c r="J179" s="1149"/>
    </row>
    <row r="180" spans="2:10" ht="12.75" customHeight="1">
      <c r="B180" s="1150"/>
      <c r="C180" s="1145"/>
      <c r="D180" s="1151"/>
      <c r="E180" s="1152"/>
      <c r="F180" s="1152"/>
      <c r="G180" s="1152"/>
      <c r="H180" s="1152"/>
      <c r="I180" s="1148"/>
      <c r="J180" s="1149"/>
    </row>
    <row r="181" spans="2:10" ht="12.75" customHeight="1">
      <c r="B181" s="1157" t="str">
        <f>Diesel!B181</f>
        <v>Indtægter</v>
      </c>
      <c r="C181" s="1145"/>
      <c r="D181" s="1151"/>
      <c r="E181" s="1152"/>
      <c r="F181" s="1152"/>
      <c r="G181" s="1152"/>
      <c r="H181" s="1152"/>
      <c r="I181" s="1148"/>
      <c r="J181" s="1149"/>
    </row>
    <row r="182" spans="2:10" ht="12.75" customHeight="1">
      <c r="B182" s="1157" t="str">
        <f>Diesel!B182</f>
        <v>Benzin</v>
      </c>
      <c r="C182" s="1145" t="str">
        <f>Diesel!C182</f>
        <v>DKK</v>
      </c>
      <c r="D182" s="1151">
        <f ca="1">Diesel!D182</f>
        <v>8671597246.430048</v>
      </c>
      <c r="E182" s="1152">
        <f ca="1">Diesel!E182</f>
        <v>8917019810.0082569</v>
      </c>
      <c r="F182" s="1152">
        <f ca="1">Diesel!F182</f>
        <v>9564042932.1689873</v>
      </c>
      <c r="G182" s="1152">
        <f ca="1">Diesel!G182</f>
        <v>9564042932.1689873</v>
      </c>
      <c r="H182" s="1152"/>
      <c r="I182" s="1148"/>
      <c r="J182" s="1149"/>
    </row>
    <row r="183" spans="2:10" ht="12.75" customHeight="1">
      <c r="B183" s="1157" t="str">
        <f>Diesel!B183</f>
        <v>JP1</v>
      </c>
      <c r="C183" s="1145" t="str">
        <f>Diesel!C183</f>
        <v>DKK</v>
      </c>
      <c r="D183" s="1151">
        <f ca="1">Diesel!D183</f>
        <v>250043258.2067121</v>
      </c>
      <c r="E183" s="1152">
        <f ca="1">Diesel!E183</f>
        <v>256719170.44038647</v>
      </c>
      <c r="F183" s="1152">
        <f ca="1">Diesel!F183</f>
        <v>274117002.32208323</v>
      </c>
      <c r="G183" s="1152">
        <f ca="1">Diesel!G183</f>
        <v>274117002.32208323</v>
      </c>
      <c r="H183" s="1152"/>
      <c r="I183" s="1148"/>
      <c r="J183" s="1149"/>
    </row>
    <row r="184" spans="2:10" ht="12.75" customHeight="1">
      <c r="B184" s="1157" t="str">
        <f>Diesel!B184</f>
        <v>Diesel</v>
      </c>
      <c r="C184" s="1145" t="str">
        <f>Diesel!C184</f>
        <v>DKK</v>
      </c>
      <c r="D184" s="1151">
        <f ca="1">Diesel!D184</f>
        <v>11669346773.815678</v>
      </c>
      <c r="E184" s="1152">
        <f ca="1">Diesel!E184</f>
        <v>12003045598.370199</v>
      </c>
      <c r="F184" s="1152">
        <f ca="1">Diesel!F184</f>
        <v>12882797044.923029</v>
      </c>
      <c r="G184" s="1152">
        <f ca="1">Diesel!G184</f>
        <v>12882797044.923029</v>
      </c>
      <c r="H184" s="1152"/>
      <c r="I184" s="1148"/>
      <c r="J184" s="1149"/>
    </row>
    <row r="185" spans="2:10" ht="12.75" customHeight="1" thickBot="1">
      <c r="B185" s="1406" t="str">
        <f>Diesel!B185</f>
        <v>HFO</v>
      </c>
      <c r="C185" s="1407" t="str">
        <f>Diesel!C185</f>
        <v>DKK</v>
      </c>
      <c r="D185" s="1408">
        <f ca="1">Diesel!D185</f>
        <v>3162095302.900856</v>
      </c>
      <c r="E185" s="1409">
        <f ca="1">Diesel!E185</f>
        <v>3255607431.245131</v>
      </c>
      <c r="F185" s="1409">
        <f ca="1">Diesel!F185</f>
        <v>3529216991.9561586</v>
      </c>
      <c r="G185" s="1409">
        <f ca="1">Diesel!G185</f>
        <v>3529216991.9561586</v>
      </c>
      <c r="H185" s="1409"/>
      <c r="I185" s="1410"/>
      <c r="J185" s="1411"/>
    </row>
    <row r="186" spans="2:10" ht="12.75" customHeight="1"/>
    <row r="187" spans="2:10" ht="12.75" customHeight="1"/>
    <row r="188" spans="2:10" ht="12.75" customHeight="1"/>
    <row r="189" spans="2:10" ht="12.75" customHeight="1"/>
    <row r="190" spans="2:10" ht="12.75" customHeight="1"/>
    <row r="191" spans="2:10" ht="12.75" customHeight="1"/>
    <row r="192" spans="2:10"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sheetData>
  <pageMargins left="0.15748031496062992" right="0.15748031496062992" top="1.25" bottom="0.19685039370078741" header="0.51181102362204722" footer="0.51181102362204722"/>
  <pageSetup paperSize="9" scale="38" orientation="landscape" r:id="rId1"/>
  <headerFooter alignWithMargins="0">
    <oddHeader>&amp;L&amp;"Arial"&amp;14&amp;BBeregningsmodel
&amp;"Arial"&amp;08&amp;B64329, Teknologivurdering af alternative drivmidler til transportsektoren&amp;R&amp;"Arial"&amp;08Page &amp;P of &amp;N</oddHeader>
    <oddFooter>&amp;L&amp;"Arial"&amp;08&amp;Z&amp;F
Sheet: &amp;A&amp;C&amp;"Arial"&amp;08Printed &amp;D &amp;T&amp;R&amp;G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998" r:id="rId5" name="Button 14">
              <controlPr defaultSize="0" print="0" autoFill="0" autoPict="0" macro="[0]!GtOver">
                <anchor>
                  <from>
                    <xdr:col>7</xdr:col>
                    <xdr:colOff>838200</xdr:colOff>
                    <xdr:row>0</xdr:row>
                    <xdr:rowOff>38100</xdr:rowOff>
                  </from>
                  <to>
                    <xdr:col>9</xdr:col>
                    <xdr:colOff>381000</xdr:colOff>
                    <xdr:row>0</xdr:row>
                    <xdr:rowOff>238125</xdr:rowOff>
                  </to>
                </anchor>
              </controlPr>
            </control>
          </mc:Choice>
        </mc:AlternateContent>
        <mc:AlternateContent xmlns:mc="http://schemas.openxmlformats.org/markup-compatibility/2006">
          <mc:Choice Requires="x14">
            <control shapeId="41999" r:id="rId6" name="Button 15">
              <controlPr defaultSize="0" print="0" autoFill="0" autoPict="0" macro="[0]!GtRes">
                <anchor>
                  <from>
                    <xdr:col>9</xdr:col>
                    <xdr:colOff>542925</xdr:colOff>
                    <xdr:row>0</xdr:row>
                    <xdr:rowOff>38100</xdr:rowOff>
                  </from>
                  <to>
                    <xdr:col>11</xdr:col>
                    <xdr:colOff>38100</xdr:colOff>
                    <xdr:row>0</xdr:row>
                    <xdr:rowOff>238125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00B0F0"/>
    <pageSetUpPr fitToPage="1"/>
  </sheetPr>
  <dimension ref="A1:R326"/>
  <sheetViews>
    <sheetView topLeftCell="A70" zoomScale="80" zoomScaleNormal="80" workbookViewId="0">
      <selection activeCell="H100" sqref="H100:H106"/>
    </sheetView>
  </sheetViews>
  <sheetFormatPr defaultColWidth="8.85546875" defaultRowHeight="12.75"/>
  <cols>
    <col min="1" max="1" width="3.28515625" style="523" customWidth="1"/>
    <col min="2" max="2" width="36" style="523" customWidth="1"/>
    <col min="3" max="3" width="16.5703125" style="523" customWidth="1"/>
    <col min="4" max="7" width="15.7109375" style="523" customWidth="1"/>
    <col min="8" max="8" width="15.7109375" style="530" customWidth="1"/>
    <col min="9" max="9" width="7.28515625" style="523" customWidth="1"/>
    <col min="10" max="10" width="12.7109375" style="523" customWidth="1"/>
    <col min="11" max="11" width="10.85546875" style="523" customWidth="1"/>
    <col min="12" max="12" width="13.28515625" style="523" customWidth="1"/>
    <col min="13" max="13" width="13" style="523" customWidth="1"/>
    <col min="14" max="14" width="37.85546875" style="523" customWidth="1"/>
    <col min="15" max="16" width="8.85546875" style="523"/>
    <col min="17" max="18" width="11.42578125" style="523" customWidth="1"/>
    <col min="19" max="16384" width="8.85546875" style="523"/>
  </cols>
  <sheetData>
    <row r="1" spans="2:18" s="465" customFormat="1" ht="21">
      <c r="B1" s="465" t="s">
        <v>328</v>
      </c>
      <c r="Q1" s="467">
        <f ca="1">'Log2015'!M1</f>
        <v>-8.0112614142160741</v>
      </c>
      <c r="R1" s="468">
        <f ca="1">'Log2015'!N1</f>
        <v>-160807.124977848</v>
      </c>
    </row>
    <row r="2" spans="2:18" ht="12.75" customHeight="1">
      <c r="Q2" s="623">
        <f ca="1">Q1</f>
        <v>-8.0112614142160741</v>
      </c>
      <c r="R2" s="623">
        <f ca="1">R1</f>
        <v>-160807.124977848</v>
      </c>
    </row>
    <row r="3" spans="2:18" ht="12.75" customHeight="1"/>
    <row r="4" spans="2:18" s="215" customFormat="1" ht="12.75" customHeight="1">
      <c r="B4" s="454" t="s">
        <v>81</v>
      </c>
      <c r="H4" s="530"/>
    </row>
    <row r="5" spans="2:18" ht="12.75" customHeight="1" thickBot="1">
      <c r="B5" s="523" t="s">
        <v>137</v>
      </c>
    </row>
    <row r="6" spans="2:18" ht="12.75" customHeight="1">
      <c r="B6" s="219" t="s">
        <v>137</v>
      </c>
      <c r="C6" s="245"/>
      <c r="D6" s="245"/>
      <c r="E6" s="245"/>
      <c r="F6" s="245"/>
      <c r="G6" s="245"/>
      <c r="H6" s="962"/>
      <c r="I6" s="245"/>
      <c r="J6" s="245"/>
      <c r="K6" s="245"/>
      <c r="L6" s="245"/>
      <c r="M6" s="246"/>
    </row>
    <row r="7" spans="2:18" ht="12.75" customHeight="1">
      <c r="B7" s="230" t="s">
        <v>329</v>
      </c>
      <c r="C7" s="248"/>
      <c r="D7" s="248"/>
      <c r="E7" s="248"/>
      <c r="F7" s="248"/>
      <c r="G7" s="248"/>
      <c r="H7" s="555"/>
      <c r="I7" s="248"/>
      <c r="J7" s="248"/>
      <c r="K7" s="248"/>
      <c r="L7" s="248"/>
      <c r="M7" s="249"/>
    </row>
    <row r="8" spans="2:18" ht="12.75" customHeight="1">
      <c r="B8" s="230"/>
      <c r="C8" s="248"/>
      <c r="D8" s="248"/>
      <c r="E8" s="248"/>
      <c r="F8" s="248"/>
      <c r="G8" s="248"/>
      <c r="H8" s="555"/>
      <c r="I8" s="248"/>
      <c r="J8" s="248"/>
      <c r="K8" s="248"/>
      <c r="L8" s="248"/>
      <c r="M8" s="249"/>
    </row>
    <row r="9" spans="2:18" ht="12.75" customHeight="1">
      <c r="B9" s="230"/>
      <c r="C9" s="248"/>
      <c r="D9" s="248"/>
      <c r="E9" s="248"/>
      <c r="F9" s="248"/>
      <c r="G9" s="248"/>
      <c r="H9" s="555"/>
      <c r="I9" s="248"/>
      <c r="J9" s="248"/>
      <c r="K9" s="248"/>
      <c r="L9" s="248"/>
      <c r="M9" s="249"/>
    </row>
    <row r="10" spans="2:18" ht="12.75" customHeight="1">
      <c r="B10" s="230" t="s">
        <v>2385</v>
      </c>
      <c r="C10" s="217" t="s">
        <v>2387</v>
      </c>
      <c r="D10" s="248"/>
      <c r="E10" s="248"/>
      <c r="F10" s="248"/>
      <c r="G10" s="248"/>
      <c r="H10" s="555"/>
      <c r="I10" s="248"/>
      <c r="J10" s="248"/>
      <c r="K10" s="248"/>
      <c r="L10" s="248"/>
      <c r="M10" s="249"/>
    </row>
    <row r="11" spans="2:18" ht="12.75" customHeight="1">
      <c r="B11" s="230" t="s">
        <v>309</v>
      </c>
      <c r="C11" s="217" t="s">
        <v>192</v>
      </c>
      <c r="D11" s="248"/>
      <c r="E11" s="248"/>
      <c r="F11" s="248"/>
      <c r="G11" s="248"/>
      <c r="H11" s="555"/>
      <c r="I11" s="248"/>
      <c r="J11" s="248"/>
      <c r="K11" s="248"/>
      <c r="L11" s="248"/>
      <c r="M11" s="249"/>
    </row>
    <row r="12" spans="2:18" ht="12.75" customHeight="1">
      <c r="B12" s="230" t="s">
        <v>310</v>
      </c>
      <c r="C12" s="248"/>
      <c r="D12" s="248"/>
      <c r="E12" s="248"/>
      <c r="F12" s="248"/>
      <c r="G12" s="248"/>
      <c r="H12" s="555"/>
      <c r="I12" s="248"/>
      <c r="J12" s="248"/>
      <c r="K12" s="248"/>
      <c r="L12" s="248"/>
      <c r="M12" s="249"/>
    </row>
    <row r="13" spans="2:18" ht="12.75" customHeight="1">
      <c r="B13" s="230"/>
      <c r="C13" s="455"/>
      <c r="D13" s="455"/>
      <c r="E13" s="455"/>
      <c r="F13" s="248"/>
      <c r="G13" s="248"/>
      <c r="H13" s="555"/>
      <c r="I13" s="248"/>
      <c r="J13" s="248"/>
      <c r="K13" s="248"/>
      <c r="L13" s="248"/>
      <c r="M13" s="249"/>
    </row>
    <row r="14" spans="2:18" ht="12.75" customHeight="1">
      <c r="B14" s="230"/>
      <c r="C14" s="248"/>
      <c r="D14" s="248"/>
      <c r="E14" s="248"/>
      <c r="F14" s="248"/>
      <c r="G14" s="248"/>
      <c r="H14" s="555"/>
      <c r="I14" s="248"/>
      <c r="J14" s="248"/>
      <c r="K14" s="248"/>
      <c r="L14" s="248"/>
      <c r="M14" s="249"/>
    </row>
    <row r="15" spans="2:18" ht="12.75" customHeight="1">
      <c r="B15" s="230" t="s">
        <v>140</v>
      </c>
      <c r="C15" s="248"/>
      <c r="D15" s="248"/>
      <c r="E15" s="248"/>
      <c r="F15" s="248"/>
      <c r="G15" s="248"/>
      <c r="H15" s="555"/>
      <c r="I15" s="248"/>
      <c r="J15" s="248"/>
      <c r="K15" s="248"/>
      <c r="L15" s="248"/>
      <c r="M15" s="249"/>
    </row>
    <row r="16" spans="2:18" ht="12.75" customHeight="1">
      <c r="B16" s="230" t="s">
        <v>311</v>
      </c>
      <c r="C16" s="248"/>
      <c r="D16" s="248"/>
      <c r="E16" s="248"/>
      <c r="F16" s="248"/>
      <c r="G16" s="248"/>
      <c r="H16" s="555"/>
      <c r="I16" s="248"/>
      <c r="J16" s="248"/>
      <c r="K16" s="248"/>
      <c r="L16" s="248"/>
      <c r="M16" s="249"/>
    </row>
    <row r="17" spans="2:13" ht="12.75" customHeight="1">
      <c r="B17" s="230"/>
      <c r="C17" s="248"/>
      <c r="D17" s="248"/>
      <c r="E17" s="248"/>
      <c r="F17" s="248"/>
      <c r="G17" s="248"/>
      <c r="H17" s="555"/>
      <c r="I17" s="248"/>
      <c r="J17" s="248"/>
      <c r="K17" s="248"/>
      <c r="L17" s="248"/>
      <c r="M17" s="249"/>
    </row>
    <row r="18" spans="2:13" ht="12.75" customHeight="1">
      <c r="B18" s="230" t="s">
        <v>256</v>
      </c>
      <c r="C18" s="248"/>
      <c r="D18" s="248"/>
      <c r="E18" s="248"/>
      <c r="F18" s="248"/>
      <c r="G18" s="248"/>
      <c r="H18" s="555"/>
      <c r="I18" s="248"/>
      <c r="J18" s="248"/>
      <c r="K18" s="248"/>
      <c r="L18" s="248"/>
      <c r="M18" s="249"/>
    </row>
    <row r="19" spans="2:13" ht="12.75" customHeight="1">
      <c r="B19" s="230"/>
      <c r="C19" s="248"/>
      <c r="D19" s="248"/>
      <c r="E19" s="248"/>
      <c r="F19" s="248"/>
      <c r="G19" s="248"/>
      <c r="H19" s="555"/>
      <c r="I19" s="248"/>
      <c r="J19" s="248"/>
      <c r="K19" s="248"/>
      <c r="L19" s="248"/>
      <c r="M19" s="249"/>
    </row>
    <row r="20" spans="2:13" ht="12.75" customHeight="1">
      <c r="B20" s="230"/>
      <c r="C20" s="248"/>
      <c r="D20" s="248"/>
      <c r="E20" s="248"/>
      <c r="F20" s="248"/>
      <c r="G20" s="248"/>
      <c r="H20" s="555"/>
      <c r="I20" s="248"/>
      <c r="J20" s="248"/>
      <c r="K20" s="248"/>
      <c r="L20" s="248"/>
      <c r="M20" s="249"/>
    </row>
    <row r="21" spans="2:13" ht="12.75" customHeight="1">
      <c r="B21" s="230" t="s">
        <v>143</v>
      </c>
      <c r="C21" s="248"/>
      <c r="D21" s="248"/>
      <c r="E21" s="248"/>
      <c r="F21" s="248"/>
      <c r="G21" s="248"/>
      <c r="H21" s="555"/>
      <c r="I21" s="248"/>
      <c r="J21" s="248"/>
      <c r="K21" s="248"/>
      <c r="L21" s="248"/>
      <c r="M21" s="249"/>
    </row>
    <row r="22" spans="2:13" ht="12.75" customHeight="1">
      <c r="B22" s="230"/>
      <c r="C22" s="248"/>
      <c r="D22" s="248"/>
      <c r="E22" s="248"/>
      <c r="F22" s="248"/>
      <c r="G22" s="248"/>
      <c r="H22" s="555"/>
      <c r="I22" s="248"/>
      <c r="J22" s="248"/>
      <c r="K22" s="248"/>
      <c r="L22" s="248"/>
      <c r="M22" s="249"/>
    </row>
    <row r="23" spans="2:13" ht="12.75" customHeight="1">
      <c r="B23" s="230"/>
      <c r="C23" s="248"/>
      <c r="D23" s="248"/>
      <c r="E23" s="248"/>
      <c r="F23" s="248"/>
      <c r="G23" s="248"/>
      <c r="H23" s="555"/>
      <c r="I23" s="248"/>
      <c r="J23" s="248"/>
      <c r="K23" s="248"/>
      <c r="L23" s="248"/>
      <c r="M23" s="249"/>
    </row>
    <row r="24" spans="2:13" ht="12.75" customHeight="1" thickBot="1">
      <c r="B24" s="242"/>
      <c r="C24" s="250"/>
      <c r="D24" s="250"/>
      <c r="E24" s="250"/>
      <c r="F24" s="250"/>
      <c r="G24" s="250"/>
      <c r="H24" s="968"/>
      <c r="I24" s="250"/>
      <c r="J24" s="250"/>
      <c r="K24" s="250"/>
      <c r="L24" s="250"/>
      <c r="M24" s="251"/>
    </row>
    <row r="25" spans="2:13" ht="12.75" customHeight="1">
      <c r="F25" s="86"/>
      <c r="H25" s="529"/>
    </row>
    <row r="26" spans="2:13" s="215" customFormat="1" ht="12.75" customHeight="1">
      <c r="B26" s="454" t="s">
        <v>144</v>
      </c>
      <c r="H26" s="530"/>
    </row>
    <row r="27" spans="2:13" s="215" customFormat="1" ht="12.75" customHeight="1" thickBot="1">
      <c r="B27" s="523"/>
      <c r="H27" s="530"/>
    </row>
    <row r="28" spans="2:13" ht="12.75" customHeight="1">
      <c r="B28" s="219"/>
      <c r="C28" s="220"/>
      <c r="D28" s="221"/>
      <c r="E28" s="221"/>
      <c r="F28" s="221"/>
      <c r="G28" s="221"/>
      <c r="H28" s="962"/>
      <c r="I28" s="221"/>
      <c r="J28" s="222"/>
    </row>
    <row r="29" spans="2:13" ht="12.75" customHeight="1">
      <c r="B29" s="223"/>
      <c r="C29" s="224" t="s">
        <v>70</v>
      </c>
      <c r="D29" s="225">
        <v>2015</v>
      </c>
      <c r="E29" s="225">
        <v>2020</v>
      </c>
      <c r="F29" s="225">
        <v>2035</v>
      </c>
      <c r="G29" s="225">
        <v>2050</v>
      </c>
      <c r="H29" s="973" t="s">
        <v>978</v>
      </c>
      <c r="I29" s="226" t="s">
        <v>145</v>
      </c>
      <c r="J29" s="227" t="s">
        <v>146</v>
      </c>
    </row>
    <row r="30" spans="2:13" ht="12.75" customHeight="1">
      <c r="B30" s="216" t="s">
        <v>147</v>
      </c>
      <c r="C30" s="210"/>
      <c r="D30" s="209"/>
      <c r="E30" s="209"/>
      <c r="F30" s="209"/>
      <c r="G30" s="209"/>
      <c r="H30" s="977"/>
      <c r="I30" s="455"/>
      <c r="J30" s="229"/>
    </row>
    <row r="31" spans="2:13" ht="12.75" customHeight="1">
      <c r="B31" s="247" t="s">
        <v>148</v>
      </c>
      <c r="C31" s="210" t="s">
        <v>1463</v>
      </c>
      <c r="D31" s="1134">
        <f>D161</f>
        <v>0.17030038759689922</v>
      </c>
      <c r="E31" s="1134">
        <f>E161</f>
        <v>0.17030038759689922</v>
      </c>
      <c r="F31" s="1134">
        <f>F161</f>
        <v>0.17030038759689922</v>
      </c>
      <c r="G31" s="1134">
        <f>G161</f>
        <v>0.17030038759689922</v>
      </c>
      <c r="H31" s="1333"/>
      <c r="I31" s="455"/>
      <c r="J31" s="229"/>
    </row>
    <row r="32" spans="2:13" ht="12.75" customHeight="1">
      <c r="B32" s="247" t="s">
        <v>67</v>
      </c>
      <c r="C32" s="210" t="s">
        <v>1464</v>
      </c>
      <c r="D32" s="1134">
        <f>Supplementary!$D$160</f>
        <v>40.65</v>
      </c>
      <c r="E32" s="1134">
        <f>Supplementary!$D$160</f>
        <v>40.65</v>
      </c>
      <c r="F32" s="1134">
        <f>Supplementary!$D$160</f>
        <v>40.65</v>
      </c>
      <c r="G32" s="1134">
        <f>Supplementary!$D$160</f>
        <v>40.65</v>
      </c>
      <c r="H32" s="978"/>
      <c r="I32" s="455"/>
      <c r="J32" s="229"/>
    </row>
    <row r="33" spans="2:10" ht="12.75" customHeight="1">
      <c r="B33" s="230" t="s">
        <v>149</v>
      </c>
      <c r="C33" s="210" t="s">
        <v>314</v>
      </c>
      <c r="D33" s="921">
        <v>4700000</v>
      </c>
      <c r="E33" s="921">
        <v>4700000</v>
      </c>
      <c r="F33" s="921">
        <v>4700000</v>
      </c>
      <c r="G33" s="921">
        <v>4700000</v>
      </c>
      <c r="H33" s="1397"/>
      <c r="I33" s="455" t="str">
        <f>CONCATENATE(Referencer!$B$49)</f>
        <v>43, Energistyrelsen Juni 1999. Brændselsprisforudsætninger for samfundsøkonomiske beregninger</v>
      </c>
      <c r="J33" s="229"/>
    </row>
    <row r="34" spans="2:10" ht="12.75" customHeight="1">
      <c r="B34" s="247" t="s">
        <v>150</v>
      </c>
      <c r="C34" s="210" t="s">
        <v>34</v>
      </c>
      <c r="D34" s="212"/>
      <c r="E34" s="212"/>
      <c r="F34" s="212"/>
      <c r="G34" s="212"/>
      <c r="H34" s="1332"/>
      <c r="I34" s="455"/>
      <c r="J34" s="229"/>
    </row>
    <row r="35" spans="2:10" ht="12.75" customHeight="1">
      <c r="B35" s="230"/>
      <c r="C35" s="231"/>
      <c r="D35" s="253"/>
      <c r="E35" s="213"/>
      <c r="F35" s="213"/>
      <c r="G35" s="213"/>
      <c r="H35" s="983"/>
      <c r="I35" s="455"/>
      <c r="J35" s="229"/>
    </row>
    <row r="36" spans="2:10" ht="12.75" customHeight="1">
      <c r="B36" s="216" t="s">
        <v>315</v>
      </c>
      <c r="C36" s="231"/>
      <c r="D36" s="253"/>
      <c r="E36" s="213"/>
      <c r="F36" s="213"/>
      <c r="G36" s="213"/>
      <c r="H36" s="983"/>
      <c r="I36" s="455"/>
      <c r="J36" s="229"/>
    </row>
    <row r="37" spans="2:10" ht="12.75" customHeight="1">
      <c r="B37" s="247" t="str">
        <f>ProcessEnergy!B35</f>
        <v xml:space="preserve">Green diesel </v>
      </c>
      <c r="C37" s="210" t="s">
        <v>316</v>
      </c>
      <c r="D37" s="105"/>
      <c r="E37" s="105"/>
      <c r="F37" s="105"/>
      <c r="G37" s="105"/>
      <c r="H37" s="984"/>
      <c r="I37" s="455"/>
      <c r="J37" s="229"/>
    </row>
    <row r="38" spans="2:10" ht="12.75" customHeight="1">
      <c r="B38" s="232" t="str">
        <f>ProcessEnergy!B36</f>
        <v>Green gasoline</v>
      </c>
      <c r="C38" s="210"/>
      <c r="D38" s="105"/>
      <c r="E38" s="105"/>
      <c r="F38" s="105"/>
      <c r="G38" s="105"/>
      <c r="H38" s="984"/>
      <c r="I38" s="455"/>
      <c r="J38" s="229"/>
    </row>
    <row r="39" spans="2:10" ht="12.75" customHeight="1">
      <c r="B39" s="232" t="str">
        <f>ProcessEnergy!B37</f>
        <v>Electricity - balancing</v>
      </c>
      <c r="C39" s="210"/>
      <c r="D39" s="105"/>
      <c r="E39" s="105"/>
      <c r="F39" s="105"/>
      <c r="G39" s="105"/>
      <c r="H39" s="984"/>
      <c r="I39" s="455"/>
      <c r="J39" s="229"/>
    </row>
    <row r="40" spans="2:10" ht="12.75" customHeight="1">
      <c r="B40" s="232" t="str">
        <f>ProcessEnergy!B38</f>
        <v>Electricity  - continous</v>
      </c>
      <c r="C40" s="210"/>
      <c r="D40" s="105"/>
      <c r="E40" s="105"/>
      <c r="F40" s="105"/>
      <c r="G40" s="105"/>
      <c r="H40" s="984"/>
      <c r="I40" s="455"/>
      <c r="J40" s="229"/>
    </row>
    <row r="41" spans="2:10" ht="12.75" customHeight="1">
      <c r="B41" s="232" t="str">
        <f>ProcessEnergy!B39</f>
        <v>Elec/heat fuel</v>
      </c>
      <c r="C41" s="210"/>
      <c r="D41" s="105"/>
      <c r="E41" s="105"/>
      <c r="F41" s="105"/>
      <c r="G41" s="105"/>
      <c r="H41" s="984"/>
      <c r="I41" s="455"/>
      <c r="J41" s="229"/>
    </row>
    <row r="42" spans="2:10" ht="12.75" customHeight="1">
      <c r="B42" s="232" t="str">
        <f>ProcessEnergy!B40</f>
        <v>Biogas (100% CH4)</v>
      </c>
      <c r="C42" s="210"/>
      <c r="D42" s="105"/>
      <c r="E42" s="105"/>
      <c r="F42" s="105"/>
      <c r="G42" s="105"/>
      <c r="H42" s="984"/>
      <c r="I42" s="455"/>
      <c r="J42" s="229"/>
    </row>
    <row r="43" spans="2:10" ht="12.75" customHeight="1">
      <c r="B43" s="232" t="str">
        <f>ProcessEnergy!B41</f>
        <v>District heating</v>
      </c>
      <c r="C43" s="210"/>
      <c r="D43" s="105"/>
      <c r="E43" s="105"/>
      <c r="F43" s="105"/>
      <c r="G43" s="105"/>
      <c r="H43" s="978"/>
      <c r="I43" s="455"/>
      <c r="J43" s="229"/>
    </row>
    <row r="44" spans="2:10" s="1240" customFormat="1" ht="12.75" customHeight="1">
      <c r="B44" s="232" t="str">
        <f>ProcessEnergy!B42</f>
        <v>&lt;empty&gt;</v>
      </c>
      <c r="C44" s="1469"/>
      <c r="D44" s="105"/>
      <c r="E44" s="105"/>
      <c r="F44" s="105"/>
      <c r="G44" s="105"/>
      <c r="H44" s="978"/>
      <c r="I44" s="1471"/>
      <c r="J44" s="1488"/>
    </row>
    <row r="45" spans="2:10" s="1240" customFormat="1" ht="12.75" customHeight="1">
      <c r="B45" s="232" t="str">
        <f>ProcessEnergy!B43</f>
        <v>&lt;empty&gt;</v>
      </c>
      <c r="C45" s="1469"/>
      <c r="D45" s="105"/>
      <c r="E45" s="105"/>
      <c r="F45" s="105"/>
      <c r="G45" s="105"/>
      <c r="H45" s="978"/>
      <c r="I45" s="1471"/>
      <c r="J45" s="1488"/>
    </row>
    <row r="46" spans="2:10" s="1240" customFormat="1" ht="12.75" customHeight="1">
      <c r="B46" s="232" t="str">
        <f>ProcessEnergy!B44</f>
        <v>&lt;empty&gt;</v>
      </c>
      <c r="C46" s="1469"/>
      <c r="D46" s="105"/>
      <c r="E46" s="105"/>
      <c r="F46" s="105"/>
      <c r="G46" s="105"/>
      <c r="H46" s="978"/>
      <c r="I46" s="1471"/>
      <c r="J46" s="1488"/>
    </row>
    <row r="47" spans="2:10" s="1240" customFormat="1" ht="12.75" customHeight="1">
      <c r="B47" s="232" t="str">
        <f>ProcessEnergy!B45</f>
        <v>&lt;empty&gt;</v>
      </c>
      <c r="C47" s="1469"/>
      <c r="D47" s="105"/>
      <c r="E47" s="105"/>
      <c r="F47" s="105"/>
      <c r="G47" s="105"/>
      <c r="H47" s="978"/>
      <c r="I47" s="1471"/>
      <c r="J47" s="1488"/>
    </row>
    <row r="48" spans="2:10" s="1240" customFormat="1" ht="12.75" customHeight="1">
      <c r="B48" s="232" t="str">
        <f>ProcessEnergy!B46</f>
        <v>&lt;empty&gt;</v>
      </c>
      <c r="C48" s="1469"/>
      <c r="D48" s="105"/>
      <c r="E48" s="105"/>
      <c r="F48" s="105"/>
      <c r="G48" s="105"/>
      <c r="H48" s="978"/>
      <c r="I48" s="1471"/>
      <c r="J48" s="1488"/>
    </row>
    <row r="49" spans="2:10" s="1240" customFormat="1" ht="12.75" customHeight="1">
      <c r="B49" s="232" t="str">
        <f>ProcessEnergy!B47</f>
        <v>&lt;empty&gt;</v>
      </c>
      <c r="C49" s="1469"/>
      <c r="D49" s="105"/>
      <c r="E49" s="105"/>
      <c r="F49" s="105"/>
      <c r="G49" s="105"/>
      <c r="H49" s="978"/>
      <c r="I49" s="1471"/>
      <c r="J49" s="1488"/>
    </row>
    <row r="50" spans="2:10" s="1240" customFormat="1" ht="12.75" customHeight="1">
      <c r="B50" s="232" t="str">
        <f>ProcessEnergy!B48</f>
        <v>Glycerol</v>
      </c>
      <c r="C50" s="1469"/>
      <c r="D50" s="105"/>
      <c r="E50" s="105"/>
      <c r="F50" s="105"/>
      <c r="G50" s="105"/>
      <c r="H50" s="978"/>
      <c r="I50" s="1471"/>
      <c r="J50" s="1488"/>
    </row>
    <row r="51" spans="2:10" s="1240" customFormat="1" ht="12.75" customHeight="1">
      <c r="B51" s="232" t="str">
        <f>ProcessEnergy!B49</f>
        <v>&lt;empty&gt;</v>
      </c>
      <c r="C51" s="1469"/>
      <c r="D51" s="105"/>
      <c r="E51" s="105"/>
      <c r="F51" s="105"/>
      <c r="G51" s="105"/>
      <c r="H51" s="978"/>
      <c r="I51" s="1471"/>
      <c r="J51" s="1488"/>
    </row>
    <row r="52" spans="2:10" s="1240" customFormat="1" ht="12.75" customHeight="1">
      <c r="B52" s="232" t="str">
        <f>ProcessEnergy!B50</f>
        <v>&lt;empty&gt;</v>
      </c>
      <c r="C52" s="1469"/>
      <c r="D52" s="105"/>
      <c r="E52" s="105"/>
      <c r="F52" s="105"/>
      <c r="G52" s="105"/>
      <c r="H52" s="978"/>
      <c r="I52" s="1471"/>
      <c r="J52" s="1488"/>
    </row>
    <row r="53" spans="2:10" ht="12.75" customHeight="1">
      <c r="B53" s="232" t="str">
        <f>ProcessEnergy!B51</f>
        <v>Fodder (wheat like)</v>
      </c>
      <c r="C53" s="210"/>
      <c r="D53" s="105"/>
      <c r="E53" s="105"/>
      <c r="F53" s="105"/>
      <c r="G53" s="105"/>
      <c r="H53" s="984"/>
      <c r="I53" s="455"/>
      <c r="J53" s="229"/>
    </row>
    <row r="54" spans="2:10" ht="12.75" customHeight="1">
      <c r="B54" s="232" t="str">
        <f>ProcessEnergy!B52</f>
        <v>Rape seed cake</v>
      </c>
      <c r="C54" s="210"/>
      <c r="D54" s="105"/>
      <c r="E54" s="105"/>
      <c r="F54" s="105"/>
      <c r="G54" s="105"/>
      <c r="H54" s="984"/>
      <c r="I54" s="455"/>
      <c r="J54" s="229"/>
    </row>
    <row r="55" spans="2:10" ht="12.75" customHeight="1">
      <c r="B55" s="232" t="str">
        <f>ProcessEnergy!B53</f>
        <v>&lt;empty&gt;</v>
      </c>
      <c r="C55" s="210"/>
      <c r="D55" s="105"/>
      <c r="E55" s="105"/>
      <c r="F55" s="105"/>
      <c r="G55" s="105"/>
      <c r="H55" s="984"/>
      <c r="I55" s="455"/>
      <c r="J55" s="229"/>
    </row>
    <row r="56" spans="2:10" ht="12.75" customHeight="1">
      <c r="B56" s="232" t="str">
        <f>ProcessEnergy!B54</f>
        <v>DDGS</v>
      </c>
      <c r="C56" s="210"/>
      <c r="D56" s="105"/>
      <c r="E56" s="105"/>
      <c r="F56" s="105"/>
      <c r="G56" s="105"/>
      <c r="H56" s="984"/>
      <c r="I56" s="455"/>
      <c r="J56" s="229"/>
    </row>
    <row r="57" spans="2:10" ht="12.75" customHeight="1">
      <c r="B57" s="247"/>
      <c r="C57" s="210"/>
      <c r="D57" s="105"/>
      <c r="E57" s="105"/>
      <c r="F57" s="105"/>
      <c r="G57" s="105"/>
      <c r="H57" s="984"/>
      <c r="I57" s="455"/>
      <c r="J57" s="229"/>
    </row>
    <row r="58" spans="2:10" ht="12.75" customHeight="1">
      <c r="B58" s="216" t="s">
        <v>873</v>
      </c>
      <c r="C58" s="210"/>
      <c r="D58" s="105"/>
      <c r="E58" s="105"/>
      <c r="F58" s="105"/>
      <c r="G58" s="105"/>
      <c r="H58" s="984"/>
      <c r="I58" s="455"/>
      <c r="J58" s="229"/>
    </row>
    <row r="59" spans="2:10" ht="12.75" customHeight="1">
      <c r="B59" s="230" t="str">
        <f>ProcessEnergy!B5</f>
        <v>EL - peakload</v>
      </c>
      <c r="C59" s="210" t="s">
        <v>888</v>
      </c>
      <c r="H59" s="984"/>
      <c r="I59" s="455"/>
      <c r="J59" s="229"/>
    </row>
    <row r="60" spans="2:10" ht="12.75" customHeight="1">
      <c r="B60" s="230" t="str">
        <f>ProcessEnergy!B6</f>
        <v>El - baseload</v>
      </c>
      <c r="C60" s="210" t="s">
        <v>888</v>
      </c>
      <c r="D60" s="1398">
        <f>D139</f>
        <v>3.6002230935640888E-3</v>
      </c>
      <c r="E60" s="1398">
        <f>(E132/(E33*E31*E32))*Supplementary!$C$50*1000</f>
        <v>1.9640996275342128E-2</v>
      </c>
      <c r="F60" s="1398">
        <f>(F132/(F33*F31*F32))*Supplementary!$C$50*1000</f>
        <v>1.9640996275342128E-2</v>
      </c>
      <c r="G60" s="1398">
        <f>(G132/(G33*G31*G32))*Supplementary!$C$50*1000</f>
        <v>1.9640996275342128E-2</v>
      </c>
      <c r="H60" s="984"/>
      <c r="I60" s="455"/>
      <c r="J60" s="229"/>
    </row>
    <row r="61" spans="2:10" ht="12.75" customHeight="1">
      <c r="B61" s="230" t="str">
        <f>ProcessEnergy!B7</f>
        <v xml:space="preserve">Varme </v>
      </c>
      <c r="C61" s="210" t="s">
        <v>888</v>
      </c>
      <c r="D61" s="1399"/>
      <c r="E61" s="1400"/>
      <c r="F61" s="1400"/>
      <c r="G61" s="1400"/>
      <c r="H61" s="984"/>
      <c r="I61" s="455"/>
      <c r="J61" s="229"/>
    </row>
    <row r="62" spans="2:10" ht="12.75" customHeight="1">
      <c r="B62" s="230" t="str">
        <f>ProcessEnergy!B8</f>
        <v>Damp</v>
      </c>
      <c r="C62" s="210" t="s">
        <v>888</v>
      </c>
      <c r="D62" s="1398">
        <f>D140</f>
        <v>2.6665359653866953E-3</v>
      </c>
      <c r="E62" s="1398">
        <f>(E133/(E33*E31*E32))*Supplementary!$C$50*1000</f>
        <v>1.4547271544880336E-2</v>
      </c>
      <c r="F62" s="1398">
        <f>(F133/(F33*F31*F32))*Supplementary!$C$50*1000</f>
        <v>1.4547271544880336E-2</v>
      </c>
      <c r="G62" s="1398">
        <f>(G133/(G33*G31*G32))*Supplementary!$C$50*1000</f>
        <v>1.4547271544880336E-2</v>
      </c>
      <c r="H62" s="984"/>
      <c r="I62" s="455"/>
      <c r="J62" s="229"/>
    </row>
    <row r="63" spans="2:10" ht="12.75" customHeight="1">
      <c r="B63" s="230" t="str">
        <f>ProcessEnergy!B9</f>
        <v xml:space="preserve">Olie </v>
      </c>
      <c r="C63" s="210" t="s">
        <v>888</v>
      </c>
      <c r="D63" s="1133"/>
      <c r="E63" s="1133"/>
      <c r="F63" s="1133"/>
      <c r="G63" s="1133"/>
      <c r="H63" s="984"/>
      <c r="I63" s="455"/>
      <c r="J63" s="229"/>
    </row>
    <row r="64" spans="2:10" ht="12.75" customHeight="1">
      <c r="B64" s="230" t="str">
        <f>ProcessEnergy!B10</f>
        <v>Kul</v>
      </c>
      <c r="C64" s="210" t="s">
        <v>888</v>
      </c>
      <c r="D64" s="1133"/>
      <c r="E64" s="1133"/>
      <c r="F64" s="1133"/>
      <c r="G64" s="1133"/>
      <c r="H64" s="984"/>
      <c r="I64" s="455"/>
      <c r="J64" s="229"/>
    </row>
    <row r="65" spans="2:10" ht="12.75" customHeight="1">
      <c r="B65" s="230" t="str">
        <f>ProcessEnergy!B11</f>
        <v>Naturgas kedel</v>
      </c>
      <c r="C65" s="210" t="s">
        <v>888</v>
      </c>
      <c r="D65" s="1398">
        <f>D141</f>
        <v>4.5287425635478641E-2</v>
      </c>
      <c r="E65" s="1398">
        <f>E141</f>
        <v>4.5287425635478641E-2</v>
      </c>
      <c r="F65" s="1398">
        <f>F141</f>
        <v>4.5287425635478641E-2</v>
      </c>
      <c r="G65" s="1398">
        <f>G141</f>
        <v>4.5287425635478641E-2</v>
      </c>
      <c r="H65" s="984"/>
      <c r="I65" s="455"/>
      <c r="J65" s="229"/>
    </row>
    <row r="66" spans="2:10" ht="12.75" customHeight="1">
      <c r="B66" s="230" t="str">
        <f>ProcessEnergy!B12</f>
        <v>Gylle</v>
      </c>
      <c r="C66" s="210" t="s">
        <v>888</v>
      </c>
      <c r="D66" s="105"/>
      <c r="E66" s="105"/>
      <c r="F66" s="105"/>
      <c r="G66" s="105"/>
      <c r="H66" s="984"/>
      <c r="I66" s="455"/>
      <c r="J66" s="229"/>
    </row>
    <row r="67" spans="2:10" ht="12.75" customHeight="1">
      <c r="B67" s="230" t="str">
        <f>ProcessEnergy!B13</f>
        <v>Affald</v>
      </c>
      <c r="C67" s="210" t="s">
        <v>888</v>
      </c>
      <c r="D67" s="105"/>
      <c r="E67" s="105"/>
      <c r="F67" s="105"/>
      <c r="G67" s="105"/>
      <c r="H67" s="984"/>
      <c r="I67" s="455"/>
      <c r="J67" s="229"/>
    </row>
    <row r="68" spans="2:10" ht="12.75" customHeight="1">
      <c r="B68" s="230" t="str">
        <f>ProcessEnergy!B14</f>
        <v>Hydrogen</v>
      </c>
      <c r="C68" s="210" t="s">
        <v>888</v>
      </c>
      <c r="D68" s="105"/>
      <c r="E68" s="105"/>
      <c r="F68" s="105"/>
      <c r="G68" s="105"/>
      <c r="H68" s="984"/>
      <c r="I68" s="455"/>
      <c r="J68" s="229"/>
    </row>
    <row r="69" spans="2:10" ht="12.75" customHeight="1">
      <c r="B69" s="230" t="str">
        <f>ProcessEnergy!B15</f>
        <v>Biomasse</v>
      </c>
      <c r="C69" s="210" t="s">
        <v>888</v>
      </c>
      <c r="D69" s="105"/>
      <c r="E69" s="105"/>
      <c r="F69" s="105"/>
      <c r="G69" s="105"/>
      <c r="H69" s="984"/>
      <c r="I69" s="455"/>
      <c r="J69" s="229"/>
    </row>
    <row r="70" spans="2:10" s="1240" customFormat="1" ht="12.75" customHeight="1">
      <c r="B70" s="1487" t="str">
        <f>ProcessEnergy!B16</f>
        <v>Methanol</v>
      </c>
      <c r="C70" s="1469"/>
      <c r="D70" s="105"/>
      <c r="E70" s="105"/>
      <c r="F70" s="105"/>
      <c r="G70" s="105"/>
      <c r="H70" s="984"/>
      <c r="I70" s="1471"/>
      <c r="J70" s="1488"/>
    </row>
    <row r="71" spans="2:10" s="1240" customFormat="1" ht="12.75" customHeight="1">
      <c r="B71" s="1487" t="str">
        <f>ProcessEnergy!B17</f>
        <v>&lt;empty&gt;</v>
      </c>
      <c r="C71" s="1469"/>
      <c r="D71" s="105"/>
      <c r="E71" s="105"/>
      <c r="F71" s="105"/>
      <c r="G71" s="105"/>
      <c r="H71" s="984"/>
      <c r="I71" s="1471"/>
      <c r="J71" s="1488"/>
    </row>
    <row r="72" spans="2:10" s="1240" customFormat="1" ht="12.75" customHeight="1">
      <c r="B72" s="1487" t="str">
        <f>ProcessEnergy!B18</f>
        <v>&lt;empty&gt;</v>
      </c>
      <c r="C72" s="1469"/>
      <c r="D72" s="105"/>
      <c r="E72" s="105"/>
      <c r="F72" s="105"/>
      <c r="G72" s="105"/>
      <c r="H72" s="984"/>
      <c r="I72" s="1471"/>
      <c r="J72" s="1488"/>
    </row>
    <row r="73" spans="2:10" s="1240" customFormat="1" ht="12.75" customHeight="1">
      <c r="B73" s="1487" t="str">
        <f>ProcessEnergy!B19</f>
        <v>&lt;empty&gt;</v>
      </c>
      <c r="C73" s="1469"/>
      <c r="D73" s="105"/>
      <c r="E73" s="105"/>
      <c r="F73" s="105"/>
      <c r="G73" s="105"/>
      <c r="H73" s="984"/>
      <c r="I73" s="1471"/>
      <c r="J73" s="1488"/>
    </row>
    <row r="74" spans="2:10" s="1240" customFormat="1" ht="12.75" customHeight="1">
      <c r="B74" s="1487" t="str">
        <f>ProcessEnergy!B20</f>
        <v>&lt;empty&gt;</v>
      </c>
      <c r="C74" s="1469"/>
      <c r="D74" s="105"/>
      <c r="E74" s="105"/>
      <c r="F74" s="105"/>
      <c r="G74" s="105"/>
      <c r="H74" s="984"/>
      <c r="I74" s="1471"/>
      <c r="J74" s="1488"/>
    </row>
    <row r="75" spans="2:10" s="1240" customFormat="1" ht="12.75" customHeight="1">
      <c r="B75" s="1487" t="str">
        <f>ProcessEnergy!B21</f>
        <v>&lt;empty&gt;</v>
      </c>
      <c r="C75" s="1469"/>
      <c r="D75" s="105"/>
      <c r="E75" s="105"/>
      <c r="F75" s="105"/>
      <c r="G75" s="105"/>
      <c r="H75" s="984"/>
      <c r="I75" s="1471"/>
      <c r="J75" s="1488"/>
    </row>
    <row r="76" spans="2:10" s="1240" customFormat="1" ht="12.75" customHeight="1">
      <c r="B76" s="1487" t="str">
        <f>ProcessEnergy!B22</f>
        <v>&lt;empty&gt;</v>
      </c>
      <c r="C76" s="1469"/>
      <c r="D76" s="105"/>
      <c r="E76" s="105"/>
      <c r="F76" s="105"/>
      <c r="G76" s="105"/>
      <c r="H76" s="984"/>
      <c r="I76" s="1471"/>
      <c r="J76" s="1488"/>
    </row>
    <row r="77" spans="2:10" s="1240" customFormat="1" ht="12.75" customHeight="1">
      <c r="B77" s="1487" t="str">
        <f>ProcessEnergy!B23</f>
        <v>&lt;empty&gt;</v>
      </c>
      <c r="C77" s="1469"/>
      <c r="D77" s="105"/>
      <c r="E77" s="105"/>
      <c r="F77" s="105"/>
      <c r="G77" s="105"/>
      <c r="H77" s="984"/>
      <c r="I77" s="1471"/>
      <c r="J77" s="1488"/>
    </row>
    <row r="78" spans="2:10" ht="12.75" customHeight="1">
      <c r="B78" s="230" t="str">
        <f>ProcessEnergy!B24</f>
        <v>&lt;empty&gt;</v>
      </c>
      <c r="C78" s="210" t="s">
        <v>888</v>
      </c>
      <c r="D78" s="105"/>
      <c r="E78" s="105"/>
      <c r="F78" s="105"/>
      <c r="G78" s="105"/>
      <c r="H78" s="984"/>
      <c r="I78" s="455"/>
      <c r="J78" s="229"/>
    </row>
    <row r="79" spans="2:10" ht="12.75" customHeight="1">
      <c r="B79" s="310"/>
      <c r="C79" s="210"/>
      <c r="D79" s="105"/>
      <c r="E79" s="105"/>
      <c r="F79" s="105"/>
      <c r="G79" s="105"/>
      <c r="H79" s="984"/>
      <c r="I79" s="455"/>
      <c r="J79" s="229"/>
    </row>
    <row r="80" spans="2:10" ht="12.75" customHeight="1">
      <c r="B80" s="310"/>
      <c r="C80" s="210"/>
      <c r="D80" s="105"/>
      <c r="E80" s="105"/>
      <c r="F80" s="105"/>
      <c r="G80" s="105"/>
      <c r="H80" s="984"/>
      <c r="I80" s="455"/>
      <c r="J80" s="229"/>
    </row>
    <row r="81" spans="1:17" ht="12.75" customHeight="1">
      <c r="B81" s="247"/>
      <c r="C81" s="210"/>
      <c r="D81" s="106"/>
      <c r="E81" s="106"/>
      <c r="F81" s="106"/>
      <c r="G81" s="106"/>
      <c r="H81" s="986"/>
      <c r="I81" s="455"/>
      <c r="J81" s="229"/>
    </row>
    <row r="82" spans="1:17" ht="12.75" customHeight="1">
      <c r="B82" s="216" t="s">
        <v>152</v>
      </c>
      <c r="C82" s="210"/>
      <c r="D82" s="106"/>
      <c r="E82" s="106"/>
      <c r="F82" s="106"/>
      <c r="G82" s="106"/>
      <c r="H82" s="986"/>
      <c r="I82" s="455"/>
      <c r="J82" s="229"/>
    </row>
    <row r="83" spans="1:17" ht="12.75" customHeight="1">
      <c r="A83" s="523">
        <v>4</v>
      </c>
      <c r="B83" s="247" t="s">
        <v>317</v>
      </c>
      <c r="C83" s="976" t="s">
        <v>725</v>
      </c>
      <c r="D83" s="295">
        <v>1</v>
      </c>
      <c r="E83" s="295">
        <v>1</v>
      </c>
      <c r="F83" s="295">
        <v>1</v>
      </c>
      <c r="G83" s="295">
        <v>1</v>
      </c>
      <c r="H83" s="978"/>
      <c r="I83" s="455"/>
      <c r="J83" s="229"/>
    </row>
    <row r="84" spans="1:17" ht="12.75" customHeight="1">
      <c r="B84" s="247" t="s">
        <v>153</v>
      </c>
      <c r="C84" s="976" t="s">
        <v>725</v>
      </c>
      <c r="D84" s="307">
        <f>D125/D124</f>
        <v>5.1554184694429427E-2</v>
      </c>
      <c r="E84" s="307">
        <f>E125/E124</f>
        <v>5.1554184694429427E-2</v>
      </c>
      <c r="F84" s="307">
        <f>F125/F124</f>
        <v>5.1554184694429427E-2</v>
      </c>
      <c r="G84" s="307">
        <f>G125/G124</f>
        <v>5.1554184694429427E-2</v>
      </c>
      <c r="H84" s="1334"/>
      <c r="I84" s="455"/>
      <c r="J84" s="229"/>
    </row>
    <row r="85" spans="1:17" ht="12.75" customHeight="1">
      <c r="B85" s="247" t="s">
        <v>154</v>
      </c>
      <c r="C85" s="976" t="s">
        <v>725</v>
      </c>
      <c r="D85" s="307">
        <f>D126/D124</f>
        <v>0.88740178555406757</v>
      </c>
      <c r="E85" s="307">
        <f>E126/E124</f>
        <v>0.88740178555406757</v>
      </c>
      <c r="F85" s="307">
        <f>F126/F124</f>
        <v>0.88740178555406757</v>
      </c>
      <c r="G85" s="307">
        <f>G126/G124</f>
        <v>0.88740178555406757</v>
      </c>
      <c r="H85" s="978"/>
      <c r="I85" s="455"/>
      <c r="J85" s="229"/>
      <c r="L85" s="303">
        <f>G83/G85</f>
        <v>1.1268852691970068</v>
      </c>
    </row>
    <row r="86" spans="1:17" ht="12.75" customHeight="1">
      <c r="B86" s="247" t="s">
        <v>2</v>
      </c>
      <c r="C86" s="976" t="s">
        <v>725</v>
      </c>
      <c r="D86" s="237">
        <f>D127/D124</f>
        <v>0.16099327339102218</v>
      </c>
      <c r="E86" s="237">
        <f>E127/E124</f>
        <v>0.16099327339102218</v>
      </c>
      <c r="F86" s="237">
        <f>F127/F124</f>
        <v>0.16099327339102218</v>
      </c>
      <c r="G86" s="237">
        <f>G127/G124</f>
        <v>0.16099327339102218</v>
      </c>
      <c r="H86" s="978"/>
      <c r="I86" s="455"/>
      <c r="J86" s="229"/>
    </row>
    <row r="87" spans="1:17" ht="12.75" customHeight="1">
      <c r="B87" s="108" t="s">
        <v>155</v>
      </c>
      <c r="C87" s="976" t="s">
        <v>725</v>
      </c>
      <c r="D87" s="109">
        <f>D83+D84-D85-D86</f>
        <v>3.1591257493396585E-3</v>
      </c>
      <c r="E87" s="109">
        <f>E83+E84-E85-E86</f>
        <v>3.1591257493396585E-3</v>
      </c>
      <c r="F87" s="109">
        <f>F83+F84-F85-F86</f>
        <v>3.1591257493396585E-3</v>
      </c>
      <c r="G87" s="109">
        <f>G83+G84-G85-G86</f>
        <v>3.1591257493396585E-3</v>
      </c>
      <c r="H87" s="978"/>
      <c r="I87" s="455"/>
      <c r="J87" s="229"/>
    </row>
    <row r="88" spans="1:17" ht="12.75" customHeight="1">
      <c r="B88" s="108" t="s">
        <v>156</v>
      </c>
      <c r="C88" s="988" t="s">
        <v>726</v>
      </c>
      <c r="D88" s="462">
        <f>(D86+D85)/(D83+D84)</f>
        <v>0.99699575562027953</v>
      </c>
      <c r="E88" s="462">
        <f>(E86+E85)/(E83+E84)</f>
        <v>0.99699575562027953</v>
      </c>
      <c r="F88" s="462">
        <f>(F86+F85)/(F83+F84)</f>
        <v>0.99699575562027953</v>
      </c>
      <c r="G88" s="462">
        <f>(G86+G85)/(G83+G84)</f>
        <v>0.99699575562027953</v>
      </c>
      <c r="H88" s="990"/>
      <c r="I88" s="455"/>
      <c r="J88" s="229"/>
      <c r="L88" s="303"/>
    </row>
    <row r="89" spans="1:17" ht="12.75" customHeight="1">
      <c r="B89" s="247"/>
      <c r="C89" s="210"/>
      <c r="D89" s="213"/>
      <c r="E89" s="213"/>
      <c r="F89" s="213"/>
      <c r="G89" s="213"/>
      <c r="H89" s="990"/>
      <c r="I89" s="455"/>
      <c r="J89" s="229"/>
      <c r="N89" s="234"/>
    </row>
    <row r="90" spans="1:17" ht="12.75" customHeight="1">
      <c r="B90" s="216" t="s">
        <v>33</v>
      </c>
      <c r="C90" s="210"/>
      <c r="D90" s="213"/>
      <c r="E90" s="213"/>
      <c r="F90" s="213"/>
      <c r="G90" s="213"/>
      <c r="H90" s="983"/>
      <c r="I90" s="455"/>
      <c r="J90" s="229"/>
      <c r="N90" s="110"/>
      <c r="O90" s="110"/>
      <c r="P90" s="110"/>
      <c r="Q90" s="110"/>
    </row>
    <row r="91" spans="1:17" s="530" customFormat="1">
      <c r="B91" s="964" t="s">
        <v>157</v>
      </c>
      <c r="C91" s="976" t="s">
        <v>61</v>
      </c>
      <c r="D91" s="992">
        <f>HLOOKUP($H100,Supplementary!$C$44:$AF$46,3,FALSE)*D100</f>
        <v>0</v>
      </c>
      <c r="E91" s="555">
        <f>HLOOKUP($H100,Supplementary!$C$44:$AF$46,3,FALSE)*E100</f>
        <v>0</v>
      </c>
      <c r="F91" s="555">
        <f>HLOOKUP($H100,Supplementary!$C$44:$AF$46,3,FALSE)*F100</f>
        <v>0</v>
      </c>
      <c r="G91" s="555">
        <f>HLOOKUP($H100,Supplementary!$C$44:$AF$46,3,FALSE)*G100</f>
        <v>0</v>
      </c>
      <c r="H91" s="555">
        <f t="shared" ref="H91:H97" si="0">priceYear</f>
        <v>2015</v>
      </c>
      <c r="I91" s="555"/>
      <c r="J91" s="965"/>
      <c r="N91" s="991"/>
      <c r="O91" s="991"/>
      <c r="P91" s="991"/>
      <c r="Q91" s="991"/>
    </row>
    <row r="92" spans="1:17" s="530" customFormat="1">
      <c r="B92" s="964" t="s">
        <v>160</v>
      </c>
      <c r="C92" s="976" t="s">
        <v>1094</v>
      </c>
      <c r="D92" s="992">
        <f ca="1">HLOOKUP($H101,Supplementary!$C$44:$AF$46,3,FALSE)*D101</f>
        <v>97.185374110094855</v>
      </c>
      <c r="E92" s="555">
        <f ca="1">HLOOKUP($H101,Supplementary!$C$44:$AF$46,3,FALSE)*E101</f>
        <v>100.05942131816995</v>
      </c>
      <c r="F92" s="555">
        <f ca="1">HLOOKUP($H101,Supplementary!$C$44:$AF$46,3,FALSE)*F101</f>
        <v>108.46867055661191</v>
      </c>
      <c r="G92" s="555">
        <f ca="1">HLOOKUP($H101,Supplementary!$C$44:$AF$46,3,FALSE)*G101</f>
        <v>108.46867055661191</v>
      </c>
      <c r="H92" s="555">
        <f t="shared" si="0"/>
        <v>2015</v>
      </c>
      <c r="I92" s="555"/>
      <c r="J92" s="965"/>
      <c r="N92" s="991"/>
      <c r="O92" s="991"/>
      <c r="P92" s="991"/>
      <c r="Q92" s="991"/>
    </row>
    <row r="93" spans="1:17" s="530" customFormat="1">
      <c r="B93" s="995" t="s">
        <v>162</v>
      </c>
      <c r="C93" s="976" t="s">
        <v>1094</v>
      </c>
      <c r="D93" s="992">
        <f ca="1">HLOOKUP($H102,Supplementary!$C$44:$AF$46,3,FALSE)*D102</f>
        <v>60.259290945550219</v>
      </c>
      <c r="E93" s="555">
        <f ca="1">HLOOKUP($H102,Supplementary!$C$44:$AF$46,3,FALSE)*E102</f>
        <v>61.830518930553353</v>
      </c>
      <c r="F93" s="555">
        <f ca="1">HLOOKUP($H102,Supplementary!$C$44:$AF$46,3,FALSE)*F102</f>
        <v>47.895257735176415</v>
      </c>
      <c r="G93" s="555">
        <f ca="1">HLOOKUP($H102,Supplementary!$C$44:$AF$46,3,FALSE)*G102</f>
        <v>47.895257735176415</v>
      </c>
      <c r="H93" s="555">
        <f t="shared" si="0"/>
        <v>2015</v>
      </c>
      <c r="I93" s="555"/>
      <c r="J93" s="965"/>
      <c r="N93" s="991"/>
      <c r="O93" s="991"/>
      <c r="P93" s="991"/>
      <c r="Q93" s="991"/>
    </row>
    <row r="94" spans="1:17" s="530" customFormat="1">
      <c r="B94" s="995" t="s">
        <v>163</v>
      </c>
      <c r="C94" s="976" t="s">
        <v>1094</v>
      </c>
      <c r="D94" s="992">
        <f>HLOOKUP($H103,Supplementary!$C$44:$AF$46,3,FALSE)*D103</f>
        <v>0</v>
      </c>
      <c r="E94" s="555">
        <f>HLOOKUP($H103,Supplementary!$C$44:$AF$46,3,FALSE)*E103</f>
        <v>0</v>
      </c>
      <c r="F94" s="555">
        <f>HLOOKUP($H103,Supplementary!$C$44:$AF$46,3,FALSE)*F103</f>
        <v>0</v>
      </c>
      <c r="G94" s="555">
        <f>HLOOKUP($H103,Supplementary!$C$44:$AF$46,3,FALSE)*G103</f>
        <v>0</v>
      </c>
      <c r="H94" s="555">
        <f t="shared" si="0"/>
        <v>2015</v>
      </c>
      <c r="I94" s="555"/>
      <c r="J94" s="965"/>
      <c r="N94" s="991"/>
      <c r="O94" s="991"/>
      <c r="P94" s="991"/>
      <c r="Q94" s="991"/>
    </row>
    <row r="95" spans="1:17" s="530" customFormat="1">
      <c r="B95" s="995" t="s">
        <v>164</v>
      </c>
      <c r="C95" s="976" t="s">
        <v>464</v>
      </c>
      <c r="D95" s="992">
        <f ca="1">HLOOKUP($H104,Supplementary!$C$44:$AF$46,3,FALSE)*D104</f>
        <v>669.7794953045227</v>
      </c>
      <c r="E95" s="555">
        <f ca="1">HLOOKUP($H104,Supplementary!$C$44:$AF$46,3,FALSE)*E104</f>
        <v>689.08649350871667</v>
      </c>
      <c r="F95" s="555">
        <f ca="1">HLOOKUP($H104,Supplementary!$C$44:$AF$46,3,FALSE)*F104</f>
        <v>758.89034911301826</v>
      </c>
      <c r="G95" s="555">
        <f ca="1">HLOOKUP($H104,Supplementary!$C$44:$AF$46,3,FALSE)*G104</f>
        <v>758.89034911301826</v>
      </c>
      <c r="H95" s="555">
        <f t="shared" si="0"/>
        <v>2015</v>
      </c>
      <c r="I95" s="555"/>
      <c r="J95" s="965"/>
      <c r="N95" s="991"/>
      <c r="O95" s="991"/>
      <c r="P95" s="991"/>
      <c r="Q95" s="991"/>
    </row>
    <row r="96" spans="1:17" s="530" customFormat="1">
      <c r="B96" s="995" t="s">
        <v>264</v>
      </c>
      <c r="C96" s="976" t="s">
        <v>464</v>
      </c>
      <c r="D96" s="992">
        <f>HLOOKUP($H105,Supplementary!$C$44:$AF$46,3,FALSE)*D105</f>
        <v>0</v>
      </c>
      <c r="E96" s="555">
        <f>HLOOKUP($H105,Supplementary!$C$44:$AF$46,3,FALSE)*E105</f>
        <v>0</v>
      </c>
      <c r="F96" s="555">
        <f>HLOOKUP($H105,Supplementary!$C$44:$AF$46,3,FALSE)*F105</f>
        <v>0</v>
      </c>
      <c r="G96" s="555">
        <f>HLOOKUP($H105,Supplementary!$C$44:$AF$46,3,FALSE)*G105</f>
        <v>0</v>
      </c>
      <c r="H96" s="555">
        <f t="shared" si="0"/>
        <v>2015</v>
      </c>
      <c r="I96" s="555"/>
      <c r="J96" s="965"/>
      <c r="N96" s="991"/>
      <c r="O96" s="991"/>
      <c r="P96" s="991"/>
      <c r="Q96" s="991"/>
    </row>
    <row r="97" spans="1:17" s="530" customFormat="1">
      <c r="B97" s="995" t="s">
        <v>165</v>
      </c>
      <c r="C97" s="976" t="s">
        <v>464</v>
      </c>
      <c r="D97" s="992">
        <f ca="1">HLOOKUP($H106,Supplementary!$C$44:$AF$46,3,FALSE)*D106</f>
        <v>-632.8534121399781</v>
      </c>
      <c r="E97" s="555">
        <f ca="1">HLOOKUP($H106,Supplementary!$C$44:$AF$46,3,FALSE)*E106</f>
        <v>-650.85759112110009</v>
      </c>
      <c r="F97" s="555">
        <f ca="1">HLOOKUP($H106,Supplementary!$C$44:$AF$46,3,FALSE)*F106</f>
        <v>-698.31693629158281</v>
      </c>
      <c r="G97" s="555">
        <f ca="1">HLOOKUP($H106,Supplementary!$C$44:$AF$46,3,FALSE)*G106</f>
        <v>-698.31693629158281</v>
      </c>
      <c r="H97" s="555">
        <f t="shared" si="0"/>
        <v>2015</v>
      </c>
      <c r="I97" s="555"/>
      <c r="J97" s="965"/>
      <c r="N97" s="991"/>
      <c r="O97" s="991"/>
      <c r="P97" s="991"/>
      <c r="Q97" s="991"/>
    </row>
    <row r="98" spans="1:17" s="530" customFormat="1">
      <c r="B98" s="975"/>
      <c r="C98" s="976"/>
      <c r="D98" s="992"/>
      <c r="E98" s="983"/>
      <c r="F98" s="983"/>
      <c r="G98" s="983"/>
      <c r="H98" s="983"/>
      <c r="I98" s="555"/>
      <c r="J98" s="965"/>
      <c r="N98" s="991"/>
      <c r="O98" s="991"/>
      <c r="P98" s="991"/>
      <c r="Q98" s="991"/>
    </row>
    <row r="99" spans="1:17" s="530" customFormat="1">
      <c r="B99" s="975"/>
      <c r="C99" s="976"/>
      <c r="D99" s="992"/>
      <c r="E99" s="983"/>
      <c r="F99" s="983"/>
      <c r="G99" s="983"/>
      <c r="H99" s="983"/>
      <c r="I99" s="555"/>
      <c r="J99" s="965"/>
      <c r="N99" s="991"/>
      <c r="O99" s="991"/>
      <c r="P99" s="991"/>
      <c r="Q99" s="991"/>
    </row>
    <row r="100" spans="1:17" ht="12.75" customHeight="1">
      <c r="B100" s="247" t="s">
        <v>157</v>
      </c>
      <c r="C100" s="210" t="s">
        <v>61</v>
      </c>
      <c r="D100" s="115"/>
      <c r="E100" s="115"/>
      <c r="F100" s="115"/>
      <c r="G100" s="115"/>
      <c r="H100" s="1668">
        <v>2015</v>
      </c>
      <c r="I100" s="455"/>
      <c r="J100" s="229"/>
      <c r="N100" s="110"/>
      <c r="O100" s="110"/>
      <c r="P100" s="110"/>
      <c r="Q100" s="110"/>
    </row>
    <row r="101" spans="1:17" ht="12.75" customHeight="1">
      <c r="B101" s="230" t="s">
        <v>160</v>
      </c>
      <c r="C101" s="210" t="s">
        <v>1465</v>
      </c>
      <c r="D101" s="166">
        <f ca="1">D176</f>
        <v>97.185374110094855</v>
      </c>
      <c r="E101" s="166">
        <f ca="1">E176</f>
        <v>100.05942131816995</v>
      </c>
      <c r="F101" s="166">
        <f ca="1">F176</f>
        <v>108.46867055661191</v>
      </c>
      <c r="G101" s="166">
        <f ca="1">G176</f>
        <v>108.46867055661191</v>
      </c>
      <c r="H101" s="1668">
        <v>2015</v>
      </c>
      <c r="I101" s="248"/>
      <c r="J101" s="229"/>
      <c r="N101" s="110"/>
      <c r="O101" s="110"/>
      <c r="P101" s="110"/>
      <c r="Q101" s="110"/>
    </row>
    <row r="102" spans="1:17" ht="12.75" customHeight="1">
      <c r="B102" s="236" t="s">
        <v>162</v>
      </c>
      <c r="C102" s="210" t="s">
        <v>1465</v>
      </c>
      <c r="D102" s="166">
        <f ca="1">D101-D104-D106</f>
        <v>60.259290945550219</v>
      </c>
      <c r="E102" s="166">
        <f ca="1">E101-E104-E106</f>
        <v>61.830518930553353</v>
      </c>
      <c r="F102" s="166">
        <f ca="1">F101-F104-F106</f>
        <v>47.895257735176415</v>
      </c>
      <c r="G102" s="166">
        <f ca="1">G101-G104-G106</f>
        <v>47.895257735176415</v>
      </c>
      <c r="H102" s="1668">
        <v>2015</v>
      </c>
      <c r="I102" s="235"/>
      <c r="J102" s="229"/>
      <c r="N102" s="110"/>
      <c r="O102" s="110"/>
      <c r="P102" s="110"/>
      <c r="Q102" s="110"/>
    </row>
    <row r="103" spans="1:17" ht="12.75" customHeight="1">
      <c r="B103" s="236" t="s">
        <v>163</v>
      </c>
      <c r="C103" s="210" t="s">
        <v>1465</v>
      </c>
      <c r="D103" s="460"/>
      <c r="E103" s="460"/>
      <c r="F103" s="460"/>
      <c r="G103" s="460"/>
      <c r="H103" s="1668">
        <v>2015</v>
      </c>
      <c r="I103" s="455"/>
      <c r="J103" s="229"/>
      <c r="N103" s="110"/>
      <c r="O103" s="110"/>
      <c r="P103" s="110"/>
      <c r="Q103" s="110"/>
    </row>
    <row r="104" spans="1:17" ht="12.75" customHeight="1">
      <c r="A104" s="523">
        <v>6</v>
      </c>
      <c r="B104" s="236" t="s">
        <v>164</v>
      </c>
      <c r="C104" s="210" t="s">
        <v>1465</v>
      </c>
      <c r="D104" s="463">
        <f ca="1">D179/D169</f>
        <v>669.7794953045227</v>
      </c>
      <c r="E104" s="463">
        <f ca="1">E179/E169</f>
        <v>689.08649350871667</v>
      </c>
      <c r="F104" s="463">
        <f ca="1">F179/F169</f>
        <v>758.89034911301826</v>
      </c>
      <c r="G104" s="463">
        <f ca="1">G179/G169</f>
        <v>758.89034911301826</v>
      </c>
      <c r="H104" s="1668">
        <v>2015</v>
      </c>
      <c r="I104" s="455"/>
      <c r="J104" s="229"/>
      <c r="N104" s="110"/>
      <c r="O104" s="110"/>
      <c r="P104" s="110"/>
      <c r="Q104" s="110"/>
    </row>
    <row r="105" spans="1:17" ht="12.75" customHeight="1">
      <c r="B105" s="236" t="s">
        <v>264</v>
      </c>
      <c r="C105" s="210" t="s">
        <v>1465</v>
      </c>
      <c r="D105" s="460"/>
      <c r="E105" s="460"/>
      <c r="F105" s="460"/>
      <c r="G105" s="460"/>
      <c r="H105" s="1668">
        <v>2015</v>
      </c>
      <c r="I105" s="455"/>
      <c r="J105" s="229"/>
      <c r="N105" s="110"/>
      <c r="O105" s="110"/>
      <c r="P105" s="110"/>
      <c r="Q105" s="110"/>
    </row>
    <row r="106" spans="1:17" ht="12.75" customHeight="1">
      <c r="B106" s="236" t="s">
        <v>165</v>
      </c>
      <c r="C106" s="210" t="s">
        <v>1465</v>
      </c>
      <c r="D106" s="463">
        <f ca="1">-(D184+D183+D182)/D169</f>
        <v>-632.8534121399781</v>
      </c>
      <c r="E106" s="463">
        <f ca="1">-(E184+E183+E182)/E169</f>
        <v>-650.85759112110009</v>
      </c>
      <c r="F106" s="463">
        <f ca="1">-(F184+F183+F182)/F169</f>
        <v>-698.31693629158281</v>
      </c>
      <c r="G106" s="463">
        <f ca="1">-(G184+G183+G182)/G169</f>
        <v>-698.31693629158281</v>
      </c>
      <c r="H106" s="1668">
        <v>2015</v>
      </c>
      <c r="I106" s="455"/>
      <c r="J106" s="229"/>
      <c r="N106" s="110"/>
      <c r="O106" s="110"/>
      <c r="P106" s="110"/>
      <c r="Q106" s="110"/>
    </row>
    <row r="107" spans="1:17" ht="12.75" customHeight="1">
      <c r="B107" s="236"/>
      <c r="C107" s="210"/>
      <c r="D107" s="213"/>
      <c r="E107" s="213"/>
      <c r="F107" s="213"/>
      <c r="G107" s="213"/>
      <c r="H107" s="983"/>
      <c r="I107" s="235"/>
      <c r="J107" s="229"/>
      <c r="N107" s="110"/>
      <c r="O107" s="110"/>
      <c r="P107" s="110"/>
      <c r="Q107" s="110"/>
    </row>
    <row r="108" spans="1:17" ht="12.75" customHeight="1">
      <c r="B108" s="236"/>
      <c r="C108" s="210"/>
      <c r="D108" s="213"/>
      <c r="E108" s="213"/>
      <c r="F108" s="213"/>
      <c r="G108" s="213"/>
      <c r="H108" s="983"/>
      <c r="I108" s="235"/>
      <c r="J108" s="229"/>
      <c r="N108" s="110"/>
      <c r="O108" s="110"/>
      <c r="P108" s="110"/>
      <c r="Q108" s="110"/>
    </row>
    <row r="109" spans="1:17" ht="12.75" customHeight="1">
      <c r="B109" s="236"/>
      <c r="C109" s="210"/>
      <c r="D109" s="213"/>
      <c r="E109" s="213"/>
      <c r="F109" s="213"/>
      <c r="G109" s="213"/>
      <c r="H109" s="983"/>
      <c r="I109" s="235"/>
      <c r="J109" s="229"/>
      <c r="N109" s="110"/>
      <c r="O109" s="110"/>
      <c r="P109" s="110"/>
      <c r="Q109" s="110"/>
    </row>
    <row r="110" spans="1:17" ht="12.75" customHeight="1">
      <c r="B110" s="236"/>
      <c r="C110" s="210"/>
      <c r="D110" s="213"/>
      <c r="E110" s="213"/>
      <c r="F110" s="213"/>
      <c r="G110" s="213"/>
      <c r="H110" s="983"/>
      <c r="I110" s="235"/>
      <c r="J110" s="229"/>
      <c r="N110" s="110"/>
      <c r="O110" s="110"/>
      <c r="P110" s="110"/>
      <c r="Q110" s="110"/>
    </row>
    <row r="111" spans="1:17" ht="12.75" customHeight="1">
      <c r="B111" s="236"/>
      <c r="C111" s="210"/>
      <c r="D111" s="213"/>
      <c r="E111" s="213"/>
      <c r="F111" s="213"/>
      <c r="G111" s="213"/>
      <c r="H111" s="983"/>
      <c r="I111" s="235"/>
      <c r="J111" s="229"/>
      <c r="N111" s="110"/>
      <c r="O111" s="110"/>
      <c r="P111" s="110"/>
      <c r="Q111" s="110"/>
    </row>
    <row r="112" spans="1:17" ht="12.75" customHeight="1">
      <c r="B112" s="236"/>
      <c r="C112" s="210"/>
      <c r="D112" s="213"/>
      <c r="E112" s="213"/>
      <c r="F112" s="213"/>
      <c r="G112" s="213"/>
      <c r="H112" s="983"/>
      <c r="I112" s="235"/>
      <c r="J112" s="229"/>
      <c r="N112" s="110"/>
      <c r="O112" s="110"/>
      <c r="P112" s="110"/>
      <c r="Q112" s="110"/>
    </row>
    <row r="113" spans="2:17" ht="12.75" customHeight="1">
      <c r="B113" s="216" t="s">
        <v>166</v>
      </c>
      <c r="C113" s="210"/>
      <c r="D113" s="213"/>
      <c r="E113" s="213"/>
      <c r="F113" s="213"/>
      <c r="G113" s="213"/>
      <c r="H113" s="983"/>
      <c r="I113" s="235"/>
      <c r="J113" s="229"/>
      <c r="N113" s="112"/>
      <c r="O113" s="112"/>
      <c r="P113" s="112"/>
      <c r="Q113" s="110"/>
    </row>
    <row r="114" spans="2:17" ht="12.75" customHeight="1">
      <c r="B114" s="230" t="s">
        <v>24</v>
      </c>
      <c r="C114" s="210" t="s">
        <v>319</v>
      </c>
      <c r="D114" s="1136"/>
      <c r="E114" s="1136"/>
      <c r="F114" s="1136"/>
      <c r="G114" s="1136"/>
      <c r="H114" s="999"/>
      <c r="I114" s="455"/>
      <c r="J114" s="229"/>
      <c r="N114" s="110"/>
      <c r="O114" s="110"/>
      <c r="P114" s="110"/>
      <c r="Q114" s="110"/>
    </row>
    <row r="115" spans="2:17" ht="12.75" customHeight="1">
      <c r="B115" s="230" t="s">
        <v>27</v>
      </c>
      <c r="C115" s="210" t="s">
        <v>319</v>
      </c>
      <c r="D115" s="1136"/>
      <c r="E115" s="1136"/>
      <c r="F115" s="1136"/>
      <c r="G115" s="1136"/>
      <c r="H115" s="999"/>
      <c r="I115" s="455"/>
      <c r="J115" s="229"/>
      <c r="N115" s="110"/>
      <c r="O115" s="110"/>
      <c r="P115" s="110"/>
      <c r="Q115" s="110"/>
    </row>
    <row r="116" spans="2:17" ht="12.75" customHeight="1">
      <c r="B116" s="230" t="s">
        <v>28</v>
      </c>
      <c r="C116" s="210" t="s">
        <v>319</v>
      </c>
      <c r="D116" s="1136"/>
      <c r="E116" s="1136"/>
      <c r="F116" s="1136"/>
      <c r="G116" s="1136"/>
      <c r="H116" s="999"/>
      <c r="I116" s="455"/>
      <c r="J116" s="229"/>
      <c r="N116" s="110"/>
      <c r="O116" s="110"/>
      <c r="P116" s="110"/>
      <c r="Q116" s="110"/>
    </row>
    <row r="117" spans="2:17" ht="12.75" customHeight="1">
      <c r="B117" s="230" t="s">
        <v>26</v>
      </c>
      <c r="C117" s="210" t="s">
        <v>319</v>
      </c>
      <c r="D117" s="1136"/>
      <c r="E117" s="1136"/>
      <c r="F117" s="1136"/>
      <c r="G117" s="1136"/>
      <c r="H117" s="999"/>
      <c r="I117" s="455"/>
      <c r="J117" s="229"/>
      <c r="N117" s="110"/>
      <c r="O117" s="110"/>
      <c r="P117" s="110"/>
      <c r="Q117" s="110"/>
    </row>
    <row r="118" spans="2:17" ht="12.75" customHeight="1">
      <c r="B118" s="230" t="s">
        <v>25</v>
      </c>
      <c r="C118" s="210" t="s">
        <v>319</v>
      </c>
      <c r="D118" s="1136"/>
      <c r="E118" s="1136"/>
      <c r="F118" s="1136"/>
      <c r="G118" s="1136"/>
      <c r="H118" s="999"/>
      <c r="I118" s="455"/>
      <c r="J118" s="229"/>
      <c r="N118" s="112"/>
      <c r="O118" s="112"/>
      <c r="P118" s="112"/>
      <c r="Q118" s="112"/>
    </row>
    <row r="119" spans="2:17" ht="12.75" customHeight="1">
      <c r="B119" s="230" t="s">
        <v>45</v>
      </c>
      <c r="C119" s="210" t="s">
        <v>319</v>
      </c>
      <c r="D119" s="1137"/>
      <c r="E119" s="1137"/>
      <c r="F119" s="1137"/>
      <c r="G119" s="1137"/>
      <c r="H119" s="1000"/>
      <c r="I119" s="455"/>
      <c r="J119" s="229"/>
    </row>
    <row r="120" spans="2:17" ht="12.75" customHeight="1" thickBot="1">
      <c r="B120" s="113"/>
      <c r="C120" s="238"/>
      <c r="D120" s="96"/>
      <c r="E120" s="244"/>
      <c r="F120" s="244"/>
      <c r="G120" s="244"/>
      <c r="H120" s="968"/>
      <c r="I120" s="239"/>
      <c r="J120" s="240"/>
    </row>
    <row r="121" spans="2:17" ht="12.75" customHeight="1"/>
    <row r="122" spans="2:17" ht="18.75" thickBot="1">
      <c r="B122" s="1111" t="s">
        <v>2023</v>
      </c>
      <c r="C122" s="215"/>
      <c r="D122" s="215"/>
      <c r="E122" s="215"/>
      <c r="F122" s="215"/>
      <c r="G122" s="215"/>
      <c r="I122" s="215"/>
      <c r="J122" s="215"/>
    </row>
    <row r="123" spans="2:17" ht="12.75" customHeight="1">
      <c r="B123" s="339"/>
      <c r="C123" s="137" t="s">
        <v>1438</v>
      </c>
      <c r="D123" s="138">
        <v>2015</v>
      </c>
      <c r="E123" s="137">
        <v>2020</v>
      </c>
      <c r="F123" s="137">
        <v>2035</v>
      </c>
      <c r="G123" s="137">
        <v>2050</v>
      </c>
      <c r="H123" s="137"/>
      <c r="I123" s="80" t="s">
        <v>145</v>
      </c>
      <c r="J123" s="139" t="s">
        <v>146</v>
      </c>
    </row>
    <row r="124" spans="2:17" ht="12.75" customHeight="1">
      <c r="B124" s="247" t="s">
        <v>317</v>
      </c>
      <c r="C124" s="210" t="s">
        <v>318</v>
      </c>
      <c r="D124" s="461">
        <f>VLOOKUP($C$11,Feedstocks!$B$10:$D$23,3,0)</f>
        <v>43</v>
      </c>
      <c r="E124" s="461">
        <f>VLOOKUP($C$11,Feedstocks!$B$10:$D$23,3,0)</f>
        <v>43</v>
      </c>
      <c r="F124" s="461">
        <f>VLOOKUP($C$11,Feedstocks!$B$10:$D$23,3,0)</f>
        <v>43</v>
      </c>
      <c r="G124" s="461">
        <f>VLOOKUP($C$11,Feedstocks!$B$10:$D$23,3,0)</f>
        <v>43</v>
      </c>
      <c r="H124" s="461"/>
    </row>
    <row r="125" spans="2:17" ht="12.75" customHeight="1">
      <c r="B125" s="247" t="s">
        <v>153</v>
      </c>
      <c r="C125" s="210" t="s">
        <v>318</v>
      </c>
      <c r="D125" s="307">
        <f>SUM(D$132:D$134)*3.6/D$146/1000</f>
        <v>2.2168299418604653</v>
      </c>
      <c r="E125" s="307">
        <f>SUM(E$132:E$134)*3.6/E$146/1000</f>
        <v>2.2168299418604653</v>
      </c>
      <c r="F125" s="307">
        <f>SUM(F$132:F$134)*3.6/F$146/1000</f>
        <v>2.2168299418604653</v>
      </c>
      <c r="G125" s="307">
        <f>SUM(G$132:G$134)*3.6/G$146/1000</f>
        <v>2.2168299418604653</v>
      </c>
      <c r="H125" s="307"/>
    </row>
    <row r="126" spans="2:17" ht="12.75" customHeight="1">
      <c r="B126" s="247" t="s">
        <v>154</v>
      </c>
      <c r="C126" s="210" t="s">
        <v>318</v>
      </c>
      <c r="D126" s="307">
        <f>SUM(D$167:D$168,D$165:D$166)/D$33</f>
        <v>38.158276778824906</v>
      </c>
      <c r="E126" s="307">
        <f>SUM(E$167:E$168,E$165:E$166)/E$33</f>
        <v>38.158276778824906</v>
      </c>
      <c r="F126" s="307">
        <f>SUM(F$167:F$168,F$165:F$166)/F$33</f>
        <v>38.158276778824906</v>
      </c>
      <c r="G126" s="307">
        <f>SUM(G$167:G$168,G$165:G$166)/G$33</f>
        <v>38.158276778824906</v>
      </c>
      <c r="H126" s="307"/>
    </row>
    <row r="127" spans="2:17" ht="12.75" customHeight="1">
      <c r="B127" s="247" t="s">
        <v>2</v>
      </c>
      <c r="C127" s="210" t="s">
        <v>318</v>
      </c>
      <c r="D127" s="237">
        <f>D$32*D$31</f>
        <v>6.9227107558139531</v>
      </c>
      <c r="E127" s="237">
        <f>E$32*E$31</f>
        <v>6.9227107558139531</v>
      </c>
      <c r="F127" s="237">
        <f>F$32*F$31</f>
        <v>6.9227107558139531</v>
      </c>
      <c r="G127" s="237">
        <f>G$32*G$31</f>
        <v>6.9227107558139531</v>
      </c>
      <c r="H127" s="237"/>
    </row>
    <row r="128" spans="2:17" ht="12.75" customHeight="1">
      <c r="H128" s="523"/>
    </row>
    <row r="129" spans="2:10" ht="18.75" thickBot="1">
      <c r="B129" s="1111" t="s">
        <v>1453</v>
      </c>
      <c r="C129" s="215"/>
      <c r="D129" s="215"/>
      <c r="E129" s="215"/>
      <c r="F129" s="215"/>
      <c r="G129" s="1160" t="s">
        <v>1459</v>
      </c>
      <c r="H129" s="1160"/>
    </row>
    <row r="130" spans="2:10" s="215" customFormat="1" ht="12.75" customHeight="1">
      <c r="B130" s="1139"/>
      <c r="C130" s="1140" t="s">
        <v>1438</v>
      </c>
      <c r="D130" s="1141">
        <v>2015</v>
      </c>
      <c r="E130" s="1140">
        <v>2020</v>
      </c>
      <c r="F130" s="1140">
        <v>2035</v>
      </c>
      <c r="G130" s="1140">
        <v>2050</v>
      </c>
      <c r="H130" s="1140"/>
      <c r="I130" s="1142"/>
      <c r="J130" s="1143"/>
    </row>
    <row r="131" spans="2:10" ht="12.75" customHeight="1">
      <c r="B131" s="1144" t="str">
        <f>Diesel!B131</f>
        <v>Energiforbrug</v>
      </c>
      <c r="C131" s="1145"/>
      <c r="D131" s="1146"/>
      <c r="E131" s="1147"/>
      <c r="F131" s="1147"/>
      <c r="G131" s="1147"/>
      <c r="H131" s="1147"/>
      <c r="I131" s="1148"/>
      <c r="J131" s="1149"/>
    </row>
    <row r="132" spans="2:10" ht="12.75" customHeight="1">
      <c r="B132" s="1150" t="str">
        <f>Diesel!B132</f>
        <v>el-forbrug</v>
      </c>
      <c r="C132" s="1145" t="str">
        <f>Diesel!C132</f>
        <v>MWh/år</v>
      </c>
      <c r="D132" s="1151">
        <f>Diesel!D132</f>
        <v>177515</v>
      </c>
      <c r="E132" s="1152">
        <f>Diesel!E132</f>
        <v>177515</v>
      </c>
      <c r="F132" s="1152">
        <f>Diesel!F132</f>
        <v>177515</v>
      </c>
      <c r="G132" s="1152">
        <f>Diesel!G132</f>
        <v>177515</v>
      </c>
      <c r="H132" s="1152"/>
      <c r="I132" s="1405" t="str">
        <f>Diesel!I132</f>
        <v>35, Statoil, Grønt Regnskab 2012</v>
      </c>
      <c r="J132" s="1149" t="str">
        <f>Diesel!J132</f>
        <v>p.19, 2011 figures</v>
      </c>
    </row>
    <row r="133" spans="2:10" ht="12.75" customHeight="1">
      <c r="B133" s="1150" t="str">
        <f>Diesel!B133</f>
        <v>Dampforbrug</v>
      </c>
      <c r="C133" s="1145" t="str">
        <f>Diesel!C133</f>
        <v>MWh/år</v>
      </c>
      <c r="D133" s="1151">
        <f>Diesel!D133</f>
        <v>131478</v>
      </c>
      <c r="E133" s="1152">
        <f>Diesel!E133</f>
        <v>131478</v>
      </c>
      <c r="F133" s="1152">
        <f>Diesel!F133</f>
        <v>131478</v>
      </c>
      <c r="G133" s="1152">
        <f>Diesel!G133</f>
        <v>131478</v>
      </c>
      <c r="H133" s="1152"/>
      <c r="I133" s="1405" t="str">
        <f>Diesel!I133</f>
        <v>35, Statoil, Grønt Regnskab 2012</v>
      </c>
      <c r="J133" s="1149" t="str">
        <f>Diesel!J133</f>
        <v>p.19, 2011 figures</v>
      </c>
    </row>
    <row r="134" spans="2:10" ht="12.75" customHeight="1">
      <c r="B134" s="1150" t="str">
        <f>Diesel!B134</f>
        <v>Rafinaderigas</v>
      </c>
      <c r="C134" s="1145" t="str">
        <f>Diesel!C134</f>
        <v>MWh/år</v>
      </c>
      <c r="D134" s="1151">
        <f>Diesel!D134</f>
        <v>2232972</v>
      </c>
      <c r="E134" s="1152">
        <f>Diesel!E134</f>
        <v>2232972</v>
      </c>
      <c r="F134" s="1152">
        <f>Diesel!F134</f>
        <v>2232972</v>
      </c>
      <c r="G134" s="1152">
        <f>Diesel!G134</f>
        <v>2232972</v>
      </c>
      <c r="H134" s="1152"/>
      <c r="I134" s="1405" t="str">
        <f>Diesel!I134</f>
        <v>35, Statoil, Grønt Regnskab 2012</v>
      </c>
      <c r="J134" s="1149" t="str">
        <f>Diesel!J134</f>
        <v>p.19, 2011 figures</v>
      </c>
    </row>
    <row r="135" spans="2:10" ht="12.75" customHeight="1">
      <c r="B135" s="1150" t="str">
        <f>Diesel!B135</f>
        <v>Rafinaderigas</v>
      </c>
      <c r="C135" s="1145" t="str">
        <f>Diesel!C135</f>
        <v>Tons/år</v>
      </c>
      <c r="D135" s="1151">
        <f>Diesel!D135</f>
        <v>162250</v>
      </c>
      <c r="E135" s="1152">
        <f>Diesel!E135</f>
        <v>162250</v>
      </c>
      <c r="F135" s="1152">
        <f>Diesel!F135</f>
        <v>162250</v>
      </c>
      <c r="G135" s="1152">
        <f>Diesel!G135</f>
        <v>162250</v>
      </c>
      <c r="H135" s="1152"/>
      <c r="I135" s="1405" t="str">
        <f>Diesel!I135</f>
        <v>35, Statoil, Grønt Regnskab 2012</v>
      </c>
      <c r="J135" s="1149" t="str">
        <f>Diesel!J135</f>
        <v>p.19, 2011 figures</v>
      </c>
    </row>
    <row r="136" spans="2:10" ht="12.75" customHeight="1">
      <c r="B136" s="1150" t="str">
        <f>Diesel!B136</f>
        <v>Rafinaderigas</v>
      </c>
      <c r="C136" s="1145" t="str">
        <f>Diesel!C136</f>
        <v>MWh/Tons</v>
      </c>
      <c r="D136" s="1153">
        <f>Diesel!D136</f>
        <v>13.762539291217257</v>
      </c>
      <c r="E136" s="1154">
        <f>Diesel!E136</f>
        <v>13.762539291217257</v>
      </c>
      <c r="F136" s="1154">
        <f>Diesel!F136</f>
        <v>13.762539291217257</v>
      </c>
      <c r="G136" s="1154">
        <f>Diesel!G136</f>
        <v>13.762539291217257</v>
      </c>
      <c r="H136" s="1154"/>
      <c r="I136" s="1405"/>
      <c r="J136" s="1149"/>
    </row>
    <row r="137" spans="2:10" ht="12.75" customHeight="1">
      <c r="B137" s="1150" t="str">
        <f>Diesel!B137</f>
        <v>Rafinaderigas</v>
      </c>
      <c r="C137" s="1145" t="str">
        <f>Diesel!C137</f>
        <v>GJ/Tons</v>
      </c>
      <c r="D137" s="1153">
        <f>Diesel!D137</f>
        <v>49.545141448382125</v>
      </c>
      <c r="E137" s="1154">
        <f>Diesel!E137</f>
        <v>49.545141448382125</v>
      </c>
      <c r="F137" s="1154">
        <f>Diesel!F137</f>
        <v>49.545141448382125</v>
      </c>
      <c r="G137" s="1154">
        <f>Diesel!G137</f>
        <v>49.545141448382125</v>
      </c>
      <c r="H137" s="1154"/>
      <c r="I137" s="1405"/>
      <c r="J137" s="1149"/>
    </row>
    <row r="138" spans="2:10" ht="12.75" customHeight="1">
      <c r="B138" s="1150" t="str">
        <f>Diesel!B138</f>
        <v>Råolie</v>
      </c>
      <c r="C138" s="1145" t="str">
        <f>Diesel!C138</f>
        <v>GJ</v>
      </c>
      <c r="D138" s="1151">
        <f>Diesel!D138</f>
        <v>177504000</v>
      </c>
      <c r="E138" s="1152">
        <f>Diesel!E138</f>
        <v>177504000</v>
      </c>
      <c r="F138" s="1152">
        <f>Diesel!F138</f>
        <v>177504000</v>
      </c>
      <c r="G138" s="1152">
        <f>Diesel!G138</f>
        <v>177504000</v>
      </c>
      <c r="H138" s="1152"/>
      <c r="I138" s="1405"/>
      <c r="J138" s="1149" t="str">
        <f>Diesel!J138</f>
        <v>Antaget, at kondensat har samme energiindhold som råolie</v>
      </c>
    </row>
    <row r="139" spans="2:10" ht="12.75" customHeight="1">
      <c r="B139" s="1150" t="str">
        <f>Diesel!B139</f>
        <v>el-forbrug</v>
      </c>
      <c r="C139" s="1145" t="str">
        <f>Diesel!C139</f>
        <v>GJ/GJ råolie</v>
      </c>
      <c r="D139" s="1155">
        <f>Diesel!D139</f>
        <v>3.6002230935640888E-3</v>
      </c>
      <c r="E139" s="1156">
        <f>Diesel!E139</f>
        <v>3.6002230935640888E-3</v>
      </c>
      <c r="F139" s="1156">
        <f>Diesel!F139</f>
        <v>3.6002230935640888E-3</v>
      </c>
      <c r="G139" s="1156">
        <f>Diesel!G139</f>
        <v>3.6002230935640888E-3</v>
      </c>
      <c r="H139" s="1156"/>
      <c r="I139" s="1405"/>
      <c r="J139" s="1149"/>
    </row>
    <row r="140" spans="2:10" ht="12.75" customHeight="1">
      <c r="B140" s="1150" t="str">
        <f>Diesel!B140</f>
        <v>Dampforbrug</v>
      </c>
      <c r="C140" s="1145" t="str">
        <f>Diesel!C140</f>
        <v>GJ/GJ råolie</v>
      </c>
      <c r="D140" s="1155">
        <f>Diesel!D140</f>
        <v>2.6665359653866953E-3</v>
      </c>
      <c r="E140" s="1156">
        <f>Diesel!E140</f>
        <v>2.6665359653866953E-3</v>
      </c>
      <c r="F140" s="1156">
        <f>Diesel!F140</f>
        <v>2.6665359653866953E-3</v>
      </c>
      <c r="G140" s="1156">
        <f>Diesel!G140</f>
        <v>2.6665359653866953E-3</v>
      </c>
      <c r="H140" s="1156"/>
      <c r="I140" s="1405"/>
      <c r="J140" s="1149"/>
    </row>
    <row r="141" spans="2:10" ht="12.75" customHeight="1">
      <c r="B141" s="1150" t="str">
        <f>Diesel!B141</f>
        <v>Rafinaderigas</v>
      </c>
      <c r="C141" s="1145" t="str">
        <f>Diesel!C141</f>
        <v>GJ/GJ råolie</v>
      </c>
      <c r="D141" s="1155">
        <f>Diesel!D141</f>
        <v>4.5287425635478641E-2</v>
      </c>
      <c r="E141" s="1156">
        <f>Diesel!E141</f>
        <v>4.5287425635478641E-2</v>
      </c>
      <c r="F141" s="1156">
        <f>Diesel!F141</f>
        <v>4.5287425635478641E-2</v>
      </c>
      <c r="G141" s="1156">
        <f>Diesel!G141</f>
        <v>4.5287425635478641E-2</v>
      </c>
      <c r="H141" s="1156"/>
      <c r="I141" s="1405"/>
      <c r="J141" s="1149"/>
    </row>
    <row r="142" spans="2:10" ht="12.75" customHeight="1">
      <c r="B142" s="1150"/>
      <c r="C142" s="1145"/>
      <c r="D142" s="1151"/>
      <c r="E142" s="1152"/>
      <c r="F142" s="1152"/>
      <c r="G142" s="1152"/>
      <c r="H142" s="1152"/>
      <c r="I142" s="1405"/>
      <c r="J142" s="1149"/>
    </row>
    <row r="143" spans="2:10" ht="12.75" customHeight="1">
      <c r="B143" s="1150" t="str">
        <f>Diesel!B143</f>
        <v>Input</v>
      </c>
      <c r="C143" s="1145"/>
      <c r="D143" s="1151"/>
      <c r="E143" s="1152"/>
      <c r="F143" s="1152"/>
      <c r="G143" s="1152"/>
      <c r="H143" s="1152"/>
      <c r="I143" s="1405"/>
      <c r="J143" s="1149"/>
    </row>
    <row r="144" spans="2:10" ht="12.75" customHeight="1">
      <c r="B144" s="1150" t="str">
        <f>Diesel!B144</f>
        <v>Råolie</v>
      </c>
      <c r="C144" s="1145" t="str">
        <f>Diesel!C144</f>
        <v>1000 ton</v>
      </c>
      <c r="D144" s="1151">
        <f>Diesel!D144</f>
        <v>3365</v>
      </c>
      <c r="E144" s="1152">
        <f>Diesel!E144</f>
        <v>3365</v>
      </c>
      <c r="F144" s="1152">
        <f>Diesel!F144</f>
        <v>3365</v>
      </c>
      <c r="G144" s="1152">
        <f>Diesel!G144</f>
        <v>3365</v>
      </c>
      <c r="H144" s="1152"/>
      <c r="I144" s="1405" t="str">
        <f>Diesel!I144</f>
        <v>35, Statoil, Grønt Regnskab 2012</v>
      </c>
      <c r="J144" s="1149" t="str">
        <f>Diesel!J144</f>
        <v>p.19, 2011 figures</v>
      </c>
    </row>
    <row r="145" spans="2:10" ht="12.75" customHeight="1">
      <c r="B145" s="1150" t="str">
        <f>Diesel!B145</f>
        <v>Kondensat</v>
      </c>
      <c r="C145" s="1145" t="str">
        <f>Diesel!C145</f>
        <v>1000 ton</v>
      </c>
      <c r="D145" s="1151">
        <f>Diesel!D145</f>
        <v>763</v>
      </c>
      <c r="E145" s="1152">
        <f>Diesel!E145</f>
        <v>763</v>
      </c>
      <c r="F145" s="1152">
        <f>Diesel!F145</f>
        <v>763</v>
      </c>
      <c r="G145" s="1152">
        <f>Diesel!G145</f>
        <v>763</v>
      </c>
      <c r="H145" s="1152"/>
      <c r="I145" s="1405" t="str">
        <f>Diesel!I145</f>
        <v>35, Statoil, Grønt Regnskab 2012</v>
      </c>
      <c r="J145" s="1149" t="str">
        <f>Diesel!J145</f>
        <v>p.19, 2011 figures</v>
      </c>
    </row>
    <row r="146" spans="2:10" s="215" customFormat="1" ht="12.75" customHeight="1">
      <c r="B146" s="1157" t="str">
        <f>Diesel!B146</f>
        <v>Total</v>
      </c>
      <c r="C146" s="1145" t="str">
        <f>Diesel!C146</f>
        <v>1000 ton</v>
      </c>
      <c r="D146" s="1151">
        <f>Diesel!D146</f>
        <v>4128</v>
      </c>
      <c r="E146" s="1152">
        <f>Diesel!E146</f>
        <v>4128</v>
      </c>
      <c r="F146" s="1152">
        <f>Diesel!F146</f>
        <v>4128</v>
      </c>
      <c r="G146" s="1152">
        <f>Diesel!G146</f>
        <v>4128</v>
      </c>
      <c r="H146" s="1152"/>
      <c r="I146" s="1405"/>
      <c r="J146" s="1149"/>
    </row>
    <row r="147" spans="2:10" ht="12.75" customHeight="1">
      <c r="B147" s="1150"/>
      <c r="C147" s="1145"/>
      <c r="D147" s="1151"/>
      <c r="E147" s="1152"/>
      <c r="F147" s="1152"/>
      <c r="G147" s="1152"/>
      <c r="H147" s="1152"/>
      <c r="I147" s="1405"/>
      <c r="J147" s="1149"/>
    </row>
    <row r="148" spans="2:10" ht="12.75" customHeight="1">
      <c r="B148" s="1150" t="str">
        <f>Diesel!B148</f>
        <v>Output</v>
      </c>
      <c r="C148" s="1145"/>
      <c r="D148" s="1151"/>
      <c r="E148" s="1152"/>
      <c r="F148" s="1152"/>
      <c r="G148" s="1152"/>
      <c r="H148" s="1152"/>
      <c r="I148" s="1405"/>
      <c r="J148" s="1149"/>
    </row>
    <row r="149" spans="2:10" ht="12.75" customHeight="1">
      <c r="B149" s="1150" t="str">
        <f>Diesel!B149</f>
        <v>Raffinaderigas</v>
      </c>
      <c r="C149" s="1145" t="str">
        <f>Diesel!C149</f>
        <v>1000 ton</v>
      </c>
      <c r="D149" s="1151">
        <f>Diesel!D149</f>
        <v>223</v>
      </c>
      <c r="E149" s="1152">
        <f>Diesel!E149</f>
        <v>223</v>
      </c>
      <c r="F149" s="1152">
        <f>Diesel!F149</f>
        <v>223</v>
      </c>
      <c r="G149" s="1152">
        <f>Diesel!G149</f>
        <v>223</v>
      </c>
      <c r="H149" s="1152"/>
      <c r="I149" s="1405" t="str">
        <f>Diesel!I149</f>
        <v>35, Statoil, Grønt Regnskab 2012</v>
      </c>
      <c r="J149" s="1149" t="str">
        <f>Diesel!J149</f>
        <v>p.19, 2011 figures</v>
      </c>
    </row>
    <row r="150" spans="2:10" ht="12.75" customHeight="1">
      <c r="B150" s="1150" t="str">
        <f>Diesel!B150</f>
        <v>Benzin/nafta</v>
      </c>
      <c r="C150" s="1145" t="str">
        <f>Diesel!C150</f>
        <v>1000 ton</v>
      </c>
      <c r="D150" s="1151">
        <f>Diesel!D150</f>
        <v>1401</v>
      </c>
      <c r="E150" s="1152">
        <f>Diesel!E150</f>
        <v>1401</v>
      </c>
      <c r="F150" s="1152">
        <f>Diesel!F150</f>
        <v>1401</v>
      </c>
      <c r="G150" s="1152">
        <f>Diesel!G150</f>
        <v>1401</v>
      </c>
      <c r="H150" s="1152"/>
      <c r="I150" s="1405" t="str">
        <f>Diesel!I150</f>
        <v>35, Statoil, Grønt Regnskab 2012</v>
      </c>
      <c r="J150" s="1149" t="str">
        <f>Diesel!J150</f>
        <v>p.19, 2011 figures</v>
      </c>
    </row>
    <row r="151" spans="2:10" ht="12.75" customHeight="1">
      <c r="B151" s="1150" t="str">
        <f>Diesel!B151</f>
        <v>Jet fuel/kerosin</v>
      </c>
      <c r="C151" s="1145" t="str">
        <f>Diesel!C151</f>
        <v>1000 ton</v>
      </c>
      <c r="D151" s="1151">
        <f>Diesel!D151</f>
        <v>39</v>
      </c>
      <c r="E151" s="1152">
        <f>Diesel!E151</f>
        <v>39</v>
      </c>
      <c r="F151" s="1152">
        <f>Diesel!F151</f>
        <v>39</v>
      </c>
      <c r="G151" s="1152">
        <f>Diesel!G151</f>
        <v>39</v>
      </c>
      <c r="H151" s="1152"/>
      <c r="I151" s="1405" t="str">
        <f>Diesel!I151</f>
        <v>35, Statoil, Grønt Regnskab 2012</v>
      </c>
      <c r="J151" s="1149" t="str">
        <f>Diesel!J151</f>
        <v>p.19, 2011 figures</v>
      </c>
    </row>
    <row r="152" spans="2:10" ht="12.75" customHeight="1">
      <c r="B152" s="1150" t="str">
        <f>Diesel!B152</f>
        <v>Autodiesel &amp; fyringsolie</v>
      </c>
      <c r="C152" s="1145" t="str">
        <f>Diesel!C152</f>
        <v>1000 ton</v>
      </c>
      <c r="D152" s="1151">
        <f>Diesel!D152</f>
        <v>1954</v>
      </c>
      <c r="E152" s="1152">
        <f>Diesel!E152</f>
        <v>1954</v>
      </c>
      <c r="F152" s="1152">
        <f>Diesel!F152</f>
        <v>1954</v>
      </c>
      <c r="G152" s="1152">
        <f>Diesel!G152</f>
        <v>1954</v>
      </c>
      <c r="H152" s="1152"/>
      <c r="I152" s="1405" t="str">
        <f>Diesel!I152</f>
        <v>35, Statoil, Grønt Regnskab 2012</v>
      </c>
      <c r="J152" s="1149" t="str">
        <f>Diesel!J152</f>
        <v>p.19, 2011 figures</v>
      </c>
    </row>
    <row r="153" spans="2:10" ht="12.75" customHeight="1">
      <c r="B153" s="1150" t="str">
        <f>Diesel!B153</f>
        <v>Brændselsolie</v>
      </c>
      <c r="C153" s="1145" t="str">
        <f>Diesel!C153</f>
        <v>1000 ton</v>
      </c>
      <c r="D153" s="1151">
        <f>Diesel!D153</f>
        <v>703</v>
      </c>
      <c r="E153" s="1152">
        <f>Diesel!E153</f>
        <v>703</v>
      </c>
      <c r="F153" s="1152">
        <f>Diesel!F153</f>
        <v>703</v>
      </c>
      <c r="G153" s="1152">
        <f>Diesel!G153</f>
        <v>703</v>
      </c>
      <c r="H153" s="1152"/>
      <c r="I153" s="1405" t="str">
        <f>Diesel!I153</f>
        <v>35, Statoil, Grønt Regnskab 2012</v>
      </c>
      <c r="J153" s="1149" t="str">
        <f>Diesel!J153</f>
        <v>p.19, 2011 figures</v>
      </c>
    </row>
    <row r="154" spans="2:10" ht="12.75" customHeight="1">
      <c r="B154" s="1150" t="str">
        <f>Diesel!B154</f>
        <v>Svovl</v>
      </c>
      <c r="C154" s="1145" t="str">
        <f>Diesel!C154</f>
        <v>1000 ton</v>
      </c>
      <c r="D154" s="1151">
        <f>Diesel!D154</f>
        <v>6.4</v>
      </c>
      <c r="E154" s="1152">
        <f>Diesel!E154</f>
        <v>6.4</v>
      </c>
      <c r="F154" s="1152">
        <f>Diesel!F154</f>
        <v>6.4</v>
      </c>
      <c r="G154" s="1152">
        <f>Diesel!G154</f>
        <v>6.4</v>
      </c>
      <c r="H154" s="1152"/>
      <c r="I154" s="1405" t="str">
        <f>Diesel!I154</f>
        <v>35, Statoil, Grønt Regnskab 2012</v>
      </c>
      <c r="J154" s="1149" t="str">
        <f>Diesel!J154</f>
        <v>p.19, 2011 figures</v>
      </c>
    </row>
    <row r="155" spans="2:10" ht="12.75" customHeight="1">
      <c r="B155" s="1150"/>
      <c r="C155" s="1145"/>
      <c r="D155" s="1151"/>
      <c r="E155" s="1152"/>
      <c r="F155" s="1152"/>
      <c r="G155" s="1152"/>
      <c r="H155" s="1152"/>
      <c r="I155" s="1405"/>
      <c r="J155" s="1149"/>
    </row>
    <row r="156" spans="2:10" ht="12.75" customHeight="1">
      <c r="B156" s="1150" t="str">
        <f>Diesel!B156</f>
        <v>Output</v>
      </c>
      <c r="C156" s="1145"/>
      <c r="D156" s="1151"/>
      <c r="E156" s="1152"/>
      <c r="F156" s="1152"/>
      <c r="G156" s="1152"/>
      <c r="H156" s="1152"/>
      <c r="I156" s="1405"/>
      <c r="J156" s="1149"/>
    </row>
    <row r="157" spans="2:10" ht="12.75" customHeight="1">
      <c r="B157" s="1150" t="str">
        <f>Diesel!B157</f>
        <v>Raffinaderigas</v>
      </c>
      <c r="C157" s="1145" t="str">
        <f>Diesel!C157</f>
        <v>t/t råolie</v>
      </c>
      <c r="D157" s="1158">
        <f>Diesel!D157</f>
        <v>5.4021317829457363E-2</v>
      </c>
      <c r="E157" s="1159">
        <f>Diesel!E157</f>
        <v>5.4021317829457363E-2</v>
      </c>
      <c r="F157" s="1159">
        <f>Diesel!F157</f>
        <v>5.4021317829457363E-2</v>
      </c>
      <c r="G157" s="1159">
        <f>Diesel!G157</f>
        <v>5.4021317829457363E-2</v>
      </c>
      <c r="H157" s="1159"/>
      <c r="I157" s="1405"/>
      <c r="J157" s="1149"/>
    </row>
    <row r="158" spans="2:10" ht="12.75" customHeight="1">
      <c r="B158" s="1150" t="str">
        <f>Diesel!B158</f>
        <v>Benzin/nafta</v>
      </c>
      <c r="C158" s="1145" t="str">
        <f>Diesel!C158</f>
        <v>t/t råolie</v>
      </c>
      <c r="D158" s="1158">
        <f>Diesel!D158</f>
        <v>0.33938953488372092</v>
      </c>
      <c r="E158" s="1159">
        <f>Diesel!E158</f>
        <v>0.33938953488372092</v>
      </c>
      <c r="F158" s="1159">
        <f>Diesel!F158</f>
        <v>0.33938953488372092</v>
      </c>
      <c r="G158" s="1159">
        <f>Diesel!G158</f>
        <v>0.33938953488372092</v>
      </c>
      <c r="H158" s="1159"/>
      <c r="I158" s="1405"/>
      <c r="J158" s="1149"/>
    </row>
    <row r="159" spans="2:10" ht="12.75" customHeight="1">
      <c r="B159" s="1150" t="str">
        <f>Diesel!B159</f>
        <v>Jet fuel/kerosin</v>
      </c>
      <c r="C159" s="1145" t="str">
        <f>Diesel!C159</f>
        <v>t/t råolie</v>
      </c>
      <c r="D159" s="1158">
        <f>Diesel!D159</f>
        <v>9.4476744186046506E-3</v>
      </c>
      <c r="E159" s="1159">
        <f>Diesel!E159</f>
        <v>9.4476744186046506E-3</v>
      </c>
      <c r="F159" s="1159">
        <f>Diesel!F159</f>
        <v>9.4476744186046506E-3</v>
      </c>
      <c r="G159" s="1159">
        <f>Diesel!G159</f>
        <v>9.4476744186046506E-3</v>
      </c>
      <c r="H159" s="1159"/>
      <c r="I159" s="1405"/>
      <c r="J159" s="1149"/>
    </row>
    <row r="160" spans="2:10" ht="12.75" customHeight="1">
      <c r="B160" s="1150" t="str">
        <f>Diesel!B160</f>
        <v>Autodiesel &amp; fyringsolie</v>
      </c>
      <c r="C160" s="1145" t="str">
        <f>Diesel!C160</f>
        <v>t/t råolie</v>
      </c>
      <c r="D160" s="1158">
        <f>Diesel!D160</f>
        <v>0.47335271317829458</v>
      </c>
      <c r="E160" s="1159">
        <f>Diesel!E160</f>
        <v>0.47335271317829458</v>
      </c>
      <c r="F160" s="1159">
        <f>Diesel!F160</f>
        <v>0.47335271317829458</v>
      </c>
      <c r="G160" s="1159">
        <f>Diesel!G160</f>
        <v>0.47335271317829458</v>
      </c>
      <c r="H160" s="1159"/>
      <c r="I160" s="1405"/>
      <c r="J160" s="1149"/>
    </row>
    <row r="161" spans="2:15" s="215" customFormat="1" ht="12.75" customHeight="1">
      <c r="B161" s="1150" t="str">
        <f>Diesel!B161</f>
        <v>Brændselsolie</v>
      </c>
      <c r="C161" s="1145" t="str">
        <f>Diesel!C161</f>
        <v>t/t råolie</v>
      </c>
      <c r="D161" s="1158">
        <f>Diesel!D161</f>
        <v>0.17030038759689922</v>
      </c>
      <c r="E161" s="1159">
        <f>Diesel!E161</f>
        <v>0.17030038759689922</v>
      </c>
      <c r="F161" s="1159">
        <f>Diesel!F161</f>
        <v>0.17030038759689922</v>
      </c>
      <c r="G161" s="1159">
        <f>Diesel!G161</f>
        <v>0.17030038759689922</v>
      </c>
      <c r="H161" s="1159"/>
      <c r="I161" s="1405"/>
      <c r="J161" s="1149"/>
    </row>
    <row r="162" spans="2:15" ht="12.75" customHeight="1">
      <c r="B162" s="1150" t="str">
        <f>Diesel!B162</f>
        <v>Svovl</v>
      </c>
      <c r="C162" s="1145" t="str">
        <f>Diesel!C162</f>
        <v>t/t råolie</v>
      </c>
      <c r="D162" s="1158">
        <f>Diesel!D162</f>
        <v>1.5503875968992248E-3</v>
      </c>
      <c r="E162" s="1159">
        <f>Diesel!E162</f>
        <v>1.5503875968992248E-3</v>
      </c>
      <c r="F162" s="1159">
        <f>Diesel!F162</f>
        <v>1.5503875968992248E-3</v>
      </c>
      <c r="G162" s="1159">
        <f>Diesel!G162</f>
        <v>1.5503875968992248E-3</v>
      </c>
      <c r="H162" s="1159"/>
      <c r="I162" s="1405"/>
      <c r="J162" s="1149"/>
    </row>
    <row r="163" spans="2:15" ht="12.75" customHeight="1">
      <c r="B163" s="1150"/>
      <c r="C163" s="1145"/>
      <c r="D163" s="1151"/>
      <c r="E163" s="1152"/>
      <c r="F163" s="1152"/>
      <c r="G163" s="1152"/>
      <c r="H163" s="1152"/>
      <c r="I163" s="1405"/>
      <c r="J163" s="1149"/>
    </row>
    <row r="164" spans="2:15" ht="12.75" customHeight="1">
      <c r="B164" s="1157" t="str">
        <f>Diesel!B164</f>
        <v>Output, based on max max capacity</v>
      </c>
      <c r="C164" s="1145"/>
      <c r="D164" s="1151"/>
      <c r="E164" s="1152"/>
      <c r="F164" s="1152"/>
      <c r="G164" s="1152"/>
      <c r="H164" s="1152"/>
      <c r="I164" s="1405"/>
      <c r="J164" s="1149"/>
    </row>
    <row r="165" spans="2:15" ht="12.75" customHeight="1">
      <c r="B165" s="1150" t="str">
        <f>Diesel!B165</f>
        <v>Raffinaderigas</v>
      </c>
      <c r="C165" s="1145" t="str">
        <f>Diesel!C165</f>
        <v>GJ</v>
      </c>
      <c r="D165" s="1151">
        <f>Diesel!D165</f>
        <v>12579521.015515819</v>
      </c>
      <c r="E165" s="1152">
        <f>Diesel!E165</f>
        <v>12579521.015515819</v>
      </c>
      <c r="F165" s="1152">
        <f>Diesel!F165</f>
        <v>12579521.015515819</v>
      </c>
      <c r="G165" s="1152">
        <f>Diesel!G165</f>
        <v>12579521.015515819</v>
      </c>
      <c r="H165" s="1152"/>
      <c r="I165" s="1405"/>
      <c r="J165" s="1149"/>
    </row>
    <row r="166" spans="2:15" ht="12.75" customHeight="1">
      <c r="B166" s="1150" t="str">
        <f>Diesel!B166</f>
        <v>Benzin/nafta</v>
      </c>
      <c r="C166" s="1145" t="str">
        <f>Diesel!C166</f>
        <v>GJ</v>
      </c>
      <c r="D166" s="1151">
        <f>Diesel!D166</f>
        <v>69866729.651162788</v>
      </c>
      <c r="E166" s="1152">
        <f>Diesel!E166</f>
        <v>69866729.651162788</v>
      </c>
      <c r="F166" s="1152">
        <f>Diesel!F166</f>
        <v>69866729.651162788</v>
      </c>
      <c r="G166" s="1152">
        <f>Diesel!G166</f>
        <v>69866729.651162788</v>
      </c>
      <c r="H166" s="1152"/>
      <c r="I166" s="1405"/>
      <c r="J166" s="1149"/>
      <c r="L166" s="523">
        <v>2035</v>
      </c>
    </row>
    <row r="167" spans="2:15" ht="12.75" customHeight="1">
      <c r="B167" s="1150" t="str">
        <f>Diesel!B167</f>
        <v>Jet fuel/kerosin</v>
      </c>
      <c r="C167" s="1145" t="str">
        <f>Diesel!C167</f>
        <v>GJ</v>
      </c>
      <c r="D167" s="1151">
        <f>Diesel!D167</f>
        <v>1900494.1860465112</v>
      </c>
      <c r="E167" s="1152">
        <f>Diesel!E167</f>
        <v>1900494.1860465112</v>
      </c>
      <c r="F167" s="1152">
        <f>Diesel!F167</f>
        <v>1900494.1860465112</v>
      </c>
      <c r="G167" s="1152">
        <f>Diesel!G167</f>
        <v>1900494.1860465112</v>
      </c>
      <c r="H167" s="1152"/>
      <c r="I167" s="1405"/>
      <c r="J167" s="1149"/>
      <c r="K167" s="523" t="s">
        <v>319</v>
      </c>
      <c r="L167" s="95" t="s">
        <v>325</v>
      </c>
      <c r="M167" s="523" t="s">
        <v>326</v>
      </c>
      <c r="N167" s="523" t="s">
        <v>327</v>
      </c>
      <c r="O167" s="523" t="s">
        <v>319</v>
      </c>
    </row>
    <row r="168" spans="2:15" ht="12.75" customHeight="1">
      <c r="B168" s="1150" t="str">
        <f>Diesel!B168</f>
        <v>Autodiesel &amp; fyringsolie</v>
      </c>
      <c r="C168" s="1145" t="str">
        <f>Diesel!C168</f>
        <v>GJ</v>
      </c>
      <c r="D168" s="1151">
        <f>Diesel!D168</f>
        <v>94997156.007751942</v>
      </c>
      <c r="E168" s="1152">
        <f>Diesel!E168</f>
        <v>94997156.007751942</v>
      </c>
      <c r="F168" s="1152">
        <f>Diesel!F168</f>
        <v>94997156.007751942</v>
      </c>
      <c r="G168" s="1152">
        <f>Diesel!G168</f>
        <v>94997156.007751942</v>
      </c>
      <c r="H168" s="1152"/>
      <c r="I168" s="1405"/>
      <c r="J168" s="1149"/>
      <c r="L168" s="95" t="s">
        <v>59</v>
      </c>
      <c r="M168" s="523" t="s">
        <v>59</v>
      </c>
      <c r="N168" s="523" t="s">
        <v>59</v>
      </c>
    </row>
    <row r="169" spans="2:15" ht="12.75" customHeight="1">
      <c r="B169" s="1150" t="str">
        <f>Diesel!B169</f>
        <v>Brændselsolie</v>
      </c>
      <c r="C169" s="1145" t="str">
        <f>Diesel!C169</f>
        <v>GJ</v>
      </c>
      <c r="D169" s="1151">
        <f>Diesel!D169</f>
        <v>32536740.55232558</v>
      </c>
      <c r="E169" s="1152">
        <f>Diesel!E169</f>
        <v>32536740.55232558</v>
      </c>
      <c r="F169" s="1152">
        <f>Diesel!F169</f>
        <v>32536740.55232558</v>
      </c>
      <c r="G169" s="1152">
        <f>Diesel!G169</f>
        <v>32536740.55232558</v>
      </c>
      <c r="H169" s="1152"/>
      <c r="I169" s="1405"/>
      <c r="J169" s="1149"/>
      <c r="K169" s="523">
        <f>J169/$E$137</f>
        <v>0</v>
      </c>
      <c r="L169" s="306">
        <f>514584000</f>
        <v>514584000</v>
      </c>
      <c r="M169" s="165" t="e">
        <f>IF(Cockpit!$B$11=1,0,ProcessEnergy!#REF!*$F$134)</f>
        <v>#REF!</v>
      </c>
      <c r="N169" s="165" t="e">
        <f>M169+L169</f>
        <v>#REF!</v>
      </c>
      <c r="O169" s="523" t="e">
        <f>N169/$F$137</f>
        <v>#REF!</v>
      </c>
    </row>
    <row r="170" spans="2:15" ht="12.75" customHeight="1">
      <c r="B170" s="1150"/>
      <c r="C170" s="1145"/>
      <c r="D170" s="1151"/>
      <c r="E170" s="1152"/>
      <c r="F170" s="1152"/>
      <c r="G170" s="1152"/>
      <c r="H170" s="1152"/>
      <c r="I170" s="1405"/>
      <c r="J170" s="1149"/>
      <c r="K170" s="523">
        <f>J170/$E$137</f>
        <v>0</v>
      </c>
      <c r="L170" s="306">
        <v>300000</v>
      </c>
      <c r="M170" s="165" t="e">
        <f>ProcessEnergy!#REF!/1000*$F$134</f>
        <v>#REF!</v>
      </c>
      <c r="N170" s="165" t="e">
        <f>M170+L170</f>
        <v>#REF!</v>
      </c>
      <c r="O170" s="523" t="e">
        <f>N170/$F$137</f>
        <v>#REF!</v>
      </c>
    </row>
    <row r="171" spans="2:15" ht="12.75" customHeight="1">
      <c r="B171" s="1157" t="str">
        <f>Diesel!B171</f>
        <v>Importpriser (CIF)</v>
      </c>
      <c r="C171" s="1145"/>
      <c r="D171" s="1151"/>
      <c r="E171" s="1152"/>
      <c r="F171" s="1152"/>
      <c r="G171" s="1152"/>
      <c r="H171" s="1152"/>
      <c r="I171" s="1405"/>
      <c r="J171" s="1149"/>
      <c r="K171" s="523">
        <f>J171/$E$137</f>
        <v>0</v>
      </c>
      <c r="L171" s="306">
        <v>413000</v>
      </c>
      <c r="M171" s="165" t="e">
        <f>ProcessEnergy!#REF!/1000*$F$134</f>
        <v>#REF!</v>
      </c>
      <c r="N171" s="165" t="e">
        <f>M171+L171</f>
        <v>#REF!</v>
      </c>
      <c r="O171" s="523" t="e">
        <f>N171/$F$137</f>
        <v>#REF!</v>
      </c>
    </row>
    <row r="172" spans="2:15" ht="12.75" customHeight="1">
      <c r="B172" s="1157" t="str">
        <f>Diesel!B172</f>
        <v>Råolie pris CIF</v>
      </c>
      <c r="C172" s="1145" t="str">
        <f>Diesel!C172</f>
        <v>DKK/GJ</v>
      </c>
      <c r="D172" s="1151">
        <f ca="1">Diesel!D172</f>
        <v>107.82999339926188</v>
      </c>
      <c r="E172" s="1152">
        <f ca="1">Diesel!E172</f>
        <v>110.93829023950966</v>
      </c>
      <c r="F172" s="1152">
        <f ca="1">Diesel!F172</f>
        <v>122.1762414485604</v>
      </c>
      <c r="G172" s="1152">
        <f ca="1">Diesel!G172</f>
        <v>122.1762414485604</v>
      </c>
      <c r="H172" s="1152"/>
      <c r="I172" s="1405" t="str">
        <f>Diesel!I172</f>
        <v>31, Forudsætninger for samfundsøkonomiske analyser på energiområdet. Energistyrelsen. April 2011, opdateret dataark oktober 2012</v>
      </c>
      <c r="J172" s="1149" t="str">
        <f>Diesel!J172</f>
        <v>Tabel 4</v>
      </c>
    </row>
    <row r="173" spans="2:15" ht="12.75" customHeight="1">
      <c r="B173" s="1157" t="str">
        <f>Diesel!B173</f>
        <v>Benzin pris CIF</v>
      </c>
      <c r="C173" s="1145" t="str">
        <f>Diesel!C173</f>
        <v>DKK/GJ</v>
      </c>
      <c r="D173" s="1151">
        <f ca="1">Diesel!D173</f>
        <v>124.11626091168741</v>
      </c>
      <c r="E173" s="1152">
        <f ca="1">Diesel!E173</f>
        <v>127.62898527711253</v>
      </c>
      <c r="F173" s="1152">
        <f ca="1">Diesel!F173</f>
        <v>136.88980405868782</v>
      </c>
      <c r="G173" s="1152">
        <f ca="1">Diesel!G173</f>
        <v>136.88980405868782</v>
      </c>
      <c r="H173" s="1152"/>
      <c r="I173" s="1405" t="str">
        <f>Diesel!I173</f>
        <v>31, Forudsætninger for samfundsøkonomiske analyser på energiområdet. Energistyrelsen. April 2011, opdateret dataark oktober 2012</v>
      </c>
      <c r="J173" s="1149" t="str">
        <f>Diesel!J173</f>
        <v>Tabel 4</v>
      </c>
    </row>
    <row r="174" spans="2:15" ht="12.75" customHeight="1">
      <c r="B174" s="1157" t="str">
        <f>Diesel!B174</f>
        <v>JP1 pris CIF</v>
      </c>
      <c r="C174" s="1145" t="str">
        <f>Diesel!C174</f>
        <v>DKK/GJ</v>
      </c>
      <c r="D174" s="1151">
        <f ca="1">Diesel!D174</f>
        <v>131.56749441410432</v>
      </c>
      <c r="E174" s="1152">
        <f ca="1">Diesel!E174</f>
        <v>135.08021877952945</v>
      </c>
      <c r="F174" s="1152">
        <f ca="1">Diesel!F174</f>
        <v>144.23459136821307</v>
      </c>
      <c r="G174" s="1152">
        <f ca="1">Diesel!G174</f>
        <v>144.23459136821307</v>
      </c>
      <c r="H174" s="1152"/>
      <c r="I174" s="1405" t="str">
        <f>Diesel!I174</f>
        <v>31, Forudsætninger for samfundsøkonomiske analyser på energiområdet. Energistyrelsen. April 2011, opdateret dataark oktober 2012</v>
      </c>
      <c r="J174" s="1149" t="str">
        <f>Diesel!J174</f>
        <v>Tabel 4</v>
      </c>
    </row>
    <row r="175" spans="2:15" ht="12.75" customHeight="1">
      <c r="B175" s="1157" t="str">
        <f>Diesel!B175</f>
        <v>Diesel pris CIF</v>
      </c>
      <c r="C175" s="1145" t="str">
        <f>Diesel!C175</f>
        <v>DKK/GJ</v>
      </c>
      <c r="D175" s="1151">
        <f ca="1">Diesel!D175</f>
        <v>122.83890659698737</v>
      </c>
      <c r="E175" s="1152">
        <f ca="1">Diesel!E175</f>
        <v>126.35163096241249</v>
      </c>
      <c r="F175" s="1152">
        <f ca="1">Diesel!F175</f>
        <v>135.61244974398781</v>
      </c>
      <c r="G175" s="1152">
        <f ca="1">Diesel!G175</f>
        <v>135.61244974398781</v>
      </c>
      <c r="H175" s="1152"/>
      <c r="I175" s="1405" t="str">
        <f>Diesel!I175</f>
        <v>31, Forudsætninger for samfundsøkonomiske analyser på energiområdet. Energistyrelsen. April 2011, opdateret dataark oktober 2012</v>
      </c>
      <c r="J175" s="1149" t="str">
        <f>Diesel!J175</f>
        <v>Tabel 4</v>
      </c>
    </row>
    <row r="176" spans="2:15" ht="12.75" customHeight="1">
      <c r="B176" s="1157" t="str">
        <f>Diesel!B176</f>
        <v>HFO pris CIF</v>
      </c>
      <c r="C176" s="1145" t="str">
        <f>Diesel!C176</f>
        <v>DKK/GJ</v>
      </c>
      <c r="D176" s="1151">
        <f ca="1">Diesel!D176</f>
        <v>97.185374110094855</v>
      </c>
      <c r="E176" s="1152">
        <f ca="1">Diesel!E176</f>
        <v>100.05942131816995</v>
      </c>
      <c r="F176" s="1152">
        <f ca="1">Diesel!F176</f>
        <v>108.46867055661191</v>
      </c>
      <c r="G176" s="1152">
        <f ca="1">Diesel!G176</f>
        <v>108.46867055661191</v>
      </c>
      <c r="H176" s="1152"/>
      <c r="I176" s="1405" t="str">
        <f>Diesel!I176</f>
        <v>31, Forudsætninger for samfundsøkonomiske analyser på energiområdet. Energistyrelsen. April 2011, opdateret dataark oktober 2012</v>
      </c>
      <c r="J176" s="1149" t="str">
        <f>Diesel!J176</f>
        <v>Tabel 4</v>
      </c>
    </row>
    <row r="177" spans="2:10" ht="12.75" customHeight="1">
      <c r="B177" s="1150"/>
      <c r="C177" s="1145"/>
      <c r="D177" s="1151"/>
      <c r="E177" s="1152"/>
      <c r="F177" s="1152"/>
      <c r="G177" s="1152"/>
      <c r="H177" s="1152"/>
      <c r="I177" s="1405"/>
      <c r="J177" s="1149"/>
    </row>
    <row r="178" spans="2:10" ht="12.75" customHeight="1">
      <c r="B178" s="1157" t="str">
        <f>Diesel!B178</f>
        <v>Omkostninger</v>
      </c>
      <c r="C178" s="1145"/>
      <c r="D178" s="1151"/>
      <c r="E178" s="1152"/>
      <c r="F178" s="1152"/>
      <c r="G178" s="1152"/>
      <c r="H178" s="1152"/>
      <c r="I178" s="1405"/>
      <c r="J178" s="1149"/>
    </row>
    <row r="179" spans="2:10" ht="12.75" customHeight="1">
      <c r="B179" s="1157" t="str">
        <f>Diesel!B179</f>
        <v>Råolie</v>
      </c>
      <c r="C179" s="1145" t="str">
        <f>Diesel!C179</f>
        <v>DKK</v>
      </c>
      <c r="D179" s="1151">
        <f ca="1">Diesel!D179</f>
        <v>21792441665.990826</v>
      </c>
      <c r="E179" s="1152">
        <f ca="1">Diesel!E179</f>
        <v>22420628457.4049</v>
      </c>
      <c r="F179" s="1152">
        <f ca="1">Diesel!F179</f>
        <v>24691818396.754059</v>
      </c>
      <c r="G179" s="1152">
        <f ca="1">Diesel!G179</f>
        <v>24691818396.754059</v>
      </c>
      <c r="H179" s="1152"/>
      <c r="I179" s="1405"/>
      <c r="J179" s="1149"/>
    </row>
    <row r="180" spans="2:10" ht="12.75" customHeight="1">
      <c r="B180" s="1150"/>
      <c r="C180" s="1145"/>
      <c r="D180" s="1151"/>
      <c r="E180" s="1152"/>
      <c r="F180" s="1152"/>
      <c r="G180" s="1152"/>
      <c r="H180" s="1152"/>
      <c r="I180" s="1405"/>
      <c r="J180" s="1149"/>
    </row>
    <row r="181" spans="2:10" ht="12.75" customHeight="1">
      <c r="B181" s="1157" t="str">
        <f>Diesel!B181</f>
        <v>Indtægter</v>
      </c>
      <c r="C181" s="1145"/>
      <c r="D181" s="1151"/>
      <c r="E181" s="1152"/>
      <c r="F181" s="1152"/>
      <c r="G181" s="1152"/>
      <c r="H181" s="1152"/>
      <c r="I181" s="1405"/>
      <c r="J181" s="1149"/>
    </row>
    <row r="182" spans="2:10" ht="12.75" customHeight="1">
      <c r="B182" s="1157" t="str">
        <f>Diesel!B182</f>
        <v>Benzin</v>
      </c>
      <c r="C182" s="1145" t="str">
        <f>Diesel!C182</f>
        <v>DKK</v>
      </c>
      <c r="D182" s="1151">
        <f ca="1">Diesel!D182</f>
        <v>8671597246.430048</v>
      </c>
      <c r="E182" s="1152">
        <f ca="1">Diesel!E182</f>
        <v>8917019810.0082569</v>
      </c>
      <c r="F182" s="1152">
        <f ca="1">Diesel!F182</f>
        <v>9564042932.1689873</v>
      </c>
      <c r="G182" s="1152">
        <f ca="1">Diesel!G182</f>
        <v>9564042932.1689873</v>
      </c>
      <c r="H182" s="1152"/>
      <c r="I182" s="1405"/>
      <c r="J182" s="1149"/>
    </row>
    <row r="183" spans="2:10" ht="12.75" customHeight="1">
      <c r="B183" s="1157" t="str">
        <f>Diesel!B183</f>
        <v>JP1</v>
      </c>
      <c r="C183" s="1145" t="str">
        <f>Diesel!C183</f>
        <v>DKK</v>
      </c>
      <c r="D183" s="1151">
        <f ca="1">Diesel!D183</f>
        <v>250043258.2067121</v>
      </c>
      <c r="E183" s="1152">
        <f ca="1">Diesel!E183</f>
        <v>256719170.44038647</v>
      </c>
      <c r="F183" s="1152">
        <f ca="1">Diesel!F183</f>
        <v>274117002.32208323</v>
      </c>
      <c r="G183" s="1152">
        <f ca="1">Diesel!G183</f>
        <v>274117002.32208323</v>
      </c>
      <c r="H183" s="1152"/>
      <c r="I183" s="1405"/>
      <c r="J183" s="1149"/>
    </row>
    <row r="184" spans="2:10" ht="12.75" customHeight="1">
      <c r="B184" s="1157" t="str">
        <f>Diesel!B184</f>
        <v>Diesel</v>
      </c>
      <c r="C184" s="1145" t="str">
        <f>Diesel!C184</f>
        <v>DKK</v>
      </c>
      <c r="D184" s="1151">
        <f ca="1">Diesel!D184</f>
        <v>11669346773.815678</v>
      </c>
      <c r="E184" s="1152">
        <f ca="1">Diesel!E184</f>
        <v>12003045598.370199</v>
      </c>
      <c r="F184" s="1152">
        <f ca="1">Diesel!F184</f>
        <v>12882797044.923029</v>
      </c>
      <c r="G184" s="1152">
        <f ca="1">Diesel!G184</f>
        <v>12882797044.923029</v>
      </c>
      <c r="H184" s="1152"/>
      <c r="I184" s="1405"/>
      <c r="J184" s="1149"/>
    </row>
    <row r="185" spans="2:10" ht="12.75" customHeight="1" thickBot="1">
      <c r="B185" s="1406" t="str">
        <f>Diesel!B185</f>
        <v>HFO</v>
      </c>
      <c r="C185" s="1407" t="str">
        <f>Diesel!C185</f>
        <v>DKK</v>
      </c>
      <c r="D185" s="1408">
        <f ca="1">Diesel!D185</f>
        <v>3162095302.900856</v>
      </c>
      <c r="E185" s="1409">
        <f ca="1">Diesel!E185</f>
        <v>3255607431.245131</v>
      </c>
      <c r="F185" s="1409">
        <f ca="1">Diesel!F185</f>
        <v>3529216991.9561586</v>
      </c>
      <c r="G185" s="1409">
        <f ca="1">Diesel!G185</f>
        <v>3529216991.9561586</v>
      </c>
      <c r="H185" s="1409"/>
      <c r="I185" s="1412"/>
      <c r="J185" s="1411"/>
    </row>
    <row r="186" spans="2:10" ht="12.75" customHeight="1"/>
    <row r="187" spans="2:10" ht="12.75" customHeight="1"/>
    <row r="188" spans="2:10" ht="12.75" customHeight="1"/>
    <row r="189" spans="2:10" ht="12.75" customHeight="1"/>
    <row r="190" spans="2:10" ht="12.75" customHeight="1"/>
    <row r="191" spans="2:10" ht="12.75" customHeight="1"/>
    <row r="192" spans="2:10"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sheetData>
  <pageMargins left="0.15748031496062992" right="0.15748031496062992" top="1.25" bottom="0.19685039370078741" header="0.51181102362204722" footer="0.51181102362204722"/>
  <pageSetup paperSize="9" scale="38" orientation="landscape" r:id="rId1"/>
  <headerFooter alignWithMargins="0">
    <oddHeader>&amp;L&amp;"Arial"&amp;14&amp;BBeregningsmodel
&amp;"Arial"&amp;08&amp;B64329, Teknologivurdering af alternative drivmidler til transportsektoren&amp;R&amp;"Arial"&amp;08Page &amp;P of &amp;N</oddHeader>
    <oddFooter>&amp;L&amp;"Arial"&amp;08&amp;Z&amp;F
Sheet: &amp;A&amp;C&amp;"Arial"&amp;08Printed &amp;D &amp;T&amp;R&amp;G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101825" r:id="rId5" name="Button 1">
              <controlPr defaultSize="0" print="0" autoFill="0" autoPict="0" macro="[0]!GtOver">
                <anchor>
                  <from>
                    <xdr:col>7</xdr:col>
                    <xdr:colOff>838200</xdr:colOff>
                    <xdr:row>0</xdr:row>
                    <xdr:rowOff>38100</xdr:rowOff>
                  </from>
                  <to>
                    <xdr:col>9</xdr:col>
                    <xdr:colOff>381000</xdr:colOff>
                    <xdr:row>0</xdr:row>
                    <xdr:rowOff>238125</xdr:rowOff>
                  </to>
                </anchor>
              </controlPr>
            </control>
          </mc:Choice>
        </mc:AlternateContent>
        <mc:AlternateContent xmlns:mc="http://schemas.openxmlformats.org/markup-compatibility/2006">
          <mc:Choice Requires="x14">
            <control shapeId="1101826" r:id="rId6" name="Button 2">
              <controlPr defaultSize="0" print="0" autoFill="0" autoPict="0" macro="[0]!GtRes">
                <anchor>
                  <from>
                    <xdr:col>9</xdr:col>
                    <xdr:colOff>542925</xdr:colOff>
                    <xdr:row>0</xdr:row>
                    <xdr:rowOff>38100</xdr:rowOff>
                  </from>
                  <to>
                    <xdr:col>11</xdr:col>
                    <xdr:colOff>38100</xdr:colOff>
                    <xdr:row>0</xdr:row>
                    <xdr:rowOff>238125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rgb="FF00B0F0"/>
    <pageSetUpPr fitToPage="1"/>
  </sheetPr>
  <dimension ref="A1:S326"/>
  <sheetViews>
    <sheetView topLeftCell="A73" zoomScale="80" zoomScaleNormal="80" workbookViewId="0">
      <selection activeCell="L115" sqref="L115"/>
    </sheetView>
  </sheetViews>
  <sheetFormatPr defaultColWidth="8.85546875" defaultRowHeight="12.75"/>
  <cols>
    <col min="1" max="1" width="3.28515625" style="523" customWidth="1"/>
    <col min="2" max="2" width="36" style="523" customWidth="1"/>
    <col min="3" max="3" width="16.5703125" style="523" customWidth="1"/>
    <col min="4" max="7" width="15.7109375" style="523" customWidth="1"/>
    <col min="8" max="8" width="15.7109375" style="530" customWidth="1"/>
    <col min="9" max="9" width="7.28515625" style="523" customWidth="1"/>
    <col min="10" max="10" width="12.7109375" style="523" customWidth="1"/>
    <col min="11" max="11" width="10.85546875" style="523" customWidth="1"/>
    <col min="12" max="12" width="13.28515625" style="523" customWidth="1"/>
    <col min="13" max="13" width="10.28515625" style="523" customWidth="1"/>
    <col min="14" max="14" width="37.85546875" style="523" customWidth="1"/>
    <col min="15" max="16" width="8.85546875" style="523"/>
    <col min="17" max="18" width="11.42578125" style="523" customWidth="1"/>
    <col min="19" max="16384" width="8.85546875" style="523"/>
  </cols>
  <sheetData>
    <row r="1" spans="2:18" s="465" customFormat="1" ht="21">
      <c r="B1" s="465" t="s">
        <v>328</v>
      </c>
      <c r="Q1" s="467">
        <f ca="1">'Log2015'!M1</f>
        <v>-8.0112614142160741</v>
      </c>
      <c r="R1" s="468">
        <f ca="1">'Log2015'!N1</f>
        <v>-160807.124977848</v>
      </c>
    </row>
    <row r="2" spans="2:18" ht="12.75" customHeight="1">
      <c r="Q2" s="623">
        <f ca="1">Q1</f>
        <v>-8.0112614142160741</v>
      </c>
      <c r="R2" s="623">
        <f ca="1">R1</f>
        <v>-160807.124977848</v>
      </c>
    </row>
    <row r="3" spans="2:18" ht="12.75" customHeight="1"/>
    <row r="4" spans="2:18" s="215" customFormat="1" ht="12.75" customHeight="1">
      <c r="B4" s="454" t="s">
        <v>81</v>
      </c>
      <c r="H4" s="530"/>
    </row>
    <row r="5" spans="2:18" ht="12.75" customHeight="1" thickBot="1">
      <c r="B5" s="523" t="s">
        <v>137</v>
      </c>
    </row>
    <row r="6" spans="2:18" ht="12.75" customHeight="1">
      <c r="B6" s="219" t="s">
        <v>137</v>
      </c>
      <c r="C6" s="245"/>
      <c r="D6" s="245"/>
      <c r="E6" s="245"/>
      <c r="F6" s="245"/>
      <c r="G6" s="245"/>
      <c r="H6" s="962"/>
      <c r="I6" s="245"/>
      <c r="J6" s="245"/>
      <c r="K6" s="245"/>
      <c r="L6" s="245"/>
      <c r="M6" s="246"/>
    </row>
    <row r="7" spans="2:18" ht="12.75" customHeight="1">
      <c r="B7" s="230" t="s">
        <v>329</v>
      </c>
      <c r="C7" s="248"/>
      <c r="D7" s="248"/>
      <c r="E7" s="248"/>
      <c r="F7" s="248"/>
      <c r="G7" s="248"/>
      <c r="H7" s="555"/>
      <c r="I7" s="248"/>
      <c r="J7" s="248"/>
      <c r="K7" s="248"/>
      <c r="L7" s="248"/>
      <c r="M7" s="249"/>
    </row>
    <row r="8" spans="2:18" ht="12.75" customHeight="1">
      <c r="B8" s="230"/>
      <c r="C8" s="248"/>
      <c r="D8" s="248"/>
      <c r="E8" s="248"/>
      <c r="F8" s="248"/>
      <c r="G8" s="248"/>
      <c r="H8" s="555"/>
      <c r="I8" s="248"/>
      <c r="J8" s="248"/>
      <c r="K8" s="248"/>
      <c r="L8" s="248"/>
      <c r="M8" s="249"/>
    </row>
    <row r="9" spans="2:18" ht="12.75" customHeight="1">
      <c r="B9" s="230"/>
      <c r="C9" s="248"/>
      <c r="D9" s="248"/>
      <c r="E9" s="248"/>
      <c r="F9" s="248"/>
      <c r="G9" s="248"/>
      <c r="H9" s="555"/>
      <c r="I9" s="248"/>
      <c r="J9" s="248"/>
      <c r="K9" s="248"/>
      <c r="L9" s="248"/>
      <c r="M9" s="249"/>
    </row>
    <row r="10" spans="2:18" ht="12.75" customHeight="1">
      <c r="B10" s="230" t="s">
        <v>2385</v>
      </c>
      <c r="C10" s="217" t="s">
        <v>2387</v>
      </c>
      <c r="D10" s="248"/>
      <c r="E10" s="248"/>
      <c r="F10" s="248"/>
      <c r="G10" s="248"/>
      <c r="H10" s="555"/>
      <c r="I10" s="248"/>
      <c r="J10" s="248"/>
      <c r="K10" s="248"/>
      <c r="L10" s="248"/>
      <c r="M10" s="249"/>
    </row>
    <row r="11" spans="2:18" ht="12.75" customHeight="1">
      <c r="B11" s="230" t="s">
        <v>309</v>
      </c>
      <c r="C11" s="217" t="s">
        <v>192</v>
      </c>
      <c r="D11" s="248"/>
      <c r="E11" s="248"/>
      <c r="F11" s="248"/>
      <c r="G11" s="248"/>
      <c r="H11" s="555"/>
      <c r="I11" s="248"/>
      <c r="J11" s="248"/>
      <c r="K11" s="248"/>
      <c r="L11" s="248"/>
      <c r="M11" s="249"/>
    </row>
    <row r="12" spans="2:18" ht="12.75" customHeight="1">
      <c r="B12" s="230" t="s">
        <v>310</v>
      </c>
      <c r="C12" s="248"/>
      <c r="D12" s="248"/>
      <c r="E12" s="248"/>
      <c r="F12" s="248"/>
      <c r="G12" s="248"/>
      <c r="H12" s="555"/>
      <c r="I12" s="248"/>
      <c r="J12" s="248"/>
      <c r="K12" s="248"/>
      <c r="L12" s="248"/>
      <c r="M12" s="249"/>
    </row>
    <row r="13" spans="2:18" ht="12.75" customHeight="1">
      <c r="B13" s="230"/>
      <c r="C13" s="455"/>
      <c r="D13" s="455"/>
      <c r="E13" s="455"/>
      <c r="F13" s="248"/>
      <c r="G13" s="248"/>
      <c r="H13" s="555"/>
      <c r="I13" s="248"/>
      <c r="J13" s="248"/>
      <c r="K13" s="248"/>
      <c r="L13" s="248"/>
      <c r="M13" s="249"/>
    </row>
    <row r="14" spans="2:18" ht="12.75" customHeight="1">
      <c r="B14" s="230"/>
      <c r="C14" s="248"/>
      <c r="D14" s="248"/>
      <c r="E14" s="248"/>
      <c r="F14" s="248"/>
      <c r="G14" s="248"/>
      <c r="H14" s="555"/>
      <c r="I14" s="248"/>
      <c r="J14" s="248"/>
      <c r="K14" s="248"/>
      <c r="L14" s="248"/>
      <c r="M14" s="249"/>
    </row>
    <row r="15" spans="2:18" ht="12.75" customHeight="1">
      <c r="B15" s="230" t="s">
        <v>140</v>
      </c>
      <c r="C15" s="248"/>
      <c r="D15" s="248"/>
      <c r="E15" s="248"/>
      <c r="F15" s="248"/>
      <c r="G15" s="248"/>
      <c r="H15" s="555"/>
      <c r="I15" s="248"/>
      <c r="J15" s="248"/>
      <c r="K15" s="248"/>
      <c r="L15" s="248"/>
      <c r="M15" s="249"/>
    </row>
    <row r="16" spans="2:18" ht="12.75" customHeight="1">
      <c r="B16" s="230" t="s">
        <v>311</v>
      </c>
      <c r="C16" s="248"/>
      <c r="D16" s="248"/>
      <c r="E16" s="248"/>
      <c r="F16" s="248"/>
      <c r="G16" s="248"/>
      <c r="H16" s="555"/>
      <c r="I16" s="248"/>
      <c r="J16" s="248"/>
      <c r="K16" s="248"/>
      <c r="L16" s="248"/>
      <c r="M16" s="249"/>
    </row>
    <row r="17" spans="2:13" ht="12.75" customHeight="1">
      <c r="B17" s="230"/>
      <c r="C17" s="248"/>
      <c r="D17" s="248"/>
      <c r="E17" s="248"/>
      <c r="F17" s="248"/>
      <c r="G17" s="248"/>
      <c r="H17" s="555"/>
      <c r="I17" s="248"/>
      <c r="J17" s="248"/>
      <c r="K17" s="248"/>
      <c r="L17" s="248"/>
      <c r="M17" s="249"/>
    </row>
    <row r="18" spans="2:13" ht="12.75" customHeight="1">
      <c r="B18" s="230" t="s">
        <v>256</v>
      </c>
      <c r="C18" s="248"/>
      <c r="D18" s="248"/>
      <c r="E18" s="248"/>
      <c r="F18" s="248"/>
      <c r="G18" s="248"/>
      <c r="H18" s="555"/>
      <c r="I18" s="248"/>
      <c r="J18" s="248"/>
      <c r="K18" s="248"/>
      <c r="L18" s="248"/>
      <c r="M18" s="249"/>
    </row>
    <row r="19" spans="2:13" ht="12.75" customHeight="1">
      <c r="B19" s="230"/>
      <c r="C19" s="248"/>
      <c r="D19" s="248"/>
      <c r="E19" s="248"/>
      <c r="F19" s="248"/>
      <c r="G19" s="248"/>
      <c r="H19" s="555"/>
      <c r="I19" s="248"/>
      <c r="J19" s="248"/>
      <c r="K19" s="248"/>
      <c r="L19" s="248"/>
      <c r="M19" s="249"/>
    </row>
    <row r="20" spans="2:13" ht="12.75" customHeight="1">
      <c r="B20" s="230"/>
      <c r="C20" s="248"/>
      <c r="D20" s="248"/>
      <c r="E20" s="248"/>
      <c r="F20" s="248"/>
      <c r="G20" s="248"/>
      <c r="H20" s="555"/>
      <c r="I20" s="248"/>
      <c r="J20" s="248"/>
      <c r="K20" s="248"/>
      <c r="L20" s="248"/>
      <c r="M20" s="249"/>
    </row>
    <row r="21" spans="2:13" ht="12.75" customHeight="1">
      <c r="B21" s="230" t="s">
        <v>143</v>
      </c>
      <c r="C21" s="248"/>
      <c r="D21" s="248"/>
      <c r="E21" s="248"/>
      <c r="F21" s="248"/>
      <c r="G21" s="248"/>
      <c r="H21" s="555"/>
      <c r="I21" s="248"/>
      <c r="J21" s="248"/>
      <c r="K21" s="248"/>
      <c r="L21" s="248"/>
      <c r="M21" s="249"/>
    </row>
    <row r="22" spans="2:13" ht="12.75" customHeight="1">
      <c r="B22" s="230"/>
      <c r="C22" s="248"/>
      <c r="D22" s="248"/>
      <c r="E22" s="248"/>
      <c r="F22" s="248"/>
      <c r="G22" s="248"/>
      <c r="H22" s="555"/>
      <c r="I22" s="248"/>
      <c r="J22" s="248"/>
      <c r="K22" s="248"/>
      <c r="L22" s="248"/>
      <c r="M22" s="249"/>
    </row>
    <row r="23" spans="2:13" ht="12.75" customHeight="1">
      <c r="B23" s="230"/>
      <c r="C23" s="248"/>
      <c r="D23" s="248"/>
      <c r="E23" s="248"/>
      <c r="F23" s="248"/>
      <c r="G23" s="248"/>
      <c r="H23" s="555"/>
      <c r="I23" s="248"/>
      <c r="J23" s="248"/>
      <c r="K23" s="248"/>
      <c r="L23" s="248"/>
      <c r="M23" s="249"/>
    </row>
    <row r="24" spans="2:13" ht="12.75" customHeight="1" thickBot="1">
      <c r="B24" s="242"/>
      <c r="C24" s="250"/>
      <c r="D24" s="250"/>
      <c r="E24" s="250"/>
      <c r="F24" s="250"/>
      <c r="G24" s="250"/>
      <c r="H24" s="968"/>
      <c r="I24" s="250"/>
      <c r="J24" s="250"/>
      <c r="K24" s="250"/>
      <c r="L24" s="250"/>
      <c r="M24" s="251"/>
    </row>
    <row r="25" spans="2:13" ht="12.75" customHeight="1">
      <c r="F25" s="86"/>
      <c r="H25" s="529"/>
    </row>
    <row r="26" spans="2:13" s="215" customFormat="1" ht="12.75" customHeight="1">
      <c r="B26" s="454" t="s">
        <v>144</v>
      </c>
      <c r="H26" s="530"/>
    </row>
    <row r="27" spans="2:13" s="215" customFormat="1" ht="12.75" customHeight="1" thickBot="1">
      <c r="B27" s="523"/>
      <c r="H27" s="530"/>
    </row>
    <row r="28" spans="2:13" ht="12.75" customHeight="1">
      <c r="B28" s="219"/>
      <c r="C28" s="220"/>
      <c r="D28" s="221"/>
      <c r="E28" s="221"/>
      <c r="F28" s="221"/>
      <c r="G28" s="221"/>
      <c r="H28" s="962"/>
      <c r="I28" s="221"/>
      <c r="J28" s="222"/>
    </row>
    <row r="29" spans="2:13" ht="12.75" customHeight="1">
      <c r="B29" s="223"/>
      <c r="C29" s="224" t="s">
        <v>70</v>
      </c>
      <c r="D29" s="225">
        <v>2015</v>
      </c>
      <c r="E29" s="225">
        <v>2020</v>
      </c>
      <c r="F29" s="225">
        <v>2035</v>
      </c>
      <c r="G29" s="225">
        <v>2050</v>
      </c>
      <c r="H29" s="973" t="s">
        <v>978</v>
      </c>
      <c r="I29" s="226" t="s">
        <v>145</v>
      </c>
      <c r="J29" s="227" t="s">
        <v>146</v>
      </c>
    </row>
    <row r="30" spans="2:13" ht="12.75" customHeight="1">
      <c r="B30" s="216" t="s">
        <v>147</v>
      </c>
      <c r="C30" s="210"/>
      <c r="D30" s="209"/>
      <c r="E30" s="209"/>
      <c r="F30" s="209"/>
      <c r="G30" s="209"/>
      <c r="H30" s="977"/>
      <c r="I30" s="455"/>
      <c r="J30" s="229"/>
    </row>
    <row r="31" spans="2:13" ht="12.75" customHeight="1">
      <c r="B31" s="247" t="s">
        <v>148</v>
      </c>
      <c r="C31" s="210" t="s">
        <v>1460</v>
      </c>
      <c r="D31" s="1134">
        <f>D159</f>
        <v>9.4476744186046506E-3</v>
      </c>
      <c r="E31" s="1134">
        <f>E159</f>
        <v>9.4476744186046506E-3</v>
      </c>
      <c r="F31" s="1134">
        <f>F159</f>
        <v>9.4476744186046506E-3</v>
      </c>
      <c r="G31" s="1134">
        <f>G159</f>
        <v>9.4476744186046506E-3</v>
      </c>
      <c r="H31" s="1333"/>
      <c r="I31" s="455"/>
      <c r="J31" s="229"/>
    </row>
    <row r="32" spans="2:13" ht="12.75" customHeight="1">
      <c r="B32" s="247" t="s">
        <v>67</v>
      </c>
      <c r="C32" s="210" t="s">
        <v>1461</v>
      </c>
      <c r="D32" s="1134">
        <f>Supplementary!$D$159</f>
        <v>42.8</v>
      </c>
      <c r="E32" s="1134">
        <f>Supplementary!$D$159</f>
        <v>42.8</v>
      </c>
      <c r="F32" s="1134">
        <f>Supplementary!$D$159</f>
        <v>42.8</v>
      </c>
      <c r="G32" s="1134">
        <f>Supplementary!$D$159</f>
        <v>42.8</v>
      </c>
      <c r="H32" s="978"/>
      <c r="I32" s="455"/>
      <c r="J32" s="229"/>
    </row>
    <row r="33" spans="2:10" ht="12.75" customHeight="1">
      <c r="B33" s="230" t="s">
        <v>149</v>
      </c>
      <c r="C33" s="210" t="s">
        <v>314</v>
      </c>
      <c r="D33" s="921">
        <v>4700000</v>
      </c>
      <c r="E33" s="921">
        <v>4700000</v>
      </c>
      <c r="F33" s="921">
        <v>4700000</v>
      </c>
      <c r="G33" s="921">
        <v>4700000</v>
      </c>
      <c r="H33" s="1397"/>
      <c r="I33" s="455" t="str">
        <f>CONCATENATE(Referencer!$B$49)</f>
        <v>43, Energistyrelsen Juni 1999. Brændselsprisforudsætninger for samfundsøkonomiske beregninger</v>
      </c>
      <c r="J33" s="229"/>
    </row>
    <row r="34" spans="2:10" ht="12.75" customHeight="1">
      <c r="B34" s="247" t="s">
        <v>150</v>
      </c>
      <c r="C34" s="210" t="s">
        <v>34</v>
      </c>
      <c r="D34" s="212"/>
      <c r="E34" s="212"/>
      <c r="F34" s="212"/>
      <c r="G34" s="212"/>
      <c r="H34" s="1332"/>
      <c r="I34" s="455"/>
      <c r="J34" s="229"/>
    </row>
    <row r="35" spans="2:10" ht="12.75" customHeight="1">
      <c r="B35" s="230"/>
      <c r="C35" s="231"/>
      <c r="D35" s="253"/>
      <c r="E35" s="213"/>
      <c r="F35" s="213"/>
      <c r="G35" s="213"/>
      <c r="H35" s="983"/>
      <c r="I35" s="455"/>
      <c r="J35" s="229"/>
    </row>
    <row r="36" spans="2:10" ht="12.75" customHeight="1">
      <c r="B36" s="216" t="s">
        <v>315</v>
      </c>
      <c r="C36" s="231"/>
      <c r="D36" s="253"/>
      <c r="E36" s="213"/>
      <c r="F36" s="213"/>
      <c r="G36" s="213"/>
      <c r="H36" s="983"/>
      <c r="I36" s="455"/>
      <c r="J36" s="229"/>
    </row>
    <row r="37" spans="2:10" ht="12.75" customHeight="1">
      <c r="B37" s="247" t="str">
        <f>ProcessEnergy!B35</f>
        <v xml:space="preserve">Green diesel </v>
      </c>
      <c r="C37" s="210" t="s">
        <v>316</v>
      </c>
      <c r="D37" s="105"/>
      <c r="E37" s="105"/>
      <c r="F37" s="105"/>
      <c r="G37" s="105"/>
      <c r="H37" s="984"/>
      <c r="I37" s="455"/>
      <c r="J37" s="229"/>
    </row>
    <row r="38" spans="2:10" ht="12.75" customHeight="1">
      <c r="B38" s="232" t="str">
        <f>ProcessEnergy!B36</f>
        <v>Green gasoline</v>
      </c>
      <c r="C38" s="210"/>
      <c r="D38" s="105"/>
      <c r="E38" s="105"/>
      <c r="F38" s="105"/>
      <c r="G38" s="105"/>
      <c r="H38" s="984"/>
      <c r="I38" s="455"/>
      <c r="J38" s="229"/>
    </row>
    <row r="39" spans="2:10" ht="12.75" customHeight="1">
      <c r="B39" s="232" t="str">
        <f>ProcessEnergy!B37</f>
        <v>Electricity - balancing</v>
      </c>
      <c r="C39" s="210"/>
      <c r="D39" s="105"/>
      <c r="E39" s="105"/>
      <c r="F39" s="105"/>
      <c r="G39" s="105"/>
      <c r="H39" s="984"/>
      <c r="I39" s="455"/>
      <c r="J39" s="229"/>
    </row>
    <row r="40" spans="2:10" ht="12.75" customHeight="1">
      <c r="B40" s="232" t="str">
        <f>ProcessEnergy!B38</f>
        <v>Electricity  - continous</v>
      </c>
      <c r="C40" s="210"/>
      <c r="D40" s="105"/>
      <c r="E40" s="105"/>
      <c r="F40" s="105"/>
      <c r="G40" s="105"/>
      <c r="H40" s="984"/>
      <c r="I40" s="455"/>
      <c r="J40" s="229"/>
    </row>
    <row r="41" spans="2:10" ht="12.75" customHeight="1">
      <c r="B41" s="232" t="str">
        <f>ProcessEnergy!B39</f>
        <v>Elec/heat fuel</v>
      </c>
      <c r="C41" s="210"/>
      <c r="D41" s="105"/>
      <c r="E41" s="105"/>
      <c r="F41" s="105"/>
      <c r="G41" s="105"/>
      <c r="H41" s="984"/>
      <c r="I41" s="455"/>
      <c r="J41" s="229"/>
    </row>
    <row r="42" spans="2:10" ht="12.75" customHeight="1">
      <c r="B42" s="232" t="str">
        <f>ProcessEnergy!B40</f>
        <v>Biogas (100% CH4)</v>
      </c>
      <c r="C42" s="210"/>
      <c r="D42" s="105"/>
      <c r="E42" s="105"/>
      <c r="F42" s="105"/>
      <c r="G42" s="105"/>
      <c r="H42" s="984"/>
      <c r="I42" s="455"/>
      <c r="J42" s="229"/>
    </row>
    <row r="43" spans="2:10" ht="12.75" customHeight="1">
      <c r="B43" s="232" t="str">
        <f>ProcessEnergy!B41</f>
        <v>District heating</v>
      </c>
      <c r="C43" s="210"/>
      <c r="D43" s="105"/>
      <c r="E43" s="105"/>
      <c r="F43" s="105"/>
      <c r="G43" s="105"/>
      <c r="H43" s="978"/>
      <c r="I43" s="455"/>
      <c r="J43" s="229"/>
    </row>
    <row r="44" spans="2:10" s="1240" customFormat="1" ht="12.75" customHeight="1">
      <c r="B44" s="232" t="str">
        <f>ProcessEnergy!B42</f>
        <v>&lt;empty&gt;</v>
      </c>
      <c r="C44" s="1469"/>
      <c r="D44" s="105"/>
      <c r="E44" s="105"/>
      <c r="F44" s="105"/>
      <c r="G44" s="105"/>
      <c r="H44" s="978"/>
      <c r="I44" s="1471"/>
      <c r="J44" s="1488"/>
    </row>
    <row r="45" spans="2:10" s="1240" customFormat="1" ht="12.75" customHeight="1">
      <c r="B45" s="232" t="str">
        <f>ProcessEnergy!B43</f>
        <v>&lt;empty&gt;</v>
      </c>
      <c r="C45" s="1469"/>
      <c r="D45" s="105"/>
      <c r="E45" s="105"/>
      <c r="F45" s="105"/>
      <c r="G45" s="105"/>
      <c r="H45" s="978"/>
      <c r="I45" s="1471"/>
      <c r="J45" s="1488"/>
    </row>
    <row r="46" spans="2:10" s="1240" customFormat="1" ht="12.75" customHeight="1">
      <c r="B46" s="232" t="str">
        <f>ProcessEnergy!B44</f>
        <v>&lt;empty&gt;</v>
      </c>
      <c r="C46" s="1469"/>
      <c r="D46" s="105"/>
      <c r="E46" s="105"/>
      <c r="F46" s="105"/>
      <c r="G46" s="105"/>
      <c r="H46" s="978"/>
      <c r="I46" s="1471"/>
      <c r="J46" s="1488"/>
    </row>
    <row r="47" spans="2:10" s="1240" customFormat="1" ht="12.75" customHeight="1">
      <c r="B47" s="232" t="str">
        <f>ProcessEnergy!B45</f>
        <v>&lt;empty&gt;</v>
      </c>
      <c r="C47" s="1469"/>
      <c r="D47" s="105"/>
      <c r="E47" s="105"/>
      <c r="F47" s="105"/>
      <c r="G47" s="105"/>
      <c r="H47" s="978"/>
      <c r="I47" s="1471"/>
      <c r="J47" s="1488"/>
    </row>
    <row r="48" spans="2:10" s="1240" customFormat="1" ht="12.75" customHeight="1">
      <c r="B48" s="232" t="str">
        <f>ProcessEnergy!B46</f>
        <v>&lt;empty&gt;</v>
      </c>
      <c r="C48" s="1469"/>
      <c r="D48" s="105"/>
      <c r="E48" s="105"/>
      <c r="F48" s="105"/>
      <c r="G48" s="105"/>
      <c r="H48" s="978"/>
      <c r="I48" s="1471"/>
      <c r="J48" s="1488"/>
    </row>
    <row r="49" spans="2:10" s="1240" customFormat="1" ht="12.75" customHeight="1">
      <c r="B49" s="232" t="str">
        <f>ProcessEnergy!B47</f>
        <v>&lt;empty&gt;</v>
      </c>
      <c r="C49" s="1469"/>
      <c r="D49" s="105"/>
      <c r="E49" s="105"/>
      <c r="F49" s="105"/>
      <c r="G49" s="105"/>
      <c r="H49" s="978"/>
      <c r="I49" s="1471"/>
      <c r="J49" s="1488"/>
    </row>
    <row r="50" spans="2:10" s="1240" customFormat="1" ht="12.75" customHeight="1">
      <c r="B50" s="232" t="str">
        <f>ProcessEnergy!B48</f>
        <v>Glycerol</v>
      </c>
      <c r="C50" s="1469"/>
      <c r="D50" s="105"/>
      <c r="E50" s="105"/>
      <c r="F50" s="105"/>
      <c r="G50" s="105"/>
      <c r="H50" s="978"/>
      <c r="I50" s="1471"/>
      <c r="J50" s="1488"/>
    </row>
    <row r="51" spans="2:10" s="1240" customFormat="1" ht="12.75" customHeight="1">
      <c r="B51" s="232" t="str">
        <f>ProcessEnergy!B49</f>
        <v>&lt;empty&gt;</v>
      </c>
      <c r="C51" s="1469"/>
      <c r="D51" s="105"/>
      <c r="E51" s="105"/>
      <c r="F51" s="105"/>
      <c r="G51" s="105"/>
      <c r="H51" s="978"/>
      <c r="I51" s="1471"/>
      <c r="J51" s="1488"/>
    </row>
    <row r="52" spans="2:10" s="1240" customFormat="1" ht="12.75" customHeight="1">
      <c r="B52" s="232" t="str">
        <f>ProcessEnergy!B50</f>
        <v>&lt;empty&gt;</v>
      </c>
      <c r="C52" s="1469"/>
      <c r="D52" s="105"/>
      <c r="E52" s="105"/>
      <c r="F52" s="105"/>
      <c r="G52" s="105"/>
      <c r="H52" s="978"/>
      <c r="I52" s="1471"/>
      <c r="J52" s="1488"/>
    </row>
    <row r="53" spans="2:10" ht="12.75" customHeight="1">
      <c r="B53" s="232" t="str">
        <f>ProcessEnergy!B51</f>
        <v>Fodder (wheat like)</v>
      </c>
      <c r="C53" s="210"/>
      <c r="D53" s="105"/>
      <c r="E53" s="105"/>
      <c r="F53" s="105"/>
      <c r="G53" s="105"/>
      <c r="H53" s="984"/>
      <c r="I53" s="455"/>
      <c r="J53" s="229"/>
    </row>
    <row r="54" spans="2:10" ht="12.75" customHeight="1">
      <c r="B54" s="232" t="str">
        <f>ProcessEnergy!B52</f>
        <v>Rape seed cake</v>
      </c>
      <c r="C54" s="210"/>
      <c r="D54" s="105"/>
      <c r="E54" s="105"/>
      <c r="F54" s="105"/>
      <c r="G54" s="105"/>
      <c r="H54" s="984"/>
      <c r="I54" s="455"/>
      <c r="J54" s="229"/>
    </row>
    <row r="55" spans="2:10" ht="12.75" customHeight="1">
      <c r="B55" s="232" t="str">
        <f>ProcessEnergy!B53</f>
        <v>&lt;empty&gt;</v>
      </c>
      <c r="C55" s="210"/>
      <c r="D55" s="105"/>
      <c r="E55" s="105"/>
      <c r="F55" s="105"/>
      <c r="G55" s="105"/>
      <c r="H55" s="984"/>
      <c r="I55" s="455"/>
      <c r="J55" s="229"/>
    </row>
    <row r="56" spans="2:10" ht="12.75" customHeight="1">
      <c r="B56" s="232" t="str">
        <f>ProcessEnergy!B54</f>
        <v>DDGS</v>
      </c>
      <c r="C56" s="210"/>
      <c r="D56" s="105"/>
      <c r="E56" s="105"/>
      <c r="F56" s="105"/>
      <c r="G56" s="105"/>
      <c r="H56" s="984"/>
      <c r="I56" s="455"/>
      <c r="J56" s="229"/>
    </row>
    <row r="57" spans="2:10" ht="12.75" customHeight="1">
      <c r="B57" s="247"/>
      <c r="C57" s="210"/>
      <c r="D57" s="105"/>
      <c r="E57" s="105"/>
      <c r="F57" s="105"/>
      <c r="G57" s="105"/>
      <c r="H57" s="984"/>
      <c r="I57" s="455"/>
      <c r="J57" s="229"/>
    </row>
    <row r="58" spans="2:10" ht="12.75" customHeight="1">
      <c r="B58" s="216" t="s">
        <v>873</v>
      </c>
      <c r="C58" s="210"/>
      <c r="D58" s="105"/>
      <c r="E58" s="105"/>
      <c r="F58" s="105"/>
      <c r="G58" s="105"/>
      <c r="H58" s="984"/>
      <c r="I58" s="455"/>
      <c r="J58" s="229"/>
    </row>
    <row r="59" spans="2:10" ht="12.75" customHeight="1">
      <c r="B59" s="230" t="str">
        <f>ProcessEnergy!B5</f>
        <v>EL - peakload</v>
      </c>
      <c r="C59" s="210" t="s">
        <v>888</v>
      </c>
      <c r="H59" s="984"/>
      <c r="I59" s="455"/>
      <c r="J59" s="229"/>
    </row>
    <row r="60" spans="2:10" ht="12.75" customHeight="1">
      <c r="B60" s="230" t="str">
        <f>ProcessEnergy!B6</f>
        <v>El - baseload</v>
      </c>
      <c r="C60" s="210" t="s">
        <v>888</v>
      </c>
      <c r="D60" s="1398">
        <f>D139</f>
        <v>3.6002230935640888E-3</v>
      </c>
      <c r="E60" s="1398">
        <f>E139</f>
        <v>3.6002230935640888E-3</v>
      </c>
      <c r="F60" s="1398">
        <f>F139</f>
        <v>3.6002230935640888E-3</v>
      </c>
      <c r="G60" s="1398">
        <f>G139</f>
        <v>3.6002230935640888E-3</v>
      </c>
      <c r="H60" s="984"/>
      <c r="I60" s="1107"/>
      <c r="J60" s="229"/>
    </row>
    <row r="61" spans="2:10" ht="12.75" customHeight="1">
      <c r="B61" s="230" t="str">
        <f>ProcessEnergy!B7</f>
        <v xml:space="preserve">Varme </v>
      </c>
      <c r="C61" s="210" t="s">
        <v>888</v>
      </c>
      <c r="D61" s="1399"/>
      <c r="E61" s="1399"/>
      <c r="F61" s="1399"/>
      <c r="G61" s="1399"/>
      <c r="H61" s="984"/>
      <c r="I61" s="1107"/>
      <c r="J61" s="229"/>
    </row>
    <row r="62" spans="2:10" ht="12.75" customHeight="1">
      <c r="B62" s="230" t="str">
        <f>ProcessEnergy!B8</f>
        <v>Damp</v>
      </c>
      <c r="C62" s="210" t="s">
        <v>888</v>
      </c>
      <c r="D62" s="1398">
        <f>D140</f>
        <v>2.6665359653866953E-3</v>
      </c>
      <c r="E62" s="1398">
        <f>E140</f>
        <v>2.6665359653866953E-3</v>
      </c>
      <c r="F62" s="1398">
        <f>F140</f>
        <v>2.6665359653866953E-3</v>
      </c>
      <c r="G62" s="1398">
        <f>G140</f>
        <v>2.6665359653866953E-3</v>
      </c>
      <c r="H62" s="984"/>
      <c r="I62" s="1107"/>
      <c r="J62" s="229"/>
    </row>
    <row r="63" spans="2:10" ht="12.75" customHeight="1">
      <c r="B63" s="230" t="str">
        <f>ProcessEnergy!B9</f>
        <v xml:space="preserve">Olie </v>
      </c>
      <c r="C63" s="210" t="s">
        <v>888</v>
      </c>
      <c r="D63" s="1133"/>
      <c r="E63" s="1133"/>
      <c r="F63" s="1133"/>
      <c r="G63" s="1133"/>
      <c r="H63" s="984"/>
      <c r="I63" s="1107"/>
      <c r="J63" s="229"/>
    </row>
    <row r="64" spans="2:10" ht="12.75" customHeight="1">
      <c r="B64" s="230" t="str">
        <f>ProcessEnergy!B10</f>
        <v>Kul</v>
      </c>
      <c r="C64" s="210" t="s">
        <v>888</v>
      </c>
      <c r="D64" s="1133"/>
      <c r="E64" s="1133"/>
      <c r="F64" s="1133"/>
      <c r="G64" s="1133"/>
      <c r="H64" s="984"/>
      <c r="I64" s="1107"/>
      <c r="J64" s="229"/>
    </row>
    <row r="65" spans="2:10" ht="12.75" customHeight="1">
      <c r="B65" s="230" t="str">
        <f>ProcessEnergy!B11</f>
        <v>Naturgas kedel</v>
      </c>
      <c r="C65" s="210" t="s">
        <v>888</v>
      </c>
      <c r="D65" s="1398">
        <f>D141</f>
        <v>4.5287425635478641E-2</v>
      </c>
      <c r="E65" s="1398">
        <f>E141</f>
        <v>4.5287425635478641E-2</v>
      </c>
      <c r="F65" s="1398">
        <f>F141</f>
        <v>4.5287425635478641E-2</v>
      </c>
      <c r="G65" s="1398">
        <f>G141</f>
        <v>4.5287425635478641E-2</v>
      </c>
      <c r="H65" s="984"/>
      <c r="I65" s="1107"/>
      <c r="J65" s="229"/>
    </row>
    <row r="66" spans="2:10" ht="12.75" customHeight="1">
      <c r="B66" s="230" t="str">
        <f>ProcessEnergy!B12</f>
        <v>Gylle</v>
      </c>
      <c r="C66" s="210" t="s">
        <v>888</v>
      </c>
      <c r="D66" s="1133"/>
      <c r="E66" s="1133"/>
      <c r="F66" s="1133"/>
      <c r="G66" s="1133"/>
      <c r="H66" s="984"/>
      <c r="I66" s="1107"/>
      <c r="J66" s="229"/>
    </row>
    <row r="67" spans="2:10" ht="12.75" customHeight="1">
      <c r="B67" s="230" t="str">
        <f>ProcessEnergy!B13</f>
        <v>Affald</v>
      </c>
      <c r="C67" s="210" t="s">
        <v>888</v>
      </c>
      <c r="D67" s="105"/>
      <c r="E67" s="105"/>
      <c r="F67" s="105"/>
      <c r="G67" s="105"/>
      <c r="H67" s="984"/>
      <c r="I67" s="455"/>
      <c r="J67" s="229"/>
    </row>
    <row r="68" spans="2:10" ht="12.75" customHeight="1">
      <c r="B68" s="230" t="str">
        <f>ProcessEnergy!B14</f>
        <v>Hydrogen</v>
      </c>
      <c r="C68" s="210" t="s">
        <v>888</v>
      </c>
      <c r="D68" s="105"/>
      <c r="E68" s="105"/>
      <c r="F68" s="105"/>
      <c r="G68" s="105"/>
      <c r="H68" s="984"/>
      <c r="I68" s="455"/>
      <c r="J68" s="229"/>
    </row>
    <row r="69" spans="2:10" ht="12.75" customHeight="1">
      <c r="B69" s="230" t="str">
        <f>ProcessEnergy!B15</f>
        <v>Biomasse</v>
      </c>
      <c r="C69" s="210" t="s">
        <v>888</v>
      </c>
      <c r="D69" s="105"/>
      <c r="E69" s="105"/>
      <c r="F69" s="105"/>
      <c r="G69" s="105"/>
      <c r="H69" s="984"/>
      <c r="I69" s="455"/>
      <c r="J69" s="229"/>
    </row>
    <row r="70" spans="2:10" s="1240" customFormat="1" ht="12.75" customHeight="1">
      <c r="B70" s="1487" t="str">
        <f>ProcessEnergy!B16</f>
        <v>Methanol</v>
      </c>
      <c r="C70" s="1469"/>
      <c r="D70" s="105"/>
      <c r="E70" s="105"/>
      <c r="F70" s="105"/>
      <c r="G70" s="105"/>
      <c r="H70" s="984"/>
      <c r="I70" s="1471"/>
      <c r="J70" s="1488"/>
    </row>
    <row r="71" spans="2:10" s="1240" customFormat="1" ht="12.75" customHeight="1">
      <c r="B71" s="1487" t="str">
        <f>ProcessEnergy!B17</f>
        <v>&lt;empty&gt;</v>
      </c>
      <c r="C71" s="1469"/>
      <c r="D71" s="105"/>
      <c r="E71" s="105"/>
      <c r="F71" s="105"/>
      <c r="G71" s="105"/>
      <c r="H71" s="984"/>
      <c r="I71" s="1471"/>
      <c r="J71" s="1488"/>
    </row>
    <row r="72" spans="2:10" s="1240" customFormat="1" ht="12.75" customHeight="1">
      <c r="B72" s="1487" t="str">
        <f>ProcessEnergy!B18</f>
        <v>&lt;empty&gt;</v>
      </c>
      <c r="C72" s="1469"/>
      <c r="D72" s="105"/>
      <c r="E72" s="105"/>
      <c r="F72" s="105"/>
      <c r="G72" s="105"/>
      <c r="H72" s="984"/>
      <c r="I72" s="1471"/>
      <c r="J72" s="1488"/>
    </row>
    <row r="73" spans="2:10" s="1240" customFormat="1" ht="12.75" customHeight="1">
      <c r="B73" s="1487" t="str">
        <f>ProcessEnergy!B19</f>
        <v>&lt;empty&gt;</v>
      </c>
      <c r="C73" s="1469"/>
      <c r="D73" s="105"/>
      <c r="E73" s="105"/>
      <c r="F73" s="105"/>
      <c r="G73" s="105"/>
      <c r="H73" s="984"/>
      <c r="I73" s="1471"/>
      <c r="J73" s="1488"/>
    </row>
    <row r="74" spans="2:10" s="1240" customFormat="1" ht="12.75" customHeight="1">
      <c r="B74" s="1487" t="str">
        <f>ProcessEnergy!B20</f>
        <v>&lt;empty&gt;</v>
      </c>
      <c r="C74" s="1469"/>
      <c r="D74" s="105"/>
      <c r="E74" s="105"/>
      <c r="F74" s="105"/>
      <c r="G74" s="105"/>
      <c r="H74" s="984"/>
      <c r="I74" s="1471"/>
      <c r="J74" s="1488"/>
    </row>
    <row r="75" spans="2:10" s="1240" customFormat="1" ht="12.75" customHeight="1">
      <c r="B75" s="1487" t="str">
        <f>ProcessEnergy!B21</f>
        <v>&lt;empty&gt;</v>
      </c>
      <c r="C75" s="1469"/>
      <c r="D75" s="105"/>
      <c r="E75" s="105"/>
      <c r="F75" s="105"/>
      <c r="G75" s="105"/>
      <c r="H75" s="984"/>
      <c r="I75" s="1471"/>
      <c r="J75" s="1488"/>
    </row>
    <row r="76" spans="2:10" s="1240" customFormat="1" ht="12.75" customHeight="1">
      <c r="B76" s="1487" t="str">
        <f>ProcessEnergy!B22</f>
        <v>&lt;empty&gt;</v>
      </c>
      <c r="C76" s="1469"/>
      <c r="D76" s="105"/>
      <c r="E76" s="105"/>
      <c r="F76" s="105"/>
      <c r="G76" s="105"/>
      <c r="H76" s="984"/>
      <c r="I76" s="1471"/>
      <c r="J76" s="1488"/>
    </row>
    <row r="77" spans="2:10" s="1240" customFormat="1" ht="12.75" customHeight="1">
      <c r="B77" s="1487" t="str">
        <f>ProcessEnergy!B23</f>
        <v>&lt;empty&gt;</v>
      </c>
      <c r="C77" s="1469"/>
      <c r="D77" s="105"/>
      <c r="E77" s="105"/>
      <c r="F77" s="105"/>
      <c r="G77" s="105"/>
      <c r="H77" s="984"/>
      <c r="I77" s="1471"/>
      <c r="J77" s="1488"/>
    </row>
    <row r="78" spans="2:10" ht="12.75" customHeight="1">
      <c r="B78" s="230" t="str">
        <f>ProcessEnergy!B24</f>
        <v>&lt;empty&gt;</v>
      </c>
      <c r="C78" s="210" t="s">
        <v>888</v>
      </c>
      <c r="D78" s="105"/>
      <c r="E78" s="105"/>
      <c r="F78" s="105"/>
      <c r="G78" s="105"/>
      <c r="H78" s="984"/>
      <c r="I78" s="455"/>
      <c r="J78" s="229"/>
    </row>
    <row r="79" spans="2:10" ht="12.75" customHeight="1">
      <c r="B79" s="310"/>
      <c r="C79" s="210"/>
      <c r="D79" s="105"/>
      <c r="E79" s="105"/>
      <c r="F79" s="105"/>
      <c r="G79" s="105"/>
      <c r="H79" s="984"/>
      <c r="I79" s="455"/>
      <c r="J79" s="229"/>
    </row>
    <row r="80" spans="2:10" ht="12.75" customHeight="1">
      <c r="B80" s="310"/>
      <c r="C80" s="210"/>
      <c r="D80" s="105"/>
      <c r="E80" s="105"/>
      <c r="F80" s="105"/>
      <c r="G80" s="105"/>
      <c r="H80" s="984"/>
      <c r="I80" s="455"/>
      <c r="J80" s="229"/>
    </row>
    <row r="81" spans="1:17" ht="12.75" customHeight="1">
      <c r="B81" s="247"/>
      <c r="C81" s="210"/>
      <c r="D81" s="106"/>
      <c r="E81" s="106"/>
      <c r="F81" s="106"/>
      <c r="G81" s="106"/>
      <c r="H81" s="986"/>
      <c r="I81" s="455"/>
      <c r="J81" s="229"/>
    </row>
    <row r="82" spans="1:17" ht="12.75" customHeight="1">
      <c r="B82" s="216" t="s">
        <v>152</v>
      </c>
      <c r="C82" s="210"/>
      <c r="D82" s="106"/>
      <c r="E82" s="106"/>
      <c r="F82" s="106"/>
      <c r="G82" s="106"/>
      <c r="H82" s="986"/>
      <c r="I82" s="455"/>
      <c r="J82" s="229"/>
    </row>
    <row r="83" spans="1:17" ht="12.75" customHeight="1">
      <c r="A83" s="523">
        <v>4</v>
      </c>
      <c r="B83" s="247" t="s">
        <v>317</v>
      </c>
      <c r="C83" s="976" t="s">
        <v>725</v>
      </c>
      <c r="D83" s="295">
        <v>1</v>
      </c>
      <c r="E83" s="295">
        <v>1</v>
      </c>
      <c r="F83" s="295">
        <v>1</v>
      </c>
      <c r="G83" s="295">
        <v>1</v>
      </c>
      <c r="H83" s="978"/>
      <c r="I83" s="455"/>
      <c r="J83" s="229"/>
    </row>
    <row r="84" spans="1:17" ht="12.75" customHeight="1">
      <c r="B84" s="247" t="s">
        <v>153</v>
      </c>
      <c r="C84" s="976" t="s">
        <v>725</v>
      </c>
      <c r="D84" s="307">
        <f>D125/D124</f>
        <v>5.1554184694429427E-2</v>
      </c>
      <c r="E84" s="307">
        <f>E125/E124</f>
        <v>5.1554184694429427E-2</v>
      </c>
      <c r="F84" s="307">
        <f>F125/F124</f>
        <v>5.1554184694429427E-2</v>
      </c>
      <c r="G84" s="307">
        <f>G125/G124</f>
        <v>5.1554184694429427E-2</v>
      </c>
      <c r="H84" s="1334"/>
      <c r="I84" s="455"/>
      <c r="J84" s="229"/>
    </row>
    <row r="85" spans="1:17" ht="12.75" customHeight="1">
      <c r="B85" s="247" t="s">
        <v>154</v>
      </c>
      <c r="C85" s="976" t="s">
        <v>725</v>
      </c>
      <c r="D85" s="307">
        <f>D126/D124</f>
        <v>1.0389913271981996</v>
      </c>
      <c r="E85" s="307">
        <f>E126/E124</f>
        <v>1.0389913271981996</v>
      </c>
      <c r="F85" s="307">
        <f>F126/F124</f>
        <v>1.0389913271981996</v>
      </c>
      <c r="G85" s="307">
        <f>G126/G124</f>
        <v>1.0389913271981996</v>
      </c>
      <c r="H85" s="978"/>
      <c r="I85" s="455"/>
      <c r="J85" s="229"/>
    </row>
    <row r="86" spans="1:17" ht="12.75" customHeight="1">
      <c r="B86" s="247" t="s">
        <v>2</v>
      </c>
      <c r="C86" s="976" t="s">
        <v>725</v>
      </c>
      <c r="D86" s="237">
        <f>D127/D124</f>
        <v>9.4037317468902096E-3</v>
      </c>
      <c r="E86" s="237">
        <f>E127/E124</f>
        <v>9.4037317468902096E-3</v>
      </c>
      <c r="F86" s="237">
        <f>F127/F124</f>
        <v>9.4037317468902096E-3</v>
      </c>
      <c r="G86" s="237">
        <f>G127/G124</f>
        <v>9.4037317468902096E-3</v>
      </c>
      <c r="H86" s="978"/>
      <c r="I86" s="455"/>
      <c r="J86" s="229"/>
    </row>
    <row r="87" spans="1:17" ht="12.75" customHeight="1">
      <c r="B87" s="108" t="s">
        <v>155</v>
      </c>
      <c r="C87" s="976" t="s">
        <v>725</v>
      </c>
      <c r="D87" s="109">
        <f>D83+D84-D85-D86</f>
        <v>3.1591257493395527E-3</v>
      </c>
      <c r="E87" s="109">
        <f>E83+E84-E85-E86</f>
        <v>3.1591257493395527E-3</v>
      </c>
      <c r="F87" s="109">
        <f>F83+F84-F85-F86</f>
        <v>3.1591257493395527E-3</v>
      </c>
      <c r="G87" s="109">
        <f>G83+G84-G85-G86</f>
        <v>3.1591257493395527E-3</v>
      </c>
      <c r="H87" s="978"/>
      <c r="I87" s="455"/>
      <c r="J87" s="229"/>
    </row>
    <row r="88" spans="1:17" ht="12.75" customHeight="1">
      <c r="B88" s="108" t="s">
        <v>156</v>
      </c>
      <c r="C88" s="988" t="s">
        <v>726</v>
      </c>
      <c r="D88" s="462">
        <f>(D86+D85)/(D83+D84)</f>
        <v>0.99699575562027976</v>
      </c>
      <c r="E88" s="462">
        <f>(E86+E85)/(E83+E84)</f>
        <v>0.99699575562027976</v>
      </c>
      <c r="F88" s="462">
        <f>(F86+F85)/(F83+F84)</f>
        <v>0.99699575562027976</v>
      </c>
      <c r="G88" s="462">
        <f>(G86+G85)/(G83+G84)</f>
        <v>0.99699575562027976</v>
      </c>
      <c r="H88" s="990"/>
      <c r="I88" s="455"/>
      <c r="J88" s="229"/>
    </row>
    <row r="89" spans="1:17" ht="12.75" customHeight="1">
      <c r="B89" s="247"/>
      <c r="C89" s="210"/>
      <c r="D89" s="213"/>
      <c r="E89" s="213"/>
      <c r="F89" s="213"/>
      <c r="G89" s="213"/>
      <c r="H89" s="990"/>
      <c r="I89" s="455"/>
      <c r="J89" s="229"/>
      <c r="N89" s="234"/>
    </row>
    <row r="90" spans="1:17" ht="12.75" customHeight="1">
      <c r="B90" s="216" t="s">
        <v>33</v>
      </c>
      <c r="C90" s="210"/>
      <c r="D90" s="213"/>
      <c r="E90" s="213"/>
      <c r="F90" s="213"/>
      <c r="G90" s="213"/>
      <c r="H90" s="983"/>
      <c r="I90" s="455"/>
      <c r="J90" s="229"/>
      <c r="N90" s="110"/>
      <c r="O90" s="110"/>
      <c r="P90" s="110"/>
      <c r="Q90" s="110"/>
    </row>
    <row r="91" spans="1:17" s="530" customFormat="1">
      <c r="B91" s="964" t="s">
        <v>157</v>
      </c>
      <c r="C91" s="976" t="s">
        <v>61</v>
      </c>
      <c r="D91" s="992">
        <f>HLOOKUP($H100,Supplementary!$C$44:$AF$46,3,FALSE)*D100</f>
        <v>0</v>
      </c>
      <c r="E91" s="555">
        <f>HLOOKUP($H100,Supplementary!$C$44:$AF$46,3,FALSE)*E100</f>
        <v>0</v>
      </c>
      <c r="F91" s="555">
        <f>HLOOKUP($H100,Supplementary!$C$44:$AF$46,3,FALSE)*F100</f>
        <v>0</v>
      </c>
      <c r="G91" s="555">
        <f>HLOOKUP($H100,Supplementary!$C$44:$AF$46,3,FALSE)*G100</f>
        <v>0</v>
      </c>
      <c r="H91" s="555">
        <f t="shared" ref="H91:H97" si="0">priceYear</f>
        <v>2015</v>
      </c>
      <c r="I91" s="555"/>
      <c r="J91" s="965"/>
      <c r="N91" s="991"/>
      <c r="O91" s="991"/>
      <c r="P91" s="991"/>
      <c r="Q91" s="991"/>
    </row>
    <row r="92" spans="1:17" s="530" customFormat="1">
      <c r="B92" s="964" t="s">
        <v>160</v>
      </c>
      <c r="C92" s="976" t="s">
        <v>1094</v>
      </c>
      <c r="D92" s="992">
        <f ca="1">HLOOKUP($H101,Supplementary!$C$44:$AF$46,3,FALSE)*D101</f>
        <v>131.56749441410432</v>
      </c>
      <c r="E92" s="555">
        <f ca="1">HLOOKUP($H101,Supplementary!$C$44:$AF$46,3,FALSE)*E101</f>
        <v>135.08021877952945</v>
      </c>
      <c r="F92" s="555">
        <f ca="1">HLOOKUP($H101,Supplementary!$C$44:$AF$46,3,FALSE)*F101</f>
        <v>144.23459136821307</v>
      </c>
      <c r="G92" s="555">
        <f ca="1">HLOOKUP($H101,Supplementary!$C$44:$AF$46,3,FALSE)*G101</f>
        <v>144.23459136821307</v>
      </c>
      <c r="H92" s="555">
        <f t="shared" si="0"/>
        <v>2015</v>
      </c>
      <c r="I92" s="555"/>
      <c r="J92" s="965"/>
      <c r="N92" s="991"/>
      <c r="O92" s="991"/>
      <c r="P92" s="991"/>
      <c r="Q92" s="991"/>
    </row>
    <row r="93" spans="1:17" s="530" customFormat="1">
      <c r="B93" s="995" t="s">
        <v>162</v>
      </c>
      <c r="C93" s="976" t="s">
        <v>1094</v>
      </c>
      <c r="D93" s="992">
        <f ca="1">HLOOKUP($H102,Supplementary!$C$44:$AF$46,3,FALSE)*D102</f>
        <v>1031.6479417603896</v>
      </c>
      <c r="E93" s="555">
        <f ca="1">HLOOKUP($H102,Supplementary!$C$44:$AF$46,3,FALSE)*E102</f>
        <v>1058.5475964249217</v>
      </c>
      <c r="F93" s="555">
        <f ca="1">HLOOKUP($H102,Supplementary!$C$44:$AF$46,3,FALSE)*F102</f>
        <v>819.97387103717301</v>
      </c>
      <c r="G93" s="555">
        <f ca="1">HLOOKUP($H102,Supplementary!$C$44:$AF$46,3,FALSE)*G102</f>
        <v>819.97387103717301</v>
      </c>
      <c r="H93" s="555">
        <f t="shared" si="0"/>
        <v>2015</v>
      </c>
      <c r="I93" s="555"/>
      <c r="J93" s="965"/>
      <c r="N93" s="991"/>
      <c r="O93" s="991"/>
      <c r="P93" s="991"/>
      <c r="Q93" s="991"/>
    </row>
    <row r="94" spans="1:17" s="530" customFormat="1">
      <c r="B94" s="995" t="s">
        <v>163</v>
      </c>
      <c r="C94" s="976" t="s">
        <v>1094</v>
      </c>
      <c r="D94" s="992">
        <f>HLOOKUP($H103,Supplementary!$C$44:$AF$46,3,FALSE)*D103</f>
        <v>0</v>
      </c>
      <c r="E94" s="555">
        <f>HLOOKUP($H103,Supplementary!$C$44:$AF$46,3,FALSE)*E103</f>
        <v>0</v>
      </c>
      <c r="F94" s="555">
        <f>HLOOKUP($H103,Supplementary!$C$44:$AF$46,3,FALSE)*F103</f>
        <v>0</v>
      </c>
      <c r="G94" s="555">
        <f>HLOOKUP($H103,Supplementary!$C$44:$AF$46,3,FALSE)*G103</f>
        <v>0</v>
      </c>
      <c r="H94" s="555">
        <f t="shared" si="0"/>
        <v>2015</v>
      </c>
      <c r="I94" s="555"/>
      <c r="J94" s="965"/>
      <c r="N94" s="991"/>
      <c r="O94" s="991"/>
      <c r="P94" s="991"/>
      <c r="Q94" s="991"/>
    </row>
    <row r="95" spans="1:17" s="530" customFormat="1">
      <c r="B95" s="995" t="s">
        <v>164</v>
      </c>
      <c r="C95" s="976" t="s">
        <v>464</v>
      </c>
      <c r="D95" s="992">
        <f ca="1">HLOOKUP($H104,Supplementary!$C$44:$AF$46,3,FALSE)*D104</f>
        <v>11466.723669028628</v>
      </c>
      <c r="E95" s="555">
        <f ca="1">HLOOKUP($H104,Supplementary!$C$44:$AF$46,3,FALSE)*E104</f>
        <v>11797.262323672374</v>
      </c>
      <c r="F95" s="555">
        <f ca="1">HLOOKUP($H104,Supplementary!$C$44:$AF$46,3,FALSE)*F104</f>
        <v>12992.314619030238</v>
      </c>
      <c r="G95" s="555">
        <f ca="1">HLOOKUP($H104,Supplementary!$C$44:$AF$46,3,FALSE)*G104</f>
        <v>12992.314619030238</v>
      </c>
      <c r="H95" s="555">
        <f t="shared" si="0"/>
        <v>2015</v>
      </c>
      <c r="I95" s="555"/>
      <c r="J95" s="965"/>
      <c r="N95" s="991"/>
      <c r="O95" s="991"/>
      <c r="P95" s="991"/>
      <c r="Q95" s="991"/>
    </row>
    <row r="96" spans="1:17" s="530" customFormat="1">
      <c r="B96" s="995" t="s">
        <v>264</v>
      </c>
      <c r="C96" s="976" t="s">
        <v>464</v>
      </c>
      <c r="D96" s="992">
        <f>HLOOKUP($H105,Supplementary!$C$44:$AF$46,3,FALSE)*D105</f>
        <v>0</v>
      </c>
      <c r="E96" s="555">
        <f>HLOOKUP($H105,Supplementary!$C$44:$AF$46,3,FALSE)*E105</f>
        <v>0</v>
      </c>
      <c r="F96" s="555">
        <f>HLOOKUP($H105,Supplementary!$C$44:$AF$46,3,FALSE)*F105</f>
        <v>0</v>
      </c>
      <c r="G96" s="555">
        <f>HLOOKUP($H105,Supplementary!$C$44:$AF$46,3,FALSE)*G105</f>
        <v>0</v>
      </c>
      <c r="H96" s="555">
        <f t="shared" si="0"/>
        <v>2015</v>
      </c>
      <c r="I96" s="555"/>
      <c r="J96" s="965"/>
      <c r="N96" s="991"/>
      <c r="O96" s="991"/>
      <c r="P96" s="991"/>
      <c r="Q96" s="991"/>
    </row>
    <row r="97" spans="1:17" s="530" customFormat="1">
      <c r="B97" s="995" t="s">
        <v>165</v>
      </c>
      <c r="C97" s="976" t="s">
        <v>464</v>
      </c>
      <c r="D97" s="992">
        <f ca="1">HLOOKUP($H106,Supplementary!$C$44:$AF$46,3,FALSE)*D106</f>
        <v>-12366.804116374913</v>
      </c>
      <c r="E97" s="555">
        <f ca="1">HLOOKUP($H106,Supplementary!$C$44:$AF$46,3,FALSE)*E106</f>
        <v>-12720.729701317767</v>
      </c>
      <c r="F97" s="555">
        <f ca="1">HLOOKUP($H106,Supplementary!$C$44:$AF$46,3,FALSE)*F106</f>
        <v>-13668.053898699198</v>
      </c>
      <c r="G97" s="555">
        <f ca="1">HLOOKUP($H106,Supplementary!$C$44:$AF$46,3,FALSE)*G106</f>
        <v>-13668.053898699198</v>
      </c>
      <c r="H97" s="555">
        <f t="shared" si="0"/>
        <v>2015</v>
      </c>
      <c r="I97" s="555"/>
      <c r="J97" s="965"/>
      <c r="N97" s="991"/>
      <c r="O97" s="991"/>
      <c r="P97" s="991"/>
      <c r="Q97" s="991"/>
    </row>
    <row r="98" spans="1:17" s="530" customFormat="1">
      <c r="B98" s="975"/>
      <c r="C98" s="976"/>
      <c r="D98" s="992"/>
      <c r="E98" s="983"/>
      <c r="F98" s="983"/>
      <c r="G98" s="983"/>
      <c r="H98" s="983"/>
      <c r="I98" s="555"/>
      <c r="J98" s="965"/>
      <c r="N98" s="991"/>
      <c r="O98" s="991"/>
      <c r="P98" s="991"/>
      <c r="Q98" s="991"/>
    </row>
    <row r="99" spans="1:17" s="530" customFormat="1">
      <c r="B99" s="975"/>
      <c r="C99" s="976"/>
      <c r="D99" s="992">
        <f ca="1">SUM(D93:D97)</f>
        <v>131.56749441410466</v>
      </c>
      <c r="E99" s="983"/>
      <c r="F99" s="983"/>
      <c r="G99" s="983"/>
      <c r="H99" s="983"/>
      <c r="I99" s="555"/>
      <c r="J99" s="965"/>
      <c r="N99" s="991"/>
      <c r="O99" s="991"/>
      <c r="P99" s="991"/>
      <c r="Q99" s="991"/>
    </row>
    <row r="100" spans="1:17" ht="12.75" customHeight="1">
      <c r="B100" s="247" t="s">
        <v>157</v>
      </c>
      <c r="C100" s="210" t="s">
        <v>61</v>
      </c>
      <c r="D100" s="115"/>
      <c r="E100" s="115"/>
      <c r="F100" s="115"/>
      <c r="G100" s="115"/>
      <c r="H100" s="1668">
        <v>2015</v>
      </c>
      <c r="I100" s="455"/>
      <c r="J100" s="229"/>
      <c r="N100" s="110"/>
      <c r="O100" s="110"/>
      <c r="P100" s="110"/>
      <c r="Q100" s="110"/>
    </row>
    <row r="101" spans="1:17" ht="12.75" customHeight="1">
      <c r="B101" s="230" t="s">
        <v>160</v>
      </c>
      <c r="C101" s="210" t="s">
        <v>1462</v>
      </c>
      <c r="D101" s="166">
        <f ca="1">D174</f>
        <v>131.56749441410432</v>
      </c>
      <c r="E101" s="166">
        <f ca="1">E174</f>
        <v>135.08021877952945</v>
      </c>
      <c r="F101" s="166">
        <f ca="1">F174</f>
        <v>144.23459136821307</v>
      </c>
      <c r="G101" s="166">
        <f ca="1">G174</f>
        <v>144.23459136821307</v>
      </c>
      <c r="H101" s="1668">
        <v>2015</v>
      </c>
      <c r="I101" s="248"/>
      <c r="J101" s="229"/>
      <c r="N101" s="110"/>
      <c r="O101" s="110"/>
      <c r="P101" s="110"/>
      <c r="Q101" s="110"/>
    </row>
    <row r="102" spans="1:17" ht="12.75" customHeight="1">
      <c r="B102" s="236" t="s">
        <v>162</v>
      </c>
      <c r="C102" s="210" t="s">
        <v>1462</v>
      </c>
      <c r="D102" s="166">
        <f ca="1">D101-D104-D106</f>
        <v>1031.6479417603896</v>
      </c>
      <c r="E102" s="166">
        <f ca="1">E101-E104-E106</f>
        <v>1058.5475964249217</v>
      </c>
      <c r="F102" s="166">
        <f ca="1">F101-F104-F106</f>
        <v>819.97387103717301</v>
      </c>
      <c r="G102" s="166">
        <f ca="1">G101-G104-G106</f>
        <v>819.97387103717301</v>
      </c>
      <c r="H102" s="1668">
        <v>2015</v>
      </c>
      <c r="I102" s="235"/>
      <c r="J102" s="229"/>
      <c r="N102" s="110"/>
      <c r="O102" s="110"/>
      <c r="P102" s="110"/>
      <c r="Q102" s="110"/>
    </row>
    <row r="103" spans="1:17" ht="12.75" customHeight="1">
      <c r="B103" s="236" t="s">
        <v>163</v>
      </c>
      <c r="C103" s="210" t="s">
        <v>1462</v>
      </c>
      <c r="D103" s="460"/>
      <c r="E103" s="460"/>
      <c r="F103" s="460"/>
      <c r="G103" s="460"/>
      <c r="H103" s="1668">
        <v>2015</v>
      </c>
      <c r="I103" s="455"/>
      <c r="J103" s="229"/>
      <c r="N103" s="110"/>
      <c r="O103" s="110"/>
      <c r="P103" s="110"/>
      <c r="Q103" s="110"/>
    </row>
    <row r="104" spans="1:17" ht="12.75" customHeight="1">
      <c r="A104" s="523">
        <v>6</v>
      </c>
      <c r="B104" s="236" t="s">
        <v>164</v>
      </c>
      <c r="C104" s="210" t="s">
        <v>1462</v>
      </c>
      <c r="D104" s="463">
        <f ca="1">D179/D167</f>
        <v>11466.723669028628</v>
      </c>
      <c r="E104" s="463">
        <f ca="1">E179/E167</f>
        <v>11797.262323672374</v>
      </c>
      <c r="F104" s="463">
        <f ca="1">F179/F167</f>
        <v>12992.314619030238</v>
      </c>
      <c r="G104" s="463">
        <f ca="1">G179/G167</f>
        <v>12992.314619030238</v>
      </c>
      <c r="H104" s="1668">
        <v>2015</v>
      </c>
      <c r="I104" s="455"/>
      <c r="J104" s="229"/>
      <c r="N104" s="110"/>
      <c r="O104" s="110"/>
      <c r="P104" s="110"/>
      <c r="Q104" s="110"/>
    </row>
    <row r="105" spans="1:17" ht="12.75" customHeight="1">
      <c r="B105" s="236" t="s">
        <v>264</v>
      </c>
      <c r="C105" s="210" t="s">
        <v>1462</v>
      </c>
      <c r="D105" s="460"/>
      <c r="E105" s="460"/>
      <c r="F105" s="460"/>
      <c r="G105" s="460"/>
      <c r="H105" s="1668">
        <v>2015</v>
      </c>
      <c r="I105" s="455"/>
      <c r="J105" s="229"/>
      <c r="N105" s="110"/>
      <c r="O105" s="110"/>
      <c r="P105" s="110"/>
      <c r="Q105" s="110"/>
    </row>
    <row r="106" spans="1:17" ht="12.75" customHeight="1">
      <c r="B106" s="236" t="s">
        <v>165</v>
      </c>
      <c r="C106" s="210" t="s">
        <v>1462</v>
      </c>
      <c r="D106" s="463">
        <f ca="1">-(D184+D182+D185)/D167</f>
        <v>-12366.804116374913</v>
      </c>
      <c r="E106" s="463">
        <f ca="1">-(E184+E182+E185)/E167</f>
        <v>-12720.729701317767</v>
      </c>
      <c r="F106" s="463">
        <f ca="1">-(F184+F182+F185)/F167</f>
        <v>-13668.053898699198</v>
      </c>
      <c r="G106" s="463">
        <f ca="1">-(G184+G182+G185)/G167</f>
        <v>-13668.053898699198</v>
      </c>
      <c r="H106" s="1668">
        <v>2015</v>
      </c>
      <c r="I106" s="455"/>
      <c r="J106" s="229"/>
      <c r="N106" s="110"/>
      <c r="O106" s="110"/>
      <c r="P106" s="110"/>
      <c r="Q106" s="110"/>
    </row>
    <row r="107" spans="1:17" ht="12.75" customHeight="1">
      <c r="B107" s="236"/>
      <c r="C107" s="210"/>
      <c r="D107" s="213"/>
      <c r="E107" s="213"/>
      <c r="F107" s="213"/>
      <c r="G107" s="213"/>
      <c r="H107" s="983"/>
      <c r="I107" s="235"/>
      <c r="J107" s="229"/>
      <c r="N107" s="110"/>
      <c r="O107" s="110"/>
      <c r="P107" s="110"/>
      <c r="Q107" s="110"/>
    </row>
    <row r="108" spans="1:17" ht="12.75" customHeight="1">
      <c r="B108" s="236"/>
      <c r="C108" s="210"/>
      <c r="D108" s="213"/>
      <c r="E108" s="213"/>
      <c r="F108" s="213"/>
      <c r="G108" s="213"/>
      <c r="H108" s="983"/>
      <c r="I108" s="235"/>
      <c r="J108" s="229"/>
      <c r="N108" s="110"/>
      <c r="O108" s="110"/>
      <c r="P108" s="110"/>
      <c r="Q108" s="110"/>
    </row>
    <row r="109" spans="1:17" ht="12.75" customHeight="1">
      <c r="B109" s="236"/>
      <c r="C109" s="210"/>
      <c r="D109" s="213"/>
      <c r="E109" s="213"/>
      <c r="F109" s="213"/>
      <c r="G109" s="213"/>
      <c r="H109" s="983"/>
      <c r="I109" s="235"/>
      <c r="J109" s="229"/>
      <c r="N109" s="110"/>
      <c r="O109" s="110"/>
      <c r="P109" s="110"/>
      <c r="Q109" s="110"/>
    </row>
    <row r="110" spans="1:17" ht="12.75" customHeight="1">
      <c r="B110" s="236"/>
      <c r="C110" s="210"/>
      <c r="D110" s="213"/>
      <c r="E110" s="213"/>
      <c r="F110" s="213"/>
      <c r="G110" s="213"/>
      <c r="H110" s="983"/>
      <c r="I110" s="235"/>
      <c r="J110" s="229"/>
      <c r="N110" s="110"/>
      <c r="O110" s="110"/>
      <c r="P110" s="110"/>
      <c r="Q110" s="110"/>
    </row>
    <row r="111" spans="1:17" ht="12.75" customHeight="1">
      <c r="B111" s="236"/>
      <c r="C111" s="210"/>
      <c r="D111" s="213"/>
      <c r="E111" s="213"/>
      <c r="F111" s="213"/>
      <c r="G111" s="213"/>
      <c r="H111" s="983"/>
      <c r="I111" s="235"/>
      <c r="J111" s="229"/>
      <c r="N111" s="110"/>
      <c r="O111" s="110"/>
      <c r="P111" s="110"/>
      <c r="Q111" s="110"/>
    </row>
    <row r="112" spans="1:17" ht="12.75" customHeight="1">
      <c r="B112" s="236"/>
      <c r="C112" s="210"/>
      <c r="D112" s="213"/>
      <c r="E112" s="213"/>
      <c r="F112" s="213"/>
      <c r="G112" s="213"/>
      <c r="H112" s="983"/>
      <c r="I112" s="235"/>
      <c r="J112" s="229"/>
      <c r="N112" s="110"/>
      <c r="O112" s="110"/>
      <c r="P112" s="110"/>
      <c r="Q112" s="110"/>
    </row>
    <row r="113" spans="2:19" ht="12.75" customHeight="1">
      <c r="B113" s="216" t="s">
        <v>166</v>
      </c>
      <c r="C113" s="210"/>
      <c r="D113" s="213"/>
      <c r="E113" s="213"/>
      <c r="F113" s="213"/>
      <c r="G113" s="213"/>
      <c r="H113" s="983"/>
      <c r="I113" s="235"/>
      <c r="J113" s="229"/>
      <c r="N113" s="112"/>
      <c r="O113" s="234"/>
      <c r="P113" s="234"/>
      <c r="Q113" s="393"/>
      <c r="R113" s="530"/>
      <c r="S113" s="530"/>
    </row>
    <row r="114" spans="2:19" ht="12.75" customHeight="1">
      <c r="B114" s="230" t="s">
        <v>24</v>
      </c>
      <c r="C114" s="210" t="s">
        <v>319</v>
      </c>
      <c r="D114" s="1136"/>
      <c r="E114" s="1136"/>
      <c r="F114" s="1136"/>
      <c r="G114" s="1136"/>
      <c r="H114" s="999"/>
      <c r="I114" s="455"/>
      <c r="J114" s="229"/>
      <c r="N114" s="110"/>
      <c r="O114" s="393"/>
      <c r="P114" s="393"/>
      <c r="Q114" s="393"/>
      <c r="R114" s="530"/>
      <c r="S114" s="530"/>
    </row>
    <row r="115" spans="2:19" ht="12.75" customHeight="1">
      <c r="B115" s="230" t="s">
        <v>27</v>
      </c>
      <c r="C115" s="210" t="s">
        <v>319</v>
      </c>
      <c r="D115" s="1136"/>
      <c r="E115" s="1136"/>
      <c r="F115" s="1136"/>
      <c r="G115" s="1136"/>
      <c r="H115" s="999"/>
      <c r="I115" s="455"/>
      <c r="J115" s="229"/>
      <c r="N115" s="110"/>
      <c r="O115" s="393"/>
      <c r="P115" s="393"/>
      <c r="Q115" s="393"/>
      <c r="R115" s="530"/>
      <c r="S115" s="530"/>
    </row>
    <row r="116" spans="2:19" ht="12.75" customHeight="1">
      <c r="B116" s="230" t="s">
        <v>28</v>
      </c>
      <c r="C116" s="210" t="s">
        <v>319</v>
      </c>
      <c r="D116" s="1136"/>
      <c r="E116" s="1136"/>
      <c r="F116" s="1136"/>
      <c r="G116" s="1136"/>
      <c r="H116" s="999"/>
      <c r="I116" s="455"/>
      <c r="J116" s="229"/>
      <c r="N116" s="110"/>
      <c r="O116" s="393"/>
      <c r="P116" s="393"/>
      <c r="Q116" s="393"/>
      <c r="R116" s="530"/>
      <c r="S116" s="530"/>
    </row>
    <row r="117" spans="2:19" ht="12.75" customHeight="1">
      <c r="B117" s="230" t="s">
        <v>26</v>
      </c>
      <c r="C117" s="210" t="s">
        <v>319</v>
      </c>
      <c r="D117" s="1136"/>
      <c r="E117" s="1136"/>
      <c r="F117" s="1136"/>
      <c r="G117" s="1136"/>
      <c r="H117" s="999"/>
      <c r="I117" s="455"/>
      <c r="J117" s="229"/>
      <c r="N117" s="110"/>
      <c r="O117" s="393"/>
      <c r="P117" s="393"/>
      <c r="Q117" s="393"/>
      <c r="R117" s="530"/>
      <c r="S117" s="530"/>
    </row>
    <row r="118" spans="2:19" ht="12.75" customHeight="1">
      <c r="B118" s="230" t="s">
        <v>25</v>
      </c>
      <c r="C118" s="210" t="s">
        <v>319</v>
      </c>
      <c r="D118" s="1136"/>
      <c r="E118" s="1136"/>
      <c r="F118" s="1136"/>
      <c r="G118" s="1136"/>
      <c r="H118" s="999"/>
      <c r="I118" s="1413"/>
      <c r="J118" s="229"/>
      <c r="N118" s="112"/>
      <c r="O118" s="234"/>
      <c r="P118" s="234"/>
      <c r="Q118" s="234"/>
      <c r="R118" s="530"/>
      <c r="S118" s="530"/>
    </row>
    <row r="119" spans="2:19" ht="12.75" customHeight="1">
      <c r="B119" s="230" t="s">
        <v>45</v>
      </c>
      <c r="C119" s="210" t="s">
        <v>319</v>
      </c>
      <c r="D119" s="1137"/>
      <c r="E119" s="1137"/>
      <c r="F119" s="1137"/>
      <c r="G119" s="1137"/>
      <c r="H119" s="1000"/>
      <c r="I119" s="1413"/>
      <c r="J119" s="229"/>
      <c r="O119" s="530"/>
      <c r="P119" s="530"/>
      <c r="Q119" s="530"/>
      <c r="R119" s="530"/>
      <c r="S119" s="530"/>
    </row>
    <row r="120" spans="2:19" ht="12.75" customHeight="1" thickBot="1">
      <c r="B120" s="113"/>
      <c r="C120" s="238"/>
      <c r="D120" s="96"/>
      <c r="E120" s="244"/>
      <c r="F120" s="244"/>
      <c r="G120" s="244"/>
      <c r="H120" s="968"/>
      <c r="I120" s="1414"/>
      <c r="J120" s="240"/>
      <c r="O120" s="530"/>
      <c r="P120" s="530"/>
      <c r="Q120" s="530"/>
      <c r="R120" s="530"/>
      <c r="S120" s="530"/>
    </row>
    <row r="121" spans="2:19" ht="12.75" customHeight="1">
      <c r="I121" s="1415"/>
      <c r="O121" s="530"/>
      <c r="P121" s="530"/>
      <c r="Q121" s="530"/>
      <c r="R121" s="530"/>
      <c r="S121" s="530"/>
    </row>
    <row r="122" spans="2:19" ht="18.75" thickBot="1">
      <c r="B122" s="1111" t="s">
        <v>2023</v>
      </c>
      <c r="C122" s="215"/>
      <c r="D122" s="215"/>
      <c r="E122" s="215"/>
      <c r="F122" s="215"/>
      <c r="G122" s="215"/>
      <c r="I122" s="215"/>
      <c r="J122" s="215"/>
      <c r="O122" s="530"/>
      <c r="P122" s="530"/>
      <c r="Q122" s="530"/>
      <c r="R122" s="530"/>
      <c r="S122" s="530"/>
    </row>
    <row r="123" spans="2:19" ht="12.75" customHeight="1">
      <c r="B123" s="339"/>
      <c r="C123" s="137" t="s">
        <v>1438</v>
      </c>
      <c r="D123" s="138">
        <v>2015</v>
      </c>
      <c r="E123" s="137">
        <v>2020</v>
      </c>
      <c r="F123" s="137">
        <v>2035</v>
      </c>
      <c r="G123" s="137">
        <v>2050</v>
      </c>
      <c r="H123" s="137"/>
      <c r="I123" s="80" t="s">
        <v>145</v>
      </c>
      <c r="J123" s="139" t="s">
        <v>146</v>
      </c>
    </row>
    <row r="124" spans="2:19" ht="12.75" customHeight="1">
      <c r="B124" s="247" t="s">
        <v>317</v>
      </c>
      <c r="C124" s="210" t="s">
        <v>318</v>
      </c>
      <c r="D124" s="461">
        <f>VLOOKUP($C$11,Feedstocks!$B$10:$D$23,3,0)</f>
        <v>43</v>
      </c>
      <c r="E124" s="461">
        <f>VLOOKUP($C$11,Feedstocks!$B$10:$D$23,3,0)</f>
        <v>43</v>
      </c>
      <c r="F124" s="461">
        <f>VLOOKUP($C$11,Feedstocks!$B$10:$D$23,3,0)</f>
        <v>43</v>
      </c>
      <c r="G124" s="461">
        <f>VLOOKUP($C$11,Feedstocks!$B$10:$D$23,3,0)</f>
        <v>43</v>
      </c>
      <c r="H124" s="461"/>
    </row>
    <row r="125" spans="2:19" ht="12.75" customHeight="1">
      <c r="B125" s="247" t="s">
        <v>153</v>
      </c>
      <c r="C125" s="210" t="s">
        <v>318</v>
      </c>
      <c r="D125" s="307">
        <f>SUM(D$132:D$134)*3.6/D$146/1000</f>
        <v>2.2168299418604653</v>
      </c>
      <c r="E125" s="307">
        <f>SUM(E$132:E$134)*3.6/E$146/1000</f>
        <v>2.2168299418604653</v>
      </c>
      <c r="F125" s="307">
        <f>SUM(F$132:F$134)*3.6/F$146/1000</f>
        <v>2.2168299418604653</v>
      </c>
      <c r="G125" s="307">
        <f>SUM(G$132:G$134)*3.6/G$146/1000</f>
        <v>2.2168299418604653</v>
      </c>
      <c r="H125" s="307"/>
    </row>
    <row r="126" spans="2:19" ht="12.75" customHeight="1">
      <c r="B126" s="247" t="s">
        <v>154</v>
      </c>
      <c r="C126" s="210" t="s">
        <v>318</v>
      </c>
      <c r="D126" s="307">
        <f>SUM(D$165:D$166,D$168:D$169)/D$33</f>
        <v>44.676627069522581</v>
      </c>
      <c r="E126" s="307">
        <f>SUM(E$165:E$166,E$168:E$169)/E$33</f>
        <v>44.676627069522581</v>
      </c>
      <c r="F126" s="307">
        <f>SUM(F$165:F$166,F$168:F$169)/F$33</f>
        <v>44.676627069522581</v>
      </c>
      <c r="G126" s="307">
        <f>SUM(G$165:G$166,G$168:G$169)/G$33</f>
        <v>44.676627069522581</v>
      </c>
      <c r="H126" s="307"/>
    </row>
    <row r="127" spans="2:19" ht="12.75" customHeight="1">
      <c r="B127" s="247" t="s">
        <v>2</v>
      </c>
      <c r="C127" s="210" t="s">
        <v>318</v>
      </c>
      <c r="D127" s="237">
        <f>D$32*D$31</f>
        <v>0.40436046511627904</v>
      </c>
      <c r="E127" s="237">
        <f>E$32*E$31</f>
        <v>0.40436046511627904</v>
      </c>
      <c r="F127" s="237">
        <f>F$32*F$31</f>
        <v>0.40436046511627904</v>
      </c>
      <c r="G127" s="237">
        <f>G$32*G$31</f>
        <v>0.40436046511627904</v>
      </c>
      <c r="H127" s="237"/>
    </row>
    <row r="128" spans="2:19" ht="12.75" customHeight="1">
      <c r="H128" s="523"/>
      <c r="I128" s="1415"/>
    </row>
    <row r="129" spans="2:10" ht="18.75" thickBot="1">
      <c r="B129" s="1111" t="s">
        <v>1453</v>
      </c>
      <c r="C129" s="215"/>
      <c r="D129" s="215"/>
      <c r="E129" s="215"/>
      <c r="F129" s="215"/>
      <c r="G129" s="1160" t="s">
        <v>1459</v>
      </c>
      <c r="H129" s="1160"/>
      <c r="I129" s="1415"/>
    </row>
    <row r="130" spans="2:10" s="215" customFormat="1" ht="12.75" customHeight="1">
      <c r="B130" s="1139"/>
      <c r="C130" s="1140" t="s">
        <v>1438</v>
      </c>
      <c r="D130" s="1141">
        <v>2015</v>
      </c>
      <c r="E130" s="1140">
        <v>2020</v>
      </c>
      <c r="F130" s="1140">
        <v>2035</v>
      </c>
      <c r="G130" s="1140">
        <v>2050</v>
      </c>
      <c r="H130" s="1140"/>
      <c r="I130" s="1416"/>
      <c r="J130" s="1143"/>
    </row>
    <row r="131" spans="2:10" ht="12.75" customHeight="1">
      <c r="B131" s="1144" t="str">
        <f>Diesel!B131</f>
        <v>Energiforbrug</v>
      </c>
      <c r="C131" s="1145"/>
      <c r="D131" s="1146"/>
      <c r="E131" s="1147"/>
      <c r="F131" s="1147"/>
      <c r="G131" s="1147"/>
      <c r="H131" s="1147"/>
      <c r="I131" s="1417"/>
      <c r="J131" s="1149"/>
    </row>
    <row r="132" spans="2:10" ht="12.75" customHeight="1">
      <c r="B132" s="1150" t="str">
        <f>Diesel!B132</f>
        <v>el-forbrug</v>
      </c>
      <c r="C132" s="1145" t="str">
        <f>Diesel!C132</f>
        <v>MWh/år</v>
      </c>
      <c r="D132" s="1151">
        <f>Diesel!D132</f>
        <v>177515</v>
      </c>
      <c r="E132" s="1152">
        <f>Diesel!E132</f>
        <v>177515</v>
      </c>
      <c r="F132" s="1152">
        <f>Diesel!F132</f>
        <v>177515</v>
      </c>
      <c r="G132" s="1152">
        <f>Diesel!G132</f>
        <v>177515</v>
      </c>
      <c r="H132" s="1152"/>
      <c r="I132" s="1417" t="str">
        <f>Diesel!I132</f>
        <v>35, Statoil, Grønt Regnskab 2012</v>
      </c>
      <c r="J132" s="1149" t="str">
        <f>Diesel!J132</f>
        <v>p.19, 2011 figures</v>
      </c>
    </row>
    <row r="133" spans="2:10" ht="12.75" customHeight="1">
      <c r="B133" s="1150" t="str">
        <f>Diesel!B133</f>
        <v>Dampforbrug</v>
      </c>
      <c r="C133" s="1145" t="str">
        <f>Diesel!C133</f>
        <v>MWh/år</v>
      </c>
      <c r="D133" s="1151">
        <f>Diesel!D133</f>
        <v>131478</v>
      </c>
      <c r="E133" s="1152">
        <f>Diesel!E133</f>
        <v>131478</v>
      </c>
      <c r="F133" s="1152">
        <f>Diesel!F133</f>
        <v>131478</v>
      </c>
      <c r="G133" s="1152">
        <f>Diesel!G133</f>
        <v>131478</v>
      </c>
      <c r="H133" s="1152"/>
      <c r="I133" s="1417" t="str">
        <f>Diesel!I133</f>
        <v>35, Statoil, Grønt Regnskab 2012</v>
      </c>
      <c r="J133" s="1149" t="str">
        <f>Diesel!J133</f>
        <v>p.19, 2011 figures</v>
      </c>
    </row>
    <row r="134" spans="2:10" ht="12.75" customHeight="1">
      <c r="B134" s="1150" t="str">
        <f>Diesel!B134</f>
        <v>Rafinaderigas</v>
      </c>
      <c r="C134" s="1145" t="str">
        <f>Diesel!C134</f>
        <v>MWh/år</v>
      </c>
      <c r="D134" s="1151">
        <f>Diesel!D134</f>
        <v>2232972</v>
      </c>
      <c r="E134" s="1152">
        <f>Diesel!E134</f>
        <v>2232972</v>
      </c>
      <c r="F134" s="1152">
        <f>Diesel!F134</f>
        <v>2232972</v>
      </c>
      <c r="G134" s="1152">
        <f>Diesel!G134</f>
        <v>2232972</v>
      </c>
      <c r="H134" s="1152"/>
      <c r="I134" s="1417" t="str">
        <f>Diesel!I134</f>
        <v>35, Statoil, Grønt Regnskab 2012</v>
      </c>
      <c r="J134" s="1149" t="str">
        <f>Diesel!J134</f>
        <v>p.19, 2011 figures</v>
      </c>
    </row>
    <row r="135" spans="2:10" ht="12.75" customHeight="1">
      <c r="B135" s="1150" t="str">
        <f>Diesel!B135</f>
        <v>Rafinaderigas</v>
      </c>
      <c r="C135" s="1145" t="str">
        <f>Diesel!C135</f>
        <v>Tons/år</v>
      </c>
      <c r="D135" s="1151">
        <f>Diesel!D135</f>
        <v>162250</v>
      </c>
      <c r="E135" s="1152">
        <f>Diesel!E135</f>
        <v>162250</v>
      </c>
      <c r="F135" s="1152">
        <f>Diesel!F135</f>
        <v>162250</v>
      </c>
      <c r="G135" s="1152">
        <f>Diesel!G135</f>
        <v>162250</v>
      </c>
      <c r="H135" s="1152"/>
      <c r="I135" s="1417" t="str">
        <f>Diesel!I135</f>
        <v>35, Statoil, Grønt Regnskab 2012</v>
      </c>
      <c r="J135" s="1149" t="str">
        <f>Diesel!J135</f>
        <v>p.19, 2011 figures</v>
      </c>
    </row>
    <row r="136" spans="2:10" ht="12.75" customHeight="1">
      <c r="B136" s="1150" t="str">
        <f>Diesel!B136</f>
        <v>Rafinaderigas</v>
      </c>
      <c r="C136" s="1145" t="str">
        <f>Diesel!C136</f>
        <v>MWh/Tons</v>
      </c>
      <c r="D136" s="1153">
        <f>Diesel!D136</f>
        <v>13.762539291217257</v>
      </c>
      <c r="E136" s="1154">
        <f>Diesel!E136</f>
        <v>13.762539291217257</v>
      </c>
      <c r="F136" s="1154">
        <f>Diesel!F136</f>
        <v>13.762539291217257</v>
      </c>
      <c r="G136" s="1154">
        <f>Diesel!G136</f>
        <v>13.762539291217257</v>
      </c>
      <c r="H136" s="1154"/>
      <c r="I136" s="1417"/>
      <c r="J136" s="1149"/>
    </row>
    <row r="137" spans="2:10" ht="12.75" customHeight="1">
      <c r="B137" s="1150" t="str">
        <f>Diesel!B137</f>
        <v>Rafinaderigas</v>
      </c>
      <c r="C137" s="1145" t="str">
        <f>Diesel!C137</f>
        <v>GJ/Tons</v>
      </c>
      <c r="D137" s="1153">
        <f>Diesel!D137</f>
        <v>49.545141448382125</v>
      </c>
      <c r="E137" s="1154">
        <f>Diesel!E137</f>
        <v>49.545141448382125</v>
      </c>
      <c r="F137" s="1154">
        <f>Diesel!F137</f>
        <v>49.545141448382125</v>
      </c>
      <c r="G137" s="1154">
        <f>Diesel!G137</f>
        <v>49.545141448382125</v>
      </c>
      <c r="H137" s="1154"/>
      <c r="I137" s="1417"/>
      <c r="J137" s="1149"/>
    </row>
    <row r="138" spans="2:10" ht="12.75" customHeight="1">
      <c r="B138" s="1150" t="str">
        <f>Diesel!B138</f>
        <v>Råolie</v>
      </c>
      <c r="C138" s="1145" t="str">
        <f>Diesel!C138</f>
        <v>GJ</v>
      </c>
      <c r="D138" s="1151">
        <f>Diesel!D138</f>
        <v>177504000</v>
      </c>
      <c r="E138" s="1152">
        <f>Diesel!E138</f>
        <v>177504000</v>
      </c>
      <c r="F138" s="1152">
        <f>Diesel!F138</f>
        <v>177504000</v>
      </c>
      <c r="G138" s="1152">
        <f>Diesel!G138</f>
        <v>177504000</v>
      </c>
      <c r="H138" s="1152"/>
      <c r="I138" s="1417"/>
      <c r="J138" s="1149" t="str">
        <f>Diesel!J138</f>
        <v>Antaget, at kondensat har samme energiindhold som råolie</v>
      </c>
    </row>
    <row r="139" spans="2:10" ht="12.75" customHeight="1">
      <c r="B139" s="1150" t="str">
        <f>Diesel!B139</f>
        <v>el-forbrug</v>
      </c>
      <c r="C139" s="1145" t="str">
        <f>Diesel!C139</f>
        <v>GJ/GJ råolie</v>
      </c>
      <c r="D139" s="1155">
        <f>Diesel!D139</f>
        <v>3.6002230935640888E-3</v>
      </c>
      <c r="E139" s="1156">
        <f>Diesel!E139</f>
        <v>3.6002230935640888E-3</v>
      </c>
      <c r="F139" s="1156">
        <f>Diesel!F139</f>
        <v>3.6002230935640888E-3</v>
      </c>
      <c r="G139" s="1156">
        <f>Diesel!G139</f>
        <v>3.6002230935640888E-3</v>
      </c>
      <c r="H139" s="1156"/>
      <c r="I139" s="1417"/>
      <c r="J139" s="1149"/>
    </row>
    <row r="140" spans="2:10" ht="12.75" customHeight="1">
      <c r="B140" s="1150" t="str">
        <f>Diesel!B140</f>
        <v>Dampforbrug</v>
      </c>
      <c r="C140" s="1145" t="str">
        <f>Diesel!C140</f>
        <v>GJ/GJ råolie</v>
      </c>
      <c r="D140" s="1155">
        <f>Diesel!D140</f>
        <v>2.6665359653866953E-3</v>
      </c>
      <c r="E140" s="1156">
        <f>Diesel!E140</f>
        <v>2.6665359653866953E-3</v>
      </c>
      <c r="F140" s="1156">
        <f>Diesel!F140</f>
        <v>2.6665359653866953E-3</v>
      </c>
      <c r="G140" s="1156">
        <f>Diesel!G140</f>
        <v>2.6665359653866953E-3</v>
      </c>
      <c r="H140" s="1156"/>
      <c r="I140" s="1417"/>
      <c r="J140" s="1149"/>
    </row>
    <row r="141" spans="2:10" ht="12.75" customHeight="1">
      <c r="B141" s="1150" t="str">
        <f>Diesel!B141</f>
        <v>Rafinaderigas</v>
      </c>
      <c r="C141" s="1145" t="str">
        <f>Diesel!C141</f>
        <v>GJ/GJ råolie</v>
      </c>
      <c r="D141" s="1155">
        <f>Diesel!D141</f>
        <v>4.5287425635478641E-2</v>
      </c>
      <c r="E141" s="1156">
        <f>Diesel!E141</f>
        <v>4.5287425635478641E-2</v>
      </c>
      <c r="F141" s="1156">
        <f>Diesel!F141</f>
        <v>4.5287425635478641E-2</v>
      </c>
      <c r="G141" s="1156">
        <f>Diesel!G141</f>
        <v>4.5287425635478641E-2</v>
      </c>
      <c r="H141" s="1156"/>
      <c r="I141" s="1417"/>
      <c r="J141" s="1149"/>
    </row>
    <row r="142" spans="2:10" ht="12.75" customHeight="1">
      <c r="B142" s="1150"/>
      <c r="C142" s="1145"/>
      <c r="D142" s="1151"/>
      <c r="E142" s="1152"/>
      <c r="F142" s="1152"/>
      <c r="G142" s="1152"/>
      <c r="H142" s="1152"/>
      <c r="I142" s="1417"/>
      <c r="J142" s="1149"/>
    </row>
    <row r="143" spans="2:10" ht="12.75" customHeight="1">
      <c r="B143" s="1150" t="str">
        <f>Diesel!B143</f>
        <v>Input</v>
      </c>
      <c r="C143" s="1145"/>
      <c r="D143" s="1151"/>
      <c r="E143" s="1152"/>
      <c r="F143" s="1152"/>
      <c r="G143" s="1152"/>
      <c r="H143" s="1152"/>
      <c r="I143" s="1417"/>
      <c r="J143" s="1149"/>
    </row>
    <row r="144" spans="2:10" ht="12.75" customHeight="1">
      <c r="B144" s="1150" t="str">
        <f>Diesel!B144</f>
        <v>Råolie</v>
      </c>
      <c r="C144" s="1145" t="str">
        <f>Diesel!C144</f>
        <v>1000 ton</v>
      </c>
      <c r="D144" s="1151">
        <f>Diesel!D144</f>
        <v>3365</v>
      </c>
      <c r="E144" s="1152">
        <f>Diesel!E144</f>
        <v>3365</v>
      </c>
      <c r="F144" s="1152">
        <f>Diesel!F144</f>
        <v>3365</v>
      </c>
      <c r="G144" s="1152">
        <f>Diesel!G144</f>
        <v>3365</v>
      </c>
      <c r="H144" s="1152"/>
      <c r="I144" s="1417" t="str">
        <f>Diesel!I144</f>
        <v>35, Statoil, Grønt Regnskab 2012</v>
      </c>
      <c r="J144" s="1149" t="str">
        <f>Diesel!J144</f>
        <v>p.19, 2011 figures</v>
      </c>
    </row>
    <row r="145" spans="2:10" ht="12.75" customHeight="1">
      <c r="B145" s="1150" t="str">
        <f>Diesel!B145</f>
        <v>Kondensat</v>
      </c>
      <c r="C145" s="1145" t="str">
        <f>Diesel!C145</f>
        <v>1000 ton</v>
      </c>
      <c r="D145" s="1151">
        <f>Diesel!D145</f>
        <v>763</v>
      </c>
      <c r="E145" s="1152">
        <f>Diesel!E145</f>
        <v>763</v>
      </c>
      <c r="F145" s="1152">
        <f>Diesel!F145</f>
        <v>763</v>
      </c>
      <c r="G145" s="1152">
        <f>Diesel!G145</f>
        <v>763</v>
      </c>
      <c r="H145" s="1152"/>
      <c r="I145" s="1417" t="str">
        <f>Diesel!I145</f>
        <v>35, Statoil, Grønt Regnskab 2012</v>
      </c>
      <c r="J145" s="1149" t="str">
        <f>Diesel!J145</f>
        <v>p.19, 2011 figures</v>
      </c>
    </row>
    <row r="146" spans="2:10" s="215" customFormat="1" ht="12.75" customHeight="1">
      <c r="B146" s="1157" t="str">
        <f>Diesel!B146</f>
        <v>Total</v>
      </c>
      <c r="C146" s="1145" t="str">
        <f>Diesel!C146</f>
        <v>1000 ton</v>
      </c>
      <c r="D146" s="1151">
        <f>Diesel!D146</f>
        <v>4128</v>
      </c>
      <c r="E146" s="1152">
        <f>Diesel!E146</f>
        <v>4128</v>
      </c>
      <c r="F146" s="1152">
        <f>Diesel!F146</f>
        <v>4128</v>
      </c>
      <c r="G146" s="1152">
        <f>Diesel!G146</f>
        <v>4128</v>
      </c>
      <c r="H146" s="1152"/>
      <c r="I146" s="1417"/>
      <c r="J146" s="1149"/>
    </row>
    <row r="147" spans="2:10" ht="12.75" customHeight="1">
      <c r="B147" s="1150"/>
      <c r="C147" s="1145"/>
      <c r="D147" s="1151"/>
      <c r="E147" s="1152"/>
      <c r="F147" s="1152"/>
      <c r="G147" s="1152"/>
      <c r="H147" s="1152"/>
      <c r="I147" s="1417"/>
      <c r="J147" s="1149"/>
    </row>
    <row r="148" spans="2:10" ht="12.75" customHeight="1">
      <c r="B148" s="1150" t="str">
        <f>Diesel!B148</f>
        <v>Output</v>
      </c>
      <c r="C148" s="1145"/>
      <c r="D148" s="1151"/>
      <c r="E148" s="1152"/>
      <c r="F148" s="1152"/>
      <c r="G148" s="1152"/>
      <c r="H148" s="1152"/>
      <c r="I148" s="1417"/>
      <c r="J148" s="1149"/>
    </row>
    <row r="149" spans="2:10" ht="12.75" customHeight="1">
      <c r="B149" s="1150" t="str">
        <f>Diesel!B149</f>
        <v>Raffinaderigas</v>
      </c>
      <c r="C149" s="1145" t="str">
        <f>Diesel!C149</f>
        <v>1000 ton</v>
      </c>
      <c r="D149" s="1151">
        <f>Diesel!D149</f>
        <v>223</v>
      </c>
      <c r="E149" s="1152">
        <f>Diesel!E149</f>
        <v>223</v>
      </c>
      <c r="F149" s="1152">
        <f>Diesel!F149</f>
        <v>223</v>
      </c>
      <c r="G149" s="1152">
        <f>Diesel!G149</f>
        <v>223</v>
      </c>
      <c r="H149" s="1152"/>
      <c r="I149" s="1417" t="str">
        <f>Diesel!I149</f>
        <v>35, Statoil, Grønt Regnskab 2012</v>
      </c>
      <c r="J149" s="1149" t="str">
        <f>Diesel!J149</f>
        <v>p.19, 2011 figures</v>
      </c>
    </row>
    <row r="150" spans="2:10" ht="12.75" customHeight="1">
      <c r="B150" s="1150" t="str">
        <f>Diesel!B150</f>
        <v>Benzin/nafta</v>
      </c>
      <c r="C150" s="1145" t="str">
        <f>Diesel!C150</f>
        <v>1000 ton</v>
      </c>
      <c r="D150" s="1151">
        <f>Diesel!D150</f>
        <v>1401</v>
      </c>
      <c r="E150" s="1152">
        <f>Diesel!E150</f>
        <v>1401</v>
      </c>
      <c r="F150" s="1152">
        <f>Diesel!F150</f>
        <v>1401</v>
      </c>
      <c r="G150" s="1152">
        <f>Diesel!G150</f>
        <v>1401</v>
      </c>
      <c r="H150" s="1152"/>
      <c r="I150" s="1417" t="str">
        <f>Diesel!I150</f>
        <v>35, Statoil, Grønt Regnskab 2012</v>
      </c>
      <c r="J150" s="1149" t="str">
        <f>Diesel!J150</f>
        <v>p.19, 2011 figures</v>
      </c>
    </row>
    <row r="151" spans="2:10" ht="12.75" customHeight="1">
      <c r="B151" s="1150" t="str">
        <f>Diesel!B151</f>
        <v>Jet fuel/kerosin</v>
      </c>
      <c r="C151" s="1145" t="str">
        <f>Diesel!C151</f>
        <v>1000 ton</v>
      </c>
      <c r="D151" s="1151">
        <f>Diesel!D151</f>
        <v>39</v>
      </c>
      <c r="E151" s="1152">
        <f>Diesel!E151</f>
        <v>39</v>
      </c>
      <c r="F151" s="1152">
        <f>Diesel!F151</f>
        <v>39</v>
      </c>
      <c r="G151" s="1152">
        <f>Diesel!G151</f>
        <v>39</v>
      </c>
      <c r="H151" s="1152"/>
      <c r="I151" s="1417" t="str">
        <f>Diesel!I151</f>
        <v>35, Statoil, Grønt Regnskab 2012</v>
      </c>
      <c r="J151" s="1149" t="str">
        <f>Diesel!J151</f>
        <v>p.19, 2011 figures</v>
      </c>
    </row>
    <row r="152" spans="2:10" ht="12.75" customHeight="1">
      <c r="B152" s="1150" t="str">
        <f>Diesel!B152</f>
        <v>Autodiesel &amp; fyringsolie</v>
      </c>
      <c r="C152" s="1145" t="str">
        <f>Diesel!C152</f>
        <v>1000 ton</v>
      </c>
      <c r="D152" s="1151">
        <f>Diesel!D152</f>
        <v>1954</v>
      </c>
      <c r="E152" s="1152">
        <f>Diesel!E152</f>
        <v>1954</v>
      </c>
      <c r="F152" s="1152">
        <f>Diesel!F152</f>
        <v>1954</v>
      </c>
      <c r="G152" s="1152">
        <f>Diesel!G152</f>
        <v>1954</v>
      </c>
      <c r="H152" s="1152"/>
      <c r="I152" s="1417" t="str">
        <f>Diesel!I152</f>
        <v>35, Statoil, Grønt Regnskab 2012</v>
      </c>
      <c r="J152" s="1149" t="str">
        <f>Diesel!J152</f>
        <v>p.19, 2011 figures</v>
      </c>
    </row>
    <row r="153" spans="2:10" ht="12.75" customHeight="1">
      <c r="B153" s="1150" t="str">
        <f>Diesel!B153</f>
        <v>Brændselsolie</v>
      </c>
      <c r="C153" s="1145" t="str">
        <f>Diesel!C153</f>
        <v>1000 ton</v>
      </c>
      <c r="D153" s="1151">
        <f>Diesel!D153</f>
        <v>703</v>
      </c>
      <c r="E153" s="1152">
        <f>Diesel!E153</f>
        <v>703</v>
      </c>
      <c r="F153" s="1152">
        <f>Diesel!F153</f>
        <v>703</v>
      </c>
      <c r="G153" s="1152">
        <f>Diesel!G153</f>
        <v>703</v>
      </c>
      <c r="H153" s="1152"/>
      <c r="I153" s="1417" t="str">
        <f>Diesel!I153</f>
        <v>35, Statoil, Grønt Regnskab 2012</v>
      </c>
      <c r="J153" s="1149" t="str">
        <f>Diesel!J153</f>
        <v>p.19, 2011 figures</v>
      </c>
    </row>
    <row r="154" spans="2:10" ht="12.75" customHeight="1">
      <c r="B154" s="1150" t="str">
        <f>Diesel!B154</f>
        <v>Svovl</v>
      </c>
      <c r="C154" s="1145" t="str">
        <f>Diesel!C154</f>
        <v>1000 ton</v>
      </c>
      <c r="D154" s="1151">
        <f>Diesel!D154</f>
        <v>6.4</v>
      </c>
      <c r="E154" s="1152">
        <f>Diesel!E154</f>
        <v>6.4</v>
      </c>
      <c r="F154" s="1152">
        <f>Diesel!F154</f>
        <v>6.4</v>
      </c>
      <c r="G154" s="1152">
        <f>Diesel!G154</f>
        <v>6.4</v>
      </c>
      <c r="H154" s="1152"/>
      <c r="I154" s="1417" t="str">
        <f>Diesel!I154</f>
        <v>35, Statoil, Grønt Regnskab 2012</v>
      </c>
      <c r="J154" s="1149" t="str">
        <f>Diesel!J154</f>
        <v>p.19, 2011 figures</v>
      </c>
    </row>
    <row r="155" spans="2:10" ht="12.75" customHeight="1">
      <c r="B155" s="1150"/>
      <c r="C155" s="1145"/>
      <c r="D155" s="1151"/>
      <c r="E155" s="1152"/>
      <c r="F155" s="1152"/>
      <c r="G155" s="1152"/>
      <c r="H155" s="1152"/>
      <c r="I155" s="1417"/>
      <c r="J155" s="1149"/>
    </row>
    <row r="156" spans="2:10" ht="12.75" customHeight="1">
      <c r="B156" s="1150" t="str">
        <f>Diesel!B156</f>
        <v>Output</v>
      </c>
      <c r="C156" s="1145"/>
      <c r="D156" s="1151"/>
      <c r="E156" s="1152"/>
      <c r="F156" s="1152"/>
      <c r="G156" s="1152"/>
      <c r="H156" s="1152"/>
      <c r="I156" s="1417"/>
      <c r="J156" s="1149"/>
    </row>
    <row r="157" spans="2:10" ht="12.75" customHeight="1">
      <c r="B157" s="1150" t="str">
        <f>Diesel!B157</f>
        <v>Raffinaderigas</v>
      </c>
      <c r="C157" s="1145" t="str">
        <f>Diesel!C157</f>
        <v>t/t råolie</v>
      </c>
      <c r="D157" s="1158">
        <f>Diesel!D157</f>
        <v>5.4021317829457363E-2</v>
      </c>
      <c r="E157" s="1159">
        <f>Diesel!E157</f>
        <v>5.4021317829457363E-2</v>
      </c>
      <c r="F157" s="1159">
        <f>Diesel!F157</f>
        <v>5.4021317829457363E-2</v>
      </c>
      <c r="G157" s="1159">
        <f>Diesel!G157</f>
        <v>5.4021317829457363E-2</v>
      </c>
      <c r="H157" s="1159"/>
      <c r="I157" s="1417"/>
      <c r="J157" s="1149"/>
    </row>
    <row r="158" spans="2:10" ht="12.75" customHeight="1">
      <c r="B158" s="1150" t="str">
        <f>Diesel!B158</f>
        <v>Benzin/nafta</v>
      </c>
      <c r="C158" s="1145" t="str">
        <f>Diesel!C158</f>
        <v>t/t råolie</v>
      </c>
      <c r="D158" s="1158">
        <f>Diesel!D158</f>
        <v>0.33938953488372092</v>
      </c>
      <c r="E158" s="1159">
        <f>Diesel!E158</f>
        <v>0.33938953488372092</v>
      </c>
      <c r="F158" s="1159">
        <f>Diesel!F158</f>
        <v>0.33938953488372092</v>
      </c>
      <c r="G158" s="1159">
        <f>Diesel!G158</f>
        <v>0.33938953488372092</v>
      </c>
      <c r="H158" s="1159"/>
      <c r="I158" s="1417"/>
      <c r="J158" s="1149"/>
    </row>
    <row r="159" spans="2:10" ht="12.75" customHeight="1">
      <c r="B159" s="1150" t="str">
        <f>Diesel!B159</f>
        <v>Jet fuel/kerosin</v>
      </c>
      <c r="C159" s="1145" t="str">
        <f>Diesel!C159</f>
        <v>t/t råolie</v>
      </c>
      <c r="D159" s="1158">
        <f>Diesel!D159</f>
        <v>9.4476744186046506E-3</v>
      </c>
      <c r="E159" s="1159">
        <f>Diesel!E159</f>
        <v>9.4476744186046506E-3</v>
      </c>
      <c r="F159" s="1159">
        <f>Diesel!F159</f>
        <v>9.4476744186046506E-3</v>
      </c>
      <c r="G159" s="1159">
        <f>Diesel!G159</f>
        <v>9.4476744186046506E-3</v>
      </c>
      <c r="H159" s="1159"/>
      <c r="I159" s="1417"/>
      <c r="J159" s="1149"/>
    </row>
    <row r="160" spans="2:10" ht="12.75" customHeight="1">
      <c r="B160" s="1150" t="str">
        <f>Diesel!B160</f>
        <v>Autodiesel &amp; fyringsolie</v>
      </c>
      <c r="C160" s="1145" t="str">
        <f>Diesel!C160</f>
        <v>t/t råolie</v>
      </c>
      <c r="D160" s="1158">
        <f>Diesel!D160</f>
        <v>0.47335271317829458</v>
      </c>
      <c r="E160" s="1159">
        <f>Diesel!E160</f>
        <v>0.47335271317829458</v>
      </c>
      <c r="F160" s="1159">
        <f>Diesel!F160</f>
        <v>0.47335271317829458</v>
      </c>
      <c r="G160" s="1159">
        <f>Diesel!G160</f>
        <v>0.47335271317829458</v>
      </c>
      <c r="H160" s="1159"/>
      <c r="I160" s="1417"/>
      <c r="J160" s="1149"/>
    </row>
    <row r="161" spans="2:14" s="215" customFormat="1" ht="12.75" customHeight="1">
      <c r="B161" s="1150" t="str">
        <f>Diesel!B161</f>
        <v>Brændselsolie</v>
      </c>
      <c r="C161" s="1145" t="str">
        <f>Diesel!C161</f>
        <v>t/t råolie</v>
      </c>
      <c r="D161" s="1158">
        <f>Diesel!D161</f>
        <v>0.17030038759689922</v>
      </c>
      <c r="E161" s="1159">
        <f>Diesel!E161</f>
        <v>0.17030038759689922</v>
      </c>
      <c r="F161" s="1159">
        <f>Diesel!F161</f>
        <v>0.17030038759689922</v>
      </c>
      <c r="G161" s="1159">
        <f>Diesel!G161</f>
        <v>0.17030038759689922</v>
      </c>
      <c r="H161" s="1159"/>
      <c r="I161" s="1417"/>
      <c r="J161" s="1149"/>
    </row>
    <row r="162" spans="2:14" ht="12.75" customHeight="1">
      <c r="B162" s="1150" t="str">
        <f>Diesel!B162</f>
        <v>Svovl</v>
      </c>
      <c r="C162" s="1145" t="str">
        <f>Diesel!C162</f>
        <v>t/t råolie</v>
      </c>
      <c r="D162" s="1158">
        <f>Diesel!D162</f>
        <v>1.5503875968992248E-3</v>
      </c>
      <c r="E162" s="1159">
        <f>Diesel!E162</f>
        <v>1.5503875968992248E-3</v>
      </c>
      <c r="F162" s="1159">
        <f>Diesel!F162</f>
        <v>1.5503875968992248E-3</v>
      </c>
      <c r="G162" s="1159">
        <f>Diesel!G162</f>
        <v>1.5503875968992248E-3</v>
      </c>
      <c r="H162" s="1159"/>
      <c r="I162" s="1417"/>
      <c r="J162" s="1149"/>
    </row>
    <row r="163" spans="2:14" ht="12.75" customHeight="1">
      <c r="B163" s="1150"/>
      <c r="C163" s="1145"/>
      <c r="D163" s="1151"/>
      <c r="E163" s="1152"/>
      <c r="F163" s="1152"/>
      <c r="G163" s="1152"/>
      <c r="H163" s="1152"/>
      <c r="I163" s="1417"/>
      <c r="J163" s="1149"/>
    </row>
    <row r="164" spans="2:14" ht="12.75" customHeight="1">
      <c r="B164" s="1157" t="str">
        <f>Diesel!B164</f>
        <v>Output, based on max max capacity</v>
      </c>
      <c r="C164" s="1145"/>
      <c r="D164" s="1151"/>
      <c r="E164" s="1152"/>
      <c r="F164" s="1152"/>
      <c r="G164" s="1152"/>
      <c r="H164" s="1152"/>
      <c r="I164" s="1417"/>
      <c r="J164" s="1149"/>
    </row>
    <row r="165" spans="2:14" ht="12.75" customHeight="1">
      <c r="B165" s="1150" t="str">
        <f>Diesel!B165</f>
        <v>Raffinaderigas</v>
      </c>
      <c r="C165" s="1145" t="str">
        <f>Diesel!C165</f>
        <v>GJ</v>
      </c>
      <c r="D165" s="1151">
        <f>Diesel!D165</f>
        <v>12579521.015515819</v>
      </c>
      <c r="E165" s="1152">
        <f>Diesel!E165</f>
        <v>12579521.015515819</v>
      </c>
      <c r="F165" s="1152">
        <f>Diesel!F165</f>
        <v>12579521.015515819</v>
      </c>
      <c r="G165" s="1152">
        <f>Diesel!G165</f>
        <v>12579521.015515819</v>
      </c>
      <c r="H165" s="1152"/>
      <c r="I165" s="1417"/>
      <c r="J165" s="1149"/>
    </row>
    <row r="166" spans="2:14" ht="12.75" customHeight="1">
      <c r="B166" s="1150" t="str">
        <f>Diesel!B166</f>
        <v>Benzin/nafta</v>
      </c>
      <c r="C166" s="1145" t="str">
        <f>Diesel!C166</f>
        <v>GJ</v>
      </c>
      <c r="D166" s="1151">
        <f>Diesel!D166</f>
        <v>69866729.651162788</v>
      </c>
      <c r="E166" s="1152">
        <f>Diesel!E166</f>
        <v>69866729.651162788</v>
      </c>
      <c r="F166" s="1152">
        <f>Diesel!F166</f>
        <v>69866729.651162788</v>
      </c>
      <c r="G166" s="1152">
        <f>Diesel!G166</f>
        <v>69866729.651162788</v>
      </c>
      <c r="H166" s="1152"/>
      <c r="I166" s="1417"/>
      <c r="J166" s="1149"/>
      <c r="L166" s="455"/>
    </row>
    <row r="167" spans="2:14" ht="12.75" customHeight="1">
      <c r="B167" s="1150" t="str">
        <f>Diesel!B167</f>
        <v>Jet fuel/kerosin</v>
      </c>
      <c r="C167" s="1145" t="str">
        <f>Diesel!C167</f>
        <v>GJ</v>
      </c>
      <c r="D167" s="1151">
        <f>Diesel!D167</f>
        <v>1900494.1860465112</v>
      </c>
      <c r="E167" s="1152">
        <f>Diesel!E167</f>
        <v>1900494.1860465112</v>
      </c>
      <c r="F167" s="1152">
        <f>Diesel!F167</f>
        <v>1900494.1860465112</v>
      </c>
      <c r="G167" s="1152">
        <f>Diesel!G167</f>
        <v>1900494.1860465112</v>
      </c>
      <c r="H167" s="1152"/>
      <c r="I167" s="1417"/>
      <c r="J167" s="1149"/>
      <c r="L167" s="455"/>
    </row>
    <row r="168" spans="2:14" ht="12.75" customHeight="1">
      <c r="B168" s="1150" t="str">
        <f>Diesel!B168</f>
        <v>Autodiesel &amp; fyringsolie</v>
      </c>
      <c r="C168" s="1145" t="str">
        <f>Diesel!C168</f>
        <v>GJ</v>
      </c>
      <c r="D168" s="1151">
        <f>Diesel!D168</f>
        <v>94997156.007751942</v>
      </c>
      <c r="E168" s="1152">
        <f>Diesel!E168</f>
        <v>94997156.007751942</v>
      </c>
      <c r="F168" s="1152">
        <f>Diesel!F168</f>
        <v>94997156.007751942</v>
      </c>
      <c r="G168" s="1152">
        <f>Diesel!G168</f>
        <v>94997156.007751942</v>
      </c>
      <c r="H168" s="1152"/>
      <c r="I168" s="1417"/>
      <c r="J168" s="1149"/>
      <c r="L168" s="455"/>
    </row>
    <row r="169" spans="2:14" ht="12.75" customHeight="1">
      <c r="B169" s="1150" t="str">
        <f>Diesel!B169</f>
        <v>Brændselsolie</v>
      </c>
      <c r="C169" s="1145" t="str">
        <f>Diesel!C169</f>
        <v>GJ</v>
      </c>
      <c r="D169" s="1151">
        <f>Diesel!D169</f>
        <v>32536740.55232558</v>
      </c>
      <c r="E169" s="1152">
        <f>Diesel!E169</f>
        <v>32536740.55232558</v>
      </c>
      <c r="F169" s="1152">
        <f>Diesel!F169</f>
        <v>32536740.55232558</v>
      </c>
      <c r="G169" s="1152">
        <f>Diesel!G169</f>
        <v>32536740.55232558</v>
      </c>
      <c r="H169" s="1152"/>
      <c r="I169" s="1417"/>
      <c r="J169" s="1149"/>
      <c r="L169" s="1138"/>
      <c r="M169" s="165"/>
      <c r="N169" s="165"/>
    </row>
    <row r="170" spans="2:14" ht="12.75" customHeight="1">
      <c r="B170" s="1150"/>
      <c r="C170" s="1145"/>
      <c r="D170" s="1151"/>
      <c r="E170" s="1152"/>
      <c r="F170" s="1152"/>
      <c r="G170" s="1152"/>
      <c r="H170" s="1152"/>
      <c r="I170" s="1417"/>
      <c r="J170" s="1149"/>
      <c r="L170" s="1138"/>
      <c r="M170" s="165"/>
      <c r="N170" s="165"/>
    </row>
    <row r="171" spans="2:14" ht="12.75" customHeight="1">
      <c r="B171" s="1157" t="str">
        <f>Diesel!B171</f>
        <v>Importpriser (CIF)</v>
      </c>
      <c r="C171" s="1145"/>
      <c r="D171" s="1151"/>
      <c r="E171" s="1152"/>
      <c r="F171" s="1152"/>
      <c r="G171" s="1152"/>
      <c r="H171" s="1152"/>
      <c r="I171" s="1417"/>
      <c r="J171" s="1149"/>
      <c r="L171" s="1138"/>
      <c r="M171" s="165"/>
      <c r="N171" s="165"/>
    </row>
    <row r="172" spans="2:14" ht="12.75" customHeight="1">
      <c r="B172" s="1157" t="str">
        <f>Diesel!B172</f>
        <v>Råolie pris CIF</v>
      </c>
      <c r="C172" s="1145" t="str">
        <f>Diesel!C172</f>
        <v>DKK/GJ</v>
      </c>
      <c r="D172" s="1151">
        <f ca="1">Diesel!D172</f>
        <v>107.82999339926188</v>
      </c>
      <c r="E172" s="1152">
        <f ca="1">Diesel!E172</f>
        <v>110.93829023950966</v>
      </c>
      <c r="F172" s="1152">
        <f ca="1">Diesel!F172</f>
        <v>122.1762414485604</v>
      </c>
      <c r="G172" s="1152">
        <f ca="1">Diesel!G172</f>
        <v>122.1762414485604</v>
      </c>
      <c r="H172" s="1152"/>
      <c r="I172" s="1417" t="str">
        <f>Diesel!I172</f>
        <v>31, Forudsætninger for samfundsøkonomiske analyser på energiområdet. Energistyrelsen. April 2011, opdateret dataark oktober 2012</v>
      </c>
      <c r="J172" s="1149" t="str">
        <f>Diesel!J172</f>
        <v>Tabel 4</v>
      </c>
      <c r="L172" s="455"/>
    </row>
    <row r="173" spans="2:14" ht="12.75" customHeight="1">
      <c r="B173" s="1157" t="str">
        <f>Diesel!B173</f>
        <v>Benzin pris CIF</v>
      </c>
      <c r="C173" s="1145" t="str">
        <f>Diesel!C173</f>
        <v>DKK/GJ</v>
      </c>
      <c r="D173" s="1151">
        <f ca="1">Diesel!D173</f>
        <v>124.11626091168741</v>
      </c>
      <c r="E173" s="1152">
        <f ca="1">Diesel!E173</f>
        <v>127.62898527711253</v>
      </c>
      <c r="F173" s="1152">
        <f ca="1">Diesel!F173</f>
        <v>136.88980405868782</v>
      </c>
      <c r="G173" s="1152">
        <f ca="1">Diesel!G173</f>
        <v>136.88980405868782</v>
      </c>
      <c r="H173" s="1152"/>
      <c r="I173" s="1417" t="str">
        <f>Diesel!I173</f>
        <v>31, Forudsætninger for samfundsøkonomiske analyser på energiområdet. Energistyrelsen. April 2011, opdateret dataark oktober 2012</v>
      </c>
      <c r="J173" s="1149" t="str">
        <f>Diesel!J173</f>
        <v>Tabel 4</v>
      </c>
    </row>
    <row r="174" spans="2:14" ht="12.75" customHeight="1">
      <c r="B174" s="1157" t="str">
        <f>Diesel!B174</f>
        <v>JP1 pris CIF</v>
      </c>
      <c r="C174" s="1145" t="str">
        <f>Diesel!C174</f>
        <v>DKK/GJ</v>
      </c>
      <c r="D174" s="1151">
        <f ca="1">Diesel!D174</f>
        <v>131.56749441410432</v>
      </c>
      <c r="E174" s="1152">
        <f ca="1">Diesel!E174</f>
        <v>135.08021877952945</v>
      </c>
      <c r="F174" s="1152">
        <f ca="1">Diesel!F174</f>
        <v>144.23459136821307</v>
      </c>
      <c r="G174" s="1152">
        <f ca="1">Diesel!G174</f>
        <v>144.23459136821307</v>
      </c>
      <c r="H174" s="1152"/>
      <c r="I174" s="1417" t="str">
        <f>Diesel!I174</f>
        <v>31, Forudsætninger for samfundsøkonomiske analyser på energiområdet. Energistyrelsen. April 2011, opdateret dataark oktober 2012</v>
      </c>
      <c r="J174" s="1149" t="str">
        <f>Diesel!J174</f>
        <v>Tabel 4</v>
      </c>
    </row>
    <row r="175" spans="2:14" ht="12.75" customHeight="1">
      <c r="B175" s="1157" t="str">
        <f>Diesel!B175</f>
        <v>Diesel pris CIF</v>
      </c>
      <c r="C175" s="1145" t="str">
        <f>Diesel!C175</f>
        <v>DKK/GJ</v>
      </c>
      <c r="D175" s="1151">
        <f ca="1">Diesel!D175</f>
        <v>122.83890659698737</v>
      </c>
      <c r="E175" s="1152">
        <f ca="1">Diesel!E175</f>
        <v>126.35163096241249</v>
      </c>
      <c r="F175" s="1152">
        <f ca="1">Diesel!F175</f>
        <v>135.61244974398781</v>
      </c>
      <c r="G175" s="1152">
        <f ca="1">Diesel!G175</f>
        <v>135.61244974398781</v>
      </c>
      <c r="H175" s="1152"/>
      <c r="I175" s="1417" t="str">
        <f>Diesel!I175</f>
        <v>31, Forudsætninger for samfundsøkonomiske analyser på energiområdet. Energistyrelsen. April 2011, opdateret dataark oktober 2012</v>
      </c>
      <c r="J175" s="1149" t="str">
        <f>Diesel!J175</f>
        <v>Tabel 4</v>
      </c>
    </row>
    <row r="176" spans="2:14" ht="12.75" customHeight="1">
      <c r="B176" s="1157" t="str">
        <f>Diesel!B176</f>
        <v>HFO pris CIF</v>
      </c>
      <c r="C176" s="1145" t="str">
        <f>Diesel!C176</f>
        <v>DKK/GJ</v>
      </c>
      <c r="D176" s="1151">
        <f ca="1">Diesel!D176</f>
        <v>97.185374110094855</v>
      </c>
      <c r="E176" s="1152">
        <f ca="1">Diesel!E176</f>
        <v>100.05942131816995</v>
      </c>
      <c r="F176" s="1152">
        <f ca="1">Diesel!F176</f>
        <v>108.46867055661191</v>
      </c>
      <c r="G176" s="1152">
        <f ca="1">Diesel!G176</f>
        <v>108.46867055661191</v>
      </c>
      <c r="H176" s="1152"/>
      <c r="I176" s="1417" t="str">
        <f>Diesel!I176</f>
        <v>31, Forudsætninger for samfundsøkonomiske analyser på energiområdet. Energistyrelsen. April 2011, opdateret dataark oktober 2012</v>
      </c>
      <c r="J176" s="1149" t="str">
        <f>Diesel!J176</f>
        <v>Tabel 4</v>
      </c>
    </row>
    <row r="177" spans="2:10" ht="12.75" customHeight="1">
      <c r="B177" s="1150"/>
      <c r="C177" s="1145"/>
      <c r="D177" s="1151"/>
      <c r="E177" s="1152"/>
      <c r="F177" s="1152"/>
      <c r="G177" s="1152"/>
      <c r="H177" s="1152"/>
      <c r="I177" s="1417"/>
      <c r="J177" s="1149"/>
    </row>
    <row r="178" spans="2:10" ht="12.75" customHeight="1">
      <c r="B178" s="1157" t="str">
        <f>Diesel!B178</f>
        <v>Omkostninger</v>
      </c>
      <c r="C178" s="1145"/>
      <c r="D178" s="1151"/>
      <c r="E178" s="1152"/>
      <c r="F178" s="1152"/>
      <c r="G178" s="1152"/>
      <c r="H178" s="1152"/>
      <c r="I178" s="1148"/>
      <c r="J178" s="1149"/>
    </row>
    <row r="179" spans="2:10" ht="12.75" customHeight="1">
      <c r="B179" s="1157" t="str">
        <f>Diesel!B179</f>
        <v>Råolie</v>
      </c>
      <c r="C179" s="1145" t="str">
        <f>Diesel!C179</f>
        <v>DKK</v>
      </c>
      <c r="D179" s="1151">
        <f ca="1">Diesel!D179</f>
        <v>21792441665.990826</v>
      </c>
      <c r="E179" s="1152">
        <f ca="1">Diesel!E179</f>
        <v>22420628457.4049</v>
      </c>
      <c r="F179" s="1152">
        <f ca="1">Diesel!F179</f>
        <v>24691818396.754059</v>
      </c>
      <c r="G179" s="1152">
        <f ca="1">Diesel!G179</f>
        <v>24691818396.754059</v>
      </c>
      <c r="H179" s="1152"/>
      <c r="I179" s="1148"/>
      <c r="J179" s="1149"/>
    </row>
    <row r="180" spans="2:10" ht="12.75" customHeight="1">
      <c r="B180" s="1150"/>
      <c r="C180" s="1145"/>
      <c r="D180" s="1151"/>
      <c r="E180" s="1152"/>
      <c r="F180" s="1152"/>
      <c r="G180" s="1152"/>
      <c r="H180" s="1152"/>
      <c r="I180" s="1148"/>
      <c r="J180" s="1149"/>
    </row>
    <row r="181" spans="2:10" ht="12.75" customHeight="1">
      <c r="B181" s="1157" t="str">
        <f>Diesel!B181</f>
        <v>Indtægter</v>
      </c>
      <c r="C181" s="1145"/>
      <c r="D181" s="1151"/>
      <c r="E181" s="1152"/>
      <c r="F181" s="1152"/>
      <c r="G181" s="1152"/>
      <c r="H181" s="1152"/>
      <c r="I181" s="1148"/>
      <c r="J181" s="1149"/>
    </row>
    <row r="182" spans="2:10" ht="12.75" customHeight="1">
      <c r="B182" s="1157" t="str">
        <f>Diesel!B182</f>
        <v>Benzin</v>
      </c>
      <c r="C182" s="1145" t="str">
        <f>Diesel!C182</f>
        <v>DKK</v>
      </c>
      <c r="D182" s="1151">
        <f ca="1">Diesel!D182</f>
        <v>8671597246.430048</v>
      </c>
      <c r="E182" s="1152">
        <f ca="1">Diesel!E182</f>
        <v>8917019810.0082569</v>
      </c>
      <c r="F182" s="1152">
        <f ca="1">Diesel!F182</f>
        <v>9564042932.1689873</v>
      </c>
      <c r="G182" s="1152">
        <f ca="1">Diesel!G182</f>
        <v>9564042932.1689873</v>
      </c>
      <c r="H182" s="1152"/>
      <c r="I182" s="1148"/>
      <c r="J182" s="1149"/>
    </row>
    <row r="183" spans="2:10" ht="12.75" customHeight="1">
      <c r="B183" s="1157" t="str">
        <f>Diesel!B183</f>
        <v>JP1</v>
      </c>
      <c r="C183" s="1145" t="str">
        <f>Diesel!C183</f>
        <v>DKK</v>
      </c>
      <c r="D183" s="1151">
        <f ca="1">Diesel!D183</f>
        <v>250043258.2067121</v>
      </c>
      <c r="E183" s="1152">
        <f ca="1">Diesel!E183</f>
        <v>256719170.44038647</v>
      </c>
      <c r="F183" s="1152">
        <f ca="1">Diesel!F183</f>
        <v>274117002.32208323</v>
      </c>
      <c r="G183" s="1152">
        <f ca="1">Diesel!G183</f>
        <v>274117002.32208323</v>
      </c>
      <c r="H183" s="1152"/>
      <c r="I183" s="1148"/>
      <c r="J183" s="1149"/>
    </row>
    <row r="184" spans="2:10" ht="12.75" customHeight="1">
      <c r="B184" s="1157" t="str">
        <f>Diesel!B184</f>
        <v>Diesel</v>
      </c>
      <c r="C184" s="1145" t="str">
        <f>Diesel!C184</f>
        <v>DKK</v>
      </c>
      <c r="D184" s="1151">
        <f ca="1">Diesel!D184</f>
        <v>11669346773.815678</v>
      </c>
      <c r="E184" s="1152">
        <f ca="1">Diesel!E184</f>
        <v>12003045598.370199</v>
      </c>
      <c r="F184" s="1152">
        <f ca="1">Diesel!F184</f>
        <v>12882797044.923029</v>
      </c>
      <c r="G184" s="1152">
        <f ca="1">Diesel!G184</f>
        <v>12882797044.923029</v>
      </c>
      <c r="H184" s="1152"/>
      <c r="I184" s="1148"/>
      <c r="J184" s="1149"/>
    </row>
    <row r="185" spans="2:10" ht="12.75" customHeight="1" thickBot="1">
      <c r="B185" s="1406" t="str">
        <f>Diesel!B185</f>
        <v>HFO</v>
      </c>
      <c r="C185" s="1407" t="str">
        <f>Diesel!C185</f>
        <v>DKK</v>
      </c>
      <c r="D185" s="1408">
        <f ca="1">Diesel!D185</f>
        <v>3162095302.900856</v>
      </c>
      <c r="E185" s="1409">
        <f ca="1">Diesel!E185</f>
        <v>3255607431.245131</v>
      </c>
      <c r="F185" s="1409">
        <f ca="1">Diesel!F185</f>
        <v>3529216991.9561586</v>
      </c>
      <c r="G185" s="1409">
        <f ca="1">Diesel!G185</f>
        <v>3529216991.9561586</v>
      </c>
      <c r="H185" s="1409"/>
      <c r="I185" s="1410"/>
      <c r="J185" s="1411"/>
    </row>
    <row r="186" spans="2:10" ht="12.75" customHeight="1"/>
    <row r="187" spans="2:10" ht="12.75" customHeight="1"/>
    <row r="188" spans="2:10" ht="12.75" customHeight="1"/>
    <row r="189" spans="2:10" ht="12.75" customHeight="1"/>
    <row r="190" spans="2:10" ht="12.75" customHeight="1"/>
    <row r="191" spans="2:10" ht="12.75" customHeight="1"/>
    <row r="192" spans="2:10"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sheetData>
  <pageMargins left="0.15748031496062992" right="0.15748031496062992" top="1.25" bottom="0.19685039370078741" header="0.51181102362204722" footer="0.51181102362204722"/>
  <pageSetup paperSize="9" scale="38" orientation="landscape" r:id="rId1"/>
  <headerFooter alignWithMargins="0">
    <oddHeader>&amp;L&amp;"Arial"&amp;14&amp;BBeregningsmodel
&amp;"Arial"&amp;08&amp;B64329, Teknologivurdering af alternative drivmidler til transportsektoren&amp;R&amp;"Arial"&amp;08Page &amp;P of &amp;N</oddHeader>
    <oddFooter>&amp;L&amp;"Arial"&amp;08&amp;Z&amp;F
Sheet: &amp;A&amp;C&amp;"Arial"&amp;08Printed &amp;D &amp;T&amp;R&amp;G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102849" r:id="rId5" name="Button 1">
              <controlPr defaultSize="0" print="0" autoFill="0" autoPict="0" macro="[0]!GtOver">
                <anchor>
                  <from>
                    <xdr:col>7</xdr:col>
                    <xdr:colOff>838200</xdr:colOff>
                    <xdr:row>0</xdr:row>
                    <xdr:rowOff>38100</xdr:rowOff>
                  </from>
                  <to>
                    <xdr:col>9</xdr:col>
                    <xdr:colOff>381000</xdr:colOff>
                    <xdr:row>0</xdr:row>
                    <xdr:rowOff>238125</xdr:rowOff>
                  </to>
                </anchor>
              </controlPr>
            </control>
          </mc:Choice>
        </mc:AlternateContent>
        <mc:AlternateContent xmlns:mc="http://schemas.openxmlformats.org/markup-compatibility/2006">
          <mc:Choice Requires="x14">
            <control shapeId="1102850" r:id="rId6" name="Button 2">
              <controlPr defaultSize="0" print="0" autoFill="0" autoPict="0" macro="[0]!GtRes">
                <anchor>
                  <from>
                    <xdr:col>9</xdr:col>
                    <xdr:colOff>542925</xdr:colOff>
                    <xdr:row>0</xdr:row>
                    <xdr:rowOff>38100</xdr:rowOff>
                  </from>
                  <to>
                    <xdr:col>11</xdr:col>
                    <xdr:colOff>38100</xdr:colOff>
                    <xdr:row>0</xdr:row>
                    <xdr:rowOff>238125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rgb="FF00B0F0"/>
    <pageSetUpPr fitToPage="1"/>
  </sheetPr>
  <dimension ref="A1:R319"/>
  <sheetViews>
    <sheetView zoomScale="80" zoomScaleNormal="80" workbookViewId="0">
      <selection activeCell="D30" sqref="D30"/>
    </sheetView>
  </sheetViews>
  <sheetFormatPr defaultColWidth="8.85546875" defaultRowHeight="12.75"/>
  <cols>
    <col min="1" max="1" width="3.28515625" style="469" customWidth="1"/>
    <col min="2" max="2" width="36" style="469" customWidth="1"/>
    <col min="3" max="3" width="16.5703125" style="469" customWidth="1"/>
    <col min="4" max="7" width="15.7109375" style="469" customWidth="1"/>
    <col min="8" max="8" width="15.7109375" style="530" customWidth="1"/>
    <col min="9" max="9" width="7.28515625" style="469" customWidth="1"/>
    <col min="10" max="10" width="12.7109375" style="469" customWidth="1"/>
    <col min="11" max="13" width="8.85546875" style="469"/>
    <col min="14" max="14" width="37.85546875" style="469" customWidth="1"/>
    <col min="15" max="16" width="8.85546875" style="469"/>
    <col min="17" max="18" width="11.42578125" style="469" customWidth="1"/>
    <col min="19" max="16384" width="8.85546875" style="469"/>
  </cols>
  <sheetData>
    <row r="1" spans="2:18" s="465" customFormat="1" ht="21">
      <c r="B1" s="465" t="s">
        <v>353</v>
      </c>
      <c r="Q1" s="467">
        <f ca="1">'Log2015'!M1</f>
        <v>-8.0112614142160741</v>
      </c>
      <c r="R1" s="468">
        <f ca="1">'Log2015'!N1</f>
        <v>-160807.124977848</v>
      </c>
    </row>
    <row r="2" spans="2:18" ht="12.75" customHeight="1">
      <c r="Q2" s="624">
        <f ca="1">Q1</f>
        <v>-8.0112614142160741</v>
      </c>
      <c r="R2" s="624">
        <f ca="1">R1</f>
        <v>-160807.124977848</v>
      </c>
    </row>
    <row r="3" spans="2:18" ht="12.75" customHeight="1"/>
    <row r="4" spans="2:18" s="558" customFormat="1" ht="12.75" customHeight="1">
      <c r="B4" s="470" t="s">
        <v>81</v>
      </c>
      <c r="H4" s="530"/>
    </row>
    <row r="5" spans="2:18" ht="12.75" customHeight="1" thickBot="1">
      <c r="B5" s="469" t="s">
        <v>137</v>
      </c>
    </row>
    <row r="6" spans="2:18" ht="12.75" customHeight="1">
      <c r="B6" s="472"/>
      <c r="C6" s="473"/>
      <c r="D6" s="473"/>
      <c r="E6" s="473"/>
      <c r="F6" s="473"/>
      <c r="G6" s="473"/>
      <c r="H6" s="962"/>
      <c r="I6" s="473"/>
      <c r="J6" s="473"/>
      <c r="K6" s="473"/>
      <c r="L6" s="473"/>
      <c r="M6" s="474"/>
    </row>
    <row r="7" spans="2:18" ht="12.75" customHeight="1">
      <c r="B7" s="475" t="s">
        <v>354</v>
      </c>
      <c r="C7" s="476"/>
      <c r="D7" s="476"/>
      <c r="E7" s="476"/>
      <c r="F7" s="476"/>
      <c r="G7" s="476"/>
      <c r="H7" s="555"/>
      <c r="I7" s="476"/>
      <c r="J7" s="476"/>
      <c r="K7" s="476"/>
      <c r="L7" s="476"/>
      <c r="M7" s="477"/>
    </row>
    <row r="8" spans="2:18" ht="12.75" customHeight="1">
      <c r="B8" s="475" t="s">
        <v>355</v>
      </c>
      <c r="C8" s="476"/>
      <c r="D8" s="476"/>
      <c r="E8" s="476"/>
      <c r="F8" s="476"/>
      <c r="G8" s="476"/>
      <c r="H8" s="555"/>
      <c r="I8" s="476"/>
      <c r="J8" s="476"/>
      <c r="K8" s="476"/>
      <c r="L8" s="476"/>
      <c r="M8" s="477"/>
    </row>
    <row r="9" spans="2:18" ht="12.75" customHeight="1">
      <c r="B9" s="475"/>
      <c r="C9" s="476"/>
      <c r="D9" s="476"/>
      <c r="E9" s="476"/>
      <c r="F9" s="476"/>
      <c r="G9" s="476"/>
      <c r="H9" s="555"/>
      <c r="I9" s="476"/>
      <c r="J9" s="476"/>
      <c r="K9" s="476"/>
      <c r="L9" s="476"/>
      <c r="M9" s="477"/>
    </row>
    <row r="10" spans="2:18" ht="12.75" customHeight="1">
      <c r="B10" s="475"/>
      <c r="C10" s="476"/>
      <c r="D10" s="476"/>
      <c r="E10" s="476"/>
      <c r="F10" s="476"/>
      <c r="G10" s="476"/>
      <c r="H10" s="555"/>
      <c r="I10" s="476"/>
      <c r="J10" s="476"/>
      <c r="K10" s="476"/>
      <c r="L10" s="476"/>
      <c r="M10" s="477"/>
    </row>
    <row r="11" spans="2:18" ht="12.75" customHeight="1">
      <c r="B11" s="475" t="s">
        <v>138</v>
      </c>
      <c r="C11" s="559" t="s">
        <v>5</v>
      </c>
      <c r="D11" s="476"/>
      <c r="E11" s="476"/>
      <c r="F11" s="476"/>
      <c r="G11" s="476"/>
      <c r="H11" s="555"/>
      <c r="I11" s="476"/>
      <c r="J11" s="476"/>
      <c r="K11" s="476"/>
      <c r="L11" s="476"/>
      <c r="M11" s="477"/>
    </row>
    <row r="12" spans="2:18" ht="12.75" customHeight="1">
      <c r="B12" s="475" t="s">
        <v>5</v>
      </c>
      <c r="C12" s="476"/>
      <c r="D12" s="476"/>
      <c r="E12" s="476"/>
      <c r="F12" s="476"/>
      <c r="G12" s="476"/>
      <c r="H12" s="555"/>
      <c r="I12" s="476"/>
      <c r="J12" s="476"/>
      <c r="K12" s="476"/>
      <c r="L12" s="476"/>
      <c r="M12" s="477"/>
    </row>
    <row r="13" spans="2:18" ht="12.75" customHeight="1">
      <c r="B13" s="475" t="s">
        <v>140</v>
      </c>
      <c r="C13" s="476"/>
      <c r="D13" s="476"/>
      <c r="E13" s="476"/>
      <c r="F13" s="476"/>
      <c r="G13" s="476"/>
      <c r="H13" s="555"/>
      <c r="I13" s="476"/>
      <c r="J13" s="476"/>
      <c r="K13" s="476"/>
      <c r="L13" s="476"/>
      <c r="M13" s="477"/>
    </row>
    <row r="14" spans="2:18" ht="12.75" customHeight="1">
      <c r="B14" s="475" t="s">
        <v>356</v>
      </c>
      <c r="C14" s="476"/>
      <c r="D14" s="476"/>
      <c r="E14" s="476"/>
      <c r="F14" s="476"/>
      <c r="G14" s="476"/>
      <c r="H14" s="555"/>
      <c r="I14" s="476"/>
      <c r="J14" s="476"/>
      <c r="K14" s="476"/>
      <c r="L14" s="476"/>
      <c r="M14" s="477"/>
    </row>
    <row r="15" spans="2:18" ht="12.75" customHeight="1">
      <c r="B15" s="475" t="s">
        <v>141</v>
      </c>
      <c r="C15" s="476"/>
      <c r="D15" s="476"/>
      <c r="E15" s="476"/>
      <c r="F15" s="476"/>
      <c r="G15" s="476"/>
      <c r="H15" s="555"/>
      <c r="I15" s="476"/>
      <c r="J15" s="476"/>
      <c r="K15" s="476"/>
      <c r="L15" s="476"/>
      <c r="M15" s="477"/>
    </row>
    <row r="16" spans="2:18" ht="12.75" customHeight="1">
      <c r="B16" s="475"/>
      <c r="C16" s="476"/>
      <c r="D16" s="476"/>
      <c r="E16" s="476"/>
      <c r="F16" s="476"/>
      <c r="G16" s="476"/>
      <c r="H16" s="555"/>
      <c r="I16" s="476"/>
      <c r="J16" s="476"/>
      <c r="K16" s="476"/>
      <c r="L16" s="476"/>
      <c r="M16" s="477"/>
    </row>
    <row r="17" spans="2:13" ht="12.75" customHeight="1">
      <c r="B17" s="475" t="s">
        <v>142</v>
      </c>
      <c r="C17" s="476"/>
      <c r="D17" s="476"/>
      <c r="E17" s="476"/>
      <c r="F17" s="476"/>
      <c r="G17" s="476"/>
      <c r="H17" s="555"/>
      <c r="I17" s="476"/>
      <c r="J17" s="476"/>
      <c r="K17" s="476"/>
      <c r="L17" s="476"/>
      <c r="M17" s="477"/>
    </row>
    <row r="18" spans="2:13" ht="12.75" customHeight="1">
      <c r="B18" s="475"/>
      <c r="C18" s="476"/>
      <c r="D18" s="476"/>
      <c r="E18" s="476"/>
      <c r="F18" s="476"/>
      <c r="G18" s="476"/>
      <c r="H18" s="555"/>
      <c r="I18" s="476"/>
      <c r="J18" s="476"/>
      <c r="K18" s="476"/>
      <c r="L18" s="476"/>
      <c r="M18" s="477"/>
    </row>
    <row r="19" spans="2:13" ht="12.75" customHeight="1">
      <c r="B19" s="475"/>
      <c r="C19" s="476"/>
      <c r="D19" s="476"/>
      <c r="E19" s="476"/>
      <c r="F19" s="476"/>
      <c r="G19" s="476"/>
      <c r="H19" s="555"/>
      <c r="I19" s="476"/>
      <c r="J19" s="476"/>
      <c r="K19" s="476"/>
      <c r="L19" s="476"/>
      <c r="M19" s="477"/>
    </row>
    <row r="20" spans="2:13" ht="12.75" customHeight="1">
      <c r="B20" s="475"/>
      <c r="C20" s="476"/>
      <c r="D20" s="476"/>
      <c r="E20" s="476"/>
      <c r="F20" s="476"/>
      <c r="G20" s="476"/>
      <c r="H20" s="555"/>
      <c r="I20" s="476"/>
      <c r="J20" s="476"/>
      <c r="K20" s="476"/>
      <c r="L20" s="476"/>
      <c r="M20" s="477"/>
    </row>
    <row r="21" spans="2:13" ht="12.75" customHeight="1">
      <c r="B21" s="475"/>
      <c r="C21" s="476"/>
      <c r="D21" s="476"/>
      <c r="E21" s="476"/>
      <c r="F21" s="476"/>
      <c r="G21" s="476"/>
      <c r="H21" s="555"/>
      <c r="I21" s="476"/>
      <c r="J21" s="476"/>
      <c r="K21" s="476"/>
      <c r="L21" s="476"/>
      <c r="M21" s="477"/>
    </row>
    <row r="22" spans="2:13" ht="12.75" customHeight="1">
      <c r="B22" s="475" t="s">
        <v>143</v>
      </c>
      <c r="C22" s="476"/>
      <c r="D22" s="476"/>
      <c r="E22" s="476"/>
      <c r="F22" s="476"/>
      <c r="G22" s="476"/>
      <c r="H22" s="555"/>
      <c r="I22" s="476"/>
      <c r="J22" s="476"/>
      <c r="K22" s="476"/>
      <c r="L22" s="476"/>
      <c r="M22" s="477"/>
    </row>
    <row r="23" spans="2:13" ht="12.75" customHeight="1">
      <c r="B23" s="475"/>
      <c r="C23" s="476"/>
      <c r="D23" s="476"/>
      <c r="E23" s="476"/>
      <c r="F23" s="476"/>
      <c r="G23" s="476"/>
      <c r="H23" s="555"/>
      <c r="I23" s="476"/>
      <c r="J23" s="476"/>
      <c r="K23" s="476"/>
      <c r="L23" s="476"/>
      <c r="M23" s="477"/>
    </row>
    <row r="24" spans="2:13" ht="12.75" customHeight="1" thickBot="1">
      <c r="B24" s="481"/>
      <c r="C24" s="482"/>
      <c r="D24" s="482"/>
      <c r="E24" s="482"/>
      <c r="F24" s="482"/>
      <c r="G24" s="482"/>
      <c r="H24" s="968"/>
      <c r="I24" s="482"/>
      <c r="J24" s="482"/>
      <c r="K24" s="482"/>
      <c r="L24" s="482"/>
      <c r="M24" s="483"/>
    </row>
    <row r="25" spans="2:13" ht="12.75" customHeight="1">
      <c r="F25" s="560"/>
      <c r="H25" s="529"/>
    </row>
    <row r="26" spans="2:13" s="558" customFormat="1" ht="12.75" customHeight="1">
      <c r="B26" s="470" t="s">
        <v>144</v>
      </c>
      <c r="H26" s="530"/>
    </row>
    <row r="27" spans="2:13" s="558" customFormat="1" ht="12.75" customHeight="1">
      <c r="B27" s="469"/>
      <c r="H27" s="530"/>
    </row>
    <row r="28" spans="2:13" s="558" customFormat="1" ht="12.75" customHeight="1" thickBot="1">
      <c r="B28" s="469"/>
      <c r="F28" s="558" t="s">
        <v>145</v>
      </c>
      <c r="I28" s="558" t="s">
        <v>146</v>
      </c>
    </row>
    <row r="29" spans="2:13" ht="12.75" customHeight="1">
      <c r="B29" s="472"/>
      <c r="C29" s="561" t="s">
        <v>70</v>
      </c>
      <c r="D29" s="473"/>
      <c r="E29" s="473"/>
      <c r="F29" s="473"/>
      <c r="G29" s="473">
        <v>2050</v>
      </c>
      <c r="H29" s="962"/>
      <c r="I29" s="473" t="s">
        <v>145</v>
      </c>
      <c r="J29" s="474" t="s">
        <v>146</v>
      </c>
    </row>
    <row r="30" spans="2:13" ht="12.75" customHeight="1">
      <c r="B30" s="562" t="s">
        <v>147</v>
      </c>
      <c r="C30" s="563"/>
      <c r="D30" s="486">
        <v>2015</v>
      </c>
      <c r="E30" s="486">
        <v>2020</v>
      </c>
      <c r="F30" s="486">
        <v>2035</v>
      </c>
      <c r="G30" s="486"/>
      <c r="H30" s="973" t="s">
        <v>978</v>
      </c>
      <c r="I30" s="485"/>
      <c r="J30" s="487"/>
    </row>
    <row r="31" spans="2:13" ht="12.75" customHeight="1">
      <c r="B31" s="475" t="s">
        <v>148</v>
      </c>
      <c r="C31" s="564" t="s">
        <v>358</v>
      </c>
      <c r="D31" s="565">
        <v>1</v>
      </c>
      <c r="E31" s="565">
        <v>1</v>
      </c>
      <c r="F31" s="565">
        <v>1</v>
      </c>
      <c r="G31" s="565">
        <v>1</v>
      </c>
      <c r="H31" s="1333"/>
      <c r="I31" s="476"/>
      <c r="J31" s="477"/>
    </row>
    <row r="32" spans="2:13" ht="12.75" customHeight="1">
      <c r="B32" s="475" t="s">
        <v>67</v>
      </c>
      <c r="C32" s="564" t="s">
        <v>187</v>
      </c>
      <c r="D32" s="1418">
        <f>Supplementary!$G$169</f>
        <v>39.46</v>
      </c>
      <c r="E32" s="1418">
        <f>Supplementary!$G$169</f>
        <v>39.46</v>
      </c>
      <c r="F32" s="1418">
        <f>Supplementary!$G$169</f>
        <v>39.46</v>
      </c>
      <c r="G32" s="1418">
        <f>Supplementary!$G$169</f>
        <v>39.46</v>
      </c>
      <c r="H32" s="978"/>
      <c r="I32" s="476"/>
      <c r="J32" s="477"/>
    </row>
    <row r="33" spans="2:10" ht="12.75" customHeight="1">
      <c r="B33" s="475" t="s">
        <v>149</v>
      </c>
      <c r="C33" s="564" t="s">
        <v>359</v>
      </c>
      <c r="D33" s="567"/>
      <c r="E33" s="567"/>
      <c r="F33" s="567"/>
      <c r="G33" s="567"/>
      <c r="H33" s="1397"/>
      <c r="I33" s="476"/>
      <c r="J33" s="477"/>
    </row>
    <row r="34" spans="2:10" ht="12.75" customHeight="1">
      <c r="B34" s="475" t="s">
        <v>150</v>
      </c>
      <c r="C34" s="564" t="s">
        <v>34</v>
      </c>
      <c r="D34" s="568"/>
      <c r="E34" s="568"/>
      <c r="F34" s="568"/>
      <c r="G34" s="568"/>
      <c r="H34" s="1332"/>
      <c r="I34" s="476"/>
      <c r="J34" s="477"/>
    </row>
    <row r="35" spans="2:10" ht="12.75" customHeight="1">
      <c r="B35" s="475"/>
      <c r="C35" s="564"/>
      <c r="D35" s="569"/>
      <c r="E35" s="569"/>
      <c r="F35" s="569"/>
      <c r="G35" s="569"/>
      <c r="H35" s="983"/>
      <c r="I35" s="476"/>
      <c r="J35" s="477"/>
    </row>
    <row r="36" spans="2:10" ht="12.75" customHeight="1">
      <c r="B36" s="570" t="s">
        <v>151</v>
      </c>
      <c r="C36" s="571"/>
      <c r="D36" s="572"/>
      <c r="E36" s="573"/>
      <c r="F36" s="573"/>
      <c r="G36" s="573"/>
      <c r="H36" s="983"/>
      <c r="I36" s="476"/>
      <c r="J36" s="477"/>
    </row>
    <row r="37" spans="2:10" ht="12.75" customHeight="1">
      <c r="B37" s="475" t="str">
        <f>ProcessEnergy!B35</f>
        <v xml:space="preserve">Green diesel </v>
      </c>
      <c r="C37" s="564"/>
      <c r="H37" s="984"/>
      <c r="I37" s="476"/>
      <c r="J37" s="477"/>
    </row>
    <row r="38" spans="2:10" ht="12.75" customHeight="1">
      <c r="B38" s="575" t="str">
        <f>ProcessEnergy!B36</f>
        <v>Green gasoline</v>
      </c>
      <c r="C38" s="564"/>
      <c r="H38" s="984"/>
      <c r="I38" s="476"/>
      <c r="J38" s="477"/>
    </row>
    <row r="39" spans="2:10" ht="12.75" customHeight="1">
      <c r="B39" s="575" t="str">
        <f>ProcessEnergy!B37</f>
        <v>Electricity - balancing</v>
      </c>
      <c r="C39" s="564"/>
      <c r="H39" s="984"/>
      <c r="I39" s="476"/>
      <c r="J39" s="477"/>
    </row>
    <row r="40" spans="2:10" ht="12.75" customHeight="1">
      <c r="B40" s="575" t="str">
        <f>ProcessEnergy!B38</f>
        <v>Electricity  - continous</v>
      </c>
      <c r="C40" s="564"/>
      <c r="H40" s="984"/>
      <c r="I40" s="476"/>
      <c r="J40" s="477"/>
    </row>
    <row r="41" spans="2:10" ht="12.75" customHeight="1">
      <c r="B41" s="575" t="str">
        <f>ProcessEnergy!B39</f>
        <v>Elec/heat fuel</v>
      </c>
      <c r="C41" s="564"/>
      <c r="H41" s="984"/>
      <c r="I41" s="476"/>
      <c r="J41" s="477"/>
    </row>
    <row r="42" spans="2:10" ht="12.75" customHeight="1">
      <c r="B42" s="575" t="str">
        <f>ProcessEnergy!B40</f>
        <v>Biogas (100% CH4)</v>
      </c>
      <c r="C42" s="564"/>
      <c r="H42" s="984"/>
      <c r="I42" s="476"/>
      <c r="J42" s="477"/>
    </row>
    <row r="43" spans="2:10" ht="12.75" customHeight="1">
      <c r="B43" s="575" t="str">
        <f>ProcessEnergy!B41</f>
        <v>District heating</v>
      </c>
      <c r="C43" s="564"/>
      <c r="H43" s="978"/>
      <c r="I43" s="476"/>
      <c r="J43" s="477"/>
    </row>
    <row r="44" spans="2:10" ht="12.75" customHeight="1">
      <c r="B44" s="575" t="str">
        <f>ProcessEnergy!B42</f>
        <v>&lt;empty&gt;</v>
      </c>
      <c r="C44" s="564"/>
      <c r="H44" s="978"/>
      <c r="I44" s="476"/>
      <c r="J44" s="477"/>
    </row>
    <row r="45" spans="2:10" ht="12.75" customHeight="1">
      <c r="B45" s="575" t="str">
        <f>ProcessEnergy!B43</f>
        <v>&lt;empty&gt;</v>
      </c>
      <c r="C45" s="564"/>
      <c r="H45" s="978"/>
      <c r="I45" s="476"/>
      <c r="J45" s="477"/>
    </row>
    <row r="46" spans="2:10" ht="12.75" customHeight="1">
      <c r="B46" s="575" t="str">
        <f>ProcessEnergy!B44</f>
        <v>&lt;empty&gt;</v>
      </c>
      <c r="C46" s="564"/>
      <c r="H46" s="978"/>
      <c r="I46" s="476"/>
      <c r="J46" s="477"/>
    </row>
    <row r="47" spans="2:10" ht="12.75" customHeight="1">
      <c r="B47" s="575" t="str">
        <f>ProcessEnergy!B45</f>
        <v>&lt;empty&gt;</v>
      </c>
      <c r="C47" s="564"/>
      <c r="H47" s="978"/>
      <c r="I47" s="476"/>
      <c r="J47" s="477"/>
    </row>
    <row r="48" spans="2:10" ht="12.75" customHeight="1">
      <c r="B48" s="575" t="str">
        <f>ProcessEnergy!B46</f>
        <v>&lt;empty&gt;</v>
      </c>
      <c r="C48" s="564"/>
      <c r="H48" s="978"/>
      <c r="I48" s="476"/>
      <c r="J48" s="477"/>
    </row>
    <row r="49" spans="2:10" ht="12.75" customHeight="1">
      <c r="B49" s="575" t="str">
        <f>ProcessEnergy!B47</f>
        <v>&lt;empty&gt;</v>
      </c>
      <c r="C49" s="564"/>
      <c r="H49" s="978"/>
      <c r="I49" s="476"/>
      <c r="J49" s="477"/>
    </row>
    <row r="50" spans="2:10" ht="12.75" customHeight="1">
      <c r="B50" s="575" t="str">
        <f>ProcessEnergy!B48</f>
        <v>Glycerol</v>
      </c>
      <c r="C50" s="564"/>
      <c r="H50" s="978"/>
      <c r="I50" s="476"/>
      <c r="J50" s="477"/>
    </row>
    <row r="51" spans="2:10" ht="12.75" customHeight="1">
      <c r="B51" s="575" t="str">
        <f>ProcessEnergy!B49</f>
        <v>&lt;empty&gt;</v>
      </c>
      <c r="C51" s="564"/>
      <c r="H51" s="978"/>
      <c r="I51" s="476"/>
      <c r="J51" s="477"/>
    </row>
    <row r="52" spans="2:10" ht="12.75" customHeight="1">
      <c r="B52" s="575" t="str">
        <f>ProcessEnergy!B50</f>
        <v>&lt;empty&gt;</v>
      </c>
      <c r="C52" s="564"/>
      <c r="H52" s="978"/>
      <c r="I52" s="476"/>
      <c r="J52" s="477"/>
    </row>
    <row r="53" spans="2:10" ht="12.75" customHeight="1">
      <c r="B53" s="575" t="str">
        <f>ProcessEnergy!B51</f>
        <v>Fodder (wheat like)</v>
      </c>
      <c r="C53" s="564"/>
      <c r="H53" s="984"/>
      <c r="I53" s="476"/>
      <c r="J53" s="477"/>
    </row>
    <row r="54" spans="2:10" ht="12.75" customHeight="1">
      <c r="B54" s="575" t="str">
        <f>ProcessEnergy!B52</f>
        <v>Rape seed cake</v>
      </c>
      <c r="C54" s="564"/>
      <c r="H54" s="984"/>
      <c r="I54" s="476"/>
      <c r="J54" s="477"/>
    </row>
    <row r="55" spans="2:10" ht="12.75" customHeight="1">
      <c r="B55" s="575" t="str">
        <f>ProcessEnergy!B53</f>
        <v>&lt;empty&gt;</v>
      </c>
      <c r="C55" s="564"/>
      <c r="H55" s="984"/>
      <c r="I55" s="476"/>
      <c r="J55" s="477"/>
    </row>
    <row r="56" spans="2:10" ht="12.75" customHeight="1">
      <c r="B56" s="575" t="str">
        <f>ProcessEnergy!B54</f>
        <v>DDGS</v>
      </c>
      <c r="C56" s="564"/>
      <c r="H56" s="984"/>
      <c r="I56" s="476"/>
      <c r="J56" s="477"/>
    </row>
    <row r="57" spans="2:10" ht="12.75" customHeight="1">
      <c r="B57" s="475"/>
      <c r="C57" s="564"/>
      <c r="H57" s="984"/>
      <c r="I57" s="476"/>
      <c r="J57" s="477"/>
    </row>
    <row r="58" spans="2:10" ht="12.75" customHeight="1">
      <c r="B58" s="570" t="s">
        <v>873</v>
      </c>
      <c r="C58" s="564"/>
      <c r="H58" s="984"/>
      <c r="I58" s="476"/>
      <c r="J58" s="477"/>
    </row>
    <row r="59" spans="2:10" ht="12.75" customHeight="1">
      <c r="B59" s="475" t="str">
        <f>ProcessEnergy!B5</f>
        <v>EL - peakload</v>
      </c>
      <c r="C59" s="564" t="s">
        <v>876</v>
      </c>
      <c r="H59" s="984"/>
      <c r="I59" s="476"/>
      <c r="J59" s="477"/>
    </row>
    <row r="60" spans="2:10" ht="12.75" customHeight="1">
      <c r="B60" s="475" t="str">
        <f>ProcessEnergy!B6</f>
        <v>El - baseload</v>
      </c>
      <c r="C60" s="564" t="s">
        <v>876</v>
      </c>
      <c r="H60" s="984"/>
      <c r="I60" s="476"/>
      <c r="J60" s="477"/>
    </row>
    <row r="61" spans="2:10" ht="12.75" customHeight="1">
      <c r="B61" s="475" t="str">
        <f>ProcessEnergy!B7</f>
        <v xml:space="preserve">Varme </v>
      </c>
      <c r="C61" s="564" t="s">
        <v>876</v>
      </c>
      <c r="H61" s="984"/>
      <c r="I61" s="476"/>
      <c r="J61" s="477"/>
    </row>
    <row r="62" spans="2:10" ht="12.75" customHeight="1">
      <c r="B62" s="475" t="str">
        <f>ProcessEnergy!B8</f>
        <v>Damp</v>
      </c>
      <c r="C62" s="564" t="s">
        <v>876</v>
      </c>
      <c r="H62" s="984"/>
      <c r="I62" s="476"/>
      <c r="J62" s="477"/>
    </row>
    <row r="63" spans="2:10" ht="12.75" customHeight="1">
      <c r="B63" s="475" t="str">
        <f>ProcessEnergy!B9</f>
        <v xml:space="preserve">Olie </v>
      </c>
      <c r="C63" s="564" t="s">
        <v>876</v>
      </c>
      <c r="H63" s="984"/>
      <c r="I63" s="476"/>
      <c r="J63" s="477"/>
    </row>
    <row r="64" spans="2:10" ht="12.75" customHeight="1">
      <c r="B64" s="475" t="str">
        <f>ProcessEnergy!B10</f>
        <v>Kul</v>
      </c>
      <c r="C64" s="564" t="s">
        <v>876</v>
      </c>
      <c r="H64" s="984"/>
      <c r="I64" s="476"/>
      <c r="J64" s="477"/>
    </row>
    <row r="65" spans="2:10" ht="12.75" customHeight="1">
      <c r="B65" s="475" t="str">
        <f>ProcessEnergy!B11</f>
        <v>Naturgas kedel</v>
      </c>
      <c r="C65" s="564" t="s">
        <v>876</v>
      </c>
      <c r="H65" s="984"/>
      <c r="I65" s="476"/>
      <c r="J65" s="477"/>
    </row>
    <row r="66" spans="2:10" ht="12.75" customHeight="1">
      <c r="B66" s="475" t="str">
        <f>ProcessEnergy!B12</f>
        <v>Gylle</v>
      </c>
      <c r="C66" s="564" t="s">
        <v>876</v>
      </c>
      <c r="H66" s="984"/>
      <c r="I66" s="476"/>
      <c r="J66" s="477"/>
    </row>
    <row r="67" spans="2:10" ht="12.75" customHeight="1">
      <c r="B67" s="475" t="str">
        <f>ProcessEnergy!B13</f>
        <v>Affald</v>
      </c>
      <c r="C67" s="564" t="s">
        <v>876</v>
      </c>
      <c r="H67" s="984"/>
      <c r="I67" s="476"/>
      <c r="J67" s="477"/>
    </row>
    <row r="68" spans="2:10" ht="12.75" customHeight="1">
      <c r="B68" s="475" t="str">
        <f>ProcessEnergy!B14</f>
        <v>Hydrogen</v>
      </c>
      <c r="C68" s="564" t="s">
        <v>876</v>
      </c>
      <c r="H68" s="984"/>
      <c r="I68" s="476"/>
      <c r="J68" s="477"/>
    </row>
    <row r="69" spans="2:10" ht="12.75" customHeight="1">
      <c r="B69" s="475" t="str">
        <f>ProcessEnergy!B15</f>
        <v>Biomasse</v>
      </c>
      <c r="C69" s="564" t="s">
        <v>876</v>
      </c>
      <c r="H69" s="984"/>
      <c r="I69" s="476"/>
      <c r="J69" s="477"/>
    </row>
    <row r="70" spans="2:10" ht="12.75" customHeight="1">
      <c r="B70" s="475" t="str">
        <f>ProcessEnergy!B16</f>
        <v>Methanol</v>
      </c>
      <c r="C70" s="564"/>
      <c r="H70" s="984"/>
      <c r="I70" s="476"/>
      <c r="J70" s="477"/>
    </row>
    <row r="71" spans="2:10" ht="12.75" customHeight="1">
      <c r="B71" s="475" t="str">
        <f>ProcessEnergy!B17</f>
        <v>&lt;empty&gt;</v>
      </c>
      <c r="C71" s="564"/>
      <c r="H71" s="984"/>
      <c r="I71" s="476"/>
      <c r="J71" s="477"/>
    </row>
    <row r="72" spans="2:10" ht="12.75" customHeight="1">
      <c r="B72" s="475" t="str">
        <f>ProcessEnergy!B18</f>
        <v>&lt;empty&gt;</v>
      </c>
      <c r="C72" s="564"/>
      <c r="H72" s="984"/>
      <c r="I72" s="476"/>
      <c r="J72" s="477"/>
    </row>
    <row r="73" spans="2:10" ht="12.75" customHeight="1">
      <c r="B73" s="475" t="str">
        <f>ProcessEnergy!B19</f>
        <v>&lt;empty&gt;</v>
      </c>
      <c r="C73" s="564"/>
      <c r="H73" s="984"/>
      <c r="I73" s="476"/>
      <c r="J73" s="477"/>
    </row>
    <row r="74" spans="2:10" ht="12.75" customHeight="1">
      <c r="B74" s="475" t="str">
        <f>ProcessEnergy!B20</f>
        <v>&lt;empty&gt;</v>
      </c>
      <c r="C74" s="564"/>
      <c r="H74" s="984"/>
      <c r="I74" s="476"/>
      <c r="J74" s="477"/>
    </row>
    <row r="75" spans="2:10" ht="12.75" customHeight="1">
      <c r="B75" s="475" t="str">
        <f>ProcessEnergy!B21</f>
        <v>&lt;empty&gt;</v>
      </c>
      <c r="C75" s="564"/>
      <c r="H75" s="984"/>
      <c r="I75" s="476"/>
      <c r="J75" s="477"/>
    </row>
    <row r="76" spans="2:10" ht="12.75" customHeight="1">
      <c r="B76" s="475" t="str">
        <f>ProcessEnergy!B22</f>
        <v>&lt;empty&gt;</v>
      </c>
      <c r="C76" s="564"/>
      <c r="H76" s="984"/>
      <c r="I76" s="476"/>
      <c r="J76" s="477"/>
    </row>
    <row r="77" spans="2:10" ht="12.75" customHeight="1">
      <c r="B77" s="475" t="str">
        <f>ProcessEnergy!B23</f>
        <v>&lt;empty&gt;</v>
      </c>
      <c r="C77" s="564"/>
      <c r="H77" s="984"/>
      <c r="I77" s="476"/>
      <c r="J77" s="477"/>
    </row>
    <row r="78" spans="2:10" ht="12.75" customHeight="1">
      <c r="B78" s="475" t="str">
        <f>ProcessEnergy!B24</f>
        <v>&lt;empty&gt;</v>
      </c>
      <c r="C78" s="564" t="s">
        <v>876</v>
      </c>
      <c r="H78" s="984"/>
      <c r="I78" s="476"/>
      <c r="J78" s="477"/>
    </row>
    <row r="79" spans="2:10" ht="12.75" customHeight="1">
      <c r="B79" s="475"/>
      <c r="C79" s="564"/>
      <c r="H79" s="984"/>
      <c r="I79" s="476"/>
      <c r="J79" s="477"/>
    </row>
    <row r="80" spans="2:10" ht="12.75" customHeight="1">
      <c r="B80" s="475"/>
      <c r="C80" s="564"/>
      <c r="H80" s="984"/>
      <c r="I80" s="476"/>
      <c r="J80" s="477"/>
    </row>
    <row r="81" spans="1:17" ht="12.75" customHeight="1">
      <c r="B81" s="475"/>
      <c r="C81" s="564"/>
      <c r="D81" s="574"/>
      <c r="E81" s="574"/>
      <c r="F81" s="574"/>
      <c r="G81" s="574"/>
      <c r="H81" s="986"/>
      <c r="I81" s="476"/>
      <c r="J81" s="477"/>
    </row>
    <row r="82" spans="1:17" ht="12.75" customHeight="1">
      <c r="B82" s="570" t="s">
        <v>152</v>
      </c>
      <c r="C82" s="564"/>
      <c r="D82" s="565"/>
      <c r="E82" s="565"/>
      <c r="F82" s="565"/>
      <c r="G82" s="565"/>
      <c r="H82" s="986"/>
      <c r="I82" s="476"/>
      <c r="J82" s="477"/>
    </row>
    <row r="83" spans="1:17" ht="12.75" customHeight="1">
      <c r="A83" s="469">
        <v>4</v>
      </c>
      <c r="B83" s="475" t="s">
        <v>360</v>
      </c>
      <c r="C83" s="976" t="s">
        <v>725</v>
      </c>
      <c r="D83" s="1419">
        <v>1</v>
      </c>
      <c r="E83" s="1419">
        <v>1</v>
      </c>
      <c r="F83" s="1419">
        <v>1</v>
      </c>
      <c r="G83" s="1419">
        <v>1</v>
      </c>
      <c r="H83" s="978"/>
      <c r="I83" s="476"/>
      <c r="J83" s="477"/>
    </row>
    <row r="84" spans="1:17" ht="12.75" customHeight="1">
      <c r="B84" s="475" t="s">
        <v>153</v>
      </c>
      <c r="C84" s="976" t="s">
        <v>725</v>
      </c>
      <c r="D84" s="576">
        <v>0</v>
      </c>
      <c r="E84" s="576">
        <v>0</v>
      </c>
      <c r="F84" s="576">
        <v>0</v>
      </c>
      <c r="G84" s="576">
        <v>0</v>
      </c>
      <c r="H84" s="1334"/>
      <c r="I84" s="476"/>
      <c r="J84" s="477"/>
    </row>
    <row r="85" spans="1:17" ht="12.75" customHeight="1">
      <c r="B85" s="475" t="s">
        <v>154</v>
      </c>
      <c r="C85" s="976" t="s">
        <v>725</v>
      </c>
      <c r="D85" s="1438">
        <v>0</v>
      </c>
      <c r="E85" s="1438">
        <v>0</v>
      </c>
      <c r="F85" s="1438">
        <v>0</v>
      </c>
      <c r="G85" s="1438">
        <v>0</v>
      </c>
      <c r="H85" s="978"/>
      <c r="I85" s="476"/>
      <c r="J85" s="477"/>
    </row>
    <row r="86" spans="1:17" ht="12.75" customHeight="1">
      <c r="B86" s="475" t="s">
        <v>15</v>
      </c>
      <c r="C86" s="976" t="s">
        <v>725</v>
      </c>
      <c r="D86" s="1438">
        <v>1</v>
      </c>
      <c r="E86" s="1438">
        <v>1</v>
      </c>
      <c r="F86" s="1438">
        <v>1</v>
      </c>
      <c r="G86" s="1438">
        <v>1</v>
      </c>
      <c r="H86" s="978"/>
      <c r="I86" s="476"/>
      <c r="J86" s="477"/>
    </row>
    <row r="87" spans="1:17" ht="12.75" customHeight="1">
      <c r="B87" s="475" t="s">
        <v>155</v>
      </c>
      <c r="C87" s="976" t="s">
        <v>725</v>
      </c>
      <c r="D87" s="577">
        <f>D83+D84-D85-D86</f>
        <v>0</v>
      </c>
      <c r="E87" s="577">
        <f>E83+E84-E85-E86</f>
        <v>0</v>
      </c>
      <c r="F87" s="577">
        <f>F83+F84-F85-F86</f>
        <v>0</v>
      </c>
      <c r="G87" s="577">
        <f>G83+G84-G85-G86</f>
        <v>0</v>
      </c>
      <c r="H87" s="978"/>
      <c r="I87" s="476"/>
      <c r="J87" s="477"/>
    </row>
    <row r="88" spans="1:17" ht="12.75" customHeight="1">
      <c r="B88" s="575" t="s">
        <v>156</v>
      </c>
      <c r="C88" s="988" t="s">
        <v>726</v>
      </c>
      <c r="D88" s="579">
        <f>(D86+D85)/(D83+D84)</f>
        <v>1</v>
      </c>
      <c r="E88" s="579">
        <f>(E86+E85)/(E83+E84)</f>
        <v>1</v>
      </c>
      <c r="F88" s="579">
        <f>(F86+F85)/(F83+F84)</f>
        <v>1</v>
      </c>
      <c r="G88" s="579">
        <f>(G86+G85)/(G83+G84)</f>
        <v>1</v>
      </c>
      <c r="H88" s="990"/>
      <c r="I88" s="476"/>
      <c r="J88" s="477"/>
    </row>
    <row r="89" spans="1:17" ht="12.75" customHeight="1">
      <c r="B89" s="575"/>
      <c r="C89" s="578"/>
      <c r="D89" s="580"/>
      <c r="E89" s="580"/>
      <c r="F89" s="580"/>
      <c r="G89" s="580"/>
      <c r="H89" s="990"/>
      <c r="I89" s="476"/>
      <c r="J89" s="477"/>
    </row>
    <row r="90" spans="1:17" ht="12.75" customHeight="1">
      <c r="B90" s="570" t="s">
        <v>33</v>
      </c>
      <c r="C90" s="564"/>
      <c r="D90" s="573"/>
      <c r="E90" s="573"/>
      <c r="F90" s="573"/>
      <c r="G90" s="573"/>
      <c r="H90" s="983"/>
      <c r="I90" s="476"/>
      <c r="J90" s="477"/>
      <c r="N90" s="471"/>
    </row>
    <row r="91" spans="1:17" s="530" customFormat="1">
      <c r="B91" s="964" t="s">
        <v>157</v>
      </c>
      <c r="C91" s="976" t="s">
        <v>61</v>
      </c>
      <c r="D91" s="992">
        <f>HLOOKUP($H100,Supplementary!$C$44:$AF$46,3,FALSE)*D100</f>
        <v>0</v>
      </c>
      <c r="E91" s="555">
        <f>HLOOKUP($H100,Supplementary!$C$44:$AF$46,3,FALSE)*E100</f>
        <v>0</v>
      </c>
      <c r="F91" s="555">
        <f>HLOOKUP($H100,Supplementary!$C$44:$AF$46,3,FALSE)*F100</f>
        <v>0</v>
      </c>
      <c r="G91" s="555">
        <f>HLOOKUP($H100,Supplementary!$C$44:$AF$46,3,FALSE)*G100</f>
        <v>0</v>
      </c>
      <c r="H91" s="555">
        <f t="shared" ref="H91:H97" si="0">priceYear</f>
        <v>2015</v>
      </c>
      <c r="I91" s="555"/>
      <c r="J91" s="965"/>
      <c r="N91" s="991"/>
      <c r="O91" s="991"/>
      <c r="P91" s="991"/>
      <c r="Q91" s="991"/>
    </row>
    <row r="92" spans="1:17" s="530" customFormat="1">
      <c r="B92" s="964" t="s">
        <v>160</v>
      </c>
      <c r="C92" s="976" t="s">
        <v>1094</v>
      </c>
      <c r="D92" s="992">
        <f>HLOOKUP($H101,Supplementary!$C$44:$AF$46,3,FALSE)*D101</f>
        <v>0</v>
      </c>
      <c r="E92" s="555">
        <f>HLOOKUP($H101,Supplementary!$C$44:$AF$46,3,FALSE)*E101</f>
        <v>0</v>
      </c>
      <c r="F92" s="555">
        <f>HLOOKUP($H101,Supplementary!$C$44:$AF$46,3,FALSE)*F101</f>
        <v>0</v>
      </c>
      <c r="G92" s="555">
        <f>HLOOKUP($H101,Supplementary!$C$44:$AF$46,3,FALSE)*G101</f>
        <v>0</v>
      </c>
      <c r="H92" s="555">
        <f t="shared" si="0"/>
        <v>2015</v>
      </c>
      <c r="I92" s="555"/>
      <c r="J92" s="965"/>
      <c r="N92" s="991"/>
      <c r="O92" s="991"/>
      <c r="P92" s="991"/>
      <c r="Q92" s="991"/>
    </row>
    <row r="93" spans="1:17" s="530" customFormat="1">
      <c r="B93" s="995" t="s">
        <v>162</v>
      </c>
      <c r="C93" s="976" t="s">
        <v>1094</v>
      </c>
      <c r="D93" s="992">
        <f>HLOOKUP($H102,Supplementary!$C$44:$AF$46,3,FALSE)*D102</f>
        <v>0</v>
      </c>
      <c r="E93" s="555">
        <f>HLOOKUP($H102,Supplementary!$C$44:$AF$46,3,FALSE)*E102</f>
        <v>0</v>
      </c>
      <c r="F93" s="555">
        <f>HLOOKUP($H102,Supplementary!$C$44:$AF$46,3,FALSE)*F102</f>
        <v>0</v>
      </c>
      <c r="G93" s="555">
        <f>HLOOKUP($H102,Supplementary!$C$44:$AF$46,3,FALSE)*G102</f>
        <v>0</v>
      </c>
      <c r="H93" s="555">
        <f t="shared" si="0"/>
        <v>2015</v>
      </c>
      <c r="I93" s="555"/>
      <c r="J93" s="965"/>
      <c r="N93" s="991"/>
      <c r="O93" s="991"/>
      <c r="P93" s="991"/>
      <c r="Q93" s="991"/>
    </row>
    <row r="94" spans="1:17" s="530" customFormat="1">
      <c r="B94" s="995" t="s">
        <v>163</v>
      </c>
      <c r="C94" s="976" t="s">
        <v>1094</v>
      </c>
      <c r="D94" s="992">
        <f>HLOOKUP($H103,Supplementary!$C$44:$AF$46,3,FALSE)*D103</f>
        <v>0</v>
      </c>
      <c r="E94" s="555">
        <f>HLOOKUP($H103,Supplementary!$C$44:$AF$46,3,FALSE)*E103</f>
        <v>0</v>
      </c>
      <c r="F94" s="555">
        <f>HLOOKUP($H103,Supplementary!$C$44:$AF$46,3,FALSE)*F103</f>
        <v>0</v>
      </c>
      <c r="G94" s="555">
        <f>HLOOKUP($H103,Supplementary!$C$44:$AF$46,3,FALSE)*G103</f>
        <v>0</v>
      </c>
      <c r="H94" s="555">
        <f t="shared" si="0"/>
        <v>2015</v>
      </c>
      <c r="I94" s="555"/>
      <c r="J94" s="965"/>
      <c r="N94" s="991"/>
      <c r="O94" s="991"/>
      <c r="P94" s="991"/>
      <c r="Q94" s="991"/>
    </row>
    <row r="95" spans="1:17" s="530" customFormat="1">
      <c r="B95" s="995" t="s">
        <v>164</v>
      </c>
      <c r="C95" s="976" t="s">
        <v>464</v>
      </c>
      <c r="D95" s="992">
        <f>HLOOKUP($H104,Supplementary!$C$44:$AF$46,3,FALSE)*D104</f>
        <v>0</v>
      </c>
      <c r="E95" s="555">
        <f>HLOOKUP($H104,Supplementary!$C$44:$AF$46,3,FALSE)*E104</f>
        <v>0</v>
      </c>
      <c r="F95" s="555">
        <f>HLOOKUP($H104,Supplementary!$C$44:$AF$46,3,FALSE)*F104</f>
        <v>0</v>
      </c>
      <c r="G95" s="555">
        <f>HLOOKUP($H104,Supplementary!$C$44:$AF$46,3,FALSE)*G104</f>
        <v>0</v>
      </c>
      <c r="H95" s="555">
        <f t="shared" si="0"/>
        <v>2015</v>
      </c>
      <c r="I95" s="555"/>
      <c r="J95" s="965"/>
      <c r="N95" s="991"/>
      <c r="O95" s="991"/>
      <c r="P95" s="991"/>
      <c r="Q95" s="991"/>
    </row>
    <row r="96" spans="1:17" s="530" customFormat="1">
      <c r="B96" s="995" t="s">
        <v>264</v>
      </c>
      <c r="C96" s="976" t="s">
        <v>464</v>
      </c>
      <c r="D96" s="992">
        <f>HLOOKUP($H105,Supplementary!$C$44:$AF$46,3,FALSE)*D105</f>
        <v>0</v>
      </c>
      <c r="E96" s="555">
        <f>HLOOKUP($H105,Supplementary!$C$44:$AF$46,3,FALSE)*E105</f>
        <v>0</v>
      </c>
      <c r="F96" s="555">
        <f>HLOOKUP($H105,Supplementary!$C$44:$AF$46,3,FALSE)*F105</f>
        <v>0</v>
      </c>
      <c r="G96" s="555">
        <f>HLOOKUP($H105,Supplementary!$C$44:$AF$46,3,FALSE)*G105</f>
        <v>0</v>
      </c>
      <c r="H96" s="555">
        <f t="shared" si="0"/>
        <v>2015</v>
      </c>
      <c r="I96" s="555"/>
      <c r="J96" s="965"/>
      <c r="N96" s="991"/>
      <c r="O96" s="991"/>
      <c r="P96" s="991"/>
      <c r="Q96" s="991"/>
    </row>
    <row r="97" spans="1:17" s="530" customFormat="1">
      <c r="B97" s="995" t="s">
        <v>165</v>
      </c>
      <c r="C97" s="976" t="s">
        <v>464</v>
      </c>
      <c r="D97" s="992">
        <f>HLOOKUP($H106,Supplementary!$C$44:$AF$46,3,FALSE)*D106</f>
        <v>0</v>
      </c>
      <c r="E97" s="555">
        <f>HLOOKUP($H106,Supplementary!$C$44:$AF$46,3,FALSE)*E106</f>
        <v>0</v>
      </c>
      <c r="F97" s="555">
        <f>HLOOKUP($H106,Supplementary!$C$44:$AF$46,3,FALSE)*F106</f>
        <v>0</v>
      </c>
      <c r="G97" s="555">
        <f>HLOOKUP($H106,Supplementary!$C$44:$AF$46,3,FALSE)*G106</f>
        <v>0</v>
      </c>
      <c r="H97" s="555">
        <f t="shared" si="0"/>
        <v>2015</v>
      </c>
      <c r="I97" s="555"/>
      <c r="J97" s="965"/>
      <c r="N97" s="991"/>
      <c r="O97" s="991"/>
      <c r="P97" s="991"/>
      <c r="Q97" s="991"/>
    </row>
    <row r="98" spans="1:17" s="530" customFormat="1">
      <c r="B98" s="975"/>
      <c r="C98" s="976"/>
      <c r="D98" s="992"/>
      <c r="E98" s="983"/>
      <c r="F98" s="983"/>
      <c r="G98" s="983"/>
      <c r="H98" s="983"/>
      <c r="I98" s="555"/>
      <c r="J98" s="965"/>
      <c r="N98" s="991"/>
      <c r="O98" s="991"/>
      <c r="P98" s="991"/>
      <c r="Q98" s="991"/>
    </row>
    <row r="99" spans="1:17" s="530" customFormat="1">
      <c r="B99" s="975"/>
      <c r="C99" s="976"/>
      <c r="D99" s="992"/>
      <c r="E99" s="983"/>
      <c r="F99" s="983"/>
      <c r="G99" s="983"/>
      <c r="H99" s="983"/>
      <c r="I99" s="555"/>
      <c r="J99" s="965"/>
      <c r="N99" s="991"/>
      <c r="O99" s="991"/>
      <c r="P99" s="991"/>
      <c r="Q99" s="991"/>
    </row>
    <row r="100" spans="1:17" ht="12.75" customHeight="1">
      <c r="B100" s="475" t="s">
        <v>157</v>
      </c>
      <c r="C100" s="564" t="s">
        <v>61</v>
      </c>
      <c r="D100" s="581">
        <v>0</v>
      </c>
      <c r="E100" s="581">
        <v>0</v>
      </c>
      <c r="F100" s="581">
        <v>0</v>
      </c>
      <c r="G100" s="581">
        <v>0</v>
      </c>
      <c r="H100" s="1668">
        <v>2011</v>
      </c>
      <c r="I100" s="476"/>
      <c r="J100" s="477"/>
      <c r="N100" s="582"/>
      <c r="O100" s="582"/>
      <c r="P100" s="582"/>
      <c r="Q100" s="582"/>
    </row>
    <row r="101" spans="1:17" ht="12.75" customHeight="1">
      <c r="B101" s="475" t="s">
        <v>160</v>
      </c>
      <c r="C101" s="564" t="s">
        <v>188</v>
      </c>
      <c r="D101" s="566">
        <f>+SUM(D102:D106)</f>
        <v>0</v>
      </c>
      <c r="E101" s="566">
        <f>+SUM(E102:E106)</f>
        <v>0</v>
      </c>
      <c r="F101" s="566">
        <f>+SUM(F102:F106)</f>
        <v>0</v>
      </c>
      <c r="G101" s="566">
        <f>+SUM(G102:G106)</f>
        <v>0</v>
      </c>
      <c r="H101" s="1668">
        <v>2011</v>
      </c>
      <c r="I101" s="476"/>
      <c r="J101" s="477"/>
      <c r="N101" s="582"/>
      <c r="O101" s="582"/>
      <c r="P101" s="582"/>
      <c r="Q101" s="582"/>
    </row>
    <row r="102" spans="1:17" ht="12.75" customHeight="1">
      <c r="B102" s="475" t="s">
        <v>162</v>
      </c>
      <c r="C102" s="564" t="s">
        <v>188</v>
      </c>
      <c r="D102" s="1419">
        <v>0</v>
      </c>
      <c r="E102" s="1419">
        <v>0</v>
      </c>
      <c r="F102" s="1419">
        <v>0</v>
      </c>
      <c r="G102" s="1419">
        <v>0</v>
      </c>
      <c r="H102" s="1668">
        <v>2011</v>
      </c>
      <c r="I102" s="584"/>
      <c r="J102" s="477"/>
      <c r="N102" s="582"/>
      <c r="O102" s="582"/>
      <c r="P102" s="582"/>
      <c r="Q102" s="582"/>
    </row>
    <row r="103" spans="1:17" ht="12.75" customHeight="1">
      <c r="B103" s="585" t="s">
        <v>163</v>
      </c>
      <c r="C103" s="564" t="s">
        <v>188</v>
      </c>
      <c r="D103" s="586">
        <v>0</v>
      </c>
      <c r="E103" s="586">
        <v>0</v>
      </c>
      <c r="F103" s="586">
        <v>0</v>
      </c>
      <c r="G103" s="586">
        <v>0</v>
      </c>
      <c r="H103" s="1668">
        <v>2011</v>
      </c>
      <c r="I103" s="584"/>
      <c r="J103" s="477"/>
      <c r="N103" s="582"/>
      <c r="O103" s="582"/>
      <c r="P103" s="582"/>
      <c r="Q103" s="582"/>
    </row>
    <row r="104" spans="1:17" ht="12.75" customHeight="1">
      <c r="A104" s="469">
        <v>6</v>
      </c>
      <c r="B104" s="585" t="s">
        <v>164</v>
      </c>
      <c r="C104" s="564" t="s">
        <v>188</v>
      </c>
      <c r="D104" s="586">
        <v>0</v>
      </c>
      <c r="E104" s="586">
        <v>0</v>
      </c>
      <c r="F104" s="586">
        <v>0</v>
      </c>
      <c r="G104" s="586">
        <v>0</v>
      </c>
      <c r="H104" s="1668">
        <v>2011</v>
      </c>
      <c r="I104" s="476"/>
      <c r="J104" s="477"/>
      <c r="N104" s="582"/>
      <c r="O104" s="582"/>
      <c r="P104" s="582"/>
      <c r="Q104" s="582"/>
    </row>
    <row r="105" spans="1:17" ht="12.75" customHeight="1">
      <c r="B105" s="585" t="s">
        <v>264</v>
      </c>
      <c r="C105" s="564" t="s">
        <v>188</v>
      </c>
      <c r="D105" s="586">
        <v>0</v>
      </c>
      <c r="E105" s="586">
        <v>0</v>
      </c>
      <c r="F105" s="586">
        <v>0</v>
      </c>
      <c r="G105" s="586">
        <v>0</v>
      </c>
      <c r="H105" s="1668">
        <v>2011</v>
      </c>
      <c r="I105" s="476"/>
      <c r="J105" s="477"/>
      <c r="N105" s="582"/>
      <c r="O105" s="582"/>
      <c r="P105" s="582"/>
      <c r="Q105" s="582"/>
    </row>
    <row r="106" spans="1:17" ht="12.75" customHeight="1">
      <c r="B106" s="585" t="s">
        <v>165</v>
      </c>
      <c r="C106" s="564" t="s">
        <v>188</v>
      </c>
      <c r="D106" s="586">
        <v>0</v>
      </c>
      <c r="E106" s="586">
        <v>0</v>
      </c>
      <c r="F106" s="586">
        <v>0</v>
      </c>
      <c r="G106" s="586">
        <v>0</v>
      </c>
      <c r="H106" s="1668">
        <v>2011</v>
      </c>
      <c r="I106" s="476"/>
      <c r="J106" s="477"/>
      <c r="N106" s="582"/>
      <c r="O106" s="582"/>
      <c r="P106" s="582"/>
      <c r="Q106" s="582"/>
    </row>
    <row r="107" spans="1:17" ht="12.75" customHeight="1">
      <c r="B107" s="585"/>
      <c r="C107" s="564"/>
      <c r="D107" s="567"/>
      <c r="E107" s="567"/>
      <c r="F107" s="567"/>
      <c r="G107" s="567"/>
      <c r="H107" s="983"/>
      <c r="I107" s="476"/>
      <c r="J107" s="477"/>
      <c r="N107" s="582"/>
      <c r="O107" s="582"/>
      <c r="P107" s="582"/>
      <c r="Q107" s="582"/>
    </row>
    <row r="108" spans="1:17" ht="12.75" customHeight="1">
      <c r="B108" s="585"/>
      <c r="C108" s="564"/>
      <c r="D108" s="567"/>
      <c r="E108" s="567"/>
      <c r="F108" s="567"/>
      <c r="G108" s="567"/>
      <c r="H108" s="983"/>
      <c r="I108" s="476"/>
      <c r="J108" s="477"/>
      <c r="N108" s="582"/>
      <c r="O108" s="582"/>
      <c r="P108" s="582"/>
      <c r="Q108" s="582"/>
    </row>
    <row r="109" spans="1:17" ht="12.75" customHeight="1">
      <c r="B109" s="585"/>
      <c r="C109" s="564"/>
      <c r="D109" s="567"/>
      <c r="E109" s="567"/>
      <c r="F109" s="567"/>
      <c r="G109" s="567"/>
      <c r="H109" s="983"/>
      <c r="I109" s="476"/>
      <c r="J109" s="477"/>
      <c r="N109" s="582"/>
      <c r="O109" s="582"/>
      <c r="P109" s="582"/>
      <c r="Q109" s="582"/>
    </row>
    <row r="110" spans="1:17" ht="12.75" customHeight="1">
      <c r="B110" s="585"/>
      <c r="C110" s="564"/>
      <c r="D110" s="567"/>
      <c r="E110" s="567"/>
      <c r="F110" s="567"/>
      <c r="G110" s="567"/>
      <c r="H110" s="983"/>
      <c r="I110" s="476"/>
      <c r="J110" s="477"/>
      <c r="N110" s="582"/>
      <c r="O110" s="582"/>
      <c r="P110" s="582"/>
      <c r="Q110" s="582"/>
    </row>
    <row r="111" spans="1:17" ht="12.75" customHeight="1">
      <c r="B111" s="585"/>
      <c r="C111" s="564"/>
      <c r="D111" s="567"/>
      <c r="E111" s="567"/>
      <c r="F111" s="567"/>
      <c r="G111" s="567"/>
      <c r="H111" s="983"/>
      <c r="I111" s="476"/>
      <c r="J111" s="477"/>
      <c r="N111" s="582"/>
      <c r="O111" s="582"/>
      <c r="P111" s="582"/>
      <c r="Q111" s="582"/>
    </row>
    <row r="112" spans="1:17" ht="12.75" customHeight="1">
      <c r="B112" s="585"/>
      <c r="C112" s="564"/>
      <c r="D112" s="567"/>
      <c r="E112" s="567"/>
      <c r="F112" s="567"/>
      <c r="G112" s="567"/>
      <c r="H112" s="983"/>
      <c r="I112" s="476"/>
      <c r="J112" s="477"/>
      <c r="N112" s="582"/>
      <c r="O112" s="582"/>
      <c r="P112" s="582"/>
      <c r="Q112" s="582"/>
    </row>
    <row r="113" spans="2:17" ht="12.75" customHeight="1">
      <c r="B113" s="587" t="s">
        <v>166</v>
      </c>
      <c r="C113" s="564"/>
      <c r="D113" s="573"/>
      <c r="E113" s="573"/>
      <c r="F113" s="573"/>
      <c r="G113" s="573"/>
      <c r="H113" s="983"/>
      <c r="I113" s="584"/>
      <c r="J113" s="477"/>
      <c r="N113" s="582"/>
      <c r="O113" s="582"/>
      <c r="P113" s="582"/>
      <c r="Q113" s="582"/>
    </row>
    <row r="114" spans="2:17" ht="12.75" customHeight="1">
      <c r="B114" s="475" t="s">
        <v>24</v>
      </c>
      <c r="C114" s="564" t="s">
        <v>189</v>
      </c>
      <c r="D114" s="588">
        <v>0</v>
      </c>
      <c r="E114" s="588">
        <v>0</v>
      </c>
      <c r="F114" s="588">
        <v>0</v>
      </c>
      <c r="G114" s="588">
        <v>0</v>
      </c>
      <c r="H114" s="999"/>
      <c r="I114" s="584"/>
      <c r="J114" s="477"/>
      <c r="N114" s="589"/>
      <c r="O114" s="589"/>
      <c r="P114" s="589"/>
      <c r="Q114" s="582"/>
    </row>
    <row r="115" spans="2:17" ht="12.75" customHeight="1">
      <c r="B115" s="475" t="s">
        <v>27</v>
      </c>
      <c r="C115" s="564" t="s">
        <v>189</v>
      </c>
      <c r="D115" s="588">
        <v>0</v>
      </c>
      <c r="E115" s="588">
        <v>0</v>
      </c>
      <c r="F115" s="588">
        <v>0</v>
      </c>
      <c r="G115" s="588">
        <v>0</v>
      </c>
      <c r="H115" s="999"/>
      <c r="I115" s="476"/>
      <c r="J115" s="477"/>
      <c r="N115" s="582"/>
      <c r="O115" s="582"/>
      <c r="P115" s="582"/>
      <c r="Q115" s="582"/>
    </row>
    <row r="116" spans="2:17" ht="12.75" customHeight="1">
      <c r="B116" s="475" t="s">
        <v>28</v>
      </c>
      <c r="C116" s="564" t="s">
        <v>189</v>
      </c>
      <c r="D116" s="588">
        <v>0</v>
      </c>
      <c r="E116" s="588">
        <v>0</v>
      </c>
      <c r="F116" s="588">
        <v>0</v>
      </c>
      <c r="G116" s="588">
        <v>0</v>
      </c>
      <c r="H116" s="999"/>
      <c r="I116" s="476"/>
      <c r="J116" s="477"/>
      <c r="N116" s="582"/>
      <c r="O116" s="582"/>
      <c r="P116" s="582"/>
      <c r="Q116" s="582"/>
    </row>
    <row r="117" spans="2:17" ht="12.75" customHeight="1">
      <c r="B117" s="475" t="s">
        <v>26</v>
      </c>
      <c r="C117" s="564" t="s">
        <v>189</v>
      </c>
      <c r="D117" s="588">
        <v>0</v>
      </c>
      <c r="E117" s="588">
        <v>0</v>
      </c>
      <c r="F117" s="588">
        <v>0</v>
      </c>
      <c r="G117" s="588">
        <v>0</v>
      </c>
      <c r="H117" s="999"/>
      <c r="I117" s="476"/>
      <c r="J117" s="477"/>
      <c r="N117" s="582"/>
      <c r="O117" s="582"/>
      <c r="P117" s="582"/>
      <c r="Q117" s="582"/>
    </row>
    <row r="118" spans="2:17" ht="12.75" customHeight="1">
      <c r="B118" s="475" t="s">
        <v>167</v>
      </c>
      <c r="C118" s="564" t="s">
        <v>189</v>
      </c>
      <c r="D118" s="588">
        <v>0</v>
      </c>
      <c r="E118" s="588">
        <v>0</v>
      </c>
      <c r="F118" s="588">
        <v>0</v>
      </c>
      <c r="G118" s="588">
        <v>0</v>
      </c>
      <c r="H118" s="999"/>
      <c r="I118" s="476"/>
      <c r="J118" s="477"/>
      <c r="N118" s="582"/>
      <c r="O118" s="582"/>
      <c r="P118" s="582"/>
      <c r="Q118" s="582"/>
    </row>
    <row r="119" spans="2:17" ht="12.75" customHeight="1">
      <c r="B119" s="475" t="s">
        <v>45</v>
      </c>
      <c r="C119" s="564" t="s">
        <v>189</v>
      </c>
      <c r="D119" s="590"/>
      <c r="E119" s="590"/>
      <c r="F119" s="590"/>
      <c r="G119" s="590"/>
      <c r="H119" s="1000"/>
      <c r="I119" s="476"/>
      <c r="J119" s="477"/>
      <c r="N119" s="589"/>
      <c r="O119" s="589"/>
      <c r="P119" s="589"/>
      <c r="Q119" s="589"/>
    </row>
    <row r="120" spans="2:17" ht="12.75" customHeight="1">
      <c r="B120" s="475"/>
      <c r="C120" s="564"/>
      <c r="D120" s="590"/>
      <c r="E120" s="590"/>
      <c r="F120" s="590"/>
      <c r="G120" s="590"/>
      <c r="I120" s="476"/>
      <c r="J120" s="477"/>
    </row>
    <row r="121" spans="2:17" ht="12.75" customHeight="1" thickBot="1">
      <c r="B121" s="591"/>
      <c r="C121" s="592"/>
      <c r="D121" s="593"/>
      <c r="E121" s="482"/>
      <c r="F121" s="482"/>
      <c r="G121" s="482"/>
      <c r="H121" s="968"/>
      <c r="I121" s="482"/>
      <c r="J121" s="483"/>
    </row>
    <row r="122" spans="2:17" ht="12.75" customHeight="1"/>
    <row r="123" spans="2:17" ht="12.75" customHeight="1"/>
    <row r="124" spans="2:17" ht="12.75" customHeight="1"/>
    <row r="125" spans="2:17" ht="12.75" customHeight="1">
      <c r="H125" s="555"/>
    </row>
    <row r="126" spans="2:17" ht="12.75" customHeight="1">
      <c r="H126" s="977"/>
    </row>
    <row r="127" spans="2:17" ht="12.75" customHeight="1">
      <c r="H127" s="993"/>
    </row>
    <row r="128" spans="2:17" ht="12.75" customHeight="1">
      <c r="H128" s="993"/>
    </row>
    <row r="129" spans="8:8" ht="12.75" customHeight="1">
      <c r="H129" s="993"/>
    </row>
    <row r="130" spans="8:8" ht="12.75" customHeight="1">
      <c r="H130" s="993"/>
    </row>
    <row r="131" spans="8:8" ht="12.75" customHeight="1">
      <c r="H131" s="993"/>
    </row>
    <row r="132" spans="8:8" ht="12.75" customHeight="1">
      <c r="H132" s="993"/>
    </row>
    <row r="133" spans="8:8" ht="12.75" customHeight="1">
      <c r="H133" s="993"/>
    </row>
    <row r="134" spans="8:8" ht="12.75" customHeight="1"/>
    <row r="135" spans="8:8" ht="12.75" customHeight="1"/>
    <row r="136" spans="8:8" ht="12.75" customHeight="1"/>
    <row r="137" spans="8:8" ht="12.75" customHeight="1">
      <c r="H137" s="555"/>
    </row>
    <row r="138" spans="8:8" ht="12.75" customHeight="1">
      <c r="H138" s="555"/>
    </row>
    <row r="139" spans="8:8" ht="12.75" customHeight="1">
      <c r="H139" s="977"/>
    </row>
    <row r="140" spans="8:8" ht="12.75" customHeight="1">
      <c r="H140" s="1014"/>
    </row>
    <row r="141" spans="8:8" ht="12.75" customHeight="1">
      <c r="H141" s="1016"/>
    </row>
    <row r="142" spans="8:8" ht="12.75" customHeight="1">
      <c r="H142" s="1018"/>
    </row>
    <row r="143" spans="8:8" ht="12.75" customHeight="1">
      <c r="H143" s="1016"/>
    </row>
    <row r="144" spans="8:8" ht="12.75" customHeight="1">
      <c r="H144" s="1016"/>
    </row>
    <row r="145" spans="8:8" ht="12.75" customHeight="1">
      <c r="H145" s="979"/>
    </row>
    <row r="146" spans="8:8" ht="12.75" customHeight="1">
      <c r="H146" s="1016"/>
    </row>
    <row r="147" spans="8:8" ht="12.75" customHeight="1">
      <c r="H147" s="1016"/>
    </row>
    <row r="148" spans="8:8" ht="12.75" customHeight="1">
      <c r="H148" s="555"/>
    </row>
    <row r="149" spans="8:8" ht="12.75" customHeight="1">
      <c r="H149" s="555"/>
    </row>
    <row r="150" spans="8:8" ht="12.75" customHeight="1">
      <c r="H150" s="555"/>
    </row>
    <row r="151" spans="8:8" ht="12.75" customHeight="1">
      <c r="H151" s="555"/>
    </row>
    <row r="152" spans="8:8" ht="12.75" customHeight="1">
      <c r="H152" s="555"/>
    </row>
    <row r="153" spans="8:8" ht="12.75" customHeight="1">
      <c r="H153" s="555"/>
    </row>
    <row r="154" spans="8:8" ht="12.75" customHeight="1">
      <c r="H154" s="555"/>
    </row>
    <row r="155" spans="8:8" ht="12.75" customHeight="1">
      <c r="H155" s="555"/>
    </row>
    <row r="156" spans="8:8" ht="12.75" customHeight="1">
      <c r="H156" s="1027"/>
    </row>
    <row r="157" spans="8:8" ht="12.75" customHeight="1">
      <c r="H157" s="1028"/>
    </row>
    <row r="158" spans="8:8" ht="12.75" customHeight="1">
      <c r="H158" s="1027"/>
    </row>
    <row r="159" spans="8:8" ht="12.75" customHeight="1">
      <c r="H159" s="1031"/>
    </row>
    <row r="160" spans="8:8" ht="12.75" customHeight="1">
      <c r="H160" s="1031"/>
    </row>
    <row r="161" spans="8:8" ht="12.75" customHeight="1">
      <c r="H161" s="1031"/>
    </row>
    <row r="162" spans="8:8" ht="12.75" customHeight="1">
      <c r="H162" s="1031"/>
    </row>
    <row r="163" spans="8:8" ht="12.75" customHeight="1">
      <c r="H163" s="1031"/>
    </row>
    <row r="164" spans="8:8" ht="12.75" customHeight="1">
      <c r="H164" s="1031"/>
    </row>
    <row r="165" spans="8:8" ht="12.75" customHeight="1">
      <c r="H165" s="1031"/>
    </row>
    <row r="166" spans="8:8" ht="12.75" customHeight="1">
      <c r="H166" s="1031"/>
    </row>
    <row r="167" spans="8:8" ht="12.75" customHeight="1">
      <c r="H167" s="1031"/>
    </row>
    <row r="168" spans="8:8" ht="12.75" customHeight="1">
      <c r="H168" s="1031"/>
    </row>
    <row r="169" spans="8:8" ht="12.75" customHeight="1">
      <c r="H169" s="1031"/>
    </row>
    <row r="170" spans="8:8" ht="12.75" customHeight="1">
      <c r="H170" s="1031"/>
    </row>
    <row r="171" spans="8:8" ht="12.75" customHeight="1">
      <c r="H171" s="1031"/>
    </row>
    <row r="172" spans="8:8" ht="12.75" customHeight="1">
      <c r="H172" s="1031"/>
    </row>
    <row r="173" spans="8:8" ht="12.75" customHeight="1">
      <c r="H173" s="1031"/>
    </row>
    <row r="174" spans="8:8" ht="12.75" customHeight="1">
      <c r="H174" s="1031"/>
    </row>
    <row r="175" spans="8:8" ht="12.75" customHeight="1">
      <c r="H175" s="1031"/>
    </row>
    <row r="176" spans="8:8" ht="12.75" customHeight="1">
      <c r="H176" s="1027"/>
    </row>
    <row r="177" spans="8:8" ht="12.75" customHeight="1">
      <c r="H177" s="1027"/>
    </row>
    <row r="178" spans="8:8" ht="12.75" customHeight="1">
      <c r="H178" s="1031"/>
    </row>
    <row r="179" spans="8:8" ht="12.75" customHeight="1" thickBot="1">
      <c r="H179" s="1035"/>
    </row>
    <row r="180" spans="8:8" ht="12.75" customHeight="1"/>
    <row r="181" spans="8:8" ht="12.75" customHeight="1"/>
    <row r="182" spans="8:8" ht="12.75" customHeight="1"/>
    <row r="183" spans="8:8" ht="12.75" customHeight="1"/>
    <row r="184" spans="8:8" ht="12.75" customHeight="1"/>
    <row r="185" spans="8:8" ht="12.75" customHeight="1"/>
    <row r="186" spans="8:8" ht="12.75" customHeight="1"/>
    <row r="187" spans="8:8" ht="12.75" customHeight="1"/>
    <row r="188" spans="8:8" ht="12.75" customHeight="1"/>
    <row r="189" spans="8:8" ht="12.75" customHeight="1"/>
    <row r="190" spans="8:8" ht="12.75" customHeight="1"/>
    <row r="191" spans="8:8" ht="12.75" customHeight="1"/>
    <row r="192" spans="8:8"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sheetData>
  <pageMargins left="0.15748031496062992" right="0.15748031496062992" top="1.25" bottom="0.19685039370078741" header="0.51181102362204722" footer="0.51181102362204722"/>
  <pageSetup paperSize="9" scale="38" orientation="landscape" r:id="rId1"/>
  <headerFooter alignWithMargins="0">
    <oddHeader>&amp;L&amp;"Arial"&amp;14&amp;BBeregningsmodel
&amp;"Arial"&amp;08&amp;B64329, Teknologivurdering af alternative drivmidler til transportsektoren&amp;R&amp;"Arial"&amp;08Page &amp;P of &amp;N</oddHeader>
    <oddFooter>&amp;L&amp;"Arial"&amp;08&amp;Z&amp;F
Sheet: &amp;A&amp;C&amp;"Arial"&amp;08Printed &amp;D &amp;T&amp;R&amp;G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5059" r:id="rId5" name="Button 3">
              <controlPr defaultSize="0" print="0" autoFill="0" autoPict="0" macro="[0]!GtOver">
                <anchor>
                  <from>
                    <xdr:col>7</xdr:col>
                    <xdr:colOff>819150</xdr:colOff>
                    <xdr:row>0</xdr:row>
                    <xdr:rowOff>38100</xdr:rowOff>
                  </from>
                  <to>
                    <xdr:col>9</xdr:col>
                    <xdr:colOff>381000</xdr:colOff>
                    <xdr:row>0</xdr:row>
                    <xdr:rowOff>238125</xdr:rowOff>
                  </to>
                </anchor>
              </controlPr>
            </control>
          </mc:Choice>
        </mc:AlternateContent>
        <mc:AlternateContent xmlns:mc="http://schemas.openxmlformats.org/markup-compatibility/2006">
          <mc:Choice Requires="x14">
            <control shapeId="45060" r:id="rId6" name="Button 4">
              <controlPr defaultSize="0" print="0" autoFill="0" autoPict="0" macro="[0]!GtRes">
                <anchor>
                  <from>
                    <xdr:col>9</xdr:col>
                    <xdr:colOff>542925</xdr:colOff>
                    <xdr:row>0</xdr:row>
                    <xdr:rowOff>38100</xdr:rowOff>
                  </from>
                  <to>
                    <xdr:col>11</xdr:col>
                    <xdr:colOff>161925</xdr:colOff>
                    <xdr:row>0</xdr:row>
                    <xdr:rowOff>238125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tabColor rgb="FF00B0F0"/>
    <pageSetUpPr fitToPage="1"/>
  </sheetPr>
  <dimension ref="A1:R319"/>
  <sheetViews>
    <sheetView zoomScale="80" zoomScaleNormal="80" workbookViewId="0">
      <selection activeCell="D29" sqref="D29"/>
    </sheetView>
  </sheetViews>
  <sheetFormatPr defaultColWidth="8.85546875" defaultRowHeight="12.75"/>
  <cols>
    <col min="1" max="1" width="3.28515625" style="167" customWidth="1"/>
    <col min="2" max="2" width="36" style="167" customWidth="1"/>
    <col min="3" max="3" width="16.5703125" style="167" customWidth="1"/>
    <col min="4" max="7" width="15.7109375" style="167" customWidth="1"/>
    <col min="8" max="8" width="15.7109375" style="530" customWidth="1"/>
    <col min="9" max="9" width="7.28515625" style="167" customWidth="1"/>
    <col min="10" max="10" width="12.7109375" style="167" customWidth="1"/>
    <col min="11" max="11" width="13.7109375" style="167" customWidth="1"/>
    <col min="12" max="12" width="12.7109375" style="167" customWidth="1"/>
    <col min="13" max="13" width="8.85546875" style="167"/>
    <col min="14" max="14" width="37.85546875" style="167" customWidth="1"/>
    <col min="15" max="16" width="8.85546875" style="167"/>
    <col min="17" max="18" width="11.42578125" style="167" customWidth="1"/>
    <col min="19" max="19" width="9" style="167" customWidth="1"/>
    <col min="20" max="16384" width="8.85546875" style="167"/>
  </cols>
  <sheetData>
    <row r="1" spans="2:18" s="465" customFormat="1" ht="21">
      <c r="B1" s="465" t="s">
        <v>461</v>
      </c>
      <c r="Q1" s="467">
        <f ca="1">'Log2015'!M1</f>
        <v>-8.0112614142160741</v>
      </c>
      <c r="R1" s="468">
        <f ca="1">'Log2015'!N1</f>
        <v>-160807.124977848</v>
      </c>
    </row>
    <row r="2" spans="2:18" ht="12.75" customHeight="1">
      <c r="Q2" s="623">
        <f ca="1">Q1</f>
        <v>-8.0112614142160741</v>
      </c>
      <c r="R2" s="623">
        <f ca="1">R1</f>
        <v>-160807.124977848</v>
      </c>
    </row>
    <row r="3" spans="2:18" ht="12.75" customHeight="1"/>
    <row r="4" spans="2:18" s="215" customFormat="1" ht="12.75" customHeight="1">
      <c r="B4" s="454" t="s">
        <v>81</v>
      </c>
      <c r="H4" s="530"/>
    </row>
    <row r="5" spans="2:18" ht="12.75" customHeight="1" thickBot="1"/>
    <row r="6" spans="2:18" ht="12.75" customHeight="1">
      <c r="B6" s="219" t="s">
        <v>137</v>
      </c>
      <c r="C6" s="245"/>
      <c r="D6" s="245"/>
      <c r="E6" s="245"/>
      <c r="F6" s="245"/>
      <c r="G6" s="245"/>
      <c r="H6" s="962"/>
      <c r="I6" s="245"/>
      <c r="J6" s="245"/>
      <c r="K6" s="245"/>
      <c r="L6" s="245"/>
      <c r="M6" s="246"/>
    </row>
    <row r="7" spans="2:18" ht="12.75" customHeight="1">
      <c r="B7" s="230" t="s">
        <v>731</v>
      </c>
      <c r="C7" s="248"/>
      <c r="D7" s="248"/>
      <c r="E7" s="248"/>
      <c r="F7" s="248"/>
      <c r="G7" s="248"/>
      <c r="H7" s="555"/>
      <c r="I7" s="248"/>
      <c r="J7" s="248"/>
      <c r="K7" s="248"/>
      <c r="L7" s="248"/>
      <c r="M7" s="249"/>
    </row>
    <row r="8" spans="2:18" ht="12.75" customHeight="1">
      <c r="B8" s="230"/>
      <c r="C8" s="248"/>
      <c r="D8" s="248"/>
      <c r="E8" s="248"/>
      <c r="F8" s="248"/>
      <c r="G8" s="248"/>
      <c r="H8" s="555"/>
      <c r="I8" s="248"/>
      <c r="J8" s="248"/>
      <c r="K8" s="248"/>
      <c r="L8" s="248"/>
      <c r="M8" s="249"/>
    </row>
    <row r="9" spans="2:18" ht="12.75" customHeight="1">
      <c r="B9" s="230"/>
      <c r="C9" s="248"/>
      <c r="D9" s="248"/>
      <c r="E9" s="248"/>
      <c r="F9" s="248"/>
      <c r="G9" s="248"/>
      <c r="H9" s="555"/>
      <c r="I9" s="248"/>
      <c r="J9" s="248"/>
      <c r="K9" s="248"/>
      <c r="L9" s="248"/>
      <c r="M9" s="249"/>
    </row>
    <row r="10" spans="2:18" ht="12.75" customHeight="1">
      <c r="B10" s="230"/>
      <c r="C10" s="248"/>
      <c r="D10" s="248"/>
      <c r="E10" s="248"/>
      <c r="F10" s="248"/>
      <c r="G10" s="248"/>
      <c r="H10" s="555"/>
      <c r="I10" s="248"/>
      <c r="J10" s="248"/>
      <c r="K10" s="248"/>
      <c r="L10" s="248"/>
      <c r="M10" s="249"/>
    </row>
    <row r="11" spans="2:18" ht="12.75" customHeight="1">
      <c r="B11" s="230" t="s">
        <v>138</v>
      </c>
      <c r="C11" s="217" t="s">
        <v>447</v>
      </c>
      <c r="D11" s="248"/>
      <c r="E11" s="248"/>
      <c r="F11" s="248"/>
      <c r="G11" s="248"/>
      <c r="H11" s="555"/>
      <c r="I11" s="248"/>
      <c r="J11" s="248"/>
      <c r="K11" s="248"/>
      <c r="L11" s="248"/>
      <c r="M11" s="249"/>
    </row>
    <row r="12" spans="2:18" ht="12.75" customHeight="1">
      <c r="B12" s="230"/>
      <c r="C12" s="248"/>
      <c r="D12" s="248"/>
      <c r="E12" s="248"/>
      <c r="F12" s="248"/>
      <c r="G12" s="248"/>
      <c r="H12" s="555"/>
      <c r="I12" s="248"/>
      <c r="J12" s="248"/>
      <c r="K12" s="248"/>
      <c r="L12" s="248"/>
      <c r="M12" s="249"/>
    </row>
    <row r="13" spans="2:18" ht="12.75" customHeight="1">
      <c r="B13" s="230" t="s">
        <v>140</v>
      </c>
      <c r="C13" s="248"/>
      <c r="D13" s="248"/>
      <c r="E13" s="248"/>
      <c r="F13" s="248"/>
      <c r="G13" s="248"/>
      <c r="H13" s="555"/>
      <c r="I13" s="248"/>
      <c r="J13" s="248"/>
      <c r="K13" s="248"/>
      <c r="L13" s="248"/>
      <c r="M13" s="249"/>
    </row>
    <row r="14" spans="2:18" ht="12.75" customHeight="1">
      <c r="B14" s="230"/>
      <c r="C14" s="248"/>
      <c r="D14" s="248"/>
      <c r="E14" s="248"/>
      <c r="F14" s="248"/>
      <c r="G14" s="248"/>
      <c r="H14" s="555"/>
      <c r="I14" s="248"/>
      <c r="J14" s="248"/>
      <c r="K14" s="248"/>
      <c r="L14" s="248"/>
      <c r="M14" s="249"/>
    </row>
    <row r="15" spans="2:18" ht="12.75" customHeight="1">
      <c r="B15" s="230" t="s">
        <v>141</v>
      </c>
      <c r="C15" s="248"/>
      <c r="D15" s="248"/>
      <c r="E15" s="248"/>
      <c r="F15" s="248"/>
      <c r="G15" s="248"/>
      <c r="H15" s="555"/>
      <c r="I15" s="248"/>
      <c r="J15" s="248"/>
      <c r="K15" s="248"/>
      <c r="L15" s="248"/>
      <c r="M15" s="249"/>
    </row>
    <row r="16" spans="2:18" ht="12.75" customHeight="1">
      <c r="B16" s="230"/>
      <c r="C16" s="248"/>
      <c r="D16" s="248"/>
      <c r="E16" s="248"/>
      <c r="F16" s="248"/>
      <c r="G16" s="248"/>
      <c r="H16" s="555"/>
      <c r="I16" s="248"/>
      <c r="J16" s="248"/>
      <c r="K16" s="248"/>
      <c r="L16" s="248"/>
      <c r="M16" s="249"/>
    </row>
    <row r="17" spans="2:13" ht="12.75" customHeight="1">
      <c r="B17" s="230" t="s">
        <v>142</v>
      </c>
      <c r="C17" s="248"/>
      <c r="D17" s="248"/>
      <c r="E17" s="248"/>
      <c r="F17" s="248"/>
      <c r="G17" s="248"/>
      <c r="H17" s="555"/>
      <c r="I17" s="248"/>
      <c r="J17" s="248"/>
      <c r="K17" s="248"/>
      <c r="L17" s="248"/>
      <c r="M17" s="249"/>
    </row>
    <row r="18" spans="2:13" ht="12.75" customHeight="1">
      <c r="B18" s="230"/>
      <c r="C18" s="248"/>
      <c r="D18" s="248"/>
      <c r="E18" s="248"/>
      <c r="F18" s="248"/>
      <c r="G18" s="248"/>
      <c r="H18" s="555"/>
      <c r="I18" s="248"/>
      <c r="J18" s="248"/>
      <c r="K18" s="248"/>
      <c r="L18" s="248"/>
      <c r="M18" s="249"/>
    </row>
    <row r="19" spans="2:13" ht="12.75" customHeight="1">
      <c r="B19" s="230"/>
      <c r="C19" s="248"/>
      <c r="D19" s="248"/>
      <c r="E19" s="248"/>
      <c r="F19" s="248"/>
      <c r="G19" s="248"/>
      <c r="H19" s="555"/>
      <c r="I19" s="248"/>
      <c r="J19" s="248"/>
      <c r="K19" s="248"/>
      <c r="L19" s="248"/>
      <c r="M19" s="249"/>
    </row>
    <row r="20" spans="2:13" ht="12.75" customHeight="1">
      <c r="B20" s="230"/>
      <c r="C20" s="248"/>
      <c r="D20" s="248"/>
      <c r="E20" s="248"/>
      <c r="F20" s="248"/>
      <c r="G20" s="248"/>
      <c r="H20" s="555"/>
      <c r="I20" s="248"/>
      <c r="J20" s="248"/>
      <c r="K20" s="248"/>
      <c r="L20" s="248"/>
      <c r="M20" s="249"/>
    </row>
    <row r="21" spans="2:13" ht="12.75" customHeight="1">
      <c r="B21" s="230"/>
      <c r="C21" s="248"/>
      <c r="D21" s="248"/>
      <c r="E21" s="248"/>
      <c r="F21" s="248"/>
      <c r="G21" s="248"/>
      <c r="H21" s="555"/>
      <c r="I21" s="248"/>
      <c r="J21" s="248"/>
      <c r="K21" s="248"/>
      <c r="L21" s="248"/>
      <c r="M21" s="249"/>
    </row>
    <row r="22" spans="2:13" ht="12.75" customHeight="1">
      <c r="B22" s="230" t="s">
        <v>143</v>
      </c>
      <c r="C22" s="248"/>
      <c r="D22" s="248"/>
      <c r="E22" s="248"/>
      <c r="F22" s="248"/>
      <c r="G22" s="248"/>
      <c r="H22" s="555"/>
      <c r="I22" s="248"/>
      <c r="J22" s="248"/>
      <c r="K22" s="248"/>
      <c r="L22" s="248"/>
      <c r="M22" s="249"/>
    </row>
    <row r="23" spans="2:13" ht="12.75" customHeight="1">
      <c r="B23" s="230"/>
      <c r="C23" s="248"/>
      <c r="D23" s="248"/>
      <c r="E23" s="248"/>
      <c r="F23" s="248"/>
      <c r="G23" s="248"/>
      <c r="H23" s="555"/>
      <c r="I23" s="248"/>
      <c r="J23" s="248"/>
      <c r="K23" s="248"/>
      <c r="L23" s="248"/>
      <c r="M23" s="249"/>
    </row>
    <row r="24" spans="2:13" ht="12.75" customHeight="1" thickBot="1">
      <c r="B24" s="242"/>
      <c r="C24" s="250"/>
      <c r="D24" s="250"/>
      <c r="E24" s="250"/>
      <c r="F24" s="250"/>
      <c r="G24" s="250"/>
      <c r="H24" s="968"/>
      <c r="I24" s="250"/>
      <c r="J24" s="250"/>
      <c r="K24" s="250"/>
      <c r="L24" s="250"/>
      <c r="M24" s="251"/>
    </row>
    <row r="25" spans="2:13" ht="12.75" customHeight="1">
      <c r="F25" s="86"/>
      <c r="H25" s="529"/>
    </row>
    <row r="26" spans="2:13" s="215" customFormat="1" ht="12.75" customHeight="1">
      <c r="B26" s="454" t="s">
        <v>144</v>
      </c>
      <c r="H26" s="530"/>
    </row>
    <row r="27" spans="2:13" s="215" customFormat="1" ht="12.75" customHeight="1" thickBot="1">
      <c r="B27" s="167"/>
      <c r="H27" s="530"/>
    </row>
    <row r="28" spans="2:13" ht="12.75" customHeight="1">
      <c r="B28" s="219"/>
      <c r="C28" s="220"/>
      <c r="D28" s="221"/>
      <c r="E28" s="221"/>
      <c r="F28" s="221"/>
      <c r="G28" s="221"/>
      <c r="H28" s="962"/>
      <c r="I28" s="221"/>
      <c r="J28" s="222"/>
    </row>
    <row r="29" spans="2:13" ht="12.75" customHeight="1">
      <c r="B29" s="223"/>
      <c r="C29" s="224" t="s">
        <v>70</v>
      </c>
      <c r="D29" s="225">
        <v>2015</v>
      </c>
      <c r="E29" s="225">
        <v>2020</v>
      </c>
      <c r="F29" s="225">
        <v>2035</v>
      </c>
      <c r="G29" s="225">
        <v>2050</v>
      </c>
      <c r="H29" s="973" t="s">
        <v>978</v>
      </c>
      <c r="I29" s="226" t="s">
        <v>145</v>
      </c>
      <c r="J29" s="227" t="s">
        <v>146</v>
      </c>
    </row>
    <row r="30" spans="2:13" ht="12.75" customHeight="1">
      <c r="B30" s="216" t="s">
        <v>147</v>
      </c>
      <c r="C30" s="210"/>
      <c r="D30" s="209"/>
      <c r="E30" s="209"/>
      <c r="F30" s="209"/>
      <c r="G30" s="209"/>
      <c r="H30" s="977"/>
      <c r="I30" s="228"/>
      <c r="J30" s="229"/>
    </row>
    <row r="31" spans="2:13" ht="12.75" customHeight="1">
      <c r="B31" s="247" t="s">
        <v>148</v>
      </c>
      <c r="C31" s="210" t="s">
        <v>728</v>
      </c>
      <c r="D31" s="1133">
        <f>Feedstocks!E155</f>
        <v>0.94474816369359926</v>
      </c>
      <c r="E31" s="1133">
        <f>Feedstocks!F155</f>
        <v>0.98474816369359919</v>
      </c>
      <c r="F31" s="1133">
        <f>Feedstocks!G155</f>
        <v>0.98474816369359919</v>
      </c>
      <c r="G31" s="1133">
        <f>Feedstocks!H155</f>
        <v>0.98474816369359919</v>
      </c>
      <c r="H31" s="1333"/>
      <c r="I31" s="228"/>
      <c r="J31" s="249"/>
    </row>
    <row r="32" spans="2:13" ht="12.75" customHeight="1">
      <c r="B32" s="247" t="s">
        <v>67</v>
      </c>
      <c r="C32" s="210" t="s">
        <v>729</v>
      </c>
      <c r="D32" s="1133">
        <f>Feedstocks!D17</f>
        <v>1</v>
      </c>
      <c r="E32" s="1133">
        <v>1</v>
      </c>
      <c r="F32" s="1133">
        <v>1</v>
      </c>
      <c r="G32" s="1133">
        <v>1</v>
      </c>
      <c r="H32" s="978"/>
      <c r="I32" s="228"/>
      <c r="J32" s="229"/>
    </row>
    <row r="33" spans="2:10" ht="12.75" customHeight="1">
      <c r="B33" s="230" t="s">
        <v>149</v>
      </c>
      <c r="C33" s="210" t="s">
        <v>730</v>
      </c>
      <c r="D33" s="252">
        <v>1</v>
      </c>
      <c r="E33" s="252">
        <v>1</v>
      </c>
      <c r="F33" s="252">
        <v>1</v>
      </c>
      <c r="G33" s="252">
        <v>1</v>
      </c>
      <c r="H33" s="1397"/>
      <c r="I33" s="1335" t="s">
        <v>1747</v>
      </c>
      <c r="J33" s="229"/>
    </row>
    <row r="34" spans="2:10" ht="12.75" customHeight="1">
      <c r="B34" s="247" t="s">
        <v>150</v>
      </c>
      <c r="C34" s="210" t="s">
        <v>34</v>
      </c>
      <c r="D34" s="212">
        <v>1</v>
      </c>
      <c r="E34" s="212">
        <v>1</v>
      </c>
      <c r="F34" s="212">
        <v>1</v>
      </c>
      <c r="G34" s="212">
        <v>1</v>
      </c>
      <c r="H34" s="1332"/>
      <c r="I34" s="1335" t="s">
        <v>1747</v>
      </c>
      <c r="J34" s="229"/>
    </row>
    <row r="35" spans="2:10" ht="12.75" customHeight="1">
      <c r="B35" s="230"/>
      <c r="C35" s="231"/>
      <c r="D35" s="253"/>
      <c r="E35" s="213"/>
      <c r="F35" s="213"/>
      <c r="G35" s="213"/>
      <c r="H35" s="983"/>
      <c r="I35" s="228"/>
      <c r="J35" s="229"/>
    </row>
    <row r="36" spans="2:10" ht="12.75" customHeight="1">
      <c r="B36" s="216" t="s">
        <v>151</v>
      </c>
      <c r="C36" s="231"/>
      <c r="D36" s="253"/>
      <c r="E36" s="213"/>
      <c r="F36" s="213"/>
      <c r="G36" s="213"/>
      <c r="H36" s="983"/>
      <c r="I36" s="228"/>
      <c r="J36" s="229"/>
    </row>
    <row r="37" spans="2:10" ht="12.75" customHeight="1">
      <c r="B37" s="247" t="str">
        <f>ProcessEnergy!B35</f>
        <v xml:space="preserve">Green diesel </v>
      </c>
      <c r="C37" s="210" t="s">
        <v>463</v>
      </c>
      <c r="D37" s="105"/>
      <c r="E37" s="105"/>
      <c r="F37" s="105"/>
      <c r="G37" s="105"/>
      <c r="H37" s="984"/>
      <c r="I37" s="228"/>
      <c r="J37" s="229"/>
    </row>
    <row r="38" spans="2:10" ht="12.75" customHeight="1">
      <c r="B38" s="232" t="str">
        <f>ProcessEnergy!B36</f>
        <v>Green gasoline</v>
      </c>
      <c r="C38" s="210"/>
      <c r="D38" s="105"/>
      <c r="E38" s="105"/>
      <c r="F38" s="105"/>
      <c r="G38" s="105"/>
      <c r="H38" s="984"/>
      <c r="I38" s="228"/>
      <c r="J38" s="229"/>
    </row>
    <row r="39" spans="2:10" ht="12.75" customHeight="1">
      <c r="B39" s="232" t="str">
        <f>ProcessEnergy!B37</f>
        <v>Electricity - balancing</v>
      </c>
      <c r="C39" s="210"/>
      <c r="D39" s="105"/>
      <c r="E39" s="105"/>
      <c r="F39" s="105"/>
      <c r="G39" s="105"/>
      <c r="H39" s="984"/>
      <c r="I39" s="228"/>
      <c r="J39" s="229"/>
    </row>
    <row r="40" spans="2:10" ht="12.75" customHeight="1">
      <c r="B40" s="232" t="str">
        <f>ProcessEnergy!B38</f>
        <v>Electricity  - continous</v>
      </c>
      <c r="C40" s="210"/>
      <c r="D40" s="105"/>
      <c r="E40" s="105"/>
      <c r="F40" s="105"/>
      <c r="G40" s="105"/>
      <c r="H40" s="984"/>
      <c r="I40" s="228"/>
      <c r="J40" s="229"/>
    </row>
    <row r="41" spans="2:10" ht="12.75" customHeight="1">
      <c r="B41" s="232" t="str">
        <f>ProcessEnergy!B39</f>
        <v>Elec/heat fuel</v>
      </c>
      <c r="C41" s="210"/>
      <c r="D41" s="105"/>
      <c r="E41" s="105"/>
      <c r="F41" s="105"/>
      <c r="G41" s="105"/>
      <c r="H41" s="984"/>
      <c r="I41" s="228"/>
      <c r="J41" s="229"/>
    </row>
    <row r="42" spans="2:10" ht="12.75" customHeight="1">
      <c r="B42" s="232" t="str">
        <f>ProcessEnergy!B40</f>
        <v>Biogas (100% CH4)</v>
      </c>
      <c r="C42" s="210"/>
      <c r="D42" s="105"/>
      <c r="E42" s="105"/>
      <c r="F42" s="105"/>
      <c r="G42" s="105"/>
      <c r="H42" s="984"/>
      <c r="I42" s="228"/>
      <c r="J42" s="229"/>
    </row>
    <row r="43" spans="2:10" ht="12.75" customHeight="1">
      <c r="B43" s="232" t="str">
        <f>ProcessEnergy!B41</f>
        <v>District heating</v>
      </c>
      <c r="C43" s="210"/>
      <c r="D43" s="105"/>
      <c r="E43" s="105"/>
      <c r="F43" s="105"/>
      <c r="G43" s="105"/>
      <c r="H43" s="978"/>
      <c r="I43" s="228"/>
      <c r="J43" s="229"/>
    </row>
    <row r="44" spans="2:10" s="1240" customFormat="1" ht="12.75" customHeight="1">
      <c r="B44" s="232" t="str">
        <f>ProcessEnergy!B42</f>
        <v>&lt;empty&gt;</v>
      </c>
      <c r="C44" s="1469"/>
      <c r="D44" s="105"/>
      <c r="E44" s="105"/>
      <c r="F44" s="105"/>
      <c r="G44" s="105"/>
      <c r="H44" s="978"/>
      <c r="I44" s="1471"/>
      <c r="J44" s="1488"/>
    </row>
    <row r="45" spans="2:10" s="1240" customFormat="1" ht="12.75" customHeight="1">
      <c r="B45" s="232" t="str">
        <f>ProcessEnergy!B43</f>
        <v>&lt;empty&gt;</v>
      </c>
      <c r="C45" s="1469"/>
      <c r="D45" s="105"/>
      <c r="E45" s="105"/>
      <c r="F45" s="105"/>
      <c r="G45" s="105"/>
      <c r="H45" s="978"/>
      <c r="I45" s="1471"/>
      <c r="J45" s="1488"/>
    </row>
    <row r="46" spans="2:10" s="1240" customFormat="1" ht="12.75" customHeight="1">
      <c r="B46" s="232" t="str">
        <f>ProcessEnergy!B44</f>
        <v>&lt;empty&gt;</v>
      </c>
      <c r="C46" s="1469"/>
      <c r="D46" s="105"/>
      <c r="E46" s="105"/>
      <c r="F46" s="105"/>
      <c r="G46" s="105"/>
      <c r="H46" s="978"/>
      <c r="I46" s="1471"/>
      <c r="J46" s="1488"/>
    </row>
    <row r="47" spans="2:10" s="1240" customFormat="1" ht="12.75" customHeight="1">
      <c r="B47" s="232" t="str">
        <f>ProcessEnergy!B45</f>
        <v>&lt;empty&gt;</v>
      </c>
      <c r="C47" s="1469"/>
      <c r="D47" s="105"/>
      <c r="E47" s="105"/>
      <c r="F47" s="105"/>
      <c r="G47" s="105"/>
      <c r="H47" s="978"/>
      <c r="I47" s="1471"/>
      <c r="J47" s="1488"/>
    </row>
    <row r="48" spans="2:10" s="1240" customFormat="1" ht="12.75" customHeight="1">
      <c r="B48" s="232" t="str">
        <f>ProcessEnergy!B46</f>
        <v>&lt;empty&gt;</v>
      </c>
      <c r="C48" s="1469"/>
      <c r="D48" s="105"/>
      <c r="E48" s="105"/>
      <c r="F48" s="105"/>
      <c r="G48" s="105"/>
      <c r="H48" s="978"/>
      <c r="I48" s="1471"/>
      <c r="J48" s="1488"/>
    </row>
    <row r="49" spans="2:10" s="1240" customFormat="1" ht="12.75" customHeight="1">
      <c r="B49" s="232" t="str">
        <f>ProcessEnergy!B47</f>
        <v>&lt;empty&gt;</v>
      </c>
      <c r="C49" s="1469"/>
      <c r="D49" s="105"/>
      <c r="E49" s="105"/>
      <c r="F49" s="105"/>
      <c r="G49" s="105"/>
      <c r="H49" s="978"/>
      <c r="I49" s="1471"/>
      <c r="J49" s="1488"/>
    </row>
    <row r="50" spans="2:10" s="1240" customFormat="1" ht="12.75" customHeight="1">
      <c r="B50" s="232" t="str">
        <f>ProcessEnergy!B48</f>
        <v>Glycerol</v>
      </c>
      <c r="C50" s="1469"/>
      <c r="D50" s="105"/>
      <c r="E50" s="105"/>
      <c r="F50" s="105"/>
      <c r="G50" s="105"/>
      <c r="H50" s="978"/>
      <c r="I50" s="1471"/>
      <c r="J50" s="1488"/>
    </row>
    <row r="51" spans="2:10" s="1240" customFormat="1" ht="12.75" customHeight="1">
      <c r="B51" s="232" t="str">
        <f>ProcessEnergy!B49</f>
        <v>&lt;empty&gt;</v>
      </c>
      <c r="C51" s="1469"/>
      <c r="D51" s="105"/>
      <c r="E51" s="105"/>
      <c r="F51" s="105"/>
      <c r="G51" s="105"/>
      <c r="H51" s="978"/>
      <c r="I51" s="1471"/>
      <c r="J51" s="1488"/>
    </row>
    <row r="52" spans="2:10" s="1240" customFormat="1" ht="12.75" customHeight="1">
      <c r="B52" s="232" t="str">
        <f>ProcessEnergy!B50</f>
        <v>&lt;empty&gt;</v>
      </c>
      <c r="C52" s="1469"/>
      <c r="D52" s="105"/>
      <c r="E52" s="105"/>
      <c r="F52" s="105"/>
      <c r="G52" s="105"/>
      <c r="H52" s="978"/>
      <c r="I52" s="1471"/>
      <c r="J52" s="1488"/>
    </row>
    <row r="53" spans="2:10" ht="12.75" customHeight="1">
      <c r="B53" s="232" t="str">
        <f>ProcessEnergy!B51</f>
        <v>Fodder (wheat like)</v>
      </c>
      <c r="C53" s="210"/>
      <c r="D53" s="105"/>
      <c r="E53" s="105"/>
      <c r="F53" s="105"/>
      <c r="G53" s="105"/>
      <c r="H53" s="984"/>
      <c r="I53" s="228"/>
      <c r="J53" s="229"/>
    </row>
    <row r="54" spans="2:10" ht="12.75" customHeight="1">
      <c r="B54" s="232" t="str">
        <f>ProcessEnergy!B52</f>
        <v>Rape seed cake</v>
      </c>
      <c r="C54" s="210"/>
      <c r="D54" s="105"/>
      <c r="E54" s="105"/>
      <c r="F54" s="105"/>
      <c r="G54" s="105"/>
      <c r="H54" s="984"/>
      <c r="I54" s="228"/>
      <c r="J54" s="229"/>
    </row>
    <row r="55" spans="2:10" ht="12.75" customHeight="1">
      <c r="B55" s="232" t="str">
        <f>ProcessEnergy!B53</f>
        <v>&lt;empty&gt;</v>
      </c>
      <c r="C55" s="210"/>
      <c r="D55" s="105"/>
      <c r="E55" s="105"/>
      <c r="F55" s="105"/>
      <c r="G55" s="105"/>
      <c r="H55" s="984"/>
      <c r="I55" s="228"/>
      <c r="J55" s="229"/>
    </row>
    <row r="56" spans="2:10" ht="12.75" customHeight="1">
      <c r="B56" s="232" t="str">
        <f>ProcessEnergy!B54</f>
        <v>DDGS</v>
      </c>
      <c r="C56" s="210"/>
      <c r="D56" s="105"/>
      <c r="E56" s="105"/>
      <c r="F56" s="105"/>
      <c r="G56" s="105"/>
      <c r="H56" s="984"/>
      <c r="I56" s="228"/>
      <c r="J56" s="229"/>
    </row>
    <row r="57" spans="2:10" ht="12.75" customHeight="1">
      <c r="B57" s="247"/>
      <c r="C57" s="210"/>
      <c r="D57" s="105"/>
      <c r="E57" s="105"/>
      <c r="F57" s="105"/>
      <c r="G57" s="105"/>
      <c r="H57" s="984"/>
      <c r="I57" s="228"/>
      <c r="J57" s="229"/>
    </row>
    <row r="58" spans="2:10" ht="12.75" customHeight="1">
      <c r="B58" s="216" t="s">
        <v>873</v>
      </c>
      <c r="C58" s="210"/>
      <c r="D58" s="105"/>
      <c r="E58" s="105"/>
      <c r="F58" s="105"/>
      <c r="G58" s="105"/>
      <c r="H58" s="984"/>
      <c r="I58" s="228"/>
      <c r="J58" s="229"/>
    </row>
    <row r="59" spans="2:10" ht="12.75" customHeight="1">
      <c r="B59" s="230" t="str">
        <f>ProcessEnergy!B5</f>
        <v>EL - peakload</v>
      </c>
      <c r="C59" s="564" t="s">
        <v>725</v>
      </c>
      <c r="D59" s="105"/>
      <c r="E59" s="105"/>
      <c r="F59" s="105"/>
      <c r="G59" s="105"/>
      <c r="H59" s="984"/>
      <c r="I59" s="228"/>
      <c r="J59" s="229"/>
    </row>
    <row r="60" spans="2:10" ht="12.75" customHeight="1">
      <c r="B60" s="230" t="str">
        <f>ProcessEnergy!B6</f>
        <v>El - baseload</v>
      </c>
      <c r="C60" s="564" t="s">
        <v>725</v>
      </c>
      <c r="D60" s="105"/>
      <c r="E60" s="105"/>
      <c r="F60" s="105"/>
      <c r="G60" s="105"/>
      <c r="H60" s="984"/>
      <c r="I60" s="228"/>
      <c r="J60" s="229"/>
    </row>
    <row r="61" spans="2:10" ht="12.75" customHeight="1">
      <c r="B61" s="230" t="str">
        <f>ProcessEnergy!B7</f>
        <v xml:space="preserve">Varme </v>
      </c>
      <c r="C61" s="564" t="s">
        <v>725</v>
      </c>
      <c r="D61" s="105"/>
      <c r="E61" s="105"/>
      <c r="F61" s="105"/>
      <c r="G61" s="105"/>
      <c r="H61" s="984"/>
      <c r="I61" s="228"/>
      <c r="J61" s="229"/>
    </row>
    <row r="62" spans="2:10" ht="12.75" customHeight="1">
      <c r="B62" s="230" t="str">
        <f>ProcessEnergy!B8</f>
        <v>Damp</v>
      </c>
      <c r="C62" s="564" t="s">
        <v>725</v>
      </c>
      <c r="D62" s="105"/>
      <c r="E62" s="105"/>
      <c r="F62" s="105"/>
      <c r="G62" s="105"/>
      <c r="H62" s="984"/>
      <c r="I62" s="228"/>
      <c r="J62" s="229"/>
    </row>
    <row r="63" spans="2:10" ht="12.75" customHeight="1">
      <c r="B63" s="230" t="str">
        <f>ProcessEnergy!B9</f>
        <v xml:space="preserve">Olie </v>
      </c>
      <c r="C63" s="564" t="s">
        <v>725</v>
      </c>
      <c r="D63" s="105"/>
      <c r="E63" s="105"/>
      <c r="F63" s="105"/>
      <c r="G63" s="105"/>
      <c r="H63" s="984"/>
      <c r="I63" s="228"/>
      <c r="J63" s="229"/>
    </row>
    <row r="64" spans="2:10" ht="12.75" customHeight="1">
      <c r="B64" s="230" t="str">
        <f>ProcessEnergy!B10</f>
        <v>Kul</v>
      </c>
      <c r="C64" s="564" t="s">
        <v>725</v>
      </c>
      <c r="D64" s="105"/>
      <c r="E64" s="105"/>
      <c r="F64" s="105"/>
      <c r="G64" s="105"/>
      <c r="H64" s="984"/>
      <c r="I64" s="228"/>
      <c r="J64" s="229"/>
    </row>
    <row r="65" spans="2:10" ht="12.75" customHeight="1">
      <c r="B65" s="230" t="str">
        <f>ProcessEnergy!B11</f>
        <v>Naturgas kedel</v>
      </c>
      <c r="C65" s="564" t="s">
        <v>725</v>
      </c>
      <c r="D65" s="105"/>
      <c r="E65" s="105"/>
      <c r="F65" s="105"/>
      <c r="G65" s="105"/>
      <c r="H65" s="984"/>
      <c r="I65" s="228"/>
      <c r="J65" s="229"/>
    </row>
    <row r="66" spans="2:10" ht="12.75" customHeight="1">
      <c r="B66" s="230" t="str">
        <f>ProcessEnergy!B12</f>
        <v>Gylle</v>
      </c>
      <c r="C66" s="564" t="s">
        <v>725</v>
      </c>
      <c r="D66" s="105"/>
      <c r="E66" s="105"/>
      <c r="F66" s="105"/>
      <c r="G66" s="105"/>
      <c r="H66" s="984"/>
      <c r="I66" s="228"/>
      <c r="J66" s="229"/>
    </row>
    <row r="67" spans="2:10" ht="12.75" customHeight="1">
      <c r="B67" s="230" t="str">
        <f>ProcessEnergy!B13</f>
        <v>Affald</v>
      </c>
      <c r="C67" s="564" t="s">
        <v>725</v>
      </c>
      <c r="D67" s="105"/>
      <c r="E67" s="105"/>
      <c r="F67" s="105"/>
      <c r="G67" s="105"/>
      <c r="H67" s="984"/>
      <c r="I67" s="228"/>
      <c r="J67" s="229"/>
    </row>
    <row r="68" spans="2:10" ht="12.75" customHeight="1">
      <c r="B68" s="230" t="str">
        <f>ProcessEnergy!B14</f>
        <v>Hydrogen</v>
      </c>
      <c r="C68" s="564" t="s">
        <v>725</v>
      </c>
      <c r="D68" s="105"/>
      <c r="E68" s="105"/>
      <c r="F68" s="105"/>
      <c r="G68" s="105"/>
      <c r="H68" s="984"/>
      <c r="I68" s="228"/>
      <c r="J68" s="229"/>
    </row>
    <row r="69" spans="2:10" ht="12.75" customHeight="1">
      <c r="B69" s="230" t="str">
        <f>ProcessEnergy!B15</f>
        <v>Biomasse</v>
      </c>
      <c r="C69" s="564" t="s">
        <v>725</v>
      </c>
      <c r="D69" s="105"/>
      <c r="E69" s="105"/>
      <c r="F69" s="105"/>
      <c r="G69" s="105"/>
      <c r="H69" s="984"/>
      <c r="I69" s="228"/>
      <c r="J69" s="229"/>
    </row>
    <row r="70" spans="2:10" s="1240" customFormat="1" ht="12.75" customHeight="1">
      <c r="B70" s="1487" t="str">
        <f>ProcessEnergy!B16</f>
        <v>Methanol</v>
      </c>
      <c r="C70" s="1469"/>
      <c r="D70" s="105"/>
      <c r="E70" s="105"/>
      <c r="F70" s="105"/>
      <c r="G70" s="105"/>
      <c r="H70" s="984"/>
      <c r="I70" s="1471"/>
      <c r="J70" s="1488"/>
    </row>
    <row r="71" spans="2:10" s="1240" customFormat="1" ht="12.75" customHeight="1">
      <c r="B71" s="1487" t="str">
        <f>ProcessEnergy!B17</f>
        <v>&lt;empty&gt;</v>
      </c>
      <c r="C71" s="1469"/>
      <c r="D71" s="105"/>
      <c r="E71" s="105"/>
      <c r="F71" s="105"/>
      <c r="G71" s="105"/>
      <c r="H71" s="984"/>
      <c r="I71" s="1471"/>
      <c r="J71" s="1488"/>
    </row>
    <row r="72" spans="2:10" s="1240" customFormat="1" ht="12.75" customHeight="1">
      <c r="B72" s="1487" t="str">
        <f>ProcessEnergy!B18</f>
        <v>&lt;empty&gt;</v>
      </c>
      <c r="C72" s="1469"/>
      <c r="D72" s="105"/>
      <c r="E72" s="105"/>
      <c r="F72" s="105"/>
      <c r="G72" s="105"/>
      <c r="H72" s="984"/>
      <c r="I72" s="1471"/>
      <c r="J72" s="1488"/>
    </row>
    <row r="73" spans="2:10" s="1240" customFormat="1" ht="12.75" customHeight="1">
      <c r="B73" s="1487" t="str">
        <f>ProcessEnergy!B19</f>
        <v>&lt;empty&gt;</v>
      </c>
      <c r="C73" s="1469"/>
      <c r="D73" s="105"/>
      <c r="E73" s="105"/>
      <c r="F73" s="105"/>
      <c r="G73" s="105"/>
      <c r="H73" s="984"/>
      <c r="I73" s="1471"/>
      <c r="J73" s="1488"/>
    </row>
    <row r="74" spans="2:10" s="1240" customFormat="1" ht="12.75" customHeight="1">
      <c r="B74" s="1487" t="str">
        <f>ProcessEnergy!B20</f>
        <v>&lt;empty&gt;</v>
      </c>
      <c r="C74" s="1469"/>
      <c r="D74" s="105"/>
      <c r="E74" s="105"/>
      <c r="F74" s="105"/>
      <c r="G74" s="105"/>
      <c r="H74" s="984"/>
      <c r="I74" s="1471"/>
      <c r="J74" s="1488"/>
    </row>
    <row r="75" spans="2:10" s="1240" customFormat="1" ht="12.75" customHeight="1">
      <c r="B75" s="1487" t="str">
        <f>ProcessEnergy!B21</f>
        <v>&lt;empty&gt;</v>
      </c>
      <c r="C75" s="1469"/>
      <c r="D75" s="105"/>
      <c r="E75" s="105"/>
      <c r="F75" s="105"/>
      <c r="G75" s="105"/>
      <c r="H75" s="984"/>
      <c r="I75" s="1471"/>
      <c r="J75" s="1488"/>
    </row>
    <row r="76" spans="2:10" s="1240" customFormat="1" ht="12.75" customHeight="1">
      <c r="B76" s="1487" t="str">
        <f>ProcessEnergy!B22</f>
        <v>&lt;empty&gt;</v>
      </c>
      <c r="C76" s="1469"/>
      <c r="D76" s="105"/>
      <c r="E76" s="105"/>
      <c r="F76" s="105"/>
      <c r="G76" s="105"/>
      <c r="H76" s="984"/>
      <c r="I76" s="1471"/>
      <c r="J76" s="1488"/>
    </row>
    <row r="77" spans="2:10" s="1240" customFormat="1" ht="12.75" customHeight="1">
      <c r="B77" s="1487" t="str">
        <f>ProcessEnergy!B23</f>
        <v>&lt;empty&gt;</v>
      </c>
      <c r="C77" s="1469"/>
      <c r="D77" s="105"/>
      <c r="E77" s="105"/>
      <c r="F77" s="105"/>
      <c r="G77" s="105"/>
      <c r="H77" s="984"/>
      <c r="I77" s="1471"/>
      <c r="J77" s="1488"/>
    </row>
    <row r="78" spans="2:10" ht="12.75" customHeight="1">
      <c r="B78" s="230" t="str">
        <f>ProcessEnergy!B24</f>
        <v>&lt;empty&gt;</v>
      </c>
      <c r="C78" s="564" t="s">
        <v>725</v>
      </c>
      <c r="D78" s="105"/>
      <c r="E78" s="105"/>
      <c r="F78" s="105"/>
      <c r="G78" s="105"/>
      <c r="H78" s="984"/>
      <c r="I78" s="228"/>
      <c r="J78" s="229"/>
    </row>
    <row r="79" spans="2:10" ht="12.75" customHeight="1">
      <c r="B79" s="310"/>
      <c r="C79" s="210"/>
      <c r="D79" s="105"/>
      <c r="E79" s="105"/>
      <c r="F79" s="105"/>
      <c r="G79" s="105"/>
      <c r="H79" s="984"/>
      <c r="I79" s="228"/>
      <c r="J79" s="229"/>
    </row>
    <row r="80" spans="2:10" ht="12.75" customHeight="1">
      <c r="B80" s="310"/>
      <c r="C80" s="210"/>
      <c r="D80" s="105"/>
      <c r="E80" s="105"/>
      <c r="F80" s="105"/>
      <c r="G80" s="105"/>
      <c r="H80" s="984"/>
      <c r="I80" s="228"/>
      <c r="J80" s="229"/>
    </row>
    <row r="81" spans="1:17" ht="12.75" customHeight="1">
      <c r="B81" s="247"/>
      <c r="C81" s="210"/>
      <c r="D81" s="106"/>
      <c r="E81" s="106"/>
      <c r="F81" s="106"/>
      <c r="G81" s="106"/>
      <c r="H81" s="986"/>
      <c r="I81" s="228"/>
      <c r="J81" s="229"/>
    </row>
    <row r="82" spans="1:17" ht="12.75" customHeight="1">
      <c r="B82" s="216" t="s">
        <v>152</v>
      </c>
      <c r="C82" s="210"/>
      <c r="D82" s="106"/>
      <c r="E82" s="106"/>
      <c r="F82" s="106"/>
      <c r="G82" s="106"/>
      <c r="H82" s="986"/>
      <c r="I82" s="228"/>
      <c r="J82" s="229"/>
    </row>
    <row r="83" spans="1:17" ht="12.75" customHeight="1">
      <c r="A83" s="167">
        <v>4</v>
      </c>
      <c r="B83" s="247" t="s">
        <v>462</v>
      </c>
      <c r="C83" s="210" t="s">
        <v>52</v>
      </c>
      <c r="D83" s="1394">
        <f>D32</f>
        <v>1</v>
      </c>
      <c r="E83" s="1394">
        <f>E32</f>
        <v>1</v>
      </c>
      <c r="F83" s="1394">
        <f>F32</f>
        <v>1</v>
      </c>
      <c r="G83" s="1394">
        <f>G32</f>
        <v>1</v>
      </c>
      <c r="H83" s="978"/>
      <c r="I83" s="1335"/>
      <c r="J83" s="229"/>
    </row>
    <row r="84" spans="1:17" ht="12.75" customHeight="1">
      <c r="B84" s="247" t="s">
        <v>153</v>
      </c>
      <c r="C84" s="210" t="s">
        <v>52</v>
      </c>
      <c r="D84" s="105"/>
      <c r="E84" s="105"/>
      <c r="F84" s="105"/>
      <c r="G84" s="105"/>
      <c r="H84" s="1334"/>
      <c r="I84" s="228"/>
      <c r="J84" s="229"/>
    </row>
    <row r="85" spans="1:17" ht="12.75" customHeight="1">
      <c r="B85" s="247" t="s">
        <v>154</v>
      </c>
      <c r="C85" s="210" t="s">
        <v>52</v>
      </c>
      <c r="D85" s="105"/>
      <c r="E85" s="105"/>
      <c r="F85" s="105"/>
      <c r="G85" s="105"/>
      <c r="H85" s="978"/>
      <c r="I85" s="228"/>
      <c r="J85" s="229"/>
    </row>
    <row r="86" spans="1:17" ht="12.75" customHeight="1">
      <c r="B86" s="310" t="s">
        <v>2021</v>
      </c>
      <c r="C86" s="210" t="s">
        <v>52</v>
      </c>
      <c r="D86" s="237">
        <f>D32*D31</f>
        <v>0.94474816369359926</v>
      </c>
      <c r="E86" s="237">
        <f>E32*E31</f>
        <v>0.98474816369359919</v>
      </c>
      <c r="F86" s="237">
        <f>F32*F31</f>
        <v>0.98474816369359919</v>
      </c>
      <c r="G86" s="237">
        <f>G32*G31</f>
        <v>0.98474816369359919</v>
      </c>
      <c r="H86" s="978"/>
      <c r="I86" s="228"/>
      <c r="J86" s="229"/>
    </row>
    <row r="87" spans="1:17" ht="12.75" customHeight="1">
      <c r="B87" s="108" t="s">
        <v>155</v>
      </c>
      <c r="C87" s="210" t="s">
        <v>52</v>
      </c>
      <c r="D87" s="109">
        <f>D83+D84-D85-D86</f>
        <v>5.5251836306400737E-2</v>
      </c>
      <c r="E87" s="109">
        <f>E83+E84-E85-E86</f>
        <v>1.5251836306400812E-2</v>
      </c>
      <c r="F87" s="109">
        <f>F83+F84-F85-F86</f>
        <v>1.5251836306400812E-2</v>
      </c>
      <c r="G87" s="109">
        <f>G83+G84-G85-G86</f>
        <v>1.5251836306400812E-2</v>
      </c>
      <c r="H87" s="978"/>
      <c r="I87" s="228"/>
      <c r="J87" s="229"/>
    </row>
    <row r="88" spans="1:17" ht="12.75" customHeight="1">
      <c r="B88" s="108" t="s">
        <v>156</v>
      </c>
      <c r="C88" s="233"/>
      <c r="D88" s="462">
        <f>(D86+D85)/(D83+D84)</f>
        <v>0.94474816369359926</v>
      </c>
      <c r="E88" s="462">
        <f>(E86+E85)/(E83+E84)</f>
        <v>0.98474816369359919</v>
      </c>
      <c r="F88" s="462">
        <f>(F86+F85)/(F83+F84)</f>
        <v>0.98474816369359919</v>
      </c>
      <c r="G88" s="462">
        <f>(G86+G85)/(G83+G84)</f>
        <v>0.98474816369359919</v>
      </c>
      <c r="H88" s="990"/>
      <c r="I88" s="228"/>
      <c r="J88" s="229"/>
    </row>
    <row r="89" spans="1:17" ht="12.75" customHeight="1">
      <c r="B89" s="247"/>
      <c r="C89" s="210"/>
      <c r="D89" s="213"/>
      <c r="E89" s="213"/>
      <c r="F89" s="213"/>
      <c r="G89" s="213"/>
      <c r="H89" s="990"/>
      <c r="I89" s="228"/>
      <c r="J89" s="229"/>
      <c r="N89" s="234"/>
    </row>
    <row r="90" spans="1:17" ht="12.75" customHeight="1">
      <c r="B90" s="216" t="s">
        <v>33</v>
      </c>
      <c r="C90" s="210"/>
      <c r="D90" s="213"/>
      <c r="E90" s="213"/>
      <c r="F90" s="213"/>
      <c r="G90" s="213"/>
      <c r="H90" s="983"/>
      <c r="I90" s="228"/>
      <c r="J90" s="229"/>
      <c r="N90" s="110"/>
      <c r="O90" s="110"/>
      <c r="P90" s="110"/>
      <c r="Q90" s="110"/>
    </row>
    <row r="91" spans="1:17" s="530" customFormat="1">
      <c r="B91" s="964" t="s">
        <v>157</v>
      </c>
      <c r="C91" s="976" t="s">
        <v>61</v>
      </c>
      <c r="D91" s="992">
        <f>HLOOKUP($H100,Supplementary!$C$44:$AF$46,3,FALSE)*D100</f>
        <v>0</v>
      </c>
      <c r="E91" s="555">
        <f>HLOOKUP($H100,Supplementary!$C$44:$AF$46,3,FALSE)*E100</f>
        <v>0</v>
      </c>
      <c r="F91" s="555">
        <f>HLOOKUP($H100,Supplementary!$C$44:$AF$46,3,FALSE)*F100</f>
        <v>0</v>
      </c>
      <c r="G91" s="555">
        <f>HLOOKUP($H100,Supplementary!$C$44:$AF$46,3,FALSE)*G100</f>
        <v>0</v>
      </c>
      <c r="H91" s="555">
        <f t="shared" ref="H91:H97" si="0">priceYear</f>
        <v>2015</v>
      </c>
      <c r="I91" s="555"/>
      <c r="J91" s="965"/>
      <c r="N91" s="991"/>
      <c r="O91" s="991"/>
      <c r="P91" s="991"/>
      <c r="Q91" s="991"/>
    </row>
    <row r="92" spans="1:17" s="530" customFormat="1">
      <c r="B92" s="964" t="s">
        <v>160</v>
      </c>
      <c r="C92" s="976" t="s">
        <v>1094</v>
      </c>
      <c r="D92" s="992">
        <f ca="1">HLOOKUP($H101,Supplementary!$C$44:$AF$46,3,FALSE)*D101</f>
        <v>0</v>
      </c>
      <c r="E92" s="555">
        <f ca="1">HLOOKUP($H101,Supplementary!$C$44:$AF$46,3,FALSE)*E101</f>
        <v>0</v>
      </c>
      <c r="F92" s="555">
        <f ca="1">HLOOKUP($H101,Supplementary!$C$44:$AF$46,3,FALSE)*F101</f>
        <v>0</v>
      </c>
      <c r="G92" s="555">
        <f ca="1">HLOOKUP($H101,Supplementary!$C$44:$AF$46,3,FALSE)*G101</f>
        <v>0</v>
      </c>
      <c r="H92" s="555">
        <f t="shared" si="0"/>
        <v>2015</v>
      </c>
      <c r="I92" s="555"/>
      <c r="J92" s="965"/>
      <c r="N92" s="991"/>
      <c r="O92" s="991"/>
      <c r="P92" s="991"/>
      <c r="Q92" s="991"/>
    </row>
    <row r="93" spans="1:17" s="530" customFormat="1">
      <c r="B93" s="995" t="s">
        <v>162</v>
      </c>
      <c r="C93" s="976" t="s">
        <v>1094</v>
      </c>
      <c r="D93" s="992">
        <f ca="1">HLOOKUP($H102,Supplementary!$C$44:$AF$46,3,FALSE)*D102</f>
        <v>0</v>
      </c>
      <c r="E93" s="555">
        <f ca="1">HLOOKUP($H102,Supplementary!$C$44:$AF$46,3,FALSE)*E102</f>
        <v>0</v>
      </c>
      <c r="F93" s="555">
        <f ca="1">HLOOKUP($H102,Supplementary!$C$44:$AF$46,3,FALSE)*F102</f>
        <v>0</v>
      </c>
      <c r="G93" s="555">
        <f ca="1">HLOOKUP($H102,Supplementary!$C$44:$AF$46,3,FALSE)*G102</f>
        <v>0</v>
      </c>
      <c r="H93" s="555">
        <f t="shared" si="0"/>
        <v>2015</v>
      </c>
      <c r="I93" s="555"/>
      <c r="J93" s="965"/>
      <c r="N93" s="991"/>
      <c r="O93" s="991"/>
      <c r="P93" s="991"/>
      <c r="Q93" s="991"/>
    </row>
    <row r="94" spans="1:17" s="530" customFormat="1">
      <c r="B94" s="995" t="s">
        <v>163</v>
      </c>
      <c r="C94" s="976" t="s">
        <v>1094</v>
      </c>
      <c r="D94" s="992">
        <f>HLOOKUP($H103,Supplementary!$C$44:$AF$46,3,FALSE)*D103</f>
        <v>0</v>
      </c>
      <c r="E94" s="555">
        <f>HLOOKUP($H103,Supplementary!$C$44:$AF$46,3,FALSE)*E103</f>
        <v>0</v>
      </c>
      <c r="F94" s="555">
        <f>HLOOKUP($H103,Supplementary!$C$44:$AF$46,3,FALSE)*F103</f>
        <v>0</v>
      </c>
      <c r="G94" s="555">
        <f>HLOOKUP($H103,Supplementary!$C$44:$AF$46,3,FALSE)*G103</f>
        <v>0</v>
      </c>
      <c r="H94" s="555">
        <f t="shared" si="0"/>
        <v>2015</v>
      </c>
      <c r="I94" s="555"/>
      <c r="J94" s="965"/>
      <c r="N94" s="991"/>
      <c r="O94" s="991"/>
      <c r="P94" s="991"/>
      <c r="Q94" s="991"/>
    </row>
    <row r="95" spans="1:17" s="530" customFormat="1">
      <c r="B95" s="995" t="s">
        <v>164</v>
      </c>
      <c r="C95" s="976" t="s">
        <v>464</v>
      </c>
      <c r="D95" s="992">
        <f>HLOOKUP($H104,Supplementary!$C$44:$AF$46,3,FALSE)*D104</f>
        <v>0</v>
      </c>
      <c r="E95" s="555">
        <f>HLOOKUP($H104,Supplementary!$C$44:$AF$46,3,FALSE)*E104</f>
        <v>0</v>
      </c>
      <c r="F95" s="555">
        <f>HLOOKUP($H104,Supplementary!$C$44:$AF$46,3,FALSE)*F104</f>
        <v>0</v>
      </c>
      <c r="G95" s="555">
        <f>HLOOKUP($H104,Supplementary!$C$44:$AF$46,3,FALSE)*G104</f>
        <v>0</v>
      </c>
      <c r="H95" s="555">
        <f t="shared" si="0"/>
        <v>2015</v>
      </c>
      <c r="I95" s="555"/>
      <c r="J95" s="965"/>
      <c r="N95" s="991"/>
      <c r="O95" s="991"/>
      <c r="P95" s="991"/>
      <c r="Q95" s="991"/>
    </row>
    <row r="96" spans="1:17" s="530" customFormat="1">
      <c r="B96" s="995" t="s">
        <v>264</v>
      </c>
      <c r="C96" s="976" t="s">
        <v>464</v>
      </c>
      <c r="D96" s="992">
        <f>HLOOKUP($H105,Supplementary!$C$44:$AF$46,3,FALSE)*D105</f>
        <v>0</v>
      </c>
      <c r="E96" s="555">
        <f>HLOOKUP($H105,Supplementary!$C$44:$AF$46,3,FALSE)*E105</f>
        <v>0</v>
      </c>
      <c r="F96" s="555">
        <f>HLOOKUP($H105,Supplementary!$C$44:$AF$46,3,FALSE)*F105</f>
        <v>0</v>
      </c>
      <c r="G96" s="555">
        <f>HLOOKUP($H105,Supplementary!$C$44:$AF$46,3,FALSE)*G105</f>
        <v>0</v>
      </c>
      <c r="H96" s="555">
        <f t="shared" si="0"/>
        <v>2015</v>
      </c>
      <c r="I96" s="555"/>
      <c r="J96" s="965"/>
      <c r="N96" s="991"/>
      <c r="O96" s="991"/>
      <c r="P96" s="991"/>
      <c r="Q96" s="991"/>
    </row>
    <row r="97" spans="1:17" s="530" customFormat="1">
      <c r="B97" s="995" t="s">
        <v>165</v>
      </c>
      <c r="C97" s="976" t="s">
        <v>464</v>
      </c>
      <c r="D97" s="992">
        <f>HLOOKUP($H106,Supplementary!$C$44:$AF$46,3,FALSE)*D106</f>
        <v>0</v>
      </c>
      <c r="E97" s="555">
        <f>HLOOKUP($H106,Supplementary!$C$44:$AF$46,3,FALSE)*E106</f>
        <v>0</v>
      </c>
      <c r="F97" s="555">
        <f>HLOOKUP($H106,Supplementary!$C$44:$AF$46,3,FALSE)*F106</f>
        <v>0</v>
      </c>
      <c r="G97" s="555">
        <f>HLOOKUP($H106,Supplementary!$C$44:$AF$46,3,FALSE)*G106</f>
        <v>0</v>
      </c>
      <c r="H97" s="555">
        <f t="shared" si="0"/>
        <v>2015</v>
      </c>
      <c r="I97" s="555"/>
      <c r="J97" s="965"/>
      <c r="N97" s="991"/>
      <c r="O97" s="991"/>
      <c r="P97" s="991"/>
      <c r="Q97" s="991"/>
    </row>
    <row r="98" spans="1:17" s="530" customFormat="1">
      <c r="B98" s="975"/>
      <c r="C98" s="976"/>
      <c r="D98" s="992"/>
      <c r="E98" s="983"/>
      <c r="F98" s="983"/>
      <c r="G98" s="983"/>
      <c r="H98" s="983"/>
      <c r="I98" s="555"/>
      <c r="J98" s="965"/>
      <c r="N98" s="991"/>
      <c r="O98" s="991"/>
      <c r="P98" s="991"/>
      <c r="Q98" s="991"/>
    </row>
    <row r="99" spans="1:17" s="530" customFormat="1">
      <c r="B99" s="975"/>
      <c r="C99" s="976"/>
      <c r="D99" s="992"/>
      <c r="E99" s="983"/>
      <c r="F99" s="983"/>
      <c r="G99" s="983"/>
      <c r="H99" s="983"/>
      <c r="I99" s="555"/>
      <c r="J99" s="965"/>
      <c r="N99" s="991"/>
      <c r="O99" s="991"/>
      <c r="P99" s="991"/>
      <c r="Q99" s="991"/>
    </row>
    <row r="100" spans="1:17" ht="12.75" customHeight="1">
      <c r="B100" s="247" t="s">
        <v>157</v>
      </c>
      <c r="C100" s="210" t="s">
        <v>61</v>
      </c>
      <c r="D100" s="115"/>
      <c r="E100" s="115"/>
      <c r="F100" s="115"/>
      <c r="G100" s="115"/>
      <c r="H100" s="1668">
        <v>2011</v>
      </c>
      <c r="I100" s="228"/>
      <c r="J100" s="229"/>
      <c r="N100" s="110"/>
      <c r="O100" s="110"/>
      <c r="P100" s="110"/>
      <c r="Q100" s="110"/>
    </row>
    <row r="101" spans="1:17" ht="12.75" customHeight="1">
      <c r="B101" s="230" t="s">
        <v>160</v>
      </c>
      <c r="C101" s="210" t="s">
        <v>464</v>
      </c>
      <c r="D101" s="166">
        <f ca="1">+SUM(D102:D106)</f>
        <v>0</v>
      </c>
      <c r="E101" s="166">
        <f ca="1">+SUM(E102:E106)</f>
        <v>0</v>
      </c>
      <c r="F101" s="166">
        <f ca="1">+SUM(F102:F106)</f>
        <v>0</v>
      </c>
      <c r="G101" s="166">
        <f ca="1">+SUM(G102:G106)</f>
        <v>0</v>
      </c>
      <c r="H101" s="1668">
        <v>2011</v>
      </c>
      <c r="I101" s="235"/>
      <c r="J101" s="229"/>
      <c r="N101" s="110"/>
      <c r="O101" s="110"/>
      <c r="P101" s="110"/>
      <c r="Q101" s="110"/>
    </row>
    <row r="102" spans="1:17" ht="12.75" customHeight="1">
      <c r="B102" s="236" t="s">
        <v>162</v>
      </c>
      <c r="C102" s="210" t="s">
        <v>464</v>
      </c>
      <c r="D102" s="166">
        <f ca="1">PMT(rSØK,D34,-D100)/(D32*D33)</f>
        <v>0</v>
      </c>
      <c r="E102" s="166">
        <f ca="1">PMT(rSØK,E34,-E100)/(E32*E33)</f>
        <v>0</v>
      </c>
      <c r="F102" s="166">
        <f ca="1">PMT(rSØK,F34,-F100)/(F32*F33)</f>
        <v>0</v>
      </c>
      <c r="G102" s="166">
        <f ca="1">PMT(rSØK,G34,-G100)/(G32*G33)</f>
        <v>0</v>
      </c>
      <c r="H102" s="1668">
        <v>2011</v>
      </c>
      <c r="I102" s="235"/>
      <c r="J102" s="229"/>
      <c r="N102" s="110"/>
      <c r="O102" s="110"/>
      <c r="P102" s="110"/>
      <c r="Q102" s="110"/>
    </row>
    <row r="103" spans="1:17" ht="12.75" customHeight="1">
      <c r="B103" s="236" t="s">
        <v>163</v>
      </c>
      <c r="C103" s="210" t="s">
        <v>464</v>
      </c>
      <c r="D103" s="460"/>
      <c r="E103" s="460"/>
      <c r="F103" s="460"/>
      <c r="G103" s="460"/>
      <c r="H103" s="1668">
        <v>2011</v>
      </c>
      <c r="I103" s="228"/>
      <c r="J103" s="229"/>
      <c r="N103" s="110"/>
      <c r="O103" s="110"/>
      <c r="P103" s="110"/>
      <c r="Q103" s="110"/>
    </row>
    <row r="104" spans="1:17" ht="12.75" customHeight="1">
      <c r="A104" s="167">
        <v>6</v>
      </c>
      <c r="B104" s="236" t="s">
        <v>164</v>
      </c>
      <c r="C104" s="210" t="s">
        <v>464</v>
      </c>
      <c r="D104" s="460"/>
      <c r="E104" s="460"/>
      <c r="F104" s="460"/>
      <c r="G104" s="460"/>
      <c r="H104" s="1668">
        <v>2011</v>
      </c>
      <c r="I104" s="228"/>
      <c r="J104" s="229"/>
      <c r="N104" s="110"/>
      <c r="O104" s="110"/>
      <c r="P104" s="110"/>
      <c r="Q104" s="110"/>
    </row>
    <row r="105" spans="1:17" ht="12.75" customHeight="1">
      <c r="B105" s="236" t="s">
        <v>264</v>
      </c>
      <c r="C105" s="210" t="s">
        <v>464</v>
      </c>
      <c r="D105" s="460"/>
      <c r="E105" s="460"/>
      <c r="F105" s="460"/>
      <c r="G105" s="460"/>
      <c r="H105" s="1668">
        <v>2011</v>
      </c>
      <c r="I105" s="228"/>
      <c r="J105" s="229"/>
      <c r="N105" s="110"/>
      <c r="O105" s="110"/>
      <c r="P105" s="110"/>
      <c r="Q105" s="110"/>
    </row>
    <row r="106" spans="1:17" ht="12.75" customHeight="1">
      <c r="B106" s="236" t="s">
        <v>165</v>
      </c>
      <c r="C106" s="210" t="s">
        <v>464</v>
      </c>
      <c r="D106" s="460"/>
      <c r="E106" s="460"/>
      <c r="F106" s="460"/>
      <c r="G106" s="460"/>
      <c r="H106" s="1668">
        <v>2011</v>
      </c>
      <c r="I106" s="228"/>
      <c r="J106" s="229"/>
      <c r="N106" s="110"/>
      <c r="O106" s="110"/>
      <c r="P106" s="110"/>
      <c r="Q106" s="110"/>
    </row>
    <row r="107" spans="1:17" ht="12.75" customHeight="1">
      <c r="B107" s="236"/>
      <c r="C107" s="210"/>
      <c r="D107" s="213"/>
      <c r="E107" s="213"/>
      <c r="F107" s="213"/>
      <c r="G107" s="213"/>
      <c r="H107" s="983"/>
      <c r="I107" s="235"/>
      <c r="J107" s="229"/>
      <c r="N107" s="110"/>
      <c r="O107" s="110"/>
      <c r="P107" s="110"/>
      <c r="Q107" s="110"/>
    </row>
    <row r="108" spans="1:17" s="523" customFormat="1" ht="12.75" customHeight="1">
      <c r="B108" s="236"/>
      <c r="C108" s="210"/>
      <c r="D108" s="213"/>
      <c r="E108" s="213"/>
      <c r="F108" s="213"/>
      <c r="G108" s="213"/>
      <c r="H108" s="983"/>
      <c r="I108" s="235"/>
      <c r="J108" s="229"/>
      <c r="N108" s="110"/>
      <c r="O108" s="110"/>
      <c r="P108" s="110"/>
      <c r="Q108" s="110"/>
    </row>
    <row r="109" spans="1:17" s="523" customFormat="1" ht="12.75" customHeight="1">
      <c r="B109" s="236"/>
      <c r="C109" s="210"/>
      <c r="D109" s="213"/>
      <c r="E109" s="213"/>
      <c r="F109" s="213"/>
      <c r="G109" s="213"/>
      <c r="H109" s="983"/>
      <c r="I109" s="235"/>
      <c r="J109" s="229"/>
      <c r="N109" s="110"/>
      <c r="O109" s="110"/>
      <c r="P109" s="110"/>
      <c r="Q109" s="110"/>
    </row>
    <row r="110" spans="1:17" s="523" customFormat="1" ht="12.75" customHeight="1">
      <c r="B110" s="236"/>
      <c r="C110" s="210"/>
      <c r="D110" s="213"/>
      <c r="E110" s="213"/>
      <c r="F110" s="213"/>
      <c r="G110" s="213"/>
      <c r="H110" s="983"/>
      <c r="I110" s="235"/>
      <c r="J110" s="229"/>
      <c r="N110" s="110"/>
      <c r="O110" s="110"/>
      <c r="P110" s="110"/>
      <c r="Q110" s="110"/>
    </row>
    <row r="111" spans="1:17" s="523" customFormat="1" ht="12.75" customHeight="1">
      <c r="B111" s="236"/>
      <c r="C111" s="210"/>
      <c r="D111" s="213"/>
      <c r="E111" s="213"/>
      <c r="F111" s="213"/>
      <c r="G111" s="213"/>
      <c r="H111" s="983"/>
      <c r="I111" s="235"/>
      <c r="J111" s="229"/>
      <c r="N111" s="110"/>
      <c r="O111" s="110"/>
      <c r="P111" s="110"/>
      <c r="Q111" s="110"/>
    </row>
    <row r="112" spans="1:17" s="523" customFormat="1" ht="12.75" customHeight="1">
      <c r="B112" s="236"/>
      <c r="C112" s="210"/>
      <c r="D112" s="213"/>
      <c r="E112" s="213"/>
      <c r="F112" s="213"/>
      <c r="G112" s="213"/>
      <c r="H112" s="983"/>
      <c r="I112" s="235"/>
      <c r="J112" s="229"/>
      <c r="N112" s="110"/>
      <c r="O112" s="110"/>
      <c r="P112" s="110"/>
      <c r="Q112" s="110"/>
    </row>
    <row r="113" spans="2:17" ht="12.75" customHeight="1">
      <c r="B113" s="216" t="s">
        <v>166</v>
      </c>
      <c r="C113" s="210"/>
      <c r="D113" s="213"/>
      <c r="E113" s="213"/>
      <c r="F113" s="213"/>
      <c r="G113" s="213"/>
      <c r="H113" s="983"/>
      <c r="I113" s="235"/>
      <c r="J113" s="229"/>
      <c r="N113" s="112"/>
      <c r="O113" s="112"/>
      <c r="P113" s="112"/>
      <c r="Q113" s="110"/>
    </row>
    <row r="114" spans="2:17" ht="12.75" customHeight="1">
      <c r="B114" s="230" t="s">
        <v>24</v>
      </c>
      <c r="C114" s="210" t="s">
        <v>465</v>
      </c>
      <c r="D114" s="452">
        <v>0</v>
      </c>
      <c r="E114" s="452">
        <v>0</v>
      </c>
      <c r="F114" s="452">
        <v>0</v>
      </c>
      <c r="G114" s="452">
        <v>0</v>
      </c>
      <c r="H114" s="999"/>
      <c r="I114" s="1335" t="s">
        <v>1747</v>
      </c>
      <c r="J114" s="229"/>
      <c r="N114" s="110"/>
      <c r="O114" s="110"/>
      <c r="P114" s="110"/>
      <c r="Q114" s="110"/>
    </row>
    <row r="115" spans="2:17" ht="12.75" customHeight="1">
      <c r="B115" s="230" t="s">
        <v>27</v>
      </c>
      <c r="C115" s="210" t="s">
        <v>465</v>
      </c>
      <c r="D115" s="452">
        <v>0</v>
      </c>
      <c r="E115" s="452">
        <v>0</v>
      </c>
      <c r="F115" s="452">
        <v>0</v>
      </c>
      <c r="G115" s="452">
        <v>0</v>
      </c>
      <c r="H115" s="999"/>
      <c r="I115" s="1335" t="s">
        <v>1747</v>
      </c>
      <c r="J115" s="229"/>
      <c r="N115" s="110"/>
      <c r="O115" s="110"/>
      <c r="P115" s="110"/>
      <c r="Q115" s="110"/>
    </row>
    <row r="116" spans="2:17" ht="12.75" customHeight="1">
      <c r="B116" s="230" t="s">
        <v>28</v>
      </c>
      <c r="C116" s="210" t="s">
        <v>465</v>
      </c>
      <c r="D116" s="452">
        <v>0</v>
      </c>
      <c r="E116" s="452">
        <v>0</v>
      </c>
      <c r="F116" s="452">
        <v>0</v>
      </c>
      <c r="G116" s="452">
        <v>0</v>
      </c>
      <c r="H116" s="999"/>
      <c r="I116" s="1335" t="s">
        <v>1747</v>
      </c>
      <c r="J116" s="229"/>
      <c r="N116" s="110"/>
      <c r="O116" s="110"/>
      <c r="P116" s="110"/>
      <c r="Q116" s="110"/>
    </row>
    <row r="117" spans="2:17" ht="12.75" customHeight="1">
      <c r="B117" s="230" t="s">
        <v>26</v>
      </c>
      <c r="C117" s="210" t="s">
        <v>465</v>
      </c>
      <c r="D117" s="452">
        <v>0</v>
      </c>
      <c r="E117" s="452">
        <v>0</v>
      </c>
      <c r="F117" s="452">
        <v>0</v>
      </c>
      <c r="G117" s="452">
        <v>0</v>
      </c>
      <c r="H117" s="999"/>
      <c r="I117" s="1335" t="s">
        <v>1747</v>
      </c>
      <c r="J117" s="229"/>
      <c r="N117" s="110"/>
      <c r="O117" s="110"/>
      <c r="P117" s="110"/>
      <c r="Q117" s="110"/>
    </row>
    <row r="118" spans="2:17" ht="12.75" customHeight="1">
      <c r="B118" s="230" t="s">
        <v>167</v>
      </c>
      <c r="C118" s="210" t="s">
        <v>465</v>
      </c>
      <c r="D118" s="452">
        <v>0</v>
      </c>
      <c r="E118" s="452">
        <v>0</v>
      </c>
      <c r="F118" s="452">
        <v>0</v>
      </c>
      <c r="G118" s="452">
        <v>0</v>
      </c>
      <c r="H118" s="999"/>
      <c r="I118" s="1335" t="s">
        <v>1747</v>
      </c>
      <c r="J118" s="229"/>
      <c r="N118" s="112"/>
      <c r="O118" s="112"/>
      <c r="P118" s="112"/>
      <c r="Q118" s="112"/>
    </row>
    <row r="119" spans="2:17" ht="12.75" customHeight="1">
      <c r="B119" s="230" t="s">
        <v>45</v>
      </c>
      <c r="C119" s="210" t="s">
        <v>465</v>
      </c>
      <c r="D119" s="451"/>
      <c r="E119" s="451"/>
      <c r="F119" s="451"/>
      <c r="G119" s="451"/>
      <c r="H119" s="1000"/>
      <c r="I119" s="228"/>
      <c r="J119" s="229"/>
    </row>
    <row r="120" spans="2:17" ht="12.75" customHeight="1" thickBot="1">
      <c r="B120" s="113"/>
      <c r="C120" s="238"/>
      <c r="D120" s="96"/>
      <c r="E120" s="244"/>
      <c r="F120" s="244"/>
      <c r="G120" s="244"/>
      <c r="H120" s="968"/>
      <c r="I120" s="239"/>
      <c r="J120" s="240"/>
    </row>
    <row r="121" spans="2:17" ht="12.75" customHeight="1"/>
    <row r="122" spans="2:17" ht="12.75" customHeight="1"/>
    <row r="123" spans="2:17" ht="12.75" customHeight="1"/>
    <row r="124" spans="2:17" ht="12.75" customHeight="1"/>
    <row r="125" spans="2:17" ht="12.75" customHeight="1">
      <c r="H125" s="555"/>
    </row>
    <row r="126" spans="2:17" ht="12.75" customHeight="1">
      <c r="H126" s="977"/>
    </row>
    <row r="127" spans="2:17" ht="12.75" customHeight="1">
      <c r="H127" s="993"/>
    </row>
    <row r="128" spans="2:17" ht="12.75" customHeight="1">
      <c r="H128" s="993"/>
    </row>
    <row r="129" spans="8:8" ht="12.75" customHeight="1">
      <c r="H129" s="993"/>
    </row>
    <row r="130" spans="8:8" ht="12.75" customHeight="1">
      <c r="H130" s="993"/>
    </row>
    <row r="131" spans="8:8" ht="12.75" customHeight="1">
      <c r="H131" s="993"/>
    </row>
    <row r="132" spans="8:8" ht="12.75" customHeight="1">
      <c r="H132" s="993"/>
    </row>
    <row r="133" spans="8:8" ht="12.75" customHeight="1">
      <c r="H133" s="993"/>
    </row>
    <row r="134" spans="8:8" ht="12.75" customHeight="1"/>
    <row r="135" spans="8:8" ht="12.75" customHeight="1"/>
    <row r="136" spans="8:8" ht="12.75" customHeight="1"/>
    <row r="137" spans="8:8" ht="12.75" customHeight="1"/>
    <row r="138" spans="8:8" ht="12.75" customHeight="1" thickBot="1">
      <c r="H138" s="555"/>
    </row>
    <row r="139" spans="8:8" ht="12.75" customHeight="1">
      <c r="H139" s="1009"/>
    </row>
    <row r="140" spans="8:8" ht="12.75" customHeight="1">
      <c r="H140" s="1014"/>
    </row>
    <row r="141" spans="8:8" ht="12.75" customHeight="1">
      <c r="H141" s="1016"/>
    </row>
    <row r="142" spans="8:8" ht="12.75" customHeight="1">
      <c r="H142" s="1018"/>
    </row>
    <row r="143" spans="8:8" ht="12.75" customHeight="1">
      <c r="H143" s="1016"/>
    </row>
    <row r="144" spans="8:8" ht="12.75" customHeight="1">
      <c r="H144" s="1016"/>
    </row>
    <row r="145" spans="8:8" ht="12.75" customHeight="1">
      <c r="H145" s="979"/>
    </row>
    <row r="146" spans="8:8" ht="12.75" customHeight="1">
      <c r="H146" s="1016"/>
    </row>
    <row r="147" spans="8:8" ht="12.75" customHeight="1" thickBot="1">
      <c r="H147" s="1021"/>
    </row>
    <row r="148" spans="8:8" ht="12.75" customHeight="1"/>
    <row r="149" spans="8:8" ht="12.75" customHeight="1"/>
    <row r="150" spans="8:8" ht="12.75" customHeight="1"/>
    <row r="151" spans="8:8" ht="12.75" customHeight="1"/>
    <row r="152" spans="8:8" ht="12.75" customHeight="1"/>
    <row r="153" spans="8:8" ht="12.75" customHeight="1"/>
    <row r="154" spans="8:8" ht="12.75" customHeight="1"/>
    <row r="155" spans="8:8" ht="12.75" customHeight="1" thickBot="1"/>
    <row r="156" spans="8:8" ht="12.75" customHeight="1">
      <c r="H156" s="1025"/>
    </row>
    <row r="157" spans="8:8" ht="12.75" customHeight="1">
      <c r="H157" s="1028"/>
    </row>
    <row r="158" spans="8:8" ht="12.75" customHeight="1">
      <c r="H158" s="1027"/>
    </row>
    <row r="159" spans="8:8" ht="12.75" customHeight="1">
      <c r="H159" s="1031"/>
    </row>
    <row r="160" spans="8:8" ht="12.75" customHeight="1">
      <c r="H160" s="1031"/>
    </row>
    <row r="161" spans="8:8" ht="12.75" customHeight="1">
      <c r="H161" s="1031"/>
    </row>
    <row r="162" spans="8:8" ht="12.75" customHeight="1">
      <c r="H162" s="1031"/>
    </row>
    <row r="163" spans="8:8" ht="12.75" customHeight="1">
      <c r="H163" s="1031"/>
    </row>
    <row r="164" spans="8:8" ht="12.75" customHeight="1">
      <c r="H164" s="1031"/>
    </row>
    <row r="165" spans="8:8" ht="12.75" customHeight="1">
      <c r="H165" s="1031"/>
    </row>
    <row r="166" spans="8:8" ht="12.75" customHeight="1">
      <c r="H166" s="1031"/>
    </row>
    <row r="167" spans="8:8" ht="12.75" customHeight="1">
      <c r="H167" s="1031"/>
    </row>
    <row r="168" spans="8:8" ht="12.75" customHeight="1">
      <c r="H168" s="1031"/>
    </row>
    <row r="169" spans="8:8" ht="12.75" customHeight="1">
      <c r="H169" s="1031"/>
    </row>
    <row r="170" spans="8:8" ht="12.75" customHeight="1">
      <c r="H170" s="1031"/>
    </row>
    <row r="171" spans="8:8" ht="12.75" customHeight="1">
      <c r="H171" s="1031"/>
    </row>
    <row r="172" spans="8:8" ht="12.75" customHeight="1">
      <c r="H172" s="1031"/>
    </row>
    <row r="173" spans="8:8" ht="12.75" customHeight="1">
      <c r="H173" s="1031"/>
    </row>
    <row r="174" spans="8:8" ht="12.75" customHeight="1">
      <c r="H174" s="1031"/>
    </row>
    <row r="175" spans="8:8" ht="12.75" customHeight="1">
      <c r="H175" s="1031"/>
    </row>
    <row r="176" spans="8:8" ht="12.75" customHeight="1">
      <c r="H176" s="1027"/>
    </row>
    <row r="177" spans="8:8" ht="12.75" customHeight="1">
      <c r="H177" s="1027"/>
    </row>
    <row r="178" spans="8:8" ht="12.75" customHeight="1">
      <c r="H178" s="1031"/>
    </row>
    <row r="179" spans="8:8" ht="12.75" customHeight="1" thickBot="1">
      <c r="H179" s="1035"/>
    </row>
    <row r="180" spans="8:8" ht="12.75" customHeight="1"/>
    <row r="181" spans="8:8" ht="12.75" customHeight="1"/>
    <row r="182" spans="8:8" ht="12.75" customHeight="1"/>
    <row r="183" spans="8:8" ht="12.75" customHeight="1"/>
    <row r="184" spans="8:8" ht="12.75" customHeight="1"/>
    <row r="185" spans="8:8" ht="12.75" customHeight="1"/>
    <row r="186" spans="8:8" ht="12.75" customHeight="1"/>
    <row r="187" spans="8:8" ht="12.75" customHeight="1"/>
    <row r="188" spans="8:8" ht="12.75" customHeight="1"/>
    <row r="189" spans="8:8" ht="12.75" customHeight="1"/>
    <row r="190" spans="8:8" ht="12.75" customHeight="1"/>
    <row r="191" spans="8:8" ht="12.75" customHeight="1"/>
    <row r="192" spans="8:8"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sheetData>
  <pageMargins left="0.15748031496062992" right="0.15748031496062992" top="1.25" bottom="0.19685039370078741" header="0.51181102362204722" footer="0.51181102362204722"/>
  <pageSetup paperSize="9" scale="38" orientation="landscape" r:id="rId1"/>
  <headerFooter alignWithMargins="0">
    <oddHeader>&amp;L&amp;"Arial"&amp;14&amp;BBeregningsmodel
&amp;"Arial"&amp;08&amp;B64329, Teknologivurdering af alternative drivmidler til transportsektoren&amp;R&amp;"Arial"&amp;08Page &amp;P of &amp;N</oddHeader>
    <oddFooter>&amp;L&amp;"Arial"&amp;08&amp;Z&amp;F
Sheet: &amp;A&amp;C&amp;"Arial"&amp;08Printed &amp;D &amp;T&amp;R&amp;G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17121" r:id="rId5" name="Button 1">
              <controlPr defaultSize="0" print="0" autoFill="0" autoPict="0" macro="[0]!GtOver">
                <anchor>
                  <from>
                    <xdr:col>6</xdr:col>
                    <xdr:colOff>904875</xdr:colOff>
                    <xdr:row>0</xdr:row>
                    <xdr:rowOff>38100</xdr:rowOff>
                  </from>
                  <to>
                    <xdr:col>7</xdr:col>
                    <xdr:colOff>923925</xdr:colOff>
                    <xdr:row>0</xdr:row>
                    <xdr:rowOff>238125</xdr:rowOff>
                  </to>
                </anchor>
              </controlPr>
            </control>
          </mc:Choice>
        </mc:AlternateContent>
        <mc:AlternateContent xmlns:mc="http://schemas.openxmlformats.org/markup-compatibility/2006">
          <mc:Choice Requires="x14">
            <control shapeId="517122" r:id="rId6" name="Button 2">
              <controlPr defaultSize="0" print="0" autoFill="0" autoPict="0" macro="[0]!GtRes">
                <anchor>
                  <from>
                    <xdr:col>8</xdr:col>
                    <xdr:colOff>47625</xdr:colOff>
                    <xdr:row>0</xdr:row>
                    <xdr:rowOff>38100</xdr:rowOff>
                  </from>
                  <to>
                    <xdr:col>9</xdr:col>
                    <xdr:colOff>638175</xdr:colOff>
                    <xdr:row>0</xdr:row>
                    <xdr:rowOff>238125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tabColor rgb="FF00B0F0"/>
    <pageSetUpPr fitToPage="1"/>
  </sheetPr>
  <dimension ref="A1:R319"/>
  <sheetViews>
    <sheetView zoomScale="80" zoomScaleNormal="80" workbookViewId="0">
      <selection activeCell="D29" sqref="D29"/>
    </sheetView>
  </sheetViews>
  <sheetFormatPr defaultColWidth="8.85546875" defaultRowHeight="12.75"/>
  <cols>
    <col min="1" max="1" width="3.28515625" style="167" customWidth="1"/>
    <col min="2" max="2" width="36" style="167" customWidth="1"/>
    <col min="3" max="3" width="16.5703125" style="167" customWidth="1"/>
    <col min="4" max="7" width="15.7109375" style="167" customWidth="1"/>
    <col min="8" max="8" width="15.7109375" style="530" customWidth="1"/>
    <col min="9" max="9" width="7.28515625" style="167" customWidth="1"/>
    <col min="10" max="10" width="12.7109375" style="167" customWidth="1"/>
    <col min="11" max="11" width="13.7109375" style="167" customWidth="1"/>
    <col min="12" max="12" width="12.7109375" style="167" customWidth="1"/>
    <col min="13" max="13" width="8.85546875" style="167"/>
    <col min="14" max="14" width="37.85546875" style="167" customWidth="1"/>
    <col min="15" max="16" width="8.85546875" style="167"/>
    <col min="17" max="18" width="11.42578125" style="167" customWidth="1"/>
    <col min="19" max="19" width="9" style="167" customWidth="1"/>
    <col min="20" max="16384" width="8.85546875" style="167"/>
  </cols>
  <sheetData>
    <row r="1" spans="2:18" s="465" customFormat="1" ht="21">
      <c r="B1" s="465" t="s">
        <v>461</v>
      </c>
      <c r="Q1" s="467">
        <f ca="1">'Log2015'!M1</f>
        <v>-8.0112614142160741</v>
      </c>
      <c r="R1" s="468">
        <f ca="1">'Log2015'!N1</f>
        <v>-160807.124977848</v>
      </c>
    </row>
    <row r="2" spans="2:18" ht="12.75" customHeight="1">
      <c r="Q2" s="623">
        <f ca="1">Q1</f>
        <v>-8.0112614142160741</v>
      </c>
      <c r="R2" s="623">
        <f ca="1">R1</f>
        <v>-160807.124977848</v>
      </c>
    </row>
    <row r="3" spans="2:18" ht="12.75" customHeight="1"/>
    <row r="4" spans="2:18" s="215" customFormat="1" ht="12.75" customHeight="1">
      <c r="B4" s="454" t="s">
        <v>81</v>
      </c>
      <c r="H4" s="530"/>
    </row>
    <row r="5" spans="2:18" ht="12.75" customHeight="1" thickBot="1"/>
    <row r="6" spans="2:18" ht="12.75" customHeight="1">
      <c r="B6" s="219" t="s">
        <v>137</v>
      </c>
      <c r="C6" s="245"/>
      <c r="D6" s="245"/>
      <c r="E6" s="245"/>
      <c r="F6" s="245"/>
      <c r="G6" s="245"/>
      <c r="H6" s="962"/>
      <c r="I6" s="245"/>
      <c r="J6" s="245"/>
      <c r="K6" s="245"/>
      <c r="L6" s="245"/>
      <c r="M6" s="246"/>
    </row>
    <row r="7" spans="2:18" ht="12.75" customHeight="1">
      <c r="B7" s="230" t="s">
        <v>732</v>
      </c>
      <c r="C7" s="248"/>
      <c r="D7" s="248"/>
      <c r="E7" s="248"/>
      <c r="F7" s="248"/>
      <c r="G7" s="248"/>
      <c r="H7" s="555"/>
      <c r="I7" s="248"/>
      <c r="J7" s="248"/>
      <c r="K7" s="248"/>
      <c r="L7" s="248"/>
      <c r="M7" s="249"/>
    </row>
    <row r="8" spans="2:18" ht="12.75" customHeight="1">
      <c r="B8" s="230"/>
      <c r="C8" s="248"/>
      <c r="D8" s="248"/>
      <c r="E8" s="248"/>
      <c r="F8" s="248"/>
      <c r="G8" s="248"/>
      <c r="H8" s="555"/>
      <c r="I8" s="248"/>
      <c r="J8" s="248"/>
      <c r="K8" s="248"/>
      <c r="L8" s="248"/>
      <c r="M8" s="249"/>
    </row>
    <row r="9" spans="2:18" ht="12.75" customHeight="1">
      <c r="B9" s="230"/>
      <c r="C9" s="248"/>
      <c r="D9" s="248"/>
      <c r="E9" s="248"/>
      <c r="F9" s="248"/>
      <c r="G9" s="248"/>
      <c r="H9" s="555"/>
      <c r="I9" s="248"/>
      <c r="J9" s="248"/>
      <c r="K9" s="248"/>
      <c r="L9" s="248"/>
      <c r="M9" s="249"/>
    </row>
    <row r="10" spans="2:18" ht="12.75" customHeight="1">
      <c r="B10" s="230"/>
      <c r="C10" s="248"/>
      <c r="D10" s="248"/>
      <c r="E10" s="248"/>
      <c r="F10" s="248"/>
      <c r="G10" s="248"/>
      <c r="H10" s="555"/>
      <c r="I10" s="248"/>
      <c r="J10" s="248"/>
      <c r="K10" s="248"/>
      <c r="L10" s="248"/>
      <c r="M10" s="249"/>
    </row>
    <row r="11" spans="2:18" ht="12.75" customHeight="1">
      <c r="B11" s="230" t="s">
        <v>138</v>
      </c>
      <c r="C11" s="217" t="s">
        <v>80</v>
      </c>
      <c r="D11" s="248"/>
      <c r="E11" s="248"/>
      <c r="F11" s="248"/>
      <c r="G11" s="248"/>
      <c r="H11" s="555"/>
      <c r="I11" s="248"/>
      <c r="J11" s="248"/>
      <c r="K11" s="248"/>
      <c r="L11" s="248"/>
      <c r="M11" s="249"/>
    </row>
    <row r="12" spans="2:18" ht="12.75" customHeight="1">
      <c r="B12" s="230"/>
      <c r="C12" s="248"/>
      <c r="D12" s="248"/>
      <c r="E12" s="248"/>
      <c r="F12" s="248"/>
      <c r="G12" s="248"/>
      <c r="H12" s="555"/>
      <c r="I12" s="248"/>
      <c r="J12" s="248"/>
      <c r="K12" s="248"/>
      <c r="L12" s="248"/>
      <c r="M12" s="249"/>
    </row>
    <row r="13" spans="2:18" ht="12.75" customHeight="1">
      <c r="B13" s="230" t="s">
        <v>140</v>
      </c>
      <c r="C13" s="248"/>
      <c r="D13" s="248"/>
      <c r="E13" s="248"/>
      <c r="F13" s="248"/>
      <c r="G13" s="248"/>
      <c r="H13" s="555"/>
      <c r="I13" s="248"/>
      <c r="J13" s="248"/>
      <c r="K13" s="248"/>
      <c r="L13" s="248"/>
      <c r="M13" s="249"/>
    </row>
    <row r="14" spans="2:18" ht="12.75" customHeight="1">
      <c r="B14" s="230"/>
      <c r="C14" s="248"/>
      <c r="D14" s="248"/>
      <c r="E14" s="248"/>
      <c r="F14" s="248"/>
      <c r="G14" s="248"/>
      <c r="H14" s="555"/>
      <c r="I14" s="248"/>
      <c r="J14" s="248"/>
      <c r="K14" s="248"/>
      <c r="L14" s="248"/>
      <c r="M14" s="249"/>
    </row>
    <row r="15" spans="2:18" ht="12.75" customHeight="1">
      <c r="B15" s="230" t="s">
        <v>141</v>
      </c>
      <c r="C15" s="248"/>
      <c r="D15" s="248"/>
      <c r="E15" s="248"/>
      <c r="F15" s="248"/>
      <c r="G15" s="248"/>
      <c r="H15" s="555"/>
      <c r="I15" s="248"/>
      <c r="J15" s="248"/>
      <c r="K15" s="248"/>
      <c r="L15" s="248"/>
      <c r="M15" s="249"/>
    </row>
    <row r="16" spans="2:18" ht="12.75" customHeight="1">
      <c r="B16" s="230"/>
      <c r="C16" s="248"/>
      <c r="D16" s="248"/>
      <c r="E16" s="248"/>
      <c r="F16" s="248"/>
      <c r="G16" s="248"/>
      <c r="H16" s="555"/>
      <c r="I16" s="248"/>
      <c r="J16" s="248"/>
      <c r="K16" s="248"/>
      <c r="L16" s="248"/>
      <c r="M16" s="249"/>
    </row>
    <row r="17" spans="2:13" ht="12.75" customHeight="1">
      <c r="B17" s="230" t="s">
        <v>142</v>
      </c>
      <c r="C17" s="248"/>
      <c r="D17" s="248"/>
      <c r="E17" s="248"/>
      <c r="F17" s="248"/>
      <c r="G17" s="248"/>
      <c r="H17" s="555"/>
      <c r="I17" s="248"/>
      <c r="J17" s="248"/>
      <c r="K17" s="248"/>
      <c r="L17" s="248"/>
      <c r="M17" s="249"/>
    </row>
    <row r="18" spans="2:13" ht="12.75" customHeight="1">
      <c r="B18" s="230"/>
      <c r="C18" s="248"/>
      <c r="D18" s="248"/>
      <c r="E18" s="248"/>
      <c r="F18" s="248"/>
      <c r="G18" s="248"/>
      <c r="H18" s="555"/>
      <c r="I18" s="248"/>
      <c r="J18" s="248"/>
      <c r="K18" s="248"/>
      <c r="L18" s="248"/>
      <c r="M18" s="249"/>
    </row>
    <row r="19" spans="2:13" ht="12.75" customHeight="1">
      <c r="B19" s="230"/>
      <c r="C19" s="248"/>
      <c r="D19" s="248"/>
      <c r="E19" s="248"/>
      <c r="F19" s="248"/>
      <c r="G19" s="248"/>
      <c r="H19" s="555"/>
      <c r="I19" s="248"/>
      <c r="J19" s="248"/>
      <c r="K19" s="248"/>
      <c r="L19" s="248"/>
      <c r="M19" s="249"/>
    </row>
    <row r="20" spans="2:13" ht="12.75" customHeight="1">
      <c r="B20" s="230"/>
      <c r="C20" s="248"/>
      <c r="D20" s="248"/>
      <c r="E20" s="248"/>
      <c r="F20" s="248"/>
      <c r="G20" s="248"/>
      <c r="H20" s="555"/>
      <c r="I20" s="248"/>
      <c r="J20" s="248"/>
      <c r="K20" s="248"/>
      <c r="L20" s="248"/>
      <c r="M20" s="249"/>
    </row>
    <row r="21" spans="2:13" ht="12.75" customHeight="1">
      <c r="B21" s="230"/>
      <c r="C21" s="248"/>
      <c r="D21" s="248"/>
      <c r="E21" s="248"/>
      <c r="F21" s="248"/>
      <c r="G21" s="248"/>
      <c r="H21" s="555"/>
      <c r="I21" s="248"/>
      <c r="J21" s="248"/>
      <c r="K21" s="248"/>
      <c r="L21" s="248"/>
      <c r="M21" s="249"/>
    </row>
    <row r="22" spans="2:13" ht="12.75" customHeight="1">
      <c r="B22" s="230" t="s">
        <v>143</v>
      </c>
      <c r="C22" s="248"/>
      <c r="D22" s="248"/>
      <c r="E22" s="248"/>
      <c r="F22" s="248"/>
      <c r="G22" s="248"/>
      <c r="H22" s="555"/>
      <c r="I22" s="248"/>
      <c r="J22" s="248"/>
      <c r="K22" s="248"/>
      <c r="L22" s="248"/>
      <c r="M22" s="249"/>
    </row>
    <row r="23" spans="2:13" ht="12.75" customHeight="1">
      <c r="B23" s="230"/>
      <c r="C23" s="248"/>
      <c r="D23" s="248"/>
      <c r="E23" s="248"/>
      <c r="F23" s="248"/>
      <c r="G23" s="248"/>
      <c r="H23" s="555"/>
      <c r="I23" s="248"/>
      <c r="J23" s="248"/>
      <c r="K23" s="248"/>
      <c r="L23" s="248"/>
      <c r="M23" s="249"/>
    </row>
    <row r="24" spans="2:13" ht="12.75" customHeight="1" thickBot="1">
      <c r="B24" s="242"/>
      <c r="C24" s="250"/>
      <c r="D24" s="250"/>
      <c r="E24" s="250"/>
      <c r="F24" s="250"/>
      <c r="G24" s="250"/>
      <c r="H24" s="968"/>
      <c r="I24" s="250"/>
      <c r="J24" s="250"/>
      <c r="K24" s="250"/>
      <c r="L24" s="250"/>
      <c r="M24" s="251"/>
    </row>
    <row r="25" spans="2:13" ht="12.75" customHeight="1">
      <c r="F25" s="86"/>
      <c r="H25" s="529"/>
    </row>
    <row r="26" spans="2:13" s="215" customFormat="1" ht="12.75" customHeight="1">
      <c r="B26" s="454" t="s">
        <v>144</v>
      </c>
      <c r="H26" s="530"/>
    </row>
    <row r="27" spans="2:13" s="215" customFormat="1" ht="12.75" customHeight="1" thickBot="1">
      <c r="B27" s="167"/>
      <c r="H27" s="530"/>
    </row>
    <row r="28" spans="2:13" ht="12.75" customHeight="1">
      <c r="B28" s="219"/>
      <c r="C28" s="220"/>
      <c r="D28" s="221"/>
      <c r="E28" s="221"/>
      <c r="F28" s="221"/>
      <c r="G28" s="221"/>
      <c r="H28" s="962"/>
      <c r="I28" s="221"/>
      <c r="J28" s="222"/>
    </row>
    <row r="29" spans="2:13" ht="12.75" customHeight="1">
      <c r="B29" s="223"/>
      <c r="C29" s="224" t="s">
        <v>70</v>
      </c>
      <c r="D29" s="225">
        <v>2015</v>
      </c>
      <c r="E29" s="225">
        <v>2020</v>
      </c>
      <c r="F29" s="225">
        <v>2035</v>
      </c>
      <c r="G29" s="225">
        <v>2050</v>
      </c>
      <c r="H29" s="973" t="s">
        <v>978</v>
      </c>
      <c r="I29" s="226" t="s">
        <v>145</v>
      </c>
      <c r="J29" s="227" t="s">
        <v>146</v>
      </c>
    </row>
    <row r="30" spans="2:13" ht="12.75" customHeight="1">
      <c r="B30" s="216" t="s">
        <v>147</v>
      </c>
      <c r="C30" s="210"/>
      <c r="D30" s="209"/>
      <c r="E30" s="209"/>
      <c r="F30" s="209"/>
      <c r="G30" s="209"/>
      <c r="H30" s="977"/>
      <c r="I30" s="228"/>
      <c r="J30" s="229"/>
    </row>
    <row r="31" spans="2:13" ht="12.75" customHeight="1">
      <c r="B31" s="247" t="s">
        <v>148</v>
      </c>
      <c r="C31" s="210" t="s">
        <v>728</v>
      </c>
      <c r="D31" s="1133">
        <f>Feedstocks!E155</f>
        <v>0.94474816369359926</v>
      </c>
      <c r="E31" s="1133">
        <f>Feedstocks!F155</f>
        <v>0.98474816369359919</v>
      </c>
      <c r="F31" s="1133">
        <f>Feedstocks!G155</f>
        <v>0.98474816369359919</v>
      </c>
      <c r="G31" s="1133">
        <f>Feedstocks!H155</f>
        <v>0.98474816369359919</v>
      </c>
      <c r="H31" s="1333"/>
      <c r="I31" s="228"/>
      <c r="J31" s="249"/>
    </row>
    <row r="32" spans="2:13" ht="12.75" customHeight="1">
      <c r="B32" s="247" t="s">
        <v>67</v>
      </c>
      <c r="C32" s="210" t="s">
        <v>729</v>
      </c>
      <c r="D32" s="1133">
        <f>Feedstocks!D18</f>
        <v>1</v>
      </c>
      <c r="E32" s="1133">
        <f>D32</f>
        <v>1</v>
      </c>
      <c r="F32" s="1133">
        <f>E32</f>
        <v>1</v>
      </c>
      <c r="G32" s="1133">
        <f>F32</f>
        <v>1</v>
      </c>
      <c r="H32" s="978"/>
      <c r="I32" s="228"/>
      <c r="J32" s="229"/>
    </row>
    <row r="33" spans="2:10" ht="12.75" customHeight="1">
      <c r="B33" s="230" t="s">
        <v>149</v>
      </c>
      <c r="C33" s="210" t="s">
        <v>730</v>
      </c>
      <c r="D33" s="85">
        <v>1</v>
      </c>
      <c r="E33" s="85">
        <v>1</v>
      </c>
      <c r="F33" s="85">
        <v>1</v>
      </c>
      <c r="G33" s="85">
        <v>1</v>
      </c>
      <c r="H33" s="1397"/>
      <c r="I33" s="1335" t="s">
        <v>1747</v>
      </c>
      <c r="J33" s="229"/>
    </row>
    <row r="34" spans="2:10" ht="12.75" customHeight="1">
      <c r="B34" s="247" t="s">
        <v>150</v>
      </c>
      <c r="C34" s="210" t="s">
        <v>34</v>
      </c>
      <c r="D34" s="85">
        <v>1</v>
      </c>
      <c r="E34" s="85">
        <v>1</v>
      </c>
      <c r="F34" s="85">
        <v>1</v>
      </c>
      <c r="G34" s="85">
        <v>1</v>
      </c>
      <c r="H34" s="1332"/>
      <c r="I34" s="1335" t="s">
        <v>1747</v>
      </c>
      <c r="J34" s="229"/>
    </row>
    <row r="35" spans="2:10" ht="12.75" customHeight="1">
      <c r="B35" s="230"/>
      <c r="C35" s="231"/>
      <c r="D35" s="253"/>
      <c r="E35" s="213"/>
      <c r="F35" s="213"/>
      <c r="G35" s="213"/>
      <c r="H35" s="983"/>
      <c r="I35" s="228"/>
      <c r="J35" s="229"/>
    </row>
    <row r="36" spans="2:10" ht="12.75" customHeight="1">
      <c r="B36" s="216" t="s">
        <v>151</v>
      </c>
      <c r="C36" s="231"/>
      <c r="D36" s="253"/>
      <c r="E36" s="213"/>
      <c r="F36" s="213"/>
      <c r="G36" s="213"/>
      <c r="H36" s="983"/>
      <c r="I36" s="228"/>
      <c r="J36" s="229"/>
    </row>
    <row r="37" spans="2:10" ht="12.75" customHeight="1">
      <c r="B37" s="247" t="str">
        <f>ProcessEnergy!B35</f>
        <v xml:space="preserve">Green diesel </v>
      </c>
      <c r="C37" s="210" t="s">
        <v>463</v>
      </c>
      <c r="D37" s="105"/>
      <c r="E37" s="105"/>
      <c r="F37" s="105"/>
      <c r="G37" s="105"/>
      <c r="H37" s="984"/>
      <c r="I37" s="228"/>
      <c r="J37" s="229"/>
    </row>
    <row r="38" spans="2:10" ht="12.75" customHeight="1">
      <c r="B38" s="232" t="str">
        <f>ProcessEnergy!B36</f>
        <v>Green gasoline</v>
      </c>
      <c r="C38" s="210"/>
      <c r="D38" s="105"/>
      <c r="E38" s="105"/>
      <c r="F38" s="105"/>
      <c r="G38" s="105"/>
      <c r="H38" s="984"/>
      <c r="I38" s="228"/>
      <c r="J38" s="229"/>
    </row>
    <row r="39" spans="2:10" ht="12.75" customHeight="1">
      <c r="B39" s="232" t="str">
        <f>ProcessEnergy!B37</f>
        <v>Electricity - balancing</v>
      </c>
      <c r="C39" s="210"/>
      <c r="D39" s="105"/>
      <c r="E39" s="105"/>
      <c r="F39" s="105"/>
      <c r="G39" s="105"/>
      <c r="H39" s="984"/>
      <c r="I39" s="228"/>
      <c r="J39" s="229"/>
    </row>
    <row r="40" spans="2:10" ht="12.75" customHeight="1">
      <c r="B40" s="232" t="str">
        <f>ProcessEnergy!B38</f>
        <v>Electricity  - continous</v>
      </c>
      <c r="C40" s="210"/>
      <c r="D40" s="105"/>
      <c r="E40" s="105"/>
      <c r="F40" s="105"/>
      <c r="G40" s="105"/>
      <c r="H40" s="984"/>
      <c r="I40" s="228"/>
      <c r="J40" s="229"/>
    </row>
    <row r="41" spans="2:10" ht="12.75" customHeight="1">
      <c r="B41" s="232" t="str">
        <f>ProcessEnergy!B39</f>
        <v>Elec/heat fuel</v>
      </c>
      <c r="C41" s="210"/>
      <c r="D41" s="105"/>
      <c r="E41" s="105"/>
      <c r="F41" s="105"/>
      <c r="G41" s="105"/>
      <c r="H41" s="984"/>
      <c r="I41" s="228"/>
      <c r="J41" s="229"/>
    </row>
    <row r="42" spans="2:10" ht="12.75" customHeight="1">
      <c r="B42" s="232" t="str">
        <f>ProcessEnergy!B40</f>
        <v>Biogas (100% CH4)</v>
      </c>
      <c r="C42" s="210"/>
      <c r="D42" s="105"/>
      <c r="E42" s="105"/>
      <c r="F42" s="105"/>
      <c r="G42" s="105"/>
      <c r="H42" s="984"/>
      <c r="I42" s="228"/>
      <c r="J42" s="229"/>
    </row>
    <row r="43" spans="2:10" ht="12.75" customHeight="1">
      <c r="B43" s="232" t="str">
        <f>ProcessEnergy!B41</f>
        <v>District heating</v>
      </c>
      <c r="C43" s="210"/>
      <c r="D43" s="105"/>
      <c r="E43" s="105"/>
      <c r="F43" s="105"/>
      <c r="G43" s="105"/>
      <c r="H43" s="978"/>
      <c r="I43" s="228"/>
      <c r="J43" s="229"/>
    </row>
    <row r="44" spans="2:10" s="1240" customFormat="1" ht="12.75" customHeight="1">
      <c r="B44" s="232" t="str">
        <f>ProcessEnergy!B42</f>
        <v>&lt;empty&gt;</v>
      </c>
      <c r="C44" s="1469"/>
      <c r="D44" s="105"/>
      <c r="E44" s="105"/>
      <c r="F44" s="105"/>
      <c r="G44" s="105"/>
      <c r="H44" s="978"/>
      <c r="I44" s="1471"/>
      <c r="J44" s="1488"/>
    </row>
    <row r="45" spans="2:10" s="1240" customFormat="1" ht="12.75" customHeight="1">
      <c r="B45" s="232" t="str">
        <f>ProcessEnergy!B43</f>
        <v>&lt;empty&gt;</v>
      </c>
      <c r="C45" s="1469"/>
      <c r="D45" s="105"/>
      <c r="E45" s="105"/>
      <c r="F45" s="105"/>
      <c r="G45" s="105"/>
      <c r="H45" s="978"/>
      <c r="I45" s="1471"/>
      <c r="J45" s="1488"/>
    </row>
    <row r="46" spans="2:10" s="1240" customFormat="1" ht="12.75" customHeight="1">
      <c r="B46" s="232" t="str">
        <f>ProcessEnergy!B44</f>
        <v>&lt;empty&gt;</v>
      </c>
      <c r="C46" s="1469"/>
      <c r="D46" s="105"/>
      <c r="E46" s="105"/>
      <c r="F46" s="105"/>
      <c r="G46" s="105"/>
      <c r="H46" s="978"/>
      <c r="I46" s="1471"/>
      <c r="J46" s="1488"/>
    </row>
    <row r="47" spans="2:10" s="1240" customFormat="1" ht="12.75" customHeight="1">
      <c r="B47" s="232" t="str">
        <f>ProcessEnergy!B45</f>
        <v>&lt;empty&gt;</v>
      </c>
      <c r="C47" s="1469"/>
      <c r="D47" s="105"/>
      <c r="E47" s="105"/>
      <c r="F47" s="105"/>
      <c r="G47" s="105"/>
      <c r="H47" s="978"/>
      <c r="I47" s="1471"/>
      <c r="J47" s="1488"/>
    </row>
    <row r="48" spans="2:10" s="1240" customFormat="1" ht="12.75" customHeight="1">
      <c r="B48" s="232" t="str">
        <f>ProcessEnergy!B46</f>
        <v>&lt;empty&gt;</v>
      </c>
      <c r="C48" s="1469"/>
      <c r="D48" s="105"/>
      <c r="E48" s="105"/>
      <c r="F48" s="105"/>
      <c r="G48" s="105"/>
      <c r="H48" s="978"/>
      <c r="I48" s="1471"/>
      <c r="J48" s="1488"/>
    </row>
    <row r="49" spans="2:10" s="1240" customFormat="1" ht="12.75" customHeight="1">
      <c r="B49" s="232" t="str">
        <f>ProcessEnergy!B47</f>
        <v>&lt;empty&gt;</v>
      </c>
      <c r="C49" s="1469"/>
      <c r="D49" s="105"/>
      <c r="E49" s="105"/>
      <c r="F49" s="105"/>
      <c r="G49" s="105"/>
      <c r="H49" s="978"/>
      <c r="I49" s="1471"/>
      <c r="J49" s="1488"/>
    </row>
    <row r="50" spans="2:10" s="1240" customFormat="1" ht="12.75" customHeight="1">
      <c r="B50" s="232" t="str">
        <f>ProcessEnergy!B48</f>
        <v>Glycerol</v>
      </c>
      <c r="C50" s="1469"/>
      <c r="D50" s="105"/>
      <c r="E50" s="105"/>
      <c r="F50" s="105"/>
      <c r="G50" s="105"/>
      <c r="H50" s="978"/>
      <c r="I50" s="1471"/>
      <c r="J50" s="1488"/>
    </row>
    <row r="51" spans="2:10" s="1240" customFormat="1" ht="12.75" customHeight="1">
      <c r="B51" s="232" t="str">
        <f>ProcessEnergy!B49</f>
        <v>&lt;empty&gt;</v>
      </c>
      <c r="C51" s="1469"/>
      <c r="D51" s="105"/>
      <c r="E51" s="105"/>
      <c r="F51" s="105"/>
      <c r="G51" s="105"/>
      <c r="H51" s="978"/>
      <c r="I51" s="1471"/>
      <c r="J51" s="1488"/>
    </row>
    <row r="52" spans="2:10" s="1240" customFormat="1" ht="12.75" customHeight="1">
      <c r="B52" s="232" t="str">
        <f>ProcessEnergy!B50</f>
        <v>&lt;empty&gt;</v>
      </c>
      <c r="C52" s="1469"/>
      <c r="D52" s="105"/>
      <c r="E52" s="105"/>
      <c r="F52" s="105"/>
      <c r="G52" s="105"/>
      <c r="H52" s="978"/>
      <c r="I52" s="1471"/>
      <c r="J52" s="1488"/>
    </row>
    <row r="53" spans="2:10" ht="12.75" customHeight="1">
      <c r="B53" s="232" t="str">
        <f>ProcessEnergy!B51</f>
        <v>Fodder (wheat like)</v>
      </c>
      <c r="C53" s="210"/>
      <c r="D53" s="105"/>
      <c r="E53" s="105"/>
      <c r="F53" s="105"/>
      <c r="G53" s="105"/>
      <c r="H53" s="984"/>
      <c r="I53" s="228"/>
      <c r="J53" s="229"/>
    </row>
    <row r="54" spans="2:10" ht="12.75" customHeight="1">
      <c r="B54" s="232" t="str">
        <f>ProcessEnergy!B52</f>
        <v>Rape seed cake</v>
      </c>
      <c r="C54" s="210"/>
      <c r="D54" s="105"/>
      <c r="E54" s="105"/>
      <c r="F54" s="105"/>
      <c r="G54" s="105"/>
      <c r="H54" s="984"/>
      <c r="I54" s="228"/>
      <c r="J54" s="229"/>
    </row>
    <row r="55" spans="2:10" ht="12.75" customHeight="1">
      <c r="B55" s="232" t="str">
        <f>ProcessEnergy!B53</f>
        <v>&lt;empty&gt;</v>
      </c>
      <c r="C55" s="210"/>
      <c r="D55" s="105"/>
      <c r="E55" s="105"/>
      <c r="F55" s="105"/>
      <c r="G55" s="105"/>
      <c r="H55" s="984"/>
      <c r="I55" s="228"/>
      <c r="J55" s="229"/>
    </row>
    <row r="56" spans="2:10" ht="12.75" customHeight="1">
      <c r="B56" s="232" t="str">
        <f>ProcessEnergy!B54</f>
        <v>DDGS</v>
      </c>
      <c r="C56" s="210"/>
      <c r="D56" s="105"/>
      <c r="E56" s="105"/>
      <c r="F56" s="105"/>
      <c r="G56" s="105"/>
      <c r="H56" s="984"/>
      <c r="I56" s="228"/>
      <c r="J56" s="229"/>
    </row>
    <row r="57" spans="2:10" ht="12.75" customHeight="1">
      <c r="B57" s="247"/>
      <c r="C57" s="210"/>
      <c r="D57" s="105"/>
      <c r="E57" s="105"/>
      <c r="F57" s="105"/>
      <c r="G57" s="105"/>
      <c r="H57" s="984"/>
      <c r="I57" s="228"/>
      <c r="J57" s="229"/>
    </row>
    <row r="58" spans="2:10" ht="12.75" customHeight="1">
      <c r="B58" s="216" t="s">
        <v>873</v>
      </c>
      <c r="C58" s="210"/>
      <c r="D58" s="105"/>
      <c r="E58" s="105"/>
      <c r="F58" s="105"/>
      <c r="G58" s="105"/>
      <c r="H58" s="984"/>
      <c r="I58" s="228"/>
      <c r="J58" s="229"/>
    </row>
    <row r="59" spans="2:10" ht="12.75" customHeight="1">
      <c r="B59" s="230" t="str">
        <f>ProcessEnergy!B5</f>
        <v>EL - peakload</v>
      </c>
      <c r="C59" s="564" t="s">
        <v>725</v>
      </c>
      <c r="D59" s="105"/>
      <c r="E59" s="105"/>
      <c r="F59" s="105"/>
      <c r="G59" s="105"/>
      <c r="H59" s="984"/>
      <c r="I59" s="228"/>
      <c r="J59" s="229"/>
    </row>
    <row r="60" spans="2:10" ht="12.75" customHeight="1">
      <c r="B60" s="230" t="str">
        <f>ProcessEnergy!B6</f>
        <v>El - baseload</v>
      </c>
      <c r="C60" s="564" t="s">
        <v>725</v>
      </c>
      <c r="D60" s="105"/>
      <c r="E60" s="105"/>
      <c r="F60" s="105"/>
      <c r="G60" s="105"/>
      <c r="H60" s="984"/>
      <c r="I60" s="228"/>
      <c r="J60" s="229"/>
    </row>
    <row r="61" spans="2:10" ht="12.75" customHeight="1">
      <c r="B61" s="230" t="str">
        <f>ProcessEnergy!B7</f>
        <v xml:space="preserve">Varme </v>
      </c>
      <c r="C61" s="564" t="s">
        <v>725</v>
      </c>
      <c r="D61" s="105"/>
      <c r="E61" s="105"/>
      <c r="F61" s="105"/>
      <c r="G61" s="105"/>
      <c r="H61" s="984"/>
      <c r="I61" s="228"/>
      <c r="J61" s="229"/>
    </row>
    <row r="62" spans="2:10" ht="12.75" customHeight="1">
      <c r="B62" s="230" t="str">
        <f>ProcessEnergy!B8</f>
        <v>Damp</v>
      </c>
      <c r="C62" s="564" t="s">
        <v>725</v>
      </c>
      <c r="D62" s="105"/>
      <c r="E62" s="105"/>
      <c r="F62" s="105"/>
      <c r="G62" s="105"/>
      <c r="H62" s="984"/>
      <c r="I62" s="228"/>
      <c r="J62" s="229"/>
    </row>
    <row r="63" spans="2:10" ht="12.75" customHeight="1">
      <c r="B63" s="230" t="str">
        <f>ProcessEnergy!B9</f>
        <v xml:space="preserve">Olie </v>
      </c>
      <c r="C63" s="564" t="s">
        <v>725</v>
      </c>
      <c r="D63" s="105"/>
      <c r="E63" s="105"/>
      <c r="F63" s="105"/>
      <c r="G63" s="105"/>
      <c r="H63" s="984"/>
      <c r="I63" s="228"/>
      <c r="J63" s="229"/>
    </row>
    <row r="64" spans="2:10" ht="12.75" customHeight="1">
      <c r="B64" s="230" t="str">
        <f>ProcessEnergy!B10</f>
        <v>Kul</v>
      </c>
      <c r="C64" s="564" t="s">
        <v>725</v>
      </c>
      <c r="D64" s="105"/>
      <c r="E64" s="105"/>
      <c r="F64" s="105"/>
      <c r="G64" s="105"/>
      <c r="H64" s="984"/>
      <c r="I64" s="228"/>
      <c r="J64" s="229"/>
    </row>
    <row r="65" spans="2:10" ht="12.75" customHeight="1">
      <c r="B65" s="230" t="str">
        <f>ProcessEnergy!B11</f>
        <v>Naturgas kedel</v>
      </c>
      <c r="C65" s="564" t="s">
        <v>725</v>
      </c>
      <c r="D65" s="105"/>
      <c r="E65" s="105"/>
      <c r="F65" s="105"/>
      <c r="G65" s="105"/>
      <c r="H65" s="984"/>
      <c r="I65" s="228"/>
      <c r="J65" s="229"/>
    </row>
    <row r="66" spans="2:10" ht="12.75" customHeight="1">
      <c r="B66" s="230" t="str">
        <f>ProcessEnergy!B12</f>
        <v>Gylle</v>
      </c>
      <c r="C66" s="564" t="s">
        <v>725</v>
      </c>
      <c r="D66" s="105"/>
      <c r="E66" s="105"/>
      <c r="F66" s="105"/>
      <c r="G66" s="105"/>
      <c r="H66" s="984"/>
      <c r="I66" s="228"/>
      <c r="J66" s="229"/>
    </row>
    <row r="67" spans="2:10" ht="12.75" customHeight="1">
      <c r="B67" s="230" t="str">
        <f>ProcessEnergy!B13</f>
        <v>Affald</v>
      </c>
      <c r="C67" s="564" t="s">
        <v>725</v>
      </c>
      <c r="D67" s="105"/>
      <c r="E67" s="105"/>
      <c r="F67" s="105"/>
      <c r="G67" s="105"/>
      <c r="H67" s="984"/>
      <c r="I67" s="228"/>
      <c r="J67" s="229"/>
    </row>
    <row r="68" spans="2:10" ht="12.75" customHeight="1">
      <c r="B68" s="230" t="str">
        <f>ProcessEnergy!B14</f>
        <v>Hydrogen</v>
      </c>
      <c r="C68" s="564" t="s">
        <v>725</v>
      </c>
      <c r="D68" s="105"/>
      <c r="E68" s="105"/>
      <c r="F68" s="105"/>
      <c r="G68" s="105"/>
      <c r="H68" s="984"/>
      <c r="I68" s="228"/>
      <c r="J68" s="229"/>
    </row>
    <row r="69" spans="2:10" ht="12.75" customHeight="1">
      <c r="B69" s="230" t="str">
        <f>ProcessEnergy!B15</f>
        <v>Biomasse</v>
      </c>
      <c r="C69" s="564" t="s">
        <v>725</v>
      </c>
      <c r="D69" s="105"/>
      <c r="E69" s="105"/>
      <c r="F69" s="105"/>
      <c r="G69" s="105"/>
      <c r="H69" s="984"/>
      <c r="I69" s="228"/>
      <c r="J69" s="229"/>
    </row>
    <row r="70" spans="2:10" s="1240" customFormat="1" ht="12.75" customHeight="1">
      <c r="B70" s="1487" t="str">
        <f>ProcessEnergy!B16</f>
        <v>Methanol</v>
      </c>
      <c r="C70" s="1469"/>
      <c r="D70" s="105"/>
      <c r="E70" s="105"/>
      <c r="F70" s="105"/>
      <c r="G70" s="105"/>
      <c r="H70" s="984"/>
      <c r="I70" s="1471"/>
      <c r="J70" s="1488"/>
    </row>
    <row r="71" spans="2:10" s="1240" customFormat="1" ht="12.75" customHeight="1">
      <c r="B71" s="1487" t="str">
        <f>ProcessEnergy!B17</f>
        <v>&lt;empty&gt;</v>
      </c>
      <c r="C71" s="1469"/>
      <c r="D71" s="105"/>
      <c r="E71" s="105"/>
      <c r="F71" s="105"/>
      <c r="G71" s="105"/>
      <c r="H71" s="984"/>
      <c r="I71" s="1471"/>
      <c r="J71" s="1488"/>
    </row>
    <row r="72" spans="2:10" s="1240" customFormat="1" ht="12.75" customHeight="1">
      <c r="B72" s="1487" t="str">
        <f>ProcessEnergy!B18</f>
        <v>&lt;empty&gt;</v>
      </c>
      <c r="C72" s="1469"/>
      <c r="D72" s="105"/>
      <c r="E72" s="105"/>
      <c r="F72" s="105"/>
      <c r="G72" s="105"/>
      <c r="H72" s="984"/>
      <c r="I72" s="1471"/>
      <c r="J72" s="1488"/>
    </row>
    <row r="73" spans="2:10" s="1240" customFormat="1" ht="12.75" customHeight="1">
      <c r="B73" s="1487" t="str">
        <f>ProcessEnergy!B19</f>
        <v>&lt;empty&gt;</v>
      </c>
      <c r="C73" s="1469"/>
      <c r="D73" s="105"/>
      <c r="E73" s="105"/>
      <c r="F73" s="105"/>
      <c r="G73" s="105"/>
      <c r="H73" s="984"/>
      <c r="I73" s="1471"/>
      <c r="J73" s="1488"/>
    </row>
    <row r="74" spans="2:10" s="1240" customFormat="1" ht="12.75" customHeight="1">
      <c r="B74" s="1487" t="str">
        <f>ProcessEnergy!B20</f>
        <v>&lt;empty&gt;</v>
      </c>
      <c r="C74" s="1469"/>
      <c r="D74" s="105"/>
      <c r="E74" s="105"/>
      <c r="F74" s="105"/>
      <c r="G74" s="105"/>
      <c r="H74" s="984"/>
      <c r="I74" s="1471"/>
      <c r="J74" s="1488"/>
    </row>
    <row r="75" spans="2:10" s="1240" customFormat="1" ht="12.75" customHeight="1">
      <c r="B75" s="1487" t="str">
        <f>ProcessEnergy!B21</f>
        <v>&lt;empty&gt;</v>
      </c>
      <c r="C75" s="1469"/>
      <c r="D75" s="105"/>
      <c r="E75" s="105"/>
      <c r="F75" s="105"/>
      <c r="G75" s="105"/>
      <c r="H75" s="984"/>
      <c r="I75" s="1471"/>
      <c r="J75" s="1488"/>
    </row>
    <row r="76" spans="2:10" s="1240" customFormat="1" ht="12.75" customHeight="1">
      <c r="B76" s="1487" t="str">
        <f>ProcessEnergy!B22</f>
        <v>&lt;empty&gt;</v>
      </c>
      <c r="C76" s="1469"/>
      <c r="D76" s="105"/>
      <c r="E76" s="105"/>
      <c r="F76" s="105"/>
      <c r="G76" s="105"/>
      <c r="H76" s="984"/>
      <c r="I76" s="1471"/>
      <c r="J76" s="1488"/>
    </row>
    <row r="77" spans="2:10" s="1240" customFormat="1" ht="12.75" customHeight="1">
      <c r="B77" s="1487" t="str">
        <f>ProcessEnergy!B23</f>
        <v>&lt;empty&gt;</v>
      </c>
      <c r="C77" s="1469"/>
      <c r="D77" s="105"/>
      <c r="E77" s="105"/>
      <c r="F77" s="105"/>
      <c r="G77" s="105"/>
      <c r="H77" s="984"/>
      <c r="I77" s="1471"/>
      <c r="J77" s="1488"/>
    </row>
    <row r="78" spans="2:10" ht="12.75" customHeight="1">
      <c r="B78" s="230" t="str">
        <f>ProcessEnergy!B24</f>
        <v>&lt;empty&gt;</v>
      </c>
      <c r="C78" s="564" t="s">
        <v>725</v>
      </c>
      <c r="D78" s="105"/>
      <c r="E78" s="105"/>
      <c r="F78" s="105"/>
      <c r="G78" s="105"/>
      <c r="H78" s="984"/>
      <c r="I78" s="228"/>
      <c r="J78" s="229"/>
    </row>
    <row r="79" spans="2:10" ht="12.75" customHeight="1">
      <c r="B79" s="310"/>
      <c r="C79" s="210"/>
      <c r="D79" s="105"/>
      <c r="E79" s="105"/>
      <c r="F79" s="105"/>
      <c r="G79" s="105"/>
      <c r="H79" s="984"/>
      <c r="I79" s="228"/>
      <c r="J79" s="229"/>
    </row>
    <row r="80" spans="2:10" ht="12.75" customHeight="1">
      <c r="B80" s="310"/>
      <c r="C80" s="210"/>
      <c r="D80" s="105"/>
      <c r="E80" s="105"/>
      <c r="F80" s="105"/>
      <c r="G80" s="105"/>
      <c r="H80" s="984"/>
      <c r="I80" s="228"/>
      <c r="J80" s="229"/>
    </row>
    <row r="81" spans="1:17" ht="12.75" customHeight="1">
      <c r="B81" s="247"/>
      <c r="C81" s="210"/>
      <c r="D81" s="106"/>
      <c r="E81" s="106"/>
      <c r="F81" s="106"/>
      <c r="G81" s="106"/>
      <c r="H81" s="986"/>
      <c r="I81" s="228"/>
      <c r="J81" s="229"/>
    </row>
    <row r="82" spans="1:17" ht="12.75" customHeight="1">
      <c r="B82" s="216" t="s">
        <v>152</v>
      </c>
      <c r="C82" s="210"/>
      <c r="D82" s="106"/>
      <c r="E82" s="106"/>
      <c r="F82" s="106"/>
      <c r="G82" s="106"/>
      <c r="H82" s="986"/>
      <c r="I82" s="228"/>
      <c r="J82" s="229"/>
    </row>
    <row r="83" spans="1:17" ht="12.75" customHeight="1">
      <c r="A83" s="167">
        <v>4</v>
      </c>
      <c r="B83" s="247" t="s">
        <v>462</v>
      </c>
      <c r="C83" s="210" t="s">
        <v>52</v>
      </c>
      <c r="D83" s="1394">
        <f>D32</f>
        <v>1</v>
      </c>
      <c r="E83" s="1394">
        <f>E32</f>
        <v>1</v>
      </c>
      <c r="F83" s="1394">
        <f>F32</f>
        <v>1</v>
      </c>
      <c r="G83" s="1394">
        <f>G32</f>
        <v>1</v>
      </c>
      <c r="H83" s="978"/>
      <c r="I83" s="1335"/>
      <c r="J83" s="229"/>
    </row>
    <row r="84" spans="1:17" ht="12.75" customHeight="1">
      <c r="B84" s="247" t="s">
        <v>153</v>
      </c>
      <c r="C84" s="210" t="s">
        <v>52</v>
      </c>
      <c r="D84" s="105"/>
      <c r="E84" s="105"/>
      <c r="F84" s="105"/>
      <c r="G84" s="105"/>
      <c r="H84" s="1334"/>
      <c r="I84" s="228"/>
      <c r="J84" s="229"/>
    </row>
    <row r="85" spans="1:17" ht="12.75" customHeight="1">
      <c r="B85" s="247" t="s">
        <v>154</v>
      </c>
      <c r="C85" s="210" t="s">
        <v>52</v>
      </c>
      <c r="D85" s="105"/>
      <c r="E85" s="105"/>
      <c r="F85" s="105"/>
      <c r="G85" s="105"/>
      <c r="H85" s="978"/>
      <c r="I85" s="228"/>
      <c r="J85" s="229"/>
    </row>
    <row r="86" spans="1:17" ht="12.75" customHeight="1">
      <c r="B86" s="310" t="s">
        <v>2022</v>
      </c>
      <c r="C86" s="210" t="s">
        <v>52</v>
      </c>
      <c r="D86" s="237">
        <f>D32*D31</f>
        <v>0.94474816369359926</v>
      </c>
      <c r="E86" s="237">
        <f>E32*E31</f>
        <v>0.98474816369359919</v>
      </c>
      <c r="F86" s="237">
        <f>F32*F31</f>
        <v>0.98474816369359919</v>
      </c>
      <c r="G86" s="237">
        <f>G32*G31</f>
        <v>0.98474816369359919</v>
      </c>
      <c r="H86" s="978"/>
      <c r="I86" s="228"/>
      <c r="J86" s="229"/>
    </row>
    <row r="87" spans="1:17" ht="12.75" customHeight="1">
      <c r="B87" s="108" t="s">
        <v>155</v>
      </c>
      <c r="C87" s="210" t="s">
        <v>52</v>
      </c>
      <c r="D87" s="109">
        <f>D83+D84-D85-D86</f>
        <v>5.5251836306400737E-2</v>
      </c>
      <c r="E87" s="109">
        <f>E83+E84-E85-E86</f>
        <v>1.5251836306400812E-2</v>
      </c>
      <c r="F87" s="109">
        <f>F83+F84-F85-F86</f>
        <v>1.5251836306400812E-2</v>
      </c>
      <c r="G87" s="109">
        <f>G83+G84-G85-G86</f>
        <v>1.5251836306400812E-2</v>
      </c>
      <c r="H87" s="978"/>
      <c r="I87" s="228"/>
      <c r="J87" s="229"/>
    </row>
    <row r="88" spans="1:17" ht="12.75" customHeight="1">
      <c r="B88" s="108" t="s">
        <v>156</v>
      </c>
      <c r="C88" s="233"/>
      <c r="D88" s="462">
        <f>(D86+D85)/(D83+D84)</f>
        <v>0.94474816369359926</v>
      </c>
      <c r="E88" s="462">
        <f>(E86+E85)/(E83+E84)</f>
        <v>0.98474816369359919</v>
      </c>
      <c r="F88" s="462">
        <f>(F86+F85)/(F83+F84)</f>
        <v>0.98474816369359919</v>
      </c>
      <c r="G88" s="462">
        <f>(G86+G85)/(G83+G84)</f>
        <v>0.98474816369359919</v>
      </c>
      <c r="H88" s="990"/>
      <c r="I88" s="228"/>
      <c r="J88" s="229"/>
    </row>
    <row r="89" spans="1:17" ht="12.75" customHeight="1">
      <c r="B89" s="247"/>
      <c r="C89" s="210"/>
      <c r="D89" s="213"/>
      <c r="E89" s="213"/>
      <c r="F89" s="213"/>
      <c r="G89" s="213"/>
      <c r="H89" s="990"/>
      <c r="I89" s="228"/>
      <c r="J89" s="229"/>
      <c r="N89" s="234"/>
    </row>
    <row r="90" spans="1:17" ht="12.75" customHeight="1">
      <c r="B90" s="216" t="s">
        <v>33</v>
      </c>
      <c r="C90" s="210"/>
      <c r="D90" s="213"/>
      <c r="E90" s="213"/>
      <c r="F90" s="213"/>
      <c r="G90" s="213"/>
      <c r="H90" s="983"/>
      <c r="I90" s="228"/>
      <c r="J90" s="229"/>
      <c r="N90" s="110"/>
      <c r="O90" s="110"/>
      <c r="P90" s="110"/>
      <c r="Q90" s="110"/>
    </row>
    <row r="91" spans="1:17" s="530" customFormat="1">
      <c r="B91" s="964" t="s">
        <v>157</v>
      </c>
      <c r="C91" s="976" t="s">
        <v>61</v>
      </c>
      <c r="D91" s="992">
        <f>HLOOKUP($H100,Supplementary!$C$44:$AF$46,3,FALSE)*D100</f>
        <v>0</v>
      </c>
      <c r="E91" s="555">
        <f>HLOOKUP($H100,Supplementary!$C$44:$AF$46,3,FALSE)*E100</f>
        <v>0</v>
      </c>
      <c r="F91" s="555">
        <f>HLOOKUP($H100,Supplementary!$C$44:$AF$46,3,FALSE)*F100</f>
        <v>0</v>
      </c>
      <c r="G91" s="555">
        <f>HLOOKUP($H100,Supplementary!$C$44:$AF$46,3,FALSE)*G100</f>
        <v>0</v>
      </c>
      <c r="H91" s="555">
        <f t="shared" ref="H91:H97" si="0">priceYear</f>
        <v>2015</v>
      </c>
      <c r="I91" s="555"/>
      <c r="J91" s="965"/>
      <c r="N91" s="991"/>
      <c r="O91" s="991"/>
      <c r="P91" s="991"/>
      <c r="Q91" s="991"/>
    </row>
    <row r="92" spans="1:17" s="530" customFormat="1">
      <c r="B92" s="964" t="s">
        <v>160</v>
      </c>
      <c r="C92" s="976" t="s">
        <v>1094</v>
      </c>
      <c r="D92" s="992">
        <f ca="1">HLOOKUP($H101,Supplementary!$C$44:$AF$46,3,FALSE)*D101</f>
        <v>0</v>
      </c>
      <c r="E92" s="555">
        <f ca="1">HLOOKUP($H101,Supplementary!$C$44:$AF$46,3,FALSE)*E101</f>
        <v>0</v>
      </c>
      <c r="F92" s="555">
        <f ca="1">HLOOKUP($H101,Supplementary!$C$44:$AF$46,3,FALSE)*F101</f>
        <v>0</v>
      </c>
      <c r="G92" s="555">
        <f ca="1">HLOOKUP($H101,Supplementary!$C$44:$AF$46,3,FALSE)*G101</f>
        <v>0</v>
      </c>
      <c r="H92" s="555">
        <f t="shared" si="0"/>
        <v>2015</v>
      </c>
      <c r="I92" s="555"/>
      <c r="J92" s="965"/>
      <c r="N92" s="991"/>
      <c r="O92" s="991"/>
      <c r="P92" s="991"/>
      <c r="Q92" s="991"/>
    </row>
    <row r="93" spans="1:17" s="530" customFormat="1">
      <c r="B93" s="995" t="s">
        <v>162</v>
      </c>
      <c r="C93" s="976" t="s">
        <v>1094</v>
      </c>
      <c r="D93" s="992">
        <f ca="1">HLOOKUP($H102,Supplementary!$C$44:$AF$46,3,FALSE)*D102</f>
        <v>0</v>
      </c>
      <c r="E93" s="555">
        <f ca="1">HLOOKUP($H102,Supplementary!$C$44:$AF$46,3,FALSE)*E102</f>
        <v>0</v>
      </c>
      <c r="F93" s="555">
        <f ca="1">HLOOKUP($H102,Supplementary!$C$44:$AF$46,3,FALSE)*F102</f>
        <v>0</v>
      </c>
      <c r="G93" s="555">
        <f ca="1">HLOOKUP($H102,Supplementary!$C$44:$AF$46,3,FALSE)*G102</f>
        <v>0</v>
      </c>
      <c r="H93" s="555">
        <f t="shared" si="0"/>
        <v>2015</v>
      </c>
      <c r="I93" s="555"/>
      <c r="J93" s="965"/>
      <c r="N93" s="991"/>
      <c r="O93" s="991"/>
      <c r="P93" s="991"/>
      <c r="Q93" s="991"/>
    </row>
    <row r="94" spans="1:17" s="530" customFormat="1">
      <c r="B94" s="995" t="s">
        <v>163</v>
      </c>
      <c r="C94" s="976" t="s">
        <v>1094</v>
      </c>
      <c r="D94" s="992">
        <f>HLOOKUP($H103,Supplementary!$C$44:$AF$46,3,FALSE)*D103</f>
        <v>0</v>
      </c>
      <c r="E94" s="555">
        <f>HLOOKUP($H103,Supplementary!$C$44:$AF$46,3,FALSE)*E103</f>
        <v>0</v>
      </c>
      <c r="F94" s="555">
        <f>HLOOKUP($H103,Supplementary!$C$44:$AF$46,3,FALSE)*F103</f>
        <v>0</v>
      </c>
      <c r="G94" s="555">
        <f>HLOOKUP($H103,Supplementary!$C$44:$AF$46,3,FALSE)*G103</f>
        <v>0</v>
      </c>
      <c r="H94" s="555">
        <f t="shared" si="0"/>
        <v>2015</v>
      </c>
      <c r="I94" s="555"/>
      <c r="J94" s="965"/>
      <c r="N94" s="991"/>
      <c r="O94" s="991"/>
      <c r="P94" s="991"/>
      <c r="Q94" s="991"/>
    </row>
    <row r="95" spans="1:17" s="530" customFormat="1">
      <c r="B95" s="995" t="s">
        <v>164</v>
      </c>
      <c r="C95" s="976" t="s">
        <v>464</v>
      </c>
      <c r="D95" s="992">
        <f>HLOOKUP($H104,Supplementary!$C$44:$AF$46,3,FALSE)*D104</f>
        <v>0</v>
      </c>
      <c r="E95" s="555">
        <f>HLOOKUP($H104,Supplementary!$C$44:$AF$46,3,FALSE)*E104</f>
        <v>0</v>
      </c>
      <c r="F95" s="555">
        <f>HLOOKUP($H104,Supplementary!$C$44:$AF$46,3,FALSE)*F104</f>
        <v>0</v>
      </c>
      <c r="G95" s="555">
        <f>HLOOKUP($H104,Supplementary!$C$44:$AF$46,3,FALSE)*G104</f>
        <v>0</v>
      </c>
      <c r="H95" s="555">
        <f t="shared" si="0"/>
        <v>2015</v>
      </c>
      <c r="I95" s="555"/>
      <c r="J95" s="965"/>
      <c r="N95" s="991"/>
      <c r="O95" s="991"/>
      <c r="P95" s="991"/>
      <c r="Q95" s="991"/>
    </row>
    <row r="96" spans="1:17" s="530" customFormat="1">
      <c r="B96" s="995" t="s">
        <v>264</v>
      </c>
      <c r="C96" s="976" t="s">
        <v>464</v>
      </c>
      <c r="D96" s="992">
        <f>HLOOKUP($H105,Supplementary!$C$44:$AF$46,3,FALSE)*D105</f>
        <v>0</v>
      </c>
      <c r="E96" s="555">
        <f>HLOOKUP($H105,Supplementary!$C$44:$AF$46,3,FALSE)*E105</f>
        <v>0</v>
      </c>
      <c r="F96" s="555">
        <f>HLOOKUP($H105,Supplementary!$C$44:$AF$46,3,FALSE)*F105</f>
        <v>0</v>
      </c>
      <c r="G96" s="555">
        <f>HLOOKUP($H105,Supplementary!$C$44:$AF$46,3,FALSE)*G105</f>
        <v>0</v>
      </c>
      <c r="H96" s="555">
        <f t="shared" si="0"/>
        <v>2015</v>
      </c>
      <c r="I96" s="555"/>
      <c r="J96" s="965"/>
      <c r="N96" s="991"/>
      <c r="O96" s="991"/>
      <c r="P96" s="991"/>
      <c r="Q96" s="991"/>
    </row>
    <row r="97" spans="1:17" s="530" customFormat="1">
      <c r="B97" s="995" t="s">
        <v>165</v>
      </c>
      <c r="C97" s="976" t="s">
        <v>464</v>
      </c>
      <c r="D97" s="992">
        <f>HLOOKUP($H106,Supplementary!$C$44:$AF$46,3,FALSE)*D106</f>
        <v>0</v>
      </c>
      <c r="E97" s="555">
        <f>HLOOKUP($H106,Supplementary!$C$44:$AF$46,3,FALSE)*E106</f>
        <v>0</v>
      </c>
      <c r="F97" s="555">
        <f>HLOOKUP($H106,Supplementary!$C$44:$AF$46,3,FALSE)*F106</f>
        <v>0</v>
      </c>
      <c r="G97" s="555">
        <f>HLOOKUP($H106,Supplementary!$C$44:$AF$46,3,FALSE)*G106</f>
        <v>0</v>
      </c>
      <c r="H97" s="555">
        <f t="shared" si="0"/>
        <v>2015</v>
      </c>
      <c r="I97" s="555"/>
      <c r="J97" s="965"/>
      <c r="N97" s="991"/>
      <c r="O97" s="991"/>
      <c r="P97" s="991"/>
      <c r="Q97" s="991"/>
    </row>
    <row r="98" spans="1:17" s="530" customFormat="1">
      <c r="B98" s="975"/>
      <c r="C98" s="976"/>
      <c r="D98" s="992"/>
      <c r="E98" s="983"/>
      <c r="F98" s="983"/>
      <c r="G98" s="983"/>
      <c r="H98" s="983"/>
      <c r="I98" s="555"/>
      <c r="J98" s="965"/>
      <c r="N98" s="991"/>
      <c r="O98" s="991"/>
      <c r="P98" s="991"/>
      <c r="Q98" s="991"/>
    </row>
    <row r="99" spans="1:17" s="530" customFormat="1">
      <c r="B99" s="975"/>
      <c r="C99" s="976"/>
      <c r="D99" s="992"/>
      <c r="E99" s="983"/>
      <c r="F99" s="983"/>
      <c r="G99" s="983"/>
      <c r="H99" s="983"/>
      <c r="I99" s="555"/>
      <c r="J99" s="965"/>
      <c r="N99" s="991"/>
      <c r="O99" s="991"/>
      <c r="P99" s="991"/>
      <c r="Q99" s="991"/>
    </row>
    <row r="100" spans="1:17" ht="12.75" customHeight="1">
      <c r="B100" s="247" t="s">
        <v>157</v>
      </c>
      <c r="C100" s="210" t="s">
        <v>61</v>
      </c>
      <c r="D100" s="115"/>
      <c r="E100" s="115"/>
      <c r="F100" s="115"/>
      <c r="G100" s="115"/>
      <c r="H100" s="1668">
        <v>2011</v>
      </c>
      <c r="I100" s="228"/>
      <c r="J100" s="229"/>
      <c r="N100" s="110"/>
      <c r="O100" s="110"/>
      <c r="P100" s="110"/>
      <c r="Q100" s="110"/>
    </row>
    <row r="101" spans="1:17" ht="12.75" customHeight="1">
      <c r="B101" s="230" t="s">
        <v>160</v>
      </c>
      <c r="C101" s="210" t="s">
        <v>464</v>
      </c>
      <c r="D101" s="166">
        <f ca="1">+SUM(D102:D106)</f>
        <v>0</v>
      </c>
      <c r="E101" s="166">
        <f ca="1">+SUM(E102:E106)</f>
        <v>0</v>
      </c>
      <c r="F101" s="166">
        <f ca="1">+SUM(F102:F106)</f>
        <v>0</v>
      </c>
      <c r="G101" s="166">
        <f ca="1">+SUM(G102:G106)</f>
        <v>0</v>
      </c>
      <c r="H101" s="1668">
        <v>2011</v>
      </c>
      <c r="I101" s="235"/>
      <c r="J101" s="229"/>
      <c r="N101" s="110"/>
      <c r="O101" s="110"/>
      <c r="P101" s="110"/>
      <c r="Q101" s="110"/>
    </row>
    <row r="102" spans="1:17" ht="12.75" customHeight="1">
      <c r="B102" s="236" t="s">
        <v>162</v>
      </c>
      <c r="C102" s="210" t="s">
        <v>464</v>
      </c>
      <c r="D102" s="166">
        <f ca="1">PMT(rSØK,D34,-D100)/(D32*D33)</f>
        <v>0</v>
      </c>
      <c r="E102" s="166">
        <f ca="1">PMT(rSØK,E34,-E100)/(E32*E33)</f>
        <v>0</v>
      </c>
      <c r="F102" s="166">
        <f ca="1">PMT(rSØK,F34,-F100)/(F32*F33)</f>
        <v>0</v>
      </c>
      <c r="G102" s="166">
        <f ca="1">PMT(rSØK,G34,-G100)/(G32*G33)</f>
        <v>0</v>
      </c>
      <c r="H102" s="1668">
        <v>2011</v>
      </c>
      <c r="I102" s="235"/>
      <c r="J102" s="229"/>
      <c r="N102" s="110"/>
      <c r="O102" s="110"/>
      <c r="P102" s="110"/>
      <c r="Q102" s="110"/>
    </row>
    <row r="103" spans="1:17" ht="12.75" customHeight="1">
      <c r="B103" s="236" t="s">
        <v>163</v>
      </c>
      <c r="C103" s="210" t="s">
        <v>464</v>
      </c>
      <c r="D103" s="460"/>
      <c r="E103" s="460"/>
      <c r="F103" s="460"/>
      <c r="G103" s="460"/>
      <c r="H103" s="1668">
        <v>2011</v>
      </c>
      <c r="I103" s="228"/>
      <c r="J103" s="229"/>
      <c r="N103" s="110"/>
      <c r="O103" s="110"/>
      <c r="P103" s="110"/>
      <c r="Q103" s="110"/>
    </row>
    <row r="104" spans="1:17" ht="12.75" customHeight="1">
      <c r="A104" s="167">
        <v>6</v>
      </c>
      <c r="B104" s="236" t="s">
        <v>164</v>
      </c>
      <c r="C104" s="210" t="s">
        <v>464</v>
      </c>
      <c r="D104" s="460"/>
      <c r="E104" s="460"/>
      <c r="F104" s="460"/>
      <c r="G104" s="460"/>
      <c r="H104" s="1668">
        <v>2011</v>
      </c>
      <c r="I104" s="228"/>
      <c r="J104" s="229"/>
      <c r="N104" s="110"/>
      <c r="O104" s="110"/>
      <c r="P104" s="110"/>
      <c r="Q104" s="110"/>
    </row>
    <row r="105" spans="1:17" ht="12.75" customHeight="1">
      <c r="B105" s="236" t="s">
        <v>264</v>
      </c>
      <c r="C105" s="210" t="s">
        <v>464</v>
      </c>
      <c r="D105" s="460"/>
      <c r="E105" s="460"/>
      <c r="F105" s="460"/>
      <c r="G105" s="460"/>
      <c r="H105" s="1668">
        <v>2011</v>
      </c>
      <c r="I105" s="228"/>
      <c r="J105" s="229"/>
      <c r="N105" s="110"/>
      <c r="O105" s="110"/>
      <c r="P105" s="110"/>
      <c r="Q105" s="110"/>
    </row>
    <row r="106" spans="1:17" ht="12.75" customHeight="1">
      <c r="B106" s="236" t="s">
        <v>165</v>
      </c>
      <c r="C106" s="210" t="s">
        <v>464</v>
      </c>
      <c r="D106" s="460"/>
      <c r="E106" s="460"/>
      <c r="F106" s="460"/>
      <c r="G106" s="460"/>
      <c r="H106" s="1668">
        <v>2011</v>
      </c>
      <c r="I106" s="228"/>
      <c r="J106" s="229"/>
      <c r="N106" s="110"/>
      <c r="O106" s="110"/>
      <c r="P106" s="110"/>
      <c r="Q106" s="110"/>
    </row>
    <row r="107" spans="1:17" ht="12.75" customHeight="1">
      <c r="B107" s="236"/>
      <c r="C107" s="210"/>
      <c r="D107" s="213"/>
      <c r="E107" s="213"/>
      <c r="F107" s="213"/>
      <c r="G107" s="213"/>
      <c r="H107" s="983"/>
      <c r="I107" s="235"/>
      <c r="J107" s="229"/>
      <c r="N107" s="110"/>
      <c r="O107" s="110"/>
      <c r="P107" s="110"/>
      <c r="Q107" s="110"/>
    </row>
    <row r="108" spans="1:17" s="523" customFormat="1" ht="12.75" customHeight="1">
      <c r="B108" s="236"/>
      <c r="C108" s="210"/>
      <c r="D108" s="213"/>
      <c r="E108" s="213"/>
      <c r="F108" s="213"/>
      <c r="G108" s="213"/>
      <c r="H108" s="983"/>
      <c r="I108" s="235"/>
      <c r="J108" s="229"/>
      <c r="N108" s="110"/>
      <c r="O108" s="110"/>
      <c r="P108" s="110"/>
      <c r="Q108" s="110"/>
    </row>
    <row r="109" spans="1:17" s="523" customFormat="1" ht="12.75" customHeight="1">
      <c r="B109" s="236"/>
      <c r="C109" s="210"/>
      <c r="D109" s="213"/>
      <c r="E109" s="213"/>
      <c r="F109" s="213"/>
      <c r="G109" s="213"/>
      <c r="H109" s="983"/>
      <c r="I109" s="235"/>
      <c r="J109" s="229"/>
      <c r="N109" s="110"/>
      <c r="O109" s="110"/>
      <c r="P109" s="110"/>
      <c r="Q109" s="110"/>
    </row>
    <row r="110" spans="1:17" s="523" customFormat="1" ht="12.75" customHeight="1">
      <c r="B110" s="236"/>
      <c r="C110" s="210"/>
      <c r="D110" s="213"/>
      <c r="E110" s="213"/>
      <c r="F110" s="213"/>
      <c r="G110" s="213"/>
      <c r="H110" s="983"/>
      <c r="I110" s="235"/>
      <c r="J110" s="229"/>
      <c r="N110" s="110"/>
      <c r="O110" s="110"/>
      <c r="P110" s="110"/>
      <c r="Q110" s="110"/>
    </row>
    <row r="111" spans="1:17" s="523" customFormat="1" ht="12.75" customHeight="1">
      <c r="B111" s="236"/>
      <c r="C111" s="210"/>
      <c r="D111" s="213"/>
      <c r="E111" s="213"/>
      <c r="F111" s="213"/>
      <c r="G111" s="213"/>
      <c r="H111" s="983"/>
      <c r="I111" s="235"/>
      <c r="J111" s="229"/>
      <c r="N111" s="110"/>
      <c r="O111" s="110"/>
      <c r="P111" s="110"/>
      <c r="Q111" s="110"/>
    </row>
    <row r="112" spans="1:17" s="523" customFormat="1" ht="12.75" customHeight="1">
      <c r="B112" s="236"/>
      <c r="C112" s="210"/>
      <c r="D112" s="213"/>
      <c r="E112" s="213"/>
      <c r="F112" s="213"/>
      <c r="G112" s="213"/>
      <c r="H112" s="983"/>
      <c r="I112" s="235"/>
      <c r="J112" s="229"/>
      <c r="N112" s="110"/>
      <c r="O112" s="110"/>
      <c r="P112" s="110"/>
      <c r="Q112" s="110"/>
    </row>
    <row r="113" spans="2:17" ht="12.75" customHeight="1">
      <c r="B113" s="216" t="s">
        <v>166</v>
      </c>
      <c r="C113" s="210"/>
      <c r="D113" s="213"/>
      <c r="E113" s="213"/>
      <c r="F113" s="213"/>
      <c r="G113" s="213"/>
      <c r="H113" s="983"/>
      <c r="I113" s="235"/>
      <c r="J113" s="229"/>
      <c r="N113" s="112"/>
      <c r="O113" s="112"/>
      <c r="P113" s="112"/>
      <c r="Q113" s="110"/>
    </row>
    <row r="114" spans="2:17" ht="12.75" customHeight="1">
      <c r="B114" s="230" t="s">
        <v>24</v>
      </c>
      <c r="C114" s="210" t="s">
        <v>465</v>
      </c>
      <c r="D114" s="452">
        <v>0</v>
      </c>
      <c r="E114" s="452">
        <v>0</v>
      </c>
      <c r="F114" s="452">
        <v>0</v>
      </c>
      <c r="G114" s="452">
        <v>0</v>
      </c>
      <c r="H114" s="999"/>
      <c r="I114" s="1335" t="s">
        <v>1747</v>
      </c>
      <c r="J114" s="229"/>
      <c r="N114" s="110"/>
      <c r="O114" s="110"/>
      <c r="P114" s="110"/>
      <c r="Q114" s="110"/>
    </row>
    <row r="115" spans="2:17" ht="12.75" customHeight="1">
      <c r="B115" s="230" t="s">
        <v>27</v>
      </c>
      <c r="C115" s="210" t="s">
        <v>465</v>
      </c>
      <c r="D115" s="452">
        <v>0</v>
      </c>
      <c r="E115" s="452">
        <v>0</v>
      </c>
      <c r="F115" s="452">
        <v>0</v>
      </c>
      <c r="G115" s="452">
        <v>0</v>
      </c>
      <c r="H115" s="999"/>
      <c r="I115" s="1335" t="s">
        <v>1747</v>
      </c>
      <c r="J115" s="229"/>
      <c r="N115" s="110"/>
      <c r="O115" s="110"/>
      <c r="P115" s="110"/>
      <c r="Q115" s="110"/>
    </row>
    <row r="116" spans="2:17" ht="12.75" customHeight="1">
      <c r="B116" s="230" t="s">
        <v>28</v>
      </c>
      <c r="C116" s="210" t="s">
        <v>465</v>
      </c>
      <c r="D116" s="452">
        <v>0</v>
      </c>
      <c r="E116" s="452">
        <v>0</v>
      </c>
      <c r="F116" s="452">
        <v>0</v>
      </c>
      <c r="G116" s="452">
        <v>0</v>
      </c>
      <c r="H116" s="999"/>
      <c r="I116" s="1335" t="s">
        <v>1747</v>
      </c>
      <c r="J116" s="229"/>
      <c r="N116" s="110"/>
      <c r="O116" s="110"/>
      <c r="P116" s="110"/>
      <c r="Q116" s="110"/>
    </row>
    <row r="117" spans="2:17" ht="12.75" customHeight="1">
      <c r="B117" s="230" t="s">
        <v>26</v>
      </c>
      <c r="C117" s="210" t="s">
        <v>465</v>
      </c>
      <c r="D117" s="452">
        <v>0</v>
      </c>
      <c r="E117" s="452">
        <v>0</v>
      </c>
      <c r="F117" s="452">
        <v>0</v>
      </c>
      <c r="G117" s="452">
        <v>0</v>
      </c>
      <c r="H117" s="999"/>
      <c r="I117" s="1335" t="s">
        <v>1747</v>
      </c>
      <c r="J117" s="229"/>
      <c r="N117" s="110"/>
      <c r="O117" s="110"/>
      <c r="P117" s="110"/>
      <c r="Q117" s="110"/>
    </row>
    <row r="118" spans="2:17" ht="12.75" customHeight="1">
      <c r="B118" s="230" t="s">
        <v>167</v>
      </c>
      <c r="C118" s="210" t="s">
        <v>465</v>
      </c>
      <c r="D118" s="452">
        <v>0</v>
      </c>
      <c r="E118" s="452">
        <v>0</v>
      </c>
      <c r="F118" s="452">
        <v>0</v>
      </c>
      <c r="G118" s="452">
        <v>0</v>
      </c>
      <c r="H118" s="999"/>
      <c r="I118" s="1335" t="s">
        <v>1747</v>
      </c>
      <c r="J118" s="229"/>
      <c r="N118" s="112"/>
      <c r="O118" s="112"/>
      <c r="P118" s="112"/>
      <c r="Q118" s="112"/>
    </row>
    <row r="119" spans="2:17" ht="12.75" customHeight="1">
      <c r="B119" s="230" t="s">
        <v>45</v>
      </c>
      <c r="C119" s="210" t="s">
        <v>465</v>
      </c>
      <c r="D119" s="407"/>
      <c r="E119" s="407"/>
      <c r="F119" s="407"/>
      <c r="G119" s="407"/>
      <c r="H119" s="1000"/>
      <c r="I119" s="228"/>
      <c r="J119" s="229"/>
    </row>
    <row r="120" spans="2:17" ht="12.75" customHeight="1" thickBot="1">
      <c r="B120" s="113"/>
      <c r="C120" s="238"/>
      <c r="D120" s="96"/>
      <c r="E120" s="244"/>
      <c r="F120" s="244"/>
      <c r="G120" s="244"/>
      <c r="H120" s="968"/>
      <c r="I120" s="239"/>
      <c r="J120" s="240"/>
    </row>
    <row r="121" spans="2:17" ht="12.75" customHeight="1"/>
    <row r="122" spans="2:17" ht="12.75" customHeight="1"/>
    <row r="123" spans="2:17" ht="12.75" customHeight="1"/>
    <row r="124" spans="2:17" ht="12.75" customHeight="1"/>
    <row r="125" spans="2:17" ht="12.75" customHeight="1">
      <c r="H125" s="555"/>
    </row>
    <row r="126" spans="2:17" ht="12.75" customHeight="1">
      <c r="H126" s="977"/>
    </row>
    <row r="127" spans="2:17" ht="12.75" customHeight="1">
      <c r="H127" s="993"/>
    </row>
    <row r="128" spans="2:17" ht="12.75" customHeight="1">
      <c r="H128" s="993"/>
    </row>
    <row r="129" spans="8:8" ht="12.75" customHeight="1">
      <c r="H129" s="993"/>
    </row>
    <row r="130" spans="8:8" ht="12.75" customHeight="1">
      <c r="H130" s="993"/>
    </row>
    <row r="131" spans="8:8" ht="12.75" customHeight="1">
      <c r="H131" s="993"/>
    </row>
    <row r="132" spans="8:8" ht="12.75" customHeight="1">
      <c r="H132" s="993"/>
    </row>
    <row r="133" spans="8:8" ht="12.75" customHeight="1">
      <c r="H133" s="993"/>
    </row>
    <row r="134" spans="8:8" ht="12.75" customHeight="1"/>
    <row r="135" spans="8:8" ht="12.75" customHeight="1"/>
    <row r="136" spans="8:8" ht="12.75" customHeight="1"/>
    <row r="137" spans="8:8" ht="12.75" customHeight="1"/>
    <row r="138" spans="8:8" ht="12.75" customHeight="1" thickBot="1">
      <c r="H138" s="555"/>
    </row>
    <row r="139" spans="8:8" ht="12.75" customHeight="1">
      <c r="H139" s="1009"/>
    </row>
    <row r="140" spans="8:8" ht="12.75" customHeight="1">
      <c r="H140" s="1014"/>
    </row>
    <row r="141" spans="8:8" ht="12.75" customHeight="1">
      <c r="H141" s="1016"/>
    </row>
    <row r="142" spans="8:8" ht="12.75" customHeight="1">
      <c r="H142" s="1018"/>
    </row>
    <row r="143" spans="8:8" ht="12.75" customHeight="1">
      <c r="H143" s="1016"/>
    </row>
    <row r="144" spans="8:8" ht="12.75" customHeight="1">
      <c r="H144" s="1016"/>
    </row>
    <row r="145" spans="8:8" ht="12.75" customHeight="1">
      <c r="H145" s="979"/>
    </row>
    <row r="146" spans="8:8" ht="12.75" customHeight="1">
      <c r="H146" s="1016"/>
    </row>
    <row r="147" spans="8:8" ht="12.75" customHeight="1" thickBot="1">
      <c r="H147" s="1021"/>
    </row>
    <row r="148" spans="8:8" ht="12.75" customHeight="1"/>
    <row r="149" spans="8:8" ht="12.75" customHeight="1"/>
    <row r="150" spans="8:8" ht="12.75" customHeight="1"/>
    <row r="151" spans="8:8" ht="12.75" customHeight="1"/>
    <row r="152" spans="8:8" ht="12.75" customHeight="1"/>
    <row r="153" spans="8:8" ht="12.75" customHeight="1"/>
    <row r="154" spans="8:8" ht="12.75" customHeight="1"/>
    <row r="155" spans="8:8" ht="12.75" customHeight="1" thickBot="1"/>
    <row r="156" spans="8:8" ht="12.75" customHeight="1">
      <c r="H156" s="1025"/>
    </row>
    <row r="157" spans="8:8" ht="12.75" customHeight="1">
      <c r="H157" s="1028"/>
    </row>
    <row r="158" spans="8:8" ht="12.75" customHeight="1">
      <c r="H158" s="1027"/>
    </row>
    <row r="159" spans="8:8" ht="12.75" customHeight="1">
      <c r="H159" s="1031"/>
    </row>
    <row r="160" spans="8:8" ht="12.75" customHeight="1">
      <c r="H160" s="1031"/>
    </row>
    <row r="161" spans="8:8" ht="12.75" customHeight="1">
      <c r="H161" s="1031"/>
    </row>
    <row r="162" spans="8:8" ht="12.75" customHeight="1">
      <c r="H162" s="1031"/>
    </row>
    <row r="163" spans="8:8" ht="12.75" customHeight="1">
      <c r="H163" s="1031"/>
    </row>
    <row r="164" spans="8:8" ht="12.75" customHeight="1">
      <c r="H164" s="1031"/>
    </row>
    <row r="165" spans="8:8" ht="12.75" customHeight="1">
      <c r="H165" s="1031"/>
    </row>
    <row r="166" spans="8:8" ht="12.75" customHeight="1">
      <c r="H166" s="1031"/>
    </row>
    <row r="167" spans="8:8" ht="12.75" customHeight="1">
      <c r="H167" s="1031"/>
    </row>
    <row r="168" spans="8:8" ht="12.75" customHeight="1">
      <c r="H168" s="1031"/>
    </row>
    <row r="169" spans="8:8" ht="12.75" customHeight="1">
      <c r="H169" s="1031"/>
    </row>
    <row r="170" spans="8:8" ht="12.75" customHeight="1">
      <c r="H170" s="1031"/>
    </row>
    <row r="171" spans="8:8" ht="12.75" customHeight="1">
      <c r="H171" s="1031"/>
    </row>
    <row r="172" spans="8:8" ht="12.75" customHeight="1">
      <c r="H172" s="1031"/>
    </row>
    <row r="173" spans="8:8" ht="12.75" customHeight="1">
      <c r="H173" s="1031"/>
    </row>
    <row r="174" spans="8:8" ht="12.75" customHeight="1">
      <c r="H174" s="1031"/>
    </row>
    <row r="175" spans="8:8" ht="12.75" customHeight="1">
      <c r="H175" s="1031"/>
    </row>
    <row r="176" spans="8:8" ht="12.75" customHeight="1">
      <c r="H176" s="1027"/>
    </row>
    <row r="177" spans="8:8" ht="12.75" customHeight="1">
      <c r="H177" s="1027"/>
    </row>
    <row r="178" spans="8:8" ht="12.75" customHeight="1">
      <c r="H178" s="1031"/>
    </row>
    <row r="179" spans="8:8" ht="12.75" customHeight="1" thickBot="1">
      <c r="H179" s="1035"/>
    </row>
    <row r="180" spans="8:8" ht="12.75" customHeight="1"/>
    <row r="181" spans="8:8" ht="12.75" customHeight="1"/>
    <row r="182" spans="8:8" ht="12.75" customHeight="1"/>
    <row r="183" spans="8:8" ht="12.75" customHeight="1"/>
    <row r="184" spans="8:8" ht="12.75" customHeight="1"/>
    <row r="185" spans="8:8" ht="12.75" customHeight="1"/>
    <row r="186" spans="8:8" ht="12.75" customHeight="1"/>
    <row r="187" spans="8:8" ht="12.75" customHeight="1"/>
    <row r="188" spans="8:8" ht="12.75" customHeight="1"/>
    <row r="189" spans="8:8" ht="12.75" customHeight="1"/>
    <row r="190" spans="8:8" ht="12.75" customHeight="1"/>
    <row r="191" spans="8:8" ht="12.75" customHeight="1"/>
    <row r="192" spans="8:8"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sheetData>
  <pageMargins left="0.15748031496062992" right="0.15748031496062992" top="1.25" bottom="0.19685039370078741" header="0.51181102362204722" footer="0.51181102362204722"/>
  <pageSetup paperSize="9" scale="38" orientation="landscape" r:id="rId1"/>
  <headerFooter alignWithMargins="0">
    <oddHeader>&amp;L&amp;"Arial"&amp;14&amp;BBeregningsmodel
&amp;"Arial"&amp;08&amp;B64329, Teknologivurdering af alternative drivmidler til transportsektoren&amp;R&amp;"Arial"&amp;08Page &amp;P of &amp;N</oddHeader>
    <oddFooter>&amp;L&amp;"Arial"&amp;08&amp;Z&amp;F
Sheet: &amp;A&amp;C&amp;"Arial"&amp;08Printed &amp;D &amp;T&amp;R&amp;G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19169" r:id="rId5" name="Button 1">
              <controlPr defaultSize="0" print="0" autoFill="0" autoPict="0" macro="[0]!GtOver">
                <anchor>
                  <from>
                    <xdr:col>6</xdr:col>
                    <xdr:colOff>923925</xdr:colOff>
                    <xdr:row>0</xdr:row>
                    <xdr:rowOff>28575</xdr:rowOff>
                  </from>
                  <to>
                    <xdr:col>7</xdr:col>
                    <xdr:colOff>952500</xdr:colOff>
                    <xdr:row>0</xdr:row>
                    <xdr:rowOff>238125</xdr:rowOff>
                  </to>
                </anchor>
              </controlPr>
            </control>
          </mc:Choice>
        </mc:AlternateContent>
        <mc:AlternateContent xmlns:mc="http://schemas.openxmlformats.org/markup-compatibility/2006">
          <mc:Choice Requires="x14">
            <control shapeId="519170" r:id="rId6" name="Button 2">
              <controlPr defaultSize="0" print="0" autoFill="0" autoPict="0" macro="[0]!GtRes">
                <anchor>
                  <from>
                    <xdr:col>8</xdr:col>
                    <xdr:colOff>57150</xdr:colOff>
                    <xdr:row>0</xdr:row>
                    <xdr:rowOff>28575</xdr:rowOff>
                  </from>
                  <to>
                    <xdr:col>9</xdr:col>
                    <xdr:colOff>657225</xdr:colOff>
                    <xdr:row>0</xdr:row>
                    <xdr:rowOff>238125</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rgb="FF0070C0"/>
    <pageSetUpPr fitToPage="1"/>
  </sheetPr>
  <dimension ref="B1:AA333"/>
  <sheetViews>
    <sheetView zoomScale="80" zoomScaleNormal="80" workbookViewId="0">
      <selection activeCell="D29" sqref="D29"/>
    </sheetView>
  </sheetViews>
  <sheetFormatPr defaultColWidth="8.85546875" defaultRowHeight="12.75"/>
  <cols>
    <col min="1" max="1" width="3.28515625" style="469" customWidth="1"/>
    <col min="2" max="2" width="36" style="469" customWidth="1"/>
    <col min="3" max="3" width="16.5703125" style="469" customWidth="1"/>
    <col min="4" max="7" width="15.7109375" style="469" customWidth="1"/>
    <col min="8" max="8" width="15.7109375" style="523" customWidth="1"/>
    <col min="9" max="9" width="7.28515625" style="469" customWidth="1"/>
    <col min="10" max="10" width="12.7109375" style="469" customWidth="1"/>
    <col min="11" max="12" width="13.28515625" style="469" customWidth="1"/>
    <col min="13" max="13" width="8.85546875" style="469"/>
    <col min="14" max="14" width="37.85546875" style="469" customWidth="1"/>
    <col min="15" max="16" width="8.85546875" style="469"/>
    <col min="17" max="18" width="12" style="469" customWidth="1"/>
    <col min="19" max="19" width="8.85546875" style="469"/>
    <col min="20" max="20" width="20.5703125" style="469" customWidth="1"/>
    <col min="21" max="16384" width="8.85546875" style="469"/>
  </cols>
  <sheetData>
    <row r="1" spans="2:18" s="465" customFormat="1" ht="21">
      <c r="B1" s="465" t="s">
        <v>384</v>
      </c>
      <c r="C1" s="466"/>
      <c r="Q1" s="467">
        <f ca="1">'Log2015'!M1</f>
        <v>-8.0112614142160741</v>
      </c>
      <c r="R1" s="468">
        <f ca="1">'Log2015'!N1</f>
        <v>-160807.124977848</v>
      </c>
    </row>
    <row r="2" spans="2:18" ht="12.75" customHeight="1">
      <c r="Q2" s="624">
        <f ca="1">Q1</f>
        <v>-8.0112614142160741</v>
      </c>
      <c r="R2" s="624">
        <f ca="1">R1</f>
        <v>-160807.124977848</v>
      </c>
    </row>
    <row r="3" spans="2:18" ht="12.75" customHeight="1"/>
    <row r="4" spans="2:18" ht="12.75" customHeight="1" thickBot="1">
      <c r="B4" s="470" t="s">
        <v>81</v>
      </c>
      <c r="H4" s="215"/>
    </row>
    <row r="5" spans="2:18" ht="12.75" customHeight="1" thickBot="1">
      <c r="B5" s="472" t="s">
        <v>137</v>
      </c>
      <c r="C5" s="473"/>
      <c r="D5" s="473"/>
      <c r="E5" s="473"/>
      <c r="F5" s="473"/>
      <c r="G5" s="473"/>
      <c r="I5" s="473"/>
      <c r="J5" s="474"/>
      <c r="K5" s="476"/>
      <c r="L5" s="476"/>
      <c r="M5" s="476"/>
      <c r="N5" s="476"/>
      <c r="O5" s="476"/>
      <c r="P5" s="476"/>
    </row>
    <row r="6" spans="2:18" ht="12.75" customHeight="1">
      <c r="B6" s="475"/>
      <c r="C6" s="476"/>
      <c r="D6" s="476"/>
      <c r="E6" s="476"/>
      <c r="F6" s="476"/>
      <c r="G6" s="476"/>
      <c r="H6" s="245"/>
      <c r="I6" s="476"/>
      <c r="J6" s="477"/>
      <c r="K6" s="476"/>
      <c r="L6" s="476"/>
      <c r="M6" s="476"/>
      <c r="N6" s="476"/>
      <c r="O6" s="476"/>
      <c r="P6" s="476"/>
    </row>
    <row r="7" spans="2:18" ht="12.75" customHeight="1">
      <c r="B7" s="475"/>
      <c r="C7" s="476"/>
      <c r="D7" s="476"/>
      <c r="E7" s="476"/>
      <c r="F7" s="476"/>
      <c r="G7" s="476"/>
      <c r="H7" s="248"/>
      <c r="I7" s="476"/>
      <c r="J7" s="477"/>
      <c r="K7" s="476"/>
      <c r="L7" s="476"/>
      <c r="M7" s="476"/>
      <c r="N7" s="476"/>
      <c r="O7" s="476"/>
      <c r="P7" s="476"/>
    </row>
    <row r="8" spans="2:18" ht="12.75" customHeight="1">
      <c r="B8" s="475"/>
      <c r="C8" s="476"/>
      <c r="D8" s="476"/>
      <c r="E8" s="476"/>
      <c r="F8" s="476"/>
      <c r="G8" s="476"/>
      <c r="H8" s="248"/>
      <c r="I8" s="476"/>
      <c r="J8" s="477"/>
      <c r="K8" s="476"/>
      <c r="L8" s="476"/>
      <c r="M8" s="476"/>
      <c r="N8" s="476"/>
      <c r="O8" s="476"/>
      <c r="P8" s="476"/>
    </row>
    <row r="9" spans="2:18" ht="12.75" customHeight="1">
      <c r="B9" s="475"/>
      <c r="C9" s="476"/>
      <c r="D9" s="476"/>
      <c r="E9" s="476"/>
      <c r="F9" s="476"/>
      <c r="G9" s="476"/>
      <c r="H9" s="248"/>
      <c r="I9" s="476"/>
      <c r="J9" s="477"/>
      <c r="K9" s="476"/>
      <c r="L9" s="476"/>
      <c r="M9" s="476"/>
      <c r="N9" s="476"/>
      <c r="O9" s="476"/>
      <c r="P9" s="476"/>
    </row>
    <row r="10" spans="2:18" ht="12.75" customHeight="1">
      <c r="B10" s="475" t="s">
        <v>138</v>
      </c>
      <c r="C10" s="476"/>
      <c r="D10" s="476"/>
      <c r="E10" s="476"/>
      <c r="F10" s="476"/>
      <c r="G10" s="476"/>
      <c r="H10" s="248"/>
      <c r="I10" s="476"/>
      <c r="J10" s="477"/>
      <c r="K10" s="476"/>
      <c r="L10" s="476"/>
      <c r="M10" s="476"/>
      <c r="N10" s="476"/>
      <c r="O10" s="476"/>
      <c r="P10" s="476"/>
    </row>
    <row r="11" spans="2:18" ht="12.75" customHeight="1">
      <c r="B11" s="475"/>
      <c r="C11" s="476"/>
      <c r="D11" s="476"/>
      <c r="E11" s="476"/>
      <c r="F11" s="476"/>
      <c r="G11" s="476"/>
      <c r="H11" s="248"/>
      <c r="I11" s="476"/>
      <c r="J11" s="477"/>
      <c r="K11" s="476"/>
      <c r="L11" s="476"/>
      <c r="M11" s="476"/>
      <c r="N11" s="476"/>
      <c r="O11" s="476"/>
      <c r="P11" s="476"/>
    </row>
    <row r="12" spans="2:18" ht="12.75" customHeight="1">
      <c r="B12" s="475" t="s">
        <v>140</v>
      </c>
      <c r="C12" s="476"/>
      <c r="D12" s="476"/>
      <c r="E12" s="476"/>
      <c r="F12" s="476"/>
      <c r="G12" s="476"/>
      <c r="H12" s="248"/>
      <c r="I12" s="476"/>
      <c r="J12" s="477"/>
      <c r="K12" s="476"/>
      <c r="L12" s="476"/>
      <c r="M12" s="476"/>
      <c r="N12" s="476"/>
      <c r="O12" s="476"/>
      <c r="P12" s="476"/>
    </row>
    <row r="13" spans="2:18" ht="12.75" customHeight="1">
      <c r="B13" s="475"/>
      <c r="C13" s="476"/>
      <c r="D13" s="476"/>
      <c r="E13" s="476"/>
      <c r="F13" s="476"/>
      <c r="G13" s="476"/>
      <c r="H13" s="248"/>
      <c r="I13" s="476"/>
      <c r="J13" s="477"/>
      <c r="K13" s="476"/>
      <c r="L13" s="476"/>
      <c r="M13" s="476"/>
      <c r="N13" s="476"/>
      <c r="O13" s="476"/>
      <c r="P13" s="476"/>
    </row>
    <row r="14" spans="2:18" ht="12.75" customHeight="1">
      <c r="B14" s="475" t="s">
        <v>141</v>
      </c>
      <c r="C14" s="476"/>
      <c r="D14" s="476"/>
      <c r="E14" s="476"/>
      <c r="F14" s="476"/>
      <c r="G14" s="476"/>
      <c r="H14" s="248"/>
      <c r="I14" s="476"/>
      <c r="J14" s="477"/>
      <c r="K14" s="476"/>
      <c r="L14" s="476"/>
      <c r="M14" s="476"/>
      <c r="N14" s="476"/>
      <c r="O14" s="476"/>
      <c r="P14" s="476"/>
    </row>
    <row r="15" spans="2:18" ht="12.75" customHeight="1">
      <c r="B15" s="475"/>
      <c r="C15" s="476"/>
      <c r="D15" s="476"/>
      <c r="E15" s="476"/>
      <c r="F15" s="476"/>
      <c r="G15" s="476"/>
      <c r="H15" s="248"/>
      <c r="I15" s="476"/>
      <c r="J15" s="477"/>
      <c r="K15" s="476"/>
      <c r="L15" s="476"/>
      <c r="M15" s="476"/>
      <c r="N15" s="476"/>
      <c r="O15" s="476"/>
      <c r="P15" s="476"/>
    </row>
    <row r="16" spans="2:18" ht="12.75" customHeight="1">
      <c r="B16" s="475" t="s">
        <v>142</v>
      </c>
      <c r="C16" s="476"/>
      <c r="D16" s="476"/>
      <c r="E16" s="476"/>
      <c r="F16" s="476"/>
      <c r="G16" s="476"/>
      <c r="H16" s="248"/>
      <c r="I16" s="476"/>
      <c r="J16" s="477"/>
      <c r="K16" s="476"/>
      <c r="L16" s="476"/>
      <c r="M16" s="476"/>
      <c r="N16" s="476"/>
      <c r="O16" s="476"/>
      <c r="P16" s="476"/>
    </row>
    <row r="17" spans="2:27" ht="12.75" customHeight="1">
      <c r="B17" s="475"/>
      <c r="C17" s="476"/>
      <c r="D17" s="476"/>
      <c r="E17" s="476"/>
      <c r="F17" s="476"/>
      <c r="G17" s="476"/>
      <c r="H17" s="248"/>
      <c r="I17" s="476"/>
      <c r="J17" s="477"/>
      <c r="K17" s="476"/>
      <c r="L17" s="476"/>
      <c r="M17" s="476"/>
      <c r="N17" s="476"/>
      <c r="O17" s="476"/>
      <c r="P17" s="476"/>
    </row>
    <row r="18" spans="2:27" ht="12.75" customHeight="1">
      <c r="B18" s="475"/>
      <c r="C18" s="476"/>
      <c r="D18" s="476"/>
      <c r="E18" s="476"/>
      <c r="F18" s="476"/>
      <c r="G18" s="476"/>
      <c r="H18" s="248"/>
      <c r="I18" s="476"/>
      <c r="J18" s="477"/>
      <c r="K18" s="476"/>
      <c r="L18" s="476"/>
      <c r="M18" s="476"/>
      <c r="N18" s="476"/>
      <c r="O18" s="476"/>
      <c r="P18" s="476"/>
    </row>
    <row r="19" spans="2:27" ht="12.75" customHeight="1">
      <c r="B19" s="475"/>
      <c r="C19" s="476"/>
      <c r="D19" s="476"/>
      <c r="E19" s="476"/>
      <c r="F19" s="476"/>
      <c r="G19" s="476"/>
      <c r="H19" s="248"/>
      <c r="I19" s="476"/>
      <c r="J19" s="477"/>
      <c r="K19" s="476"/>
      <c r="L19" s="476"/>
      <c r="M19" s="476"/>
      <c r="N19" s="476"/>
      <c r="O19" s="476"/>
      <c r="P19" s="476"/>
    </row>
    <row r="20" spans="2:27" ht="12.75" customHeight="1">
      <c r="B20" s="475"/>
      <c r="C20" s="476"/>
      <c r="D20" s="476"/>
      <c r="E20" s="476"/>
      <c r="F20" s="476"/>
      <c r="G20" s="476"/>
      <c r="H20" s="248"/>
      <c r="I20" s="476"/>
      <c r="J20" s="477"/>
      <c r="K20" s="476"/>
      <c r="L20" s="476"/>
      <c r="M20" s="476"/>
      <c r="N20" s="476"/>
      <c r="O20" s="476"/>
      <c r="P20" s="476"/>
    </row>
    <row r="21" spans="2:27" ht="12.75" customHeight="1">
      <c r="B21" s="475" t="s">
        <v>143</v>
      </c>
      <c r="C21" s="476"/>
      <c r="D21" s="476"/>
      <c r="E21" s="476"/>
      <c r="F21" s="476"/>
      <c r="G21" s="476"/>
      <c r="H21" s="248"/>
      <c r="I21" s="476"/>
      <c r="J21" s="477"/>
      <c r="K21" s="476"/>
      <c r="L21" s="476"/>
      <c r="M21" s="476"/>
      <c r="N21" s="476"/>
      <c r="O21" s="476"/>
      <c r="P21" s="476"/>
    </row>
    <row r="22" spans="2:27" ht="12.75" customHeight="1">
      <c r="B22" s="475"/>
      <c r="C22" s="476"/>
      <c r="D22" s="476"/>
      <c r="E22" s="476"/>
      <c r="F22" s="476"/>
      <c r="G22" s="476"/>
      <c r="H22" s="248"/>
      <c r="I22" s="476"/>
      <c r="J22" s="477"/>
      <c r="K22" s="476"/>
      <c r="L22" s="476"/>
      <c r="M22" s="476"/>
      <c r="N22" s="476"/>
      <c r="O22" s="476"/>
      <c r="P22" s="476"/>
    </row>
    <row r="23" spans="2:27" ht="12.75" customHeight="1">
      <c r="B23" s="475"/>
      <c r="C23" s="476"/>
      <c r="D23" s="476"/>
      <c r="E23" s="476"/>
      <c r="F23" s="476"/>
      <c r="G23" s="476"/>
      <c r="H23" s="248"/>
      <c r="I23" s="476"/>
      <c r="J23" s="477"/>
      <c r="K23" s="476"/>
      <c r="L23" s="476"/>
      <c r="M23" s="476"/>
      <c r="N23" s="476"/>
      <c r="O23" s="476"/>
      <c r="P23" s="476"/>
    </row>
    <row r="24" spans="2:27" ht="12.75" customHeight="1" thickBot="1">
      <c r="B24" s="481"/>
      <c r="C24" s="482"/>
      <c r="D24" s="482"/>
      <c r="E24" s="482"/>
      <c r="F24" s="482"/>
      <c r="G24" s="482"/>
      <c r="H24" s="250"/>
      <c r="I24" s="482"/>
      <c r="J24" s="483"/>
      <c r="K24" s="476"/>
      <c r="L24" s="476"/>
      <c r="M24" s="476"/>
      <c r="N24" s="476"/>
      <c r="O24" s="476"/>
      <c r="P24" s="476"/>
    </row>
    <row r="25" spans="2:27" ht="12.75" customHeight="1">
      <c r="K25" s="476"/>
      <c r="L25" s="476"/>
      <c r="M25" s="476"/>
      <c r="N25" s="476"/>
      <c r="O25" s="476"/>
      <c r="P25" s="476"/>
      <c r="S25" s="476"/>
      <c r="T25" s="476"/>
      <c r="U25" s="476"/>
      <c r="V25" s="476"/>
      <c r="W25" s="476"/>
      <c r="X25" s="476"/>
      <c r="Y25" s="476"/>
      <c r="Z25" s="476"/>
    </row>
    <row r="26" spans="2:27" ht="12.75" customHeight="1">
      <c r="B26" s="470" t="s">
        <v>144</v>
      </c>
      <c r="E26" s="596"/>
      <c r="H26" s="215"/>
      <c r="K26" s="476"/>
      <c r="L26" s="476"/>
      <c r="M26" s="476"/>
      <c r="N26" s="476"/>
      <c r="O26" s="476"/>
      <c r="P26" s="476"/>
      <c r="S26" s="476"/>
      <c r="T26" s="597"/>
      <c r="U26" s="476"/>
      <c r="V26" s="476"/>
      <c r="W26" s="476"/>
      <c r="X26" s="476"/>
      <c r="Y26" s="476"/>
      <c r="Z26" s="476"/>
    </row>
    <row r="27" spans="2:27" ht="12.75" customHeight="1" thickBot="1">
      <c r="E27" s="596"/>
      <c r="H27" s="215"/>
      <c r="S27" s="476"/>
      <c r="T27" s="597"/>
      <c r="U27" s="476"/>
      <c r="V27" s="476"/>
      <c r="W27" s="476"/>
      <c r="X27" s="476"/>
      <c r="Y27" s="476"/>
      <c r="Z27" s="476"/>
    </row>
    <row r="28" spans="2:27" ht="12.75" customHeight="1">
      <c r="B28" s="472"/>
      <c r="C28" s="561"/>
      <c r="D28" s="473"/>
      <c r="E28" s="473"/>
      <c r="F28" s="473"/>
      <c r="G28" s="473"/>
      <c r="H28" s="221"/>
      <c r="I28" s="473"/>
      <c r="J28" s="474"/>
      <c r="T28" s="476"/>
      <c r="U28" s="476"/>
      <c r="V28" s="476"/>
      <c r="W28" s="476"/>
      <c r="X28" s="476"/>
      <c r="Y28" s="476"/>
      <c r="Z28" s="476"/>
      <c r="AA28" s="476"/>
    </row>
    <row r="29" spans="2:27" ht="12.75" customHeight="1">
      <c r="B29" s="484"/>
      <c r="C29" s="563" t="s">
        <v>70</v>
      </c>
      <c r="D29" s="486">
        <v>2015</v>
      </c>
      <c r="E29" s="486">
        <v>2020</v>
      </c>
      <c r="F29" s="486">
        <v>2035</v>
      </c>
      <c r="G29" s="486">
        <v>2050</v>
      </c>
      <c r="H29" s="225" t="s">
        <v>978</v>
      </c>
      <c r="I29" s="485" t="s">
        <v>145</v>
      </c>
      <c r="J29" s="487" t="s">
        <v>146</v>
      </c>
      <c r="T29" s="476"/>
      <c r="U29" s="476"/>
      <c r="V29" s="598"/>
      <c r="W29" s="598"/>
      <c r="X29" s="598"/>
      <c r="Y29" s="598"/>
      <c r="Z29" s="598"/>
      <c r="AA29" s="476"/>
    </row>
    <row r="30" spans="2:27" ht="12.75" customHeight="1">
      <c r="B30" s="656" t="s">
        <v>147</v>
      </c>
      <c r="C30" s="657"/>
      <c r="D30" s="658"/>
      <c r="E30" s="658"/>
      <c r="F30" s="658"/>
      <c r="G30" s="658"/>
      <c r="H30" s="209"/>
      <c r="I30" s="497"/>
      <c r="J30" s="659"/>
      <c r="T30" s="476"/>
      <c r="U30" s="599"/>
      <c r="V30" s="598"/>
      <c r="W30" s="598"/>
      <c r="X30" s="598"/>
      <c r="Y30" s="598"/>
      <c r="Z30" s="598"/>
      <c r="AA30" s="476"/>
    </row>
    <row r="31" spans="2:27" ht="12.75" customHeight="1">
      <c r="B31" s="475" t="s">
        <v>148</v>
      </c>
      <c r="C31" s="564"/>
      <c r="D31" s="574">
        <v>1</v>
      </c>
      <c r="E31" s="574">
        <v>1</v>
      </c>
      <c r="F31" s="574">
        <v>1</v>
      </c>
      <c r="G31" s="574">
        <v>1</v>
      </c>
      <c r="H31" s="1422"/>
      <c r="I31" s="476"/>
      <c r="J31" s="476"/>
      <c r="T31" s="476"/>
      <c r="U31" s="476"/>
      <c r="V31" s="598"/>
      <c r="W31" s="565"/>
      <c r="X31" s="565"/>
      <c r="Y31" s="565"/>
      <c r="Z31" s="565"/>
      <c r="AA31" s="476"/>
    </row>
    <row r="32" spans="2:27" ht="12.75" customHeight="1">
      <c r="B32" s="475" t="s">
        <v>67</v>
      </c>
      <c r="C32" s="564"/>
      <c r="D32" s="630">
        <v>1</v>
      </c>
      <c r="E32" s="630">
        <v>1</v>
      </c>
      <c r="F32" s="630">
        <v>1</v>
      </c>
      <c r="G32" s="630">
        <v>1</v>
      </c>
      <c r="H32" s="1422"/>
      <c r="I32" s="476"/>
      <c r="J32" s="477"/>
      <c r="T32" s="476"/>
      <c r="U32" s="476"/>
      <c r="V32" s="598"/>
      <c r="W32" s="600"/>
      <c r="X32" s="600"/>
      <c r="Y32" s="600"/>
      <c r="Z32" s="600"/>
      <c r="AA32" s="476"/>
    </row>
    <row r="33" spans="2:27" ht="12.75" customHeight="1">
      <c r="B33" s="475" t="s">
        <v>149</v>
      </c>
      <c r="C33" s="564" t="s">
        <v>441</v>
      </c>
      <c r="D33" s="601"/>
      <c r="E33" s="601"/>
      <c r="F33" s="601"/>
      <c r="G33" s="601"/>
      <c r="H33" s="1590"/>
      <c r="I33" s="476"/>
      <c r="J33" s="477"/>
      <c r="T33" s="476"/>
      <c r="U33" s="476"/>
      <c r="V33" s="598"/>
      <c r="W33" s="602"/>
      <c r="X33" s="602"/>
      <c r="Y33" s="602"/>
      <c r="Z33" s="602"/>
      <c r="AA33" s="476"/>
    </row>
    <row r="34" spans="2:27" ht="12.75" customHeight="1">
      <c r="B34" s="475" t="s">
        <v>150</v>
      </c>
      <c r="C34" s="564" t="s">
        <v>34</v>
      </c>
      <c r="D34" s="569"/>
      <c r="E34" s="569"/>
      <c r="F34" s="569"/>
      <c r="G34" s="569"/>
      <c r="H34" s="212"/>
      <c r="I34" s="476"/>
      <c r="J34" s="477"/>
      <c r="T34" s="476"/>
      <c r="U34" s="476"/>
      <c r="V34" s="598"/>
      <c r="W34" s="603"/>
      <c r="X34" s="603"/>
      <c r="Y34" s="603"/>
      <c r="Z34" s="603"/>
      <c r="AA34" s="476"/>
    </row>
    <row r="35" spans="2:27" ht="12.75" customHeight="1">
      <c r="B35" s="475"/>
      <c r="C35" s="571"/>
      <c r="D35" s="573"/>
      <c r="E35" s="572"/>
      <c r="F35" s="572"/>
      <c r="G35" s="572"/>
      <c r="H35" s="213"/>
      <c r="I35" s="476"/>
      <c r="J35" s="477"/>
      <c r="T35" s="476"/>
      <c r="U35" s="476"/>
      <c r="V35" s="604"/>
      <c r="W35" s="573"/>
      <c r="X35" s="573"/>
      <c r="Y35" s="573"/>
      <c r="Z35" s="573"/>
      <c r="AA35" s="476"/>
    </row>
    <row r="36" spans="2:27" ht="12.75" customHeight="1">
      <c r="B36" s="570" t="s">
        <v>151</v>
      </c>
      <c r="C36" s="571"/>
      <c r="D36" s="573"/>
      <c r="E36" s="572"/>
      <c r="F36" s="572"/>
      <c r="G36" s="572"/>
      <c r="H36" s="213"/>
      <c r="I36" s="476"/>
      <c r="J36" s="477"/>
      <c r="T36" s="476"/>
      <c r="U36" s="599"/>
      <c r="V36" s="604"/>
      <c r="W36" s="573"/>
      <c r="X36" s="573"/>
      <c r="Y36" s="573"/>
      <c r="Z36" s="573"/>
      <c r="AA36" s="476"/>
    </row>
    <row r="37" spans="2:27" ht="12.75" customHeight="1">
      <c r="B37" s="475" t="str">
        <f>ProcessEnergy!B35</f>
        <v xml:space="preserve">Green diesel </v>
      </c>
      <c r="C37" s="564" t="s">
        <v>463</v>
      </c>
      <c r="D37" s="573"/>
      <c r="E37" s="573"/>
      <c r="F37" s="573"/>
      <c r="G37" s="573"/>
      <c r="H37" s="105"/>
      <c r="I37" s="476"/>
      <c r="J37" s="477"/>
      <c r="T37" s="476"/>
      <c r="U37" s="476"/>
      <c r="V37" s="598"/>
      <c r="W37" s="565"/>
      <c r="X37" s="573"/>
      <c r="Y37" s="565"/>
      <c r="Z37" s="573"/>
      <c r="AA37" s="476"/>
    </row>
    <row r="38" spans="2:27" ht="12.75" customHeight="1">
      <c r="B38" s="575" t="str">
        <f>ProcessEnergy!B36</f>
        <v>Green gasoline</v>
      </c>
      <c r="C38" s="564"/>
      <c r="D38" s="573"/>
      <c r="E38" s="573"/>
      <c r="F38" s="573"/>
      <c r="G38" s="573"/>
      <c r="H38" s="105"/>
      <c r="I38" s="476"/>
      <c r="J38" s="477"/>
      <c r="T38" s="476"/>
      <c r="U38" s="476"/>
      <c r="V38" s="598"/>
      <c r="W38" s="565"/>
      <c r="X38" s="573"/>
      <c r="Y38" s="565"/>
      <c r="Z38" s="573"/>
      <c r="AA38" s="476"/>
    </row>
    <row r="39" spans="2:27" ht="12.75" customHeight="1">
      <c r="B39" s="575" t="str">
        <f>ProcessEnergy!B37</f>
        <v>Electricity - balancing</v>
      </c>
      <c r="C39" s="564"/>
      <c r="D39" s="573"/>
      <c r="E39" s="573"/>
      <c r="F39" s="573"/>
      <c r="G39" s="573"/>
      <c r="H39" s="105"/>
      <c r="I39" s="476"/>
      <c r="J39" s="477"/>
      <c r="T39" s="476"/>
      <c r="U39" s="476"/>
      <c r="V39" s="598"/>
      <c r="W39" s="565"/>
      <c r="X39" s="573"/>
      <c r="Y39" s="565"/>
      <c r="Z39" s="573"/>
      <c r="AA39" s="476"/>
    </row>
    <row r="40" spans="2:27" ht="12.75" customHeight="1">
      <c r="B40" s="575" t="str">
        <f>ProcessEnergy!B38</f>
        <v>Electricity  - continous</v>
      </c>
      <c r="C40" s="564"/>
      <c r="D40" s="573"/>
      <c r="E40" s="573"/>
      <c r="F40" s="573"/>
      <c r="G40" s="573"/>
      <c r="H40" s="105"/>
      <c r="I40" s="476"/>
      <c r="J40" s="477"/>
      <c r="T40" s="476"/>
      <c r="U40" s="476"/>
      <c r="V40" s="598"/>
      <c r="W40" s="565"/>
      <c r="X40" s="573"/>
      <c r="Y40" s="565"/>
      <c r="Z40" s="573"/>
      <c r="AA40" s="476"/>
    </row>
    <row r="41" spans="2:27" ht="12.75" customHeight="1">
      <c r="B41" s="575" t="str">
        <f>ProcessEnergy!B39</f>
        <v>Elec/heat fuel</v>
      </c>
      <c r="C41" s="564"/>
      <c r="D41" s="573"/>
      <c r="E41" s="573"/>
      <c r="F41" s="573"/>
      <c r="G41" s="573"/>
      <c r="H41" s="105"/>
      <c r="I41" s="476"/>
      <c r="J41" s="477"/>
      <c r="T41" s="476"/>
      <c r="U41" s="476"/>
      <c r="V41" s="598"/>
      <c r="W41" s="565"/>
      <c r="X41" s="573"/>
      <c r="Y41" s="565"/>
      <c r="Z41" s="573"/>
      <c r="AA41" s="476"/>
    </row>
    <row r="42" spans="2:27" ht="12.75" customHeight="1">
      <c r="B42" s="575" t="str">
        <f>ProcessEnergy!B40</f>
        <v>Biogas (100% CH4)</v>
      </c>
      <c r="C42" s="564"/>
      <c r="D42" s="573"/>
      <c r="E42" s="573"/>
      <c r="F42" s="573"/>
      <c r="G42" s="573"/>
      <c r="H42" s="105"/>
      <c r="I42" s="476"/>
      <c r="J42" s="477"/>
      <c r="T42" s="476"/>
      <c r="U42" s="476"/>
      <c r="V42" s="598"/>
      <c r="W42" s="565"/>
      <c r="X42" s="573"/>
      <c r="Y42" s="565"/>
      <c r="Z42" s="573"/>
      <c r="AA42" s="476"/>
    </row>
    <row r="43" spans="2:27" ht="12.75" customHeight="1">
      <c r="B43" s="575" t="str">
        <f>ProcessEnergy!B41</f>
        <v>District heating</v>
      </c>
      <c r="C43" s="564"/>
      <c r="D43" s="573"/>
      <c r="E43" s="573"/>
      <c r="F43" s="573"/>
      <c r="G43" s="573"/>
      <c r="H43" s="105"/>
      <c r="I43" s="476"/>
      <c r="J43" s="477"/>
      <c r="T43" s="476"/>
      <c r="U43" s="476"/>
      <c r="V43" s="598"/>
      <c r="W43" s="565"/>
      <c r="X43" s="573"/>
      <c r="Y43" s="565"/>
      <c r="Z43" s="573"/>
      <c r="AA43" s="476"/>
    </row>
    <row r="44" spans="2:27" ht="12.75" customHeight="1">
      <c r="B44" s="575" t="str">
        <f>ProcessEnergy!B42</f>
        <v>&lt;empty&gt;</v>
      </c>
      <c r="C44" s="564"/>
      <c r="D44" s="573"/>
      <c r="E44" s="573"/>
      <c r="F44" s="573"/>
      <c r="G44" s="573"/>
      <c r="H44" s="105"/>
      <c r="I44" s="476"/>
      <c r="J44" s="477"/>
      <c r="T44" s="476"/>
      <c r="U44" s="476"/>
      <c r="V44" s="598"/>
      <c r="W44" s="565"/>
      <c r="X44" s="573"/>
      <c r="Y44" s="565"/>
      <c r="Z44" s="573"/>
      <c r="AA44" s="476"/>
    </row>
    <row r="45" spans="2:27" ht="12.75" customHeight="1">
      <c r="B45" s="575" t="str">
        <f>ProcessEnergy!B43</f>
        <v>&lt;empty&gt;</v>
      </c>
      <c r="C45" s="564"/>
      <c r="D45" s="573"/>
      <c r="E45" s="573"/>
      <c r="F45" s="573"/>
      <c r="G45" s="573"/>
      <c r="H45" s="105"/>
      <c r="I45" s="476"/>
      <c r="J45" s="477"/>
      <c r="T45" s="476"/>
      <c r="U45" s="476"/>
      <c r="V45" s="598"/>
      <c r="W45" s="565"/>
      <c r="X45" s="573"/>
      <c r="Y45" s="565"/>
      <c r="Z45" s="573"/>
      <c r="AA45" s="476"/>
    </row>
    <row r="46" spans="2:27" ht="12.75" customHeight="1">
      <c r="B46" s="575" t="str">
        <f>ProcessEnergy!B44</f>
        <v>&lt;empty&gt;</v>
      </c>
      <c r="C46" s="564"/>
      <c r="D46" s="573"/>
      <c r="E46" s="573"/>
      <c r="F46" s="573"/>
      <c r="G46" s="573"/>
      <c r="H46" s="105"/>
      <c r="I46" s="476"/>
      <c r="J46" s="477"/>
      <c r="T46" s="476"/>
      <c r="U46" s="476"/>
      <c r="V46" s="598"/>
      <c r="W46" s="565"/>
      <c r="X46" s="573"/>
      <c r="Y46" s="565"/>
      <c r="Z46" s="573"/>
      <c r="AA46" s="476"/>
    </row>
    <row r="47" spans="2:27" ht="12.75" customHeight="1">
      <c r="B47" s="575" t="str">
        <f>ProcessEnergy!B45</f>
        <v>&lt;empty&gt;</v>
      </c>
      <c r="C47" s="564"/>
      <c r="D47" s="573"/>
      <c r="E47" s="573"/>
      <c r="F47" s="573"/>
      <c r="G47" s="573"/>
      <c r="H47" s="105"/>
      <c r="I47" s="476"/>
      <c r="J47" s="477"/>
      <c r="T47" s="476"/>
      <c r="U47" s="476"/>
      <c r="V47" s="598"/>
      <c r="W47" s="565"/>
      <c r="X47" s="573"/>
      <c r="Y47" s="565"/>
      <c r="Z47" s="573"/>
      <c r="AA47" s="476"/>
    </row>
    <row r="48" spans="2:27" ht="12.75" customHeight="1">
      <c r="B48" s="575" t="str">
        <f>ProcessEnergy!B46</f>
        <v>&lt;empty&gt;</v>
      </c>
      <c r="C48" s="564"/>
      <c r="D48" s="573"/>
      <c r="E48" s="573"/>
      <c r="F48" s="573"/>
      <c r="G48" s="573"/>
      <c r="H48" s="105"/>
      <c r="I48" s="476"/>
      <c r="J48" s="477"/>
      <c r="T48" s="476"/>
      <c r="U48" s="476"/>
      <c r="V48" s="598"/>
      <c r="W48" s="565"/>
      <c r="X48" s="573"/>
      <c r="Y48" s="565"/>
      <c r="Z48" s="573"/>
      <c r="AA48" s="476"/>
    </row>
    <row r="49" spans="2:27" ht="12.75" customHeight="1">
      <c r="B49" s="575" t="str">
        <f>ProcessEnergy!B47</f>
        <v>&lt;empty&gt;</v>
      </c>
      <c r="C49" s="564"/>
      <c r="D49" s="573"/>
      <c r="E49" s="573"/>
      <c r="F49" s="573"/>
      <c r="G49" s="573"/>
      <c r="H49" s="105"/>
      <c r="I49" s="476"/>
      <c r="J49" s="477"/>
      <c r="T49" s="476"/>
      <c r="U49" s="476"/>
      <c r="V49" s="598"/>
      <c r="W49" s="565"/>
      <c r="X49" s="573"/>
      <c r="Y49" s="565"/>
      <c r="Z49" s="573"/>
      <c r="AA49" s="476"/>
    </row>
    <row r="50" spans="2:27" ht="12.75" customHeight="1">
      <c r="B50" s="575" t="str">
        <f>ProcessEnergy!B48</f>
        <v>Glycerol</v>
      </c>
      <c r="C50" s="564"/>
      <c r="D50" s="573"/>
      <c r="E50" s="573"/>
      <c r="F50" s="573"/>
      <c r="G50" s="573"/>
      <c r="H50" s="105"/>
      <c r="I50" s="476"/>
      <c r="J50" s="477"/>
      <c r="T50" s="476"/>
      <c r="U50" s="476"/>
      <c r="V50" s="598"/>
      <c r="W50" s="565"/>
      <c r="X50" s="573"/>
      <c r="Y50" s="565"/>
      <c r="Z50" s="573"/>
      <c r="AA50" s="476"/>
    </row>
    <row r="51" spans="2:27" ht="12.75" customHeight="1">
      <c r="B51" s="575" t="str">
        <f>ProcessEnergy!B49</f>
        <v>&lt;empty&gt;</v>
      </c>
      <c r="C51" s="564"/>
      <c r="D51" s="573"/>
      <c r="E51" s="573"/>
      <c r="F51" s="573"/>
      <c r="G51" s="573"/>
      <c r="H51" s="105"/>
      <c r="I51" s="476"/>
      <c r="J51" s="477"/>
      <c r="T51" s="476"/>
      <c r="U51" s="476"/>
      <c r="V51" s="598"/>
      <c r="W51" s="565"/>
      <c r="X51" s="573"/>
      <c r="Y51" s="565"/>
      <c r="Z51" s="573"/>
      <c r="AA51" s="476"/>
    </row>
    <row r="52" spans="2:27" ht="12.75" customHeight="1">
      <c r="B52" s="575" t="str">
        <f>ProcessEnergy!B50</f>
        <v>&lt;empty&gt;</v>
      </c>
      <c r="C52" s="564"/>
      <c r="D52" s="573"/>
      <c r="E52" s="573"/>
      <c r="F52" s="573"/>
      <c r="G52" s="573"/>
      <c r="H52" s="105"/>
      <c r="I52" s="476"/>
      <c r="J52" s="477"/>
      <c r="T52" s="476"/>
      <c r="U52" s="476"/>
      <c r="V52" s="598"/>
      <c r="W52" s="565"/>
      <c r="X52" s="573"/>
      <c r="Y52" s="565"/>
      <c r="Z52" s="573"/>
      <c r="AA52" s="476"/>
    </row>
    <row r="53" spans="2:27" ht="12.75" customHeight="1">
      <c r="B53" s="575" t="str">
        <f>ProcessEnergy!B51</f>
        <v>Fodder (wheat like)</v>
      </c>
      <c r="C53" s="564"/>
      <c r="D53" s="573"/>
      <c r="E53" s="573"/>
      <c r="F53" s="573"/>
      <c r="G53" s="573"/>
      <c r="H53" s="105"/>
      <c r="I53" s="476"/>
      <c r="J53" s="477"/>
      <c r="T53" s="476"/>
      <c r="U53" s="476"/>
      <c r="V53" s="598"/>
      <c r="W53" s="565"/>
      <c r="X53" s="573"/>
      <c r="Y53" s="565"/>
      <c r="Z53" s="573"/>
      <c r="AA53" s="476"/>
    </row>
    <row r="54" spans="2:27" ht="12.75" customHeight="1">
      <c r="B54" s="575" t="str">
        <f>ProcessEnergy!B52</f>
        <v>Rape seed cake</v>
      </c>
      <c r="C54" s="564"/>
      <c r="D54" s="573"/>
      <c r="E54" s="573"/>
      <c r="F54" s="573"/>
      <c r="G54" s="573"/>
      <c r="H54" s="105"/>
      <c r="I54" s="476"/>
      <c r="J54" s="477"/>
      <c r="T54" s="476"/>
      <c r="U54" s="476"/>
      <c r="V54" s="598"/>
      <c r="W54" s="565"/>
      <c r="X54" s="573"/>
      <c r="Y54" s="565"/>
      <c r="Z54" s="573"/>
      <c r="AA54" s="476"/>
    </row>
    <row r="55" spans="2:27" ht="12.75" customHeight="1">
      <c r="B55" s="575" t="str">
        <f>ProcessEnergy!B53</f>
        <v>&lt;empty&gt;</v>
      </c>
      <c r="C55" s="564"/>
      <c r="D55" s="573"/>
      <c r="E55" s="573"/>
      <c r="F55" s="573"/>
      <c r="G55" s="573"/>
      <c r="H55" s="105"/>
      <c r="I55" s="476"/>
      <c r="J55" s="477"/>
      <c r="T55" s="476"/>
      <c r="U55" s="476"/>
      <c r="V55" s="598"/>
      <c r="W55" s="565"/>
      <c r="X55" s="573"/>
      <c r="Y55" s="565"/>
      <c r="Z55" s="573"/>
      <c r="AA55" s="476"/>
    </row>
    <row r="56" spans="2:27" ht="12.75" customHeight="1">
      <c r="B56" s="575" t="str">
        <f>ProcessEnergy!B54</f>
        <v>DDGS</v>
      </c>
      <c r="C56" s="564"/>
      <c r="D56" s="573"/>
      <c r="E56" s="573"/>
      <c r="F56" s="573"/>
      <c r="G56" s="573"/>
      <c r="H56" s="105"/>
      <c r="I56" s="476"/>
      <c r="J56" s="477"/>
      <c r="T56" s="476"/>
      <c r="U56" s="476"/>
      <c r="V56" s="598"/>
      <c r="W56" s="565"/>
      <c r="X56" s="573"/>
      <c r="Y56" s="565"/>
      <c r="Z56" s="573"/>
      <c r="AA56" s="476"/>
    </row>
    <row r="57" spans="2:27" ht="12.75" customHeight="1">
      <c r="B57" s="475"/>
      <c r="C57" s="564"/>
      <c r="D57" s="573"/>
      <c r="E57" s="573"/>
      <c r="F57" s="573"/>
      <c r="G57" s="573"/>
      <c r="H57" s="105"/>
      <c r="I57" s="476"/>
      <c r="J57" s="477"/>
      <c r="T57" s="476"/>
      <c r="U57" s="476"/>
      <c r="V57" s="598"/>
      <c r="W57" s="565"/>
      <c r="X57" s="573"/>
      <c r="Y57" s="565"/>
      <c r="Z57" s="573"/>
      <c r="AA57" s="476"/>
    </row>
    <row r="58" spans="2:27" ht="12.75" customHeight="1">
      <c r="B58" s="570" t="s">
        <v>873</v>
      </c>
      <c r="C58" s="564"/>
      <c r="D58" s="573"/>
      <c r="E58" s="573"/>
      <c r="F58" s="573"/>
      <c r="G58" s="573"/>
      <c r="H58" s="105"/>
      <c r="I58" s="476"/>
      <c r="J58" s="477"/>
      <c r="T58" s="476"/>
      <c r="U58" s="476"/>
      <c r="V58" s="598"/>
      <c r="W58" s="565"/>
      <c r="X58" s="573"/>
      <c r="Y58" s="565"/>
      <c r="Z58" s="573"/>
      <c r="AA58" s="476"/>
    </row>
    <row r="59" spans="2:27" ht="12.75" customHeight="1">
      <c r="B59" s="475" t="str">
        <f>ProcessEnergy!B5</f>
        <v>EL - peakload</v>
      </c>
      <c r="C59" s="564" t="s">
        <v>245</v>
      </c>
      <c r="D59" s="573"/>
      <c r="E59" s="573"/>
      <c r="F59" s="573"/>
      <c r="G59" s="573"/>
      <c r="H59" s="105"/>
      <c r="I59" s="476"/>
      <c r="J59" s="477"/>
      <c r="T59" s="476"/>
      <c r="U59" s="476"/>
      <c r="V59" s="598"/>
      <c r="W59" s="565"/>
      <c r="X59" s="573"/>
      <c r="Y59" s="565"/>
      <c r="Z59" s="573"/>
      <c r="AA59" s="476"/>
    </row>
    <row r="60" spans="2:27" ht="12.75" customHeight="1">
      <c r="B60" s="475" t="str">
        <f>ProcessEnergy!B6</f>
        <v>El - baseload</v>
      </c>
      <c r="C60" s="564" t="s">
        <v>245</v>
      </c>
      <c r="D60" s="573"/>
      <c r="E60" s="573"/>
      <c r="F60" s="573"/>
      <c r="G60" s="573"/>
      <c r="H60" s="105"/>
      <c r="I60" s="476"/>
      <c r="J60" s="477"/>
      <c r="T60" s="476"/>
      <c r="U60" s="476"/>
      <c r="V60" s="598"/>
      <c r="W60" s="565"/>
      <c r="X60" s="573"/>
      <c r="Y60" s="565"/>
      <c r="Z60" s="573"/>
      <c r="AA60" s="476"/>
    </row>
    <row r="61" spans="2:27" ht="12.75" customHeight="1">
      <c r="B61" s="475" t="str">
        <f>ProcessEnergy!B7</f>
        <v xml:space="preserve">Varme </v>
      </c>
      <c r="C61" s="564" t="s">
        <v>245</v>
      </c>
      <c r="D61" s="573"/>
      <c r="E61" s="573"/>
      <c r="F61" s="573"/>
      <c r="G61" s="573"/>
      <c r="H61" s="105"/>
      <c r="I61" s="476"/>
      <c r="J61" s="477"/>
      <c r="T61" s="476"/>
      <c r="U61" s="476"/>
      <c r="V61" s="598"/>
      <c r="W61" s="565"/>
      <c r="X61" s="573"/>
      <c r="Y61" s="565"/>
      <c r="Z61" s="573"/>
      <c r="AA61" s="476"/>
    </row>
    <row r="62" spans="2:27" ht="12.75" customHeight="1">
      <c r="B62" s="475" t="str">
        <f>ProcessEnergy!B8</f>
        <v>Damp</v>
      </c>
      <c r="C62" s="564" t="s">
        <v>245</v>
      </c>
      <c r="D62" s="573"/>
      <c r="E62" s="573"/>
      <c r="F62" s="573"/>
      <c r="G62" s="573"/>
      <c r="H62" s="105"/>
      <c r="I62" s="476"/>
      <c r="J62" s="477"/>
      <c r="T62" s="476"/>
      <c r="U62" s="476"/>
      <c r="V62" s="598"/>
      <c r="W62" s="565"/>
      <c r="X62" s="573"/>
      <c r="Y62" s="565"/>
      <c r="Z62" s="573"/>
      <c r="AA62" s="476"/>
    </row>
    <row r="63" spans="2:27" ht="12.75" customHeight="1">
      <c r="B63" s="475" t="str">
        <f>ProcessEnergy!B9</f>
        <v xml:space="preserve">Olie </v>
      </c>
      <c r="C63" s="564" t="s">
        <v>245</v>
      </c>
      <c r="D63" s="573"/>
      <c r="E63" s="573"/>
      <c r="F63" s="573"/>
      <c r="G63" s="573"/>
      <c r="H63" s="105"/>
      <c r="I63" s="476"/>
      <c r="J63" s="477"/>
      <c r="T63" s="476"/>
      <c r="U63" s="476"/>
      <c r="V63" s="598"/>
      <c r="W63" s="565"/>
      <c r="X63" s="573"/>
      <c r="Y63" s="565"/>
      <c r="Z63" s="573"/>
      <c r="AA63" s="476"/>
    </row>
    <row r="64" spans="2:27" ht="12.75" customHeight="1">
      <c r="B64" s="475" t="str">
        <f>ProcessEnergy!B10</f>
        <v>Kul</v>
      </c>
      <c r="C64" s="564" t="s">
        <v>245</v>
      </c>
      <c r="D64" s="573"/>
      <c r="E64" s="573"/>
      <c r="F64" s="573"/>
      <c r="G64" s="573"/>
      <c r="H64" s="105"/>
      <c r="I64" s="476"/>
      <c r="J64" s="477"/>
      <c r="T64" s="476"/>
      <c r="U64" s="476"/>
      <c r="V64" s="598"/>
      <c r="W64" s="565"/>
      <c r="X64" s="573"/>
      <c r="Y64" s="565"/>
      <c r="Z64" s="573"/>
      <c r="AA64" s="476"/>
    </row>
    <row r="65" spans="2:27" ht="12.75" customHeight="1">
      <c r="B65" s="475" t="str">
        <f>ProcessEnergy!B11</f>
        <v>Naturgas kedel</v>
      </c>
      <c r="C65" s="564" t="s">
        <v>245</v>
      </c>
      <c r="D65" s="573"/>
      <c r="E65" s="573"/>
      <c r="F65" s="573"/>
      <c r="G65" s="573"/>
      <c r="H65" s="105"/>
      <c r="I65" s="476"/>
      <c r="J65" s="477"/>
      <c r="T65" s="476"/>
      <c r="U65" s="476"/>
      <c r="V65" s="598"/>
      <c r="W65" s="565"/>
      <c r="X65" s="573"/>
      <c r="Y65" s="565"/>
      <c r="Z65" s="573"/>
      <c r="AA65" s="476"/>
    </row>
    <row r="66" spans="2:27" ht="12.75" customHeight="1">
      <c r="B66" s="475" t="str">
        <f>ProcessEnergy!B12</f>
        <v>Gylle</v>
      </c>
      <c r="C66" s="564" t="s">
        <v>245</v>
      </c>
      <c r="D66" s="573"/>
      <c r="E66" s="573"/>
      <c r="F66" s="573"/>
      <c r="G66" s="573"/>
      <c r="H66" s="105"/>
      <c r="I66" s="476"/>
      <c r="J66" s="477"/>
      <c r="T66" s="476"/>
      <c r="U66" s="476"/>
      <c r="V66" s="598"/>
      <c r="W66" s="565"/>
      <c r="X66" s="573"/>
      <c r="Y66" s="565"/>
      <c r="Z66" s="573"/>
      <c r="AA66" s="476"/>
    </row>
    <row r="67" spans="2:27" ht="12.75" customHeight="1">
      <c r="B67" s="475" t="str">
        <f>ProcessEnergy!B13</f>
        <v>Affald</v>
      </c>
      <c r="C67" s="564" t="s">
        <v>245</v>
      </c>
      <c r="D67" s="573"/>
      <c r="E67" s="573"/>
      <c r="F67" s="573"/>
      <c r="G67" s="573"/>
      <c r="H67" s="105"/>
      <c r="I67" s="476"/>
      <c r="J67" s="477"/>
      <c r="T67" s="476"/>
      <c r="U67" s="476"/>
      <c r="V67" s="598"/>
      <c r="W67" s="565"/>
      <c r="X67" s="573"/>
      <c r="Y67" s="565"/>
      <c r="Z67" s="573"/>
      <c r="AA67" s="476"/>
    </row>
    <row r="68" spans="2:27" ht="12.75" customHeight="1">
      <c r="B68" s="475" t="str">
        <f>ProcessEnergy!B14</f>
        <v>Hydrogen</v>
      </c>
      <c r="C68" s="564" t="s">
        <v>245</v>
      </c>
      <c r="D68" s="573"/>
      <c r="E68" s="573"/>
      <c r="F68" s="573"/>
      <c r="G68" s="573"/>
      <c r="H68" s="105"/>
      <c r="I68" s="476"/>
      <c r="J68" s="477"/>
      <c r="T68" s="476"/>
      <c r="U68" s="476"/>
      <c r="V68" s="598"/>
      <c r="W68" s="565"/>
      <c r="X68" s="573"/>
      <c r="Y68" s="565"/>
      <c r="Z68" s="573"/>
      <c r="AA68" s="476"/>
    </row>
    <row r="69" spans="2:27" ht="12.75" customHeight="1">
      <c r="B69" s="475" t="str">
        <f>ProcessEnergy!B15</f>
        <v>Biomasse</v>
      </c>
      <c r="C69" s="564" t="s">
        <v>245</v>
      </c>
      <c r="D69" s="573"/>
      <c r="E69" s="573"/>
      <c r="F69" s="573"/>
      <c r="G69" s="573"/>
      <c r="H69" s="105"/>
      <c r="I69" s="476"/>
      <c r="J69" s="477"/>
      <c r="T69" s="476"/>
      <c r="U69" s="476"/>
      <c r="V69" s="598"/>
      <c r="W69" s="565"/>
      <c r="X69" s="573"/>
      <c r="Y69" s="565"/>
      <c r="Z69" s="573"/>
      <c r="AA69" s="476"/>
    </row>
    <row r="70" spans="2:27" ht="12.75" customHeight="1">
      <c r="B70" s="475" t="str">
        <f>ProcessEnergy!B16</f>
        <v>Methanol</v>
      </c>
      <c r="C70" s="564"/>
      <c r="D70" s="573"/>
      <c r="E70" s="573"/>
      <c r="F70" s="573"/>
      <c r="G70" s="573"/>
      <c r="H70" s="105"/>
      <c r="I70" s="476"/>
      <c r="J70" s="477"/>
      <c r="T70" s="476"/>
      <c r="U70" s="476"/>
      <c r="V70" s="598"/>
      <c r="W70" s="565"/>
      <c r="X70" s="573"/>
      <c r="Y70" s="565"/>
      <c r="Z70" s="573"/>
      <c r="AA70" s="476"/>
    </row>
    <row r="71" spans="2:27" ht="12.75" customHeight="1">
      <c r="B71" s="475" t="str">
        <f>ProcessEnergy!B17</f>
        <v>&lt;empty&gt;</v>
      </c>
      <c r="C71" s="564"/>
      <c r="D71" s="573"/>
      <c r="E71" s="573"/>
      <c r="F71" s="573"/>
      <c r="G71" s="573"/>
      <c r="H71" s="105"/>
      <c r="I71" s="476"/>
      <c r="J71" s="477"/>
      <c r="T71" s="476"/>
      <c r="U71" s="476"/>
      <c r="V71" s="598"/>
      <c r="W71" s="565"/>
      <c r="X71" s="573"/>
      <c r="Y71" s="565"/>
      <c r="Z71" s="573"/>
      <c r="AA71" s="476"/>
    </row>
    <row r="72" spans="2:27" ht="12.75" customHeight="1">
      <c r="B72" s="475" t="str">
        <f>ProcessEnergy!B18</f>
        <v>&lt;empty&gt;</v>
      </c>
      <c r="C72" s="564"/>
      <c r="D72" s="573"/>
      <c r="E72" s="573"/>
      <c r="F72" s="573"/>
      <c r="G72" s="573"/>
      <c r="H72" s="105"/>
      <c r="I72" s="476"/>
      <c r="J72" s="477"/>
      <c r="T72" s="476"/>
      <c r="U72" s="476"/>
      <c r="V72" s="598"/>
      <c r="W72" s="565"/>
      <c r="X72" s="573"/>
      <c r="Y72" s="565"/>
      <c r="Z72" s="573"/>
      <c r="AA72" s="476"/>
    </row>
    <row r="73" spans="2:27" ht="12.75" customHeight="1">
      <c r="B73" s="475" t="str">
        <f>ProcessEnergy!B19</f>
        <v>&lt;empty&gt;</v>
      </c>
      <c r="C73" s="564"/>
      <c r="D73" s="573"/>
      <c r="E73" s="573"/>
      <c r="F73" s="573"/>
      <c r="G73" s="573"/>
      <c r="H73" s="105"/>
      <c r="I73" s="476"/>
      <c r="J73" s="477"/>
      <c r="T73" s="476"/>
      <c r="U73" s="476"/>
      <c r="V73" s="598"/>
      <c r="W73" s="565"/>
      <c r="X73" s="573"/>
      <c r="Y73" s="565"/>
      <c r="Z73" s="573"/>
      <c r="AA73" s="476"/>
    </row>
    <row r="74" spans="2:27" ht="12.75" customHeight="1">
      <c r="B74" s="475" t="str">
        <f>ProcessEnergy!B20</f>
        <v>&lt;empty&gt;</v>
      </c>
      <c r="C74" s="564"/>
      <c r="D74" s="573"/>
      <c r="E74" s="573"/>
      <c r="F74" s="573"/>
      <c r="G74" s="573"/>
      <c r="H74" s="105"/>
      <c r="I74" s="476"/>
      <c r="J74" s="477"/>
      <c r="T74" s="476"/>
      <c r="U74" s="476"/>
      <c r="V74" s="598"/>
      <c r="W74" s="565"/>
      <c r="X74" s="573"/>
      <c r="Y74" s="565"/>
      <c r="Z74" s="573"/>
      <c r="AA74" s="476"/>
    </row>
    <row r="75" spans="2:27" ht="12.75" customHeight="1">
      <c r="B75" s="475" t="str">
        <f>ProcessEnergy!B21</f>
        <v>&lt;empty&gt;</v>
      </c>
      <c r="C75" s="564"/>
      <c r="D75" s="573"/>
      <c r="E75" s="573"/>
      <c r="F75" s="573"/>
      <c r="G75" s="573"/>
      <c r="H75" s="105"/>
      <c r="I75" s="476"/>
      <c r="J75" s="477"/>
      <c r="T75" s="476"/>
      <c r="U75" s="476"/>
      <c r="V75" s="598"/>
      <c r="W75" s="565"/>
      <c r="X75" s="573"/>
      <c r="Y75" s="565"/>
      <c r="Z75" s="573"/>
      <c r="AA75" s="476"/>
    </row>
    <row r="76" spans="2:27" ht="12.75" customHeight="1">
      <c r="B76" s="475" t="str">
        <f>ProcessEnergy!B22</f>
        <v>&lt;empty&gt;</v>
      </c>
      <c r="C76" s="564"/>
      <c r="D76" s="573"/>
      <c r="E76" s="573"/>
      <c r="F76" s="573"/>
      <c r="G76" s="573"/>
      <c r="H76" s="105"/>
      <c r="I76" s="476"/>
      <c r="J76" s="477"/>
      <c r="T76" s="476"/>
      <c r="U76" s="476"/>
      <c r="V76" s="598"/>
      <c r="W76" s="565"/>
      <c r="X76" s="573"/>
      <c r="Y76" s="565"/>
      <c r="Z76" s="573"/>
      <c r="AA76" s="476"/>
    </row>
    <row r="77" spans="2:27" ht="12.75" customHeight="1">
      <c r="B77" s="475" t="str">
        <f>ProcessEnergy!B23</f>
        <v>&lt;empty&gt;</v>
      </c>
      <c r="C77" s="564"/>
      <c r="D77" s="573"/>
      <c r="E77" s="573"/>
      <c r="F77" s="573"/>
      <c r="G77" s="573"/>
      <c r="H77" s="105"/>
      <c r="I77" s="476"/>
      <c r="J77" s="477"/>
      <c r="T77" s="476"/>
      <c r="U77" s="476"/>
      <c r="V77" s="598"/>
      <c r="W77" s="565"/>
      <c r="X77" s="573"/>
      <c r="Y77" s="565"/>
      <c r="Z77" s="573"/>
      <c r="AA77" s="476"/>
    </row>
    <row r="78" spans="2:27" ht="12.75" customHeight="1">
      <c r="B78" s="475" t="str">
        <f>ProcessEnergy!B24</f>
        <v>&lt;empty&gt;</v>
      </c>
      <c r="C78" s="564"/>
      <c r="D78" s="573"/>
      <c r="E78" s="573"/>
      <c r="F78" s="573"/>
      <c r="G78" s="573"/>
      <c r="H78" s="105"/>
      <c r="I78" s="476"/>
      <c r="J78" s="477"/>
      <c r="T78" s="476"/>
      <c r="U78" s="476"/>
      <c r="V78" s="598"/>
      <c r="W78" s="565"/>
      <c r="X78" s="573"/>
      <c r="Y78" s="565"/>
      <c r="Z78" s="573"/>
      <c r="AA78" s="476"/>
    </row>
    <row r="79" spans="2:27" ht="12.75" customHeight="1">
      <c r="B79" s="475"/>
      <c r="C79" s="564"/>
      <c r="D79" s="573"/>
      <c r="E79" s="573"/>
      <c r="F79" s="573"/>
      <c r="G79" s="573"/>
      <c r="H79" s="106"/>
      <c r="I79" s="476"/>
      <c r="J79" s="477"/>
      <c r="T79" s="476"/>
      <c r="U79" s="476"/>
      <c r="V79" s="598"/>
      <c r="W79" s="565"/>
      <c r="X79" s="573"/>
      <c r="Y79" s="565"/>
      <c r="Z79" s="573"/>
      <c r="AA79" s="476"/>
    </row>
    <row r="80" spans="2:27" ht="12.75" customHeight="1">
      <c r="B80" s="475"/>
      <c r="C80" s="564"/>
      <c r="D80" s="573"/>
      <c r="E80" s="573"/>
      <c r="F80" s="573"/>
      <c r="G80" s="573"/>
      <c r="H80" s="106"/>
      <c r="I80" s="476"/>
      <c r="J80" s="477"/>
      <c r="T80" s="476"/>
      <c r="U80" s="476"/>
      <c r="V80" s="598"/>
      <c r="W80" s="565"/>
      <c r="X80" s="573"/>
      <c r="Y80" s="565"/>
      <c r="Z80" s="573"/>
      <c r="AA80" s="476"/>
    </row>
    <row r="81" spans="2:27" ht="12.75" customHeight="1">
      <c r="B81" s="475"/>
      <c r="C81" s="564"/>
      <c r="D81" s="573"/>
      <c r="E81" s="573"/>
      <c r="F81" s="573"/>
      <c r="G81" s="573"/>
      <c r="H81" s="106"/>
      <c r="I81" s="476"/>
      <c r="J81" s="477"/>
      <c r="T81" s="476"/>
      <c r="U81" s="476"/>
      <c r="V81" s="598"/>
      <c r="W81" s="565"/>
      <c r="X81" s="573"/>
      <c r="Y81" s="565"/>
      <c r="Z81" s="573"/>
      <c r="AA81" s="476"/>
    </row>
    <row r="82" spans="2:27" ht="12.75" customHeight="1">
      <c r="B82" s="570" t="s">
        <v>152</v>
      </c>
      <c r="C82" s="564"/>
      <c r="D82" s="573"/>
      <c r="E82" s="573"/>
      <c r="F82" s="573"/>
      <c r="G82" s="573"/>
      <c r="H82" s="106"/>
      <c r="I82" s="476"/>
      <c r="J82" s="477"/>
      <c r="T82" s="476"/>
      <c r="U82" s="599"/>
      <c r="V82" s="598"/>
      <c r="W82" s="565"/>
      <c r="X82" s="573"/>
      <c r="Y82" s="565"/>
      <c r="Z82" s="573"/>
      <c r="AA82" s="476"/>
    </row>
    <row r="83" spans="2:27" ht="12.75" customHeight="1">
      <c r="B83" s="247" t="s">
        <v>462</v>
      </c>
      <c r="C83" s="210" t="s">
        <v>725</v>
      </c>
      <c r="D83" s="628">
        <v>1</v>
      </c>
      <c r="E83" s="628">
        <v>1</v>
      </c>
      <c r="F83" s="628">
        <v>1</v>
      </c>
      <c r="G83" s="628">
        <v>1</v>
      </c>
      <c r="H83" s="295"/>
      <c r="I83" s="476"/>
      <c r="J83" s="477"/>
      <c r="T83" s="476"/>
      <c r="U83" s="476"/>
      <c r="V83" s="598"/>
      <c r="W83" s="606"/>
      <c r="X83" s="606"/>
      <c r="Y83" s="606"/>
      <c r="Z83" s="606"/>
      <c r="AA83" s="476"/>
    </row>
    <row r="84" spans="2:27" ht="12.75" customHeight="1">
      <c r="B84" s="247" t="s">
        <v>153</v>
      </c>
      <c r="C84" s="210" t="s">
        <v>725</v>
      </c>
      <c r="D84" s="628"/>
      <c r="E84" s="628"/>
      <c r="F84" s="628"/>
      <c r="G84" s="628"/>
      <c r="H84" s="105"/>
      <c r="I84" s="476"/>
      <c r="J84" s="477"/>
      <c r="T84" s="476"/>
      <c r="U84" s="476"/>
      <c r="V84" s="598"/>
      <c r="W84" s="606"/>
      <c r="X84" s="606"/>
      <c r="Y84" s="606"/>
      <c r="Z84" s="606"/>
      <c r="AA84" s="476"/>
    </row>
    <row r="85" spans="2:27" ht="12.75" customHeight="1">
      <c r="B85" s="247" t="s">
        <v>154</v>
      </c>
      <c r="C85" s="210" t="s">
        <v>725</v>
      </c>
      <c r="D85" s="630"/>
      <c r="E85" s="630"/>
      <c r="F85" s="630"/>
      <c r="G85" s="630"/>
      <c r="H85" s="105"/>
      <c r="I85" s="476"/>
      <c r="J85" s="477"/>
      <c r="T85" s="476"/>
      <c r="U85" s="476"/>
      <c r="V85" s="598"/>
      <c r="W85" s="600"/>
      <c r="X85" s="600"/>
      <c r="Y85" s="600"/>
      <c r="Z85" s="600"/>
      <c r="AA85" s="476"/>
    </row>
    <row r="86" spans="2:27" ht="12.75" customHeight="1">
      <c r="B86" s="310" t="s">
        <v>1240</v>
      </c>
      <c r="C86" s="210" t="s">
        <v>725</v>
      </c>
      <c r="D86" s="607">
        <f>D83*D31</f>
        <v>1</v>
      </c>
      <c r="E86" s="607">
        <f>E83*E31</f>
        <v>1</v>
      </c>
      <c r="F86" s="607">
        <f>F83*F31</f>
        <v>1</v>
      </c>
      <c r="G86" s="607">
        <f>G83*G31</f>
        <v>1</v>
      </c>
      <c r="H86" s="237"/>
      <c r="I86" s="476"/>
      <c r="J86" s="477"/>
      <c r="T86" s="476"/>
      <c r="U86" s="476"/>
      <c r="V86" s="598"/>
      <c r="W86" s="607"/>
      <c r="X86" s="607"/>
      <c r="Y86" s="607"/>
      <c r="Z86" s="607"/>
      <c r="AA86" s="476"/>
    </row>
    <row r="87" spans="2:27" ht="12.75" customHeight="1">
      <c r="B87" s="108" t="s">
        <v>155</v>
      </c>
      <c r="C87" s="210" t="s">
        <v>725</v>
      </c>
      <c r="D87" s="610"/>
      <c r="E87" s="610"/>
      <c r="F87" s="610"/>
      <c r="G87" s="610"/>
      <c r="H87" s="109"/>
      <c r="I87" s="476"/>
      <c r="J87" s="477"/>
      <c r="T87" s="476"/>
      <c r="U87" s="608"/>
      <c r="V87" s="609"/>
      <c r="W87" s="610"/>
      <c r="X87" s="610"/>
      <c r="Y87" s="610"/>
      <c r="Z87" s="610"/>
      <c r="AA87" s="476"/>
    </row>
    <row r="88" spans="2:27" ht="12.75" customHeight="1">
      <c r="B88" s="232" t="s">
        <v>2013</v>
      </c>
      <c r="C88" s="233" t="s">
        <v>726</v>
      </c>
      <c r="D88" s="632">
        <v>1</v>
      </c>
      <c r="E88" s="632">
        <v>1</v>
      </c>
      <c r="F88" s="632">
        <v>1</v>
      </c>
      <c r="G88" s="632">
        <v>1</v>
      </c>
      <c r="H88" s="462"/>
      <c r="I88" s="476"/>
      <c r="J88" s="477"/>
      <c r="T88" s="476"/>
      <c r="U88" s="608"/>
      <c r="V88" s="609"/>
      <c r="W88" s="580"/>
      <c r="X88" s="580"/>
      <c r="Y88" s="580"/>
      <c r="Z88" s="580"/>
      <c r="AA88" s="476"/>
    </row>
    <row r="89" spans="2:27" ht="12.75" customHeight="1">
      <c r="B89" s="475"/>
      <c r="C89" s="564"/>
      <c r="D89" s="573"/>
      <c r="E89" s="573"/>
      <c r="F89" s="573"/>
      <c r="G89" s="573"/>
      <c r="H89" s="213"/>
      <c r="I89" s="476"/>
      <c r="J89" s="477"/>
      <c r="T89" s="599"/>
      <c r="U89" s="476"/>
      <c r="V89" s="598"/>
      <c r="W89" s="573"/>
      <c r="X89" s="573"/>
      <c r="Y89" s="573"/>
      <c r="Z89" s="573"/>
      <c r="AA89" s="476"/>
    </row>
    <row r="90" spans="2:27" ht="12.75" customHeight="1">
      <c r="B90" s="570" t="s">
        <v>33</v>
      </c>
      <c r="C90" s="564"/>
      <c r="D90" s="573"/>
      <c r="E90" s="573"/>
      <c r="F90" s="573"/>
      <c r="G90" s="573"/>
      <c r="H90" s="213"/>
      <c r="I90" s="476"/>
      <c r="J90" s="477"/>
      <c r="T90" s="476"/>
      <c r="U90" s="599"/>
      <c r="V90" s="598"/>
      <c r="W90" s="573"/>
      <c r="X90" s="573"/>
      <c r="Y90" s="573"/>
      <c r="Z90" s="573"/>
      <c r="AA90" s="476"/>
    </row>
    <row r="91" spans="2:27" s="530" customFormat="1">
      <c r="B91" s="964" t="s">
        <v>157</v>
      </c>
      <c r="C91" s="976" t="s">
        <v>61</v>
      </c>
      <c r="D91" s="992">
        <f>HLOOKUP($H99,Supplementary!$C$44:$AF$46,3,FALSE)*D99</f>
        <v>0</v>
      </c>
      <c r="E91" s="555">
        <f>HLOOKUP($H99,Supplementary!$C$44:$AF$46,3,FALSE)*E99</f>
        <v>0</v>
      </c>
      <c r="F91" s="555">
        <f>HLOOKUP($H99,Supplementary!$C$44:$AF$46,3,FALSE)*F99</f>
        <v>0</v>
      </c>
      <c r="G91" s="555">
        <f>HLOOKUP($H99,Supplementary!$C$44:$AF$46,3,FALSE)*G99</f>
        <v>0</v>
      </c>
      <c r="H91" s="555">
        <f t="shared" ref="H91:H97" si="0">priceYear</f>
        <v>2015</v>
      </c>
      <c r="I91" s="555"/>
      <c r="J91" s="965"/>
      <c r="N91" s="991"/>
      <c r="O91" s="991"/>
      <c r="P91" s="991"/>
      <c r="Q91" s="991"/>
    </row>
    <row r="92" spans="2:27" s="530" customFormat="1">
      <c r="B92" s="964" t="s">
        <v>160</v>
      </c>
      <c r="C92" s="976" t="s">
        <v>1094</v>
      </c>
      <c r="D92" s="992">
        <f>HLOOKUP($H100,Supplementary!$C$44:$AF$46,3,FALSE)*D100</f>
        <v>1.0644619289167017</v>
      </c>
      <c r="E92" s="555">
        <f>HLOOKUP($H100,Supplementary!$C$44:$AF$46,3,FALSE)*E100</f>
        <v>1.0644619289167017</v>
      </c>
      <c r="F92" s="555">
        <f>HLOOKUP($H100,Supplementary!$C$44:$AF$46,3,FALSE)*F100</f>
        <v>1.0644619289167017</v>
      </c>
      <c r="G92" s="555">
        <f>HLOOKUP($H100,Supplementary!$C$44:$AF$46,3,FALSE)*G100</f>
        <v>1.0644619289167017</v>
      </c>
      <c r="H92" s="555">
        <f t="shared" si="0"/>
        <v>2015</v>
      </c>
      <c r="I92" s="555"/>
      <c r="J92" s="965"/>
      <c r="N92" s="991"/>
      <c r="O92" s="991"/>
      <c r="P92" s="991"/>
      <c r="Q92" s="991"/>
    </row>
    <row r="93" spans="2:27" s="530" customFormat="1">
      <c r="B93" s="995" t="s">
        <v>162</v>
      </c>
      <c r="C93" s="976" t="s">
        <v>1094</v>
      </c>
      <c r="D93" s="992">
        <f>HLOOKUP($H101,Supplementary!$C$44:$AF$46,3,FALSE)*D101</f>
        <v>0</v>
      </c>
      <c r="E93" s="555">
        <f>HLOOKUP($H101,Supplementary!$C$44:$AF$46,3,FALSE)*E101</f>
        <v>0</v>
      </c>
      <c r="F93" s="555">
        <f>HLOOKUP($H101,Supplementary!$C$44:$AF$46,3,FALSE)*F101</f>
        <v>0</v>
      </c>
      <c r="G93" s="555">
        <f>HLOOKUP($H101,Supplementary!$C$44:$AF$46,3,FALSE)*G101</f>
        <v>0</v>
      </c>
      <c r="H93" s="555">
        <f t="shared" si="0"/>
        <v>2015</v>
      </c>
      <c r="I93" s="555"/>
      <c r="J93" s="965"/>
      <c r="N93" s="991"/>
      <c r="O93" s="991"/>
      <c r="P93" s="991"/>
      <c r="Q93" s="991"/>
    </row>
    <row r="94" spans="2:27" s="530" customFormat="1">
      <c r="B94" s="995" t="s">
        <v>163</v>
      </c>
      <c r="C94" s="976" t="s">
        <v>1094</v>
      </c>
      <c r="D94" s="992">
        <f>HLOOKUP($H102,Supplementary!$C$44:$AF$46,3,FALSE)*D102</f>
        <v>0</v>
      </c>
      <c r="E94" s="555">
        <f>HLOOKUP($H102,Supplementary!$C$44:$AF$46,3,FALSE)*E102</f>
        <v>0</v>
      </c>
      <c r="F94" s="555">
        <f>HLOOKUP($H102,Supplementary!$C$44:$AF$46,3,FALSE)*F102</f>
        <v>0</v>
      </c>
      <c r="G94" s="555">
        <f>HLOOKUP($H102,Supplementary!$C$44:$AF$46,3,FALSE)*G102</f>
        <v>0</v>
      </c>
      <c r="H94" s="555">
        <f t="shared" si="0"/>
        <v>2015</v>
      </c>
      <c r="I94" s="555"/>
      <c r="J94" s="965"/>
      <c r="N94" s="991"/>
      <c r="O94" s="991"/>
      <c r="P94" s="991"/>
      <c r="Q94" s="991"/>
    </row>
    <row r="95" spans="2:27" s="530" customFormat="1">
      <c r="B95" s="995" t="s">
        <v>164</v>
      </c>
      <c r="C95" s="976" t="s">
        <v>464</v>
      </c>
      <c r="D95" s="992">
        <f>HLOOKUP($H103,Supplementary!$C$44:$AF$46,3,FALSE)*D103</f>
        <v>0</v>
      </c>
      <c r="E95" s="555">
        <f>HLOOKUP($H103,Supplementary!$C$44:$AF$46,3,FALSE)*E103</f>
        <v>0</v>
      </c>
      <c r="F95" s="555">
        <f>HLOOKUP($H103,Supplementary!$C$44:$AF$46,3,FALSE)*F103</f>
        <v>0</v>
      </c>
      <c r="G95" s="555">
        <f>HLOOKUP($H103,Supplementary!$C$44:$AF$46,3,FALSE)*G103</f>
        <v>0</v>
      </c>
      <c r="H95" s="555">
        <f t="shared" si="0"/>
        <v>2015</v>
      </c>
      <c r="I95" s="555"/>
      <c r="J95" s="965"/>
      <c r="N95" s="991"/>
      <c r="O95" s="991"/>
      <c r="P95" s="991"/>
      <c r="Q95" s="991"/>
    </row>
    <row r="96" spans="2:27" s="530" customFormat="1">
      <c r="B96" s="995" t="s">
        <v>264</v>
      </c>
      <c r="C96" s="976" t="s">
        <v>464</v>
      </c>
      <c r="D96" s="992">
        <f>HLOOKUP($H104,Supplementary!$C$44:$AF$46,3,FALSE)*D104</f>
        <v>0</v>
      </c>
      <c r="E96" s="555">
        <f>HLOOKUP($H104,Supplementary!$C$44:$AF$46,3,FALSE)*E104</f>
        <v>0</v>
      </c>
      <c r="F96" s="555">
        <f>HLOOKUP($H104,Supplementary!$C$44:$AF$46,3,FALSE)*F104</f>
        <v>0</v>
      </c>
      <c r="G96" s="555">
        <f>HLOOKUP($H104,Supplementary!$C$44:$AF$46,3,FALSE)*G104</f>
        <v>0</v>
      </c>
      <c r="H96" s="555">
        <f t="shared" si="0"/>
        <v>2015</v>
      </c>
      <c r="I96" s="555"/>
      <c r="J96" s="965"/>
      <c r="N96" s="991"/>
      <c r="O96" s="991"/>
      <c r="P96" s="991"/>
      <c r="Q96" s="991"/>
    </row>
    <row r="97" spans="2:27" s="530" customFormat="1">
      <c r="B97" s="995" t="s">
        <v>165</v>
      </c>
      <c r="C97" s="976" t="s">
        <v>464</v>
      </c>
      <c r="D97" s="992">
        <f>HLOOKUP($H105,Supplementary!$C$44:$AF$46,3,FALSE)*D105</f>
        <v>0</v>
      </c>
      <c r="E97" s="555">
        <f>HLOOKUP($H105,Supplementary!$C$44:$AF$46,3,FALSE)*E105</f>
        <v>0</v>
      </c>
      <c r="F97" s="555">
        <f>HLOOKUP($H105,Supplementary!$C$44:$AF$46,3,FALSE)*F105</f>
        <v>0</v>
      </c>
      <c r="G97" s="555">
        <f>HLOOKUP($H105,Supplementary!$C$44:$AF$46,3,FALSE)*G105</f>
        <v>0</v>
      </c>
      <c r="H97" s="555">
        <f t="shared" si="0"/>
        <v>2015</v>
      </c>
      <c r="I97" s="555"/>
      <c r="J97" s="965"/>
      <c r="N97" s="991"/>
      <c r="O97" s="991"/>
      <c r="P97" s="991"/>
      <c r="Q97" s="991"/>
    </row>
    <row r="98" spans="2:27" s="530" customFormat="1">
      <c r="B98" s="975"/>
      <c r="C98" s="976"/>
      <c r="D98" s="992"/>
      <c r="E98" s="983"/>
      <c r="F98" s="983"/>
      <c r="G98" s="983"/>
      <c r="H98" s="983"/>
      <c r="I98" s="555"/>
      <c r="J98" s="965"/>
      <c r="N98" s="991"/>
      <c r="O98" s="991"/>
      <c r="P98" s="991"/>
      <c r="Q98" s="991"/>
    </row>
    <row r="99" spans="2:27" ht="12.75" customHeight="1">
      <c r="B99" s="475" t="s">
        <v>157</v>
      </c>
      <c r="C99" s="564" t="s">
        <v>61</v>
      </c>
      <c r="D99" s="568"/>
      <c r="E99" s="568"/>
      <c r="F99" s="568"/>
      <c r="G99" s="568"/>
      <c r="H99" s="1668">
        <v>2011</v>
      </c>
      <c r="I99" s="476"/>
      <c r="J99" s="477"/>
      <c r="T99" s="476"/>
      <c r="U99" s="476"/>
      <c r="V99" s="598"/>
      <c r="W99" s="602"/>
      <c r="X99" s="602"/>
      <c r="Y99" s="602"/>
      <c r="Z99" s="602"/>
      <c r="AA99" s="476"/>
    </row>
    <row r="100" spans="2:27" ht="12.75" customHeight="1">
      <c r="B100" s="475" t="s">
        <v>160</v>
      </c>
      <c r="C100" s="564" t="s">
        <v>246</v>
      </c>
      <c r="D100" s="611">
        <v>1</v>
      </c>
      <c r="E100" s="611">
        <v>1</v>
      </c>
      <c r="F100" s="611">
        <v>1</v>
      </c>
      <c r="G100" s="611">
        <v>1</v>
      </c>
      <c r="H100" s="1668">
        <v>2011</v>
      </c>
      <c r="I100" s="584"/>
      <c r="J100" s="477"/>
      <c r="T100" s="476"/>
      <c r="U100" s="476"/>
      <c r="V100" s="598"/>
      <c r="W100" s="612"/>
      <c r="X100" s="612"/>
      <c r="Y100" s="612"/>
      <c r="Z100" s="612"/>
      <c r="AA100" s="476"/>
    </row>
    <row r="101" spans="2:27" ht="12.75" customHeight="1">
      <c r="B101" s="585" t="s">
        <v>162</v>
      </c>
      <c r="C101" s="564" t="s">
        <v>246</v>
      </c>
      <c r="D101" s="612"/>
      <c r="E101" s="612"/>
      <c r="F101" s="612"/>
      <c r="G101" s="612"/>
      <c r="H101" s="1668">
        <v>2011</v>
      </c>
      <c r="I101" s="476"/>
      <c r="J101" s="477"/>
      <c r="T101" s="476"/>
      <c r="U101" s="613"/>
      <c r="V101" s="598"/>
      <c r="W101" s="612"/>
      <c r="X101" s="612"/>
      <c r="Y101" s="612"/>
      <c r="Z101" s="612"/>
      <c r="AA101" s="476"/>
    </row>
    <row r="102" spans="2:27" ht="12.75" customHeight="1">
      <c r="B102" s="585" t="s">
        <v>163</v>
      </c>
      <c r="C102" s="564" t="s">
        <v>246</v>
      </c>
      <c r="D102" s="572"/>
      <c r="E102" s="572"/>
      <c r="F102" s="572"/>
      <c r="G102" s="572"/>
      <c r="H102" s="1668">
        <v>2011</v>
      </c>
      <c r="I102" s="476"/>
      <c r="J102" s="477"/>
      <c r="T102" s="476"/>
      <c r="U102" s="613"/>
      <c r="V102" s="598"/>
      <c r="W102" s="573"/>
      <c r="X102" s="573"/>
      <c r="Y102" s="573"/>
      <c r="Z102" s="573"/>
      <c r="AA102" s="476"/>
    </row>
    <row r="103" spans="2:27" ht="12.75" customHeight="1">
      <c r="B103" s="585" t="s">
        <v>164</v>
      </c>
      <c r="C103" s="564" t="s">
        <v>246</v>
      </c>
      <c r="D103" s="610"/>
      <c r="E103" s="610"/>
      <c r="F103" s="610"/>
      <c r="G103" s="610"/>
      <c r="H103" s="1668">
        <v>2011</v>
      </c>
      <c r="I103" s="476"/>
      <c r="J103" s="477"/>
      <c r="T103" s="476"/>
      <c r="U103" s="613"/>
      <c r="V103" s="598"/>
      <c r="W103" s="610"/>
      <c r="X103" s="610"/>
      <c r="Y103" s="610"/>
      <c r="Z103" s="610"/>
      <c r="AA103" s="476"/>
    </row>
    <row r="104" spans="2:27" ht="12.75" customHeight="1">
      <c r="B104" s="585" t="s">
        <v>264</v>
      </c>
      <c r="C104" s="564" t="s">
        <v>246</v>
      </c>
      <c r="D104" s="572"/>
      <c r="E104" s="572"/>
      <c r="F104" s="572"/>
      <c r="G104" s="572"/>
      <c r="H104" s="1668">
        <v>2011</v>
      </c>
      <c r="I104" s="476"/>
      <c r="J104" s="477"/>
      <c r="T104" s="476"/>
      <c r="U104" s="613"/>
      <c r="V104" s="598"/>
      <c r="W104" s="573"/>
      <c r="X104" s="573"/>
      <c r="Y104" s="573"/>
      <c r="Z104" s="573"/>
      <c r="AA104" s="476"/>
    </row>
    <row r="105" spans="2:27" ht="12.75" customHeight="1">
      <c r="B105" s="585" t="s">
        <v>165</v>
      </c>
      <c r="C105" s="564" t="s">
        <v>246</v>
      </c>
      <c r="D105" s="628"/>
      <c r="E105" s="628"/>
      <c r="F105" s="628"/>
      <c r="G105" s="628"/>
      <c r="H105" s="1668">
        <v>2011</v>
      </c>
      <c r="I105" s="476"/>
      <c r="J105" s="477"/>
      <c r="T105" s="476"/>
      <c r="U105" s="613"/>
      <c r="V105" s="598"/>
      <c r="W105" s="606"/>
      <c r="X105" s="606"/>
      <c r="Y105" s="606"/>
      <c r="Z105" s="606"/>
      <c r="AA105" s="476"/>
    </row>
    <row r="106" spans="2:27" ht="12.75" customHeight="1">
      <c r="B106" s="585"/>
      <c r="C106" s="564"/>
      <c r="D106" s="573"/>
      <c r="E106" s="573"/>
      <c r="F106" s="573"/>
      <c r="G106" s="573"/>
      <c r="I106" s="584"/>
      <c r="J106" s="477"/>
      <c r="T106" s="476"/>
      <c r="U106" s="613"/>
      <c r="V106" s="598"/>
      <c r="W106" s="573"/>
      <c r="X106" s="573"/>
      <c r="Y106" s="573"/>
      <c r="Z106" s="573"/>
      <c r="AA106" s="476"/>
    </row>
    <row r="107" spans="2:27" ht="12.75" customHeight="1">
      <c r="B107" s="585"/>
      <c r="C107" s="564"/>
      <c r="D107" s="573"/>
      <c r="E107" s="573"/>
      <c r="F107" s="573"/>
      <c r="G107" s="573"/>
      <c r="I107" s="584"/>
      <c r="J107" s="477"/>
      <c r="T107" s="476"/>
      <c r="U107" s="613"/>
      <c r="V107" s="598"/>
      <c r="W107" s="573"/>
      <c r="X107" s="573"/>
      <c r="Y107" s="573"/>
      <c r="Z107" s="573"/>
      <c r="AA107" s="476"/>
    </row>
    <row r="108" spans="2:27" ht="12.75" customHeight="1">
      <c r="B108" s="585"/>
      <c r="C108" s="564"/>
      <c r="D108" s="573"/>
      <c r="E108" s="573"/>
      <c r="F108" s="573"/>
      <c r="G108" s="573"/>
      <c r="I108" s="584"/>
      <c r="J108" s="477"/>
      <c r="T108" s="476"/>
      <c r="U108" s="613"/>
      <c r="V108" s="598"/>
      <c r="W108" s="573"/>
      <c r="X108" s="573"/>
      <c r="Y108" s="573"/>
      <c r="Z108" s="573"/>
      <c r="AA108" s="476"/>
    </row>
    <row r="109" spans="2:27" ht="12.75" customHeight="1">
      <c r="B109" s="585"/>
      <c r="C109" s="564"/>
      <c r="D109" s="573"/>
      <c r="E109" s="573"/>
      <c r="F109" s="573"/>
      <c r="G109" s="573"/>
      <c r="I109" s="584"/>
      <c r="J109" s="477"/>
      <c r="T109" s="476"/>
      <c r="U109" s="613"/>
      <c r="V109" s="598"/>
      <c r="W109" s="573"/>
      <c r="X109" s="573"/>
      <c r="Y109" s="573"/>
      <c r="Z109" s="573"/>
      <c r="AA109" s="476"/>
    </row>
    <row r="110" spans="2:27" ht="12.75" customHeight="1">
      <c r="B110" s="585"/>
      <c r="C110" s="564"/>
      <c r="D110" s="573"/>
      <c r="E110" s="573"/>
      <c r="F110" s="573"/>
      <c r="G110" s="573"/>
      <c r="I110" s="584"/>
      <c r="J110" s="477"/>
      <c r="T110" s="476"/>
      <c r="U110" s="613"/>
      <c r="V110" s="598"/>
      <c r="W110" s="573"/>
      <c r="X110" s="573"/>
      <c r="Y110" s="573"/>
      <c r="Z110" s="573"/>
      <c r="AA110" s="476"/>
    </row>
    <row r="111" spans="2:27" ht="12.75" customHeight="1">
      <c r="B111" s="585"/>
      <c r="C111" s="564"/>
      <c r="D111" s="573"/>
      <c r="E111" s="573"/>
      <c r="F111" s="573"/>
      <c r="G111" s="573"/>
      <c r="I111" s="584"/>
      <c r="J111" s="477"/>
      <c r="T111" s="476"/>
      <c r="U111" s="613"/>
      <c r="V111" s="598"/>
      <c r="W111" s="573"/>
      <c r="X111" s="573"/>
      <c r="Y111" s="573"/>
      <c r="Z111" s="573"/>
      <c r="AA111" s="476"/>
    </row>
    <row r="112" spans="2:27" ht="12.75" customHeight="1">
      <c r="B112" s="585"/>
      <c r="C112" s="564"/>
      <c r="D112" s="573"/>
      <c r="E112" s="573"/>
      <c r="F112" s="573"/>
      <c r="G112" s="573"/>
      <c r="I112" s="584"/>
      <c r="J112" s="477"/>
      <c r="T112" s="476"/>
      <c r="U112" s="613"/>
      <c r="V112" s="598"/>
      <c r="W112" s="573"/>
      <c r="X112" s="573"/>
      <c r="Y112" s="573"/>
      <c r="Z112" s="573"/>
      <c r="AA112" s="476"/>
    </row>
    <row r="113" spans="2:27" ht="12.75" customHeight="1">
      <c r="B113" s="585"/>
      <c r="C113" s="564"/>
      <c r="D113" s="573"/>
      <c r="E113" s="573"/>
      <c r="F113" s="573"/>
      <c r="G113" s="573"/>
      <c r="I113" s="584"/>
      <c r="J113" s="477"/>
      <c r="T113" s="476"/>
      <c r="U113" s="613"/>
      <c r="V113" s="598"/>
      <c r="W113" s="573"/>
      <c r="X113" s="573"/>
      <c r="Y113" s="573"/>
      <c r="Z113" s="573"/>
      <c r="AA113" s="476"/>
    </row>
    <row r="114" spans="2:27" ht="12.75" customHeight="1">
      <c r="B114" s="585"/>
      <c r="C114" s="564"/>
      <c r="D114" s="573"/>
      <c r="E114" s="573"/>
      <c r="F114" s="573"/>
      <c r="G114" s="573"/>
      <c r="I114" s="584"/>
      <c r="J114" s="477"/>
      <c r="T114" s="476"/>
      <c r="U114" s="613"/>
      <c r="V114" s="598"/>
      <c r="W114" s="573"/>
      <c r="X114" s="573"/>
      <c r="Y114" s="573"/>
      <c r="Z114" s="573"/>
      <c r="AA114" s="476"/>
    </row>
    <row r="115" spans="2:27" ht="12.75" customHeight="1">
      <c r="B115" s="570" t="s">
        <v>166</v>
      </c>
      <c r="C115" s="564"/>
      <c r="D115" s="573"/>
      <c r="E115" s="573"/>
      <c r="F115" s="573"/>
      <c r="G115" s="573"/>
      <c r="I115" s="584"/>
      <c r="J115" s="477"/>
      <c r="T115" s="599"/>
      <c r="U115" s="599"/>
      <c r="V115" s="598"/>
      <c r="W115" s="573"/>
      <c r="X115" s="573"/>
      <c r="Y115" s="573"/>
      <c r="Z115" s="573"/>
      <c r="AA115" s="476"/>
    </row>
    <row r="116" spans="2:27" ht="12.75" customHeight="1">
      <c r="B116" s="475" t="s">
        <v>24</v>
      </c>
      <c r="C116" s="564" t="s">
        <v>399</v>
      </c>
      <c r="D116" s="614"/>
      <c r="E116" s="633"/>
      <c r="F116" s="633"/>
      <c r="G116" s="633"/>
      <c r="H116" s="452"/>
      <c r="I116" s="476"/>
      <c r="J116" s="477"/>
      <c r="T116" s="476"/>
      <c r="U116" s="476"/>
      <c r="V116" s="598"/>
      <c r="W116" s="615"/>
      <c r="X116" s="615"/>
      <c r="Y116" s="616"/>
      <c r="Z116" s="616"/>
      <c r="AA116" s="476"/>
    </row>
    <row r="117" spans="2:27" ht="12.75" customHeight="1">
      <c r="B117" s="475" t="s">
        <v>27</v>
      </c>
      <c r="C117" s="564" t="s">
        <v>399</v>
      </c>
      <c r="D117" s="614"/>
      <c r="E117" s="633"/>
      <c r="F117" s="633"/>
      <c r="G117" s="633"/>
      <c r="H117" s="452"/>
      <c r="I117" s="476"/>
      <c r="J117" s="477"/>
      <c r="T117" s="476"/>
      <c r="U117" s="476"/>
      <c r="V117" s="598"/>
      <c r="W117" s="615"/>
      <c r="X117" s="615"/>
      <c r="Y117" s="616"/>
      <c r="Z117" s="616"/>
      <c r="AA117" s="476"/>
    </row>
    <row r="118" spans="2:27" ht="12.75" customHeight="1">
      <c r="B118" s="475" t="s">
        <v>28</v>
      </c>
      <c r="C118" s="564" t="s">
        <v>399</v>
      </c>
      <c r="D118" s="614"/>
      <c r="E118" s="633"/>
      <c r="F118" s="633"/>
      <c r="G118" s="633"/>
      <c r="H118" s="452"/>
      <c r="I118" s="476"/>
      <c r="J118" s="477"/>
      <c r="T118" s="476"/>
      <c r="U118" s="476"/>
      <c r="V118" s="598"/>
      <c r="W118" s="615"/>
      <c r="X118" s="615"/>
      <c r="Y118" s="616"/>
      <c r="Z118" s="616"/>
      <c r="AA118" s="476"/>
    </row>
    <row r="119" spans="2:27" ht="12.75" customHeight="1">
      <c r="B119" s="475" t="s">
        <v>26</v>
      </c>
      <c r="C119" s="564" t="s">
        <v>399</v>
      </c>
      <c r="D119" s="614"/>
      <c r="E119" s="633"/>
      <c r="F119" s="633"/>
      <c r="G119" s="633"/>
      <c r="H119" s="452"/>
      <c r="I119" s="476"/>
      <c r="J119" s="477"/>
      <c r="T119" s="476"/>
      <c r="U119" s="476"/>
      <c r="V119" s="598"/>
      <c r="W119" s="615"/>
      <c r="X119" s="615"/>
      <c r="Y119" s="616"/>
      <c r="Z119" s="616"/>
      <c r="AA119" s="476"/>
    </row>
    <row r="120" spans="2:27" ht="12.75" customHeight="1">
      <c r="B120" s="475" t="s">
        <v>167</v>
      </c>
      <c r="C120" s="564" t="s">
        <v>399</v>
      </c>
      <c r="D120" s="614"/>
      <c r="E120" s="633"/>
      <c r="F120" s="633"/>
      <c r="G120" s="633"/>
      <c r="H120" s="452"/>
      <c r="I120" s="476"/>
      <c r="J120" s="477"/>
      <c r="T120" s="599"/>
      <c r="U120" s="476"/>
      <c r="V120" s="598"/>
      <c r="W120" s="615"/>
      <c r="X120" s="615"/>
      <c r="Y120" s="616"/>
      <c r="Z120" s="616"/>
      <c r="AA120" s="476"/>
    </row>
    <row r="121" spans="2:27" ht="12.75" customHeight="1">
      <c r="B121" s="475" t="s">
        <v>45</v>
      </c>
      <c r="C121" s="564" t="s">
        <v>399</v>
      </c>
      <c r="D121" s="614"/>
      <c r="E121" s="633"/>
      <c r="F121" s="633"/>
      <c r="G121" s="633"/>
      <c r="H121" s="451"/>
      <c r="I121" s="476"/>
      <c r="J121" s="477"/>
      <c r="T121" s="476"/>
      <c r="U121" s="476"/>
      <c r="V121" s="598"/>
      <c r="W121" s="615"/>
      <c r="X121" s="615"/>
      <c r="Y121" s="616"/>
      <c r="Z121" s="616"/>
      <c r="AA121" s="476"/>
    </row>
    <row r="122" spans="2:27" ht="12.75" customHeight="1" thickBot="1">
      <c r="B122" s="591"/>
      <c r="C122" s="592"/>
      <c r="D122" s="593"/>
      <c r="E122" s="593"/>
      <c r="F122" s="593"/>
      <c r="G122" s="593"/>
      <c r="H122" s="244"/>
      <c r="I122" s="594"/>
      <c r="J122" s="483"/>
      <c r="T122" s="476"/>
      <c r="U122" s="573"/>
      <c r="V122" s="604"/>
      <c r="W122" s="603"/>
      <c r="X122" s="603"/>
      <c r="Y122" s="603"/>
      <c r="Z122" s="603"/>
      <c r="AA122" s="476"/>
    </row>
    <row r="123" spans="2:27" ht="12.75" customHeight="1">
      <c r="T123" s="476"/>
      <c r="U123" s="476"/>
      <c r="V123" s="476"/>
      <c r="W123" s="476"/>
      <c r="X123" s="476"/>
      <c r="Y123" s="476"/>
      <c r="Z123" s="476"/>
      <c r="AA123" s="476"/>
    </row>
    <row r="124" spans="2:27" ht="12.75" customHeight="1">
      <c r="T124" s="476"/>
      <c r="U124" s="476"/>
      <c r="V124" s="476"/>
      <c r="W124" s="476"/>
      <c r="X124" s="476"/>
      <c r="Y124" s="476"/>
      <c r="Z124" s="476"/>
      <c r="AA124" s="476"/>
    </row>
    <row r="125" spans="2:27" ht="12.75" customHeight="1">
      <c r="T125" s="476"/>
      <c r="U125" s="476"/>
      <c r="V125" s="476"/>
      <c r="W125" s="476"/>
      <c r="X125" s="476"/>
      <c r="Y125" s="476"/>
      <c r="Z125" s="476"/>
      <c r="AA125" s="476"/>
    </row>
    <row r="126" spans="2:27" ht="12.75" customHeight="1">
      <c r="B126" s="617"/>
      <c r="T126" s="476"/>
      <c r="U126" s="476"/>
      <c r="V126" s="476"/>
      <c r="W126" s="476"/>
      <c r="X126" s="476"/>
      <c r="Y126" s="476"/>
      <c r="Z126" s="476"/>
      <c r="AA126" s="476"/>
    </row>
    <row r="127" spans="2:27" ht="12.75" customHeight="1">
      <c r="B127" s="476"/>
      <c r="C127" s="476"/>
      <c r="D127" s="476"/>
      <c r="E127" s="476"/>
      <c r="F127" s="476"/>
      <c r="G127" s="476"/>
      <c r="I127" s="476"/>
      <c r="J127" s="476"/>
      <c r="K127" s="476"/>
      <c r="M127" s="476"/>
      <c r="N127" s="476"/>
      <c r="O127" s="476"/>
      <c r="P127" s="476"/>
      <c r="T127" s="476"/>
      <c r="U127" s="476"/>
      <c r="V127" s="476"/>
      <c r="W127" s="476"/>
      <c r="X127" s="476"/>
      <c r="Y127" s="476"/>
      <c r="Z127" s="476"/>
      <c r="AA127" s="476"/>
    </row>
    <row r="128" spans="2:27" ht="12.75" customHeight="1">
      <c r="B128" s="476"/>
      <c r="C128" s="598"/>
      <c r="D128" s="639"/>
      <c r="E128" s="639"/>
      <c r="F128" s="639"/>
      <c r="G128" s="639"/>
      <c r="H128" s="1173"/>
      <c r="I128" s="476"/>
      <c r="J128" s="639"/>
      <c r="K128" s="639"/>
      <c r="M128" s="476"/>
      <c r="N128" s="476"/>
      <c r="O128" s="476"/>
      <c r="P128" s="476"/>
      <c r="T128" s="476"/>
      <c r="U128" s="476"/>
      <c r="V128" s="476"/>
      <c r="W128" s="476"/>
      <c r="X128" s="476"/>
      <c r="Y128" s="476"/>
      <c r="Z128" s="476"/>
      <c r="AA128" s="476"/>
    </row>
    <row r="129" spans="2:27" ht="12.75" customHeight="1">
      <c r="B129" s="476"/>
      <c r="C129" s="476"/>
      <c r="D129" s="476"/>
      <c r="E129" s="583"/>
      <c r="F129" s="476"/>
      <c r="G129" s="476"/>
      <c r="H129" s="1173"/>
      <c r="I129" s="476"/>
      <c r="J129" s="476"/>
      <c r="K129" s="583"/>
      <c r="M129" s="476"/>
      <c r="N129" s="476"/>
      <c r="O129" s="476"/>
      <c r="P129" s="476"/>
      <c r="T129" s="476"/>
      <c r="U129" s="476"/>
      <c r="V129" s="476"/>
      <c r="W129" s="476"/>
      <c r="X129" s="476"/>
      <c r="Y129" s="476"/>
      <c r="Z129" s="476"/>
      <c r="AA129" s="476"/>
    </row>
    <row r="130" spans="2:27" ht="12.75" customHeight="1">
      <c r="B130" s="476"/>
      <c r="C130" s="476"/>
      <c r="D130" s="476"/>
      <c r="E130" s="640"/>
      <c r="F130" s="476"/>
      <c r="G130" s="476"/>
      <c r="H130" s="1173"/>
      <c r="I130" s="476"/>
      <c r="J130" s="476"/>
      <c r="K130" s="583"/>
      <c r="M130" s="476"/>
      <c r="N130" s="476"/>
      <c r="O130" s="476"/>
      <c r="P130" s="476"/>
      <c r="T130" s="476"/>
      <c r="U130" s="476"/>
      <c r="V130" s="476"/>
      <c r="W130" s="476"/>
      <c r="X130" s="476"/>
      <c r="Y130" s="476"/>
      <c r="Z130" s="476"/>
      <c r="AA130" s="476"/>
    </row>
    <row r="131" spans="2:27" ht="12.75" customHeight="1">
      <c r="B131" s="476"/>
      <c r="C131" s="476"/>
      <c r="D131" s="476"/>
      <c r="E131" s="640"/>
      <c r="F131" s="476"/>
      <c r="G131" s="476"/>
      <c r="H131" s="1399"/>
      <c r="I131" s="476"/>
      <c r="J131" s="476"/>
      <c r="K131" s="583"/>
      <c r="M131" s="476"/>
      <c r="N131" s="476"/>
      <c r="O131" s="476"/>
      <c r="P131" s="476"/>
      <c r="T131" s="476"/>
      <c r="U131" s="476"/>
      <c r="V131" s="476"/>
      <c r="W131" s="476"/>
      <c r="X131" s="476"/>
      <c r="Y131" s="476"/>
      <c r="Z131" s="476"/>
      <c r="AA131" s="476"/>
    </row>
    <row r="132" spans="2:27" ht="12.75" customHeight="1">
      <c r="B132" s="476"/>
      <c r="C132" s="476"/>
      <c r="D132" s="476"/>
      <c r="E132" s="641"/>
      <c r="F132" s="476"/>
      <c r="G132" s="476"/>
      <c r="H132" s="393"/>
      <c r="I132" s="476"/>
      <c r="J132" s="476"/>
      <c r="K132" s="640"/>
      <c r="M132" s="476"/>
      <c r="N132" s="476"/>
      <c r="O132" s="476"/>
      <c r="P132" s="476"/>
      <c r="T132" s="476"/>
      <c r="U132" s="476"/>
      <c r="V132" s="476"/>
      <c r="W132" s="476"/>
      <c r="X132" s="476"/>
      <c r="Y132" s="476"/>
      <c r="Z132" s="476"/>
      <c r="AA132" s="476"/>
    </row>
    <row r="133" spans="2:27" ht="12.75" customHeight="1">
      <c r="B133" s="476"/>
      <c r="C133" s="476"/>
      <c r="D133" s="476"/>
      <c r="E133" s="641"/>
      <c r="F133" s="476"/>
      <c r="G133" s="476"/>
      <c r="I133" s="476"/>
      <c r="J133" s="476"/>
      <c r="K133" s="640"/>
      <c r="M133" s="476"/>
      <c r="N133" s="476"/>
      <c r="O133" s="476"/>
      <c r="P133" s="476"/>
      <c r="T133" s="476"/>
      <c r="U133" s="476"/>
      <c r="V133" s="476"/>
      <c r="W133" s="476"/>
      <c r="X133" s="476"/>
      <c r="Y133" s="476"/>
      <c r="Z133" s="476"/>
      <c r="AA133" s="476"/>
    </row>
    <row r="134" spans="2:27" ht="12.75" customHeight="1">
      <c r="B134" s="476"/>
      <c r="C134" s="476"/>
      <c r="D134" s="476"/>
      <c r="E134" s="641"/>
      <c r="F134" s="476"/>
      <c r="G134" s="476"/>
      <c r="I134" s="476"/>
      <c r="J134" s="476"/>
      <c r="K134" s="640"/>
      <c r="M134" s="476"/>
      <c r="N134" s="476"/>
      <c r="O134" s="476"/>
      <c r="P134" s="476"/>
      <c r="T134" s="476"/>
      <c r="U134" s="476"/>
      <c r="V134" s="476"/>
      <c r="W134" s="476"/>
      <c r="X134" s="476"/>
      <c r="Y134" s="476"/>
      <c r="Z134" s="476"/>
      <c r="AA134" s="476"/>
    </row>
    <row r="135" spans="2:27" ht="12.75" customHeight="1">
      <c r="B135" s="476"/>
      <c r="C135" s="476"/>
      <c r="D135" s="476"/>
      <c r="E135" s="641"/>
      <c r="F135" s="476"/>
      <c r="G135" s="476"/>
      <c r="I135" s="476"/>
      <c r="J135" s="476"/>
      <c r="K135" s="640"/>
      <c r="M135" s="476"/>
      <c r="N135" s="476"/>
      <c r="O135" s="476"/>
      <c r="P135" s="476"/>
      <c r="T135" s="476"/>
      <c r="U135" s="476"/>
      <c r="V135" s="476"/>
      <c r="W135" s="476"/>
      <c r="X135" s="476"/>
      <c r="Y135" s="476"/>
      <c r="Z135" s="476"/>
      <c r="AA135" s="476"/>
    </row>
    <row r="136" spans="2:27" ht="12.75" customHeight="1">
      <c r="B136" s="476"/>
      <c r="C136" s="476"/>
      <c r="D136" s="476"/>
      <c r="E136" s="476"/>
      <c r="F136" s="476"/>
      <c r="G136" s="476"/>
      <c r="I136" s="476"/>
      <c r="J136" s="476"/>
      <c r="K136" s="476"/>
      <c r="M136" s="476"/>
      <c r="N136" s="476"/>
      <c r="O136" s="476"/>
      <c r="P136" s="476"/>
      <c r="T136" s="476"/>
      <c r="U136" s="476"/>
      <c r="V136" s="476"/>
      <c r="W136" s="476"/>
      <c r="X136" s="476"/>
      <c r="Y136" s="476"/>
      <c r="Z136" s="476"/>
      <c r="AA136" s="476"/>
    </row>
    <row r="137" spans="2:27" ht="12.75" customHeight="1">
      <c r="B137" s="476"/>
      <c r="C137" s="476"/>
      <c r="D137" s="476"/>
      <c r="E137" s="476"/>
      <c r="F137" s="476"/>
      <c r="G137" s="476"/>
      <c r="I137" s="476"/>
      <c r="J137" s="476"/>
      <c r="K137" s="476"/>
      <c r="M137" s="476"/>
      <c r="N137" s="476"/>
      <c r="O137" s="476"/>
      <c r="P137" s="476"/>
      <c r="T137" s="476"/>
      <c r="U137" s="476"/>
      <c r="V137" s="476"/>
      <c r="W137" s="476"/>
      <c r="X137" s="476"/>
      <c r="Y137" s="476"/>
      <c r="Z137" s="476"/>
      <c r="AA137" s="476"/>
    </row>
    <row r="138" spans="2:27" ht="12.75" customHeight="1">
      <c r="B138" s="597"/>
      <c r="C138" s="476"/>
      <c r="D138" s="476"/>
      <c r="E138" s="476"/>
      <c r="F138" s="476"/>
      <c r="G138" s="476"/>
      <c r="I138" s="476"/>
      <c r="J138" s="476"/>
      <c r="K138" s="476"/>
      <c r="M138" s="476"/>
      <c r="N138" s="476"/>
      <c r="O138" s="476"/>
      <c r="P138" s="476"/>
    </row>
    <row r="139" spans="2:27" ht="12.75" customHeight="1">
      <c r="B139" s="476"/>
      <c r="C139" s="476"/>
      <c r="D139" s="476"/>
      <c r="E139" s="476"/>
      <c r="F139" s="476"/>
      <c r="G139" s="476"/>
      <c r="I139" s="476"/>
      <c r="J139" s="476"/>
      <c r="K139" s="476"/>
      <c r="M139" s="476"/>
      <c r="N139" s="476"/>
      <c r="O139" s="476"/>
      <c r="P139" s="476"/>
    </row>
    <row r="140" spans="2:27" ht="12.75" customHeight="1">
      <c r="B140" s="476"/>
      <c r="C140" s="598"/>
      <c r="D140" s="598"/>
      <c r="E140" s="598"/>
      <c r="F140" s="598"/>
      <c r="G140" s="598"/>
      <c r="I140" s="598"/>
      <c r="J140" s="598"/>
      <c r="K140" s="598"/>
      <c r="M140" s="598"/>
      <c r="N140" s="476"/>
      <c r="O140" s="476"/>
      <c r="P140" s="476"/>
    </row>
    <row r="141" spans="2:27" ht="12.75" customHeight="1">
      <c r="B141" s="476"/>
      <c r="C141" s="476"/>
      <c r="D141" s="476"/>
      <c r="E141" s="476"/>
      <c r="F141" s="476"/>
      <c r="G141" s="476"/>
      <c r="I141" s="476"/>
      <c r="J141" s="476"/>
      <c r="K141" s="476"/>
      <c r="M141" s="476"/>
      <c r="N141" s="476"/>
      <c r="O141" s="476"/>
      <c r="P141" s="476"/>
    </row>
    <row r="142" spans="2:27" ht="12.75" customHeight="1">
      <c r="B142" s="476"/>
      <c r="C142" s="476"/>
      <c r="D142" s="583"/>
      <c r="E142" s="583"/>
      <c r="F142" s="583"/>
      <c r="G142" s="583"/>
      <c r="I142" s="476"/>
      <c r="J142" s="476"/>
      <c r="K142" s="476"/>
      <c r="L142" s="476"/>
      <c r="M142" s="476"/>
      <c r="N142" s="476"/>
      <c r="O142" s="476"/>
      <c r="P142" s="476"/>
    </row>
    <row r="143" spans="2:27" ht="12.75" customHeight="1">
      <c r="B143" s="476"/>
      <c r="C143" s="476"/>
      <c r="D143" s="476"/>
      <c r="E143" s="476"/>
      <c r="F143" s="476"/>
      <c r="G143" s="476"/>
      <c r="I143" s="476"/>
      <c r="J143" s="476"/>
      <c r="K143" s="476"/>
      <c r="L143" s="476"/>
      <c r="M143" s="476"/>
      <c r="N143" s="476"/>
      <c r="O143" s="476"/>
      <c r="P143" s="476"/>
    </row>
    <row r="144" spans="2:27" ht="12.75" customHeight="1">
      <c r="B144" s="476"/>
      <c r="C144" s="476"/>
      <c r="D144" s="476"/>
      <c r="E144" s="476"/>
      <c r="F144" s="476"/>
      <c r="G144" s="476"/>
      <c r="I144" s="476"/>
      <c r="J144" s="476"/>
      <c r="K144" s="476"/>
      <c r="L144" s="476"/>
      <c r="M144" s="476"/>
      <c r="N144" s="476"/>
      <c r="O144" s="476"/>
      <c r="P144" s="476"/>
    </row>
    <row r="145" spans="2:16" ht="12.75" customHeight="1">
      <c r="B145" s="476"/>
      <c r="C145" s="476"/>
      <c r="D145" s="618"/>
      <c r="E145" s="618"/>
      <c r="F145" s="618"/>
      <c r="G145" s="618"/>
      <c r="I145" s="476"/>
      <c r="J145" s="476"/>
      <c r="K145" s="476"/>
      <c r="L145" s="476"/>
      <c r="M145" s="476"/>
      <c r="N145" s="476"/>
      <c r="O145" s="476"/>
      <c r="P145" s="476"/>
    </row>
    <row r="146" spans="2:16" ht="12.75" customHeight="1">
      <c r="B146" s="476"/>
      <c r="C146" s="476"/>
      <c r="D146" s="618"/>
      <c r="E146" s="618"/>
      <c r="F146" s="618"/>
      <c r="G146" s="618"/>
      <c r="I146" s="476"/>
      <c r="J146" s="476"/>
      <c r="K146" s="476"/>
      <c r="L146" s="476"/>
      <c r="M146" s="476"/>
      <c r="N146" s="476"/>
      <c r="O146" s="476"/>
      <c r="P146" s="476"/>
    </row>
    <row r="147" spans="2:16" ht="12.75" customHeight="1">
      <c r="B147" s="476"/>
      <c r="C147" s="476"/>
      <c r="D147" s="476"/>
      <c r="E147" s="476"/>
      <c r="F147" s="476"/>
      <c r="G147" s="476"/>
      <c r="I147" s="476"/>
      <c r="J147" s="476"/>
      <c r="K147" s="476"/>
      <c r="L147" s="476"/>
      <c r="M147" s="476"/>
      <c r="N147" s="476"/>
      <c r="O147" s="476"/>
      <c r="P147" s="476"/>
    </row>
    <row r="148" spans="2:16" ht="12.75" customHeight="1">
      <c r="B148" s="476"/>
      <c r="C148" s="476"/>
      <c r="D148" s="476"/>
      <c r="E148" s="476"/>
      <c r="F148" s="476"/>
      <c r="G148" s="476"/>
      <c r="I148" s="476"/>
      <c r="J148" s="476"/>
      <c r="K148" s="476"/>
      <c r="L148" s="476"/>
      <c r="M148" s="476"/>
      <c r="N148" s="476"/>
      <c r="O148" s="476"/>
      <c r="P148" s="476"/>
    </row>
    <row r="149" spans="2:16" ht="12.75" customHeight="1">
      <c r="B149" s="476"/>
      <c r="C149" s="476"/>
      <c r="D149" s="476"/>
      <c r="E149" s="476"/>
      <c r="F149" s="476"/>
      <c r="G149" s="476"/>
      <c r="I149" s="476"/>
      <c r="J149" s="476"/>
      <c r="K149" s="476"/>
      <c r="L149" s="476"/>
      <c r="M149" s="476"/>
      <c r="N149" s="476"/>
      <c r="O149" s="476"/>
      <c r="P149" s="476"/>
    </row>
    <row r="150" spans="2:16" ht="12.75" customHeight="1">
      <c r="B150" s="476"/>
      <c r="C150" s="476"/>
      <c r="D150" s="476"/>
      <c r="E150" s="476"/>
      <c r="F150" s="476"/>
      <c r="G150" s="476"/>
      <c r="I150" s="476"/>
      <c r="J150" s="476"/>
      <c r="K150" s="476"/>
      <c r="L150" s="476"/>
      <c r="M150" s="476"/>
      <c r="N150" s="476"/>
      <c r="O150" s="476"/>
      <c r="P150" s="476"/>
    </row>
    <row r="151" spans="2:16" ht="12.75" customHeight="1">
      <c r="B151" s="476"/>
      <c r="C151" s="476"/>
      <c r="D151" s="476"/>
      <c r="E151" s="476"/>
      <c r="F151" s="642"/>
      <c r="G151" s="642"/>
      <c r="I151" s="476"/>
      <c r="J151" s="476"/>
      <c r="K151" s="476"/>
      <c r="L151" s="476"/>
      <c r="M151" s="476"/>
      <c r="N151" s="476"/>
      <c r="O151" s="476"/>
      <c r="P151" s="476"/>
    </row>
    <row r="152" spans="2:16" ht="12.75" customHeight="1">
      <c r="B152" s="476"/>
      <c r="C152" s="476"/>
      <c r="D152" s="476"/>
      <c r="E152" s="476"/>
      <c r="F152" s="476"/>
      <c r="G152" s="476"/>
      <c r="I152" s="476"/>
      <c r="J152" s="476"/>
      <c r="K152" s="476"/>
      <c r="L152" s="476"/>
      <c r="M152" s="476"/>
      <c r="N152" s="476"/>
      <c r="O152" s="476"/>
      <c r="P152" s="476"/>
    </row>
    <row r="153" spans="2:16" ht="12.75" customHeight="1"/>
    <row r="154" spans="2:16" ht="12.75" customHeight="1"/>
    <row r="155" spans="2:16" ht="12.75" customHeight="1"/>
    <row r="156" spans="2:16" ht="12.75" customHeight="1"/>
    <row r="157" spans="2:16" ht="12.75" customHeight="1"/>
    <row r="158" spans="2:16" ht="12.75" customHeight="1"/>
    <row r="159" spans="2:16" ht="12.75" customHeight="1">
      <c r="B159" s="471"/>
    </row>
    <row r="160" spans="2:16" ht="12.75" customHeight="1">
      <c r="E160" s="643"/>
      <c r="K160" s="643"/>
    </row>
    <row r="161" spans="5:11" ht="12.75" customHeight="1">
      <c r="E161" s="560"/>
      <c r="K161" s="560"/>
    </row>
    <row r="162" spans="5:11" ht="12.75" customHeight="1">
      <c r="E162" s="560"/>
      <c r="K162" s="560"/>
    </row>
    <row r="163" spans="5:11" ht="12.75" customHeight="1">
      <c r="E163" s="560"/>
      <c r="F163" s="560"/>
      <c r="G163" s="560"/>
      <c r="K163" s="560"/>
    </row>
    <row r="164" spans="5:11" ht="12.75" customHeight="1"/>
    <row r="165" spans="5:11" ht="12.75" customHeight="1"/>
    <row r="166" spans="5:11" ht="12.75" customHeight="1"/>
    <row r="167" spans="5:11" ht="12.75" customHeight="1">
      <c r="J167" s="560"/>
    </row>
    <row r="168" spans="5:11" ht="12.75" customHeight="1"/>
    <row r="169" spans="5:11" ht="12.75" customHeight="1"/>
    <row r="170" spans="5:11" ht="12.75" customHeight="1"/>
    <row r="171" spans="5:11" ht="12.75" customHeight="1"/>
    <row r="172" spans="5:11" ht="12.75" customHeight="1"/>
    <row r="173" spans="5:11" ht="12.75" customHeight="1"/>
    <row r="174" spans="5:11" ht="12.75" customHeight="1"/>
    <row r="175" spans="5:11" ht="12.75" customHeight="1"/>
    <row r="176" spans="5:11"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sheetData>
  <pageMargins left="0.15748031496062992" right="0.15748031496062992" top="1.25" bottom="0.19685039370078741" header="0.51181102362204722" footer="0.51181102362204722"/>
  <pageSetup paperSize="9" scale="38" orientation="landscape" r:id="rId1"/>
  <headerFooter alignWithMargins="0">
    <oddHeader>&amp;L&amp;"Arial"&amp;14&amp;BBeregningsmodel
&amp;"Arial"&amp;08&amp;B64329, Teknologivurdering af alternative drivmidler til transportsektoren&amp;R&amp;"Arial"&amp;08Page &amp;P of &amp;N</oddHeader>
    <oddFooter>&amp;L&amp;"Arial"&amp;08&amp;Z&amp;F
Sheet: &amp;A&amp;C&amp;"Arial"&amp;08Printed &amp;D &amp;T&amp;R&amp;G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10273" r:id="rId5" name="Button 1">
              <controlPr defaultSize="0" print="0" autoFill="0" autoPict="0" macro="[0]!GtOver">
                <anchor>
                  <from>
                    <xdr:col>6</xdr:col>
                    <xdr:colOff>962025</xdr:colOff>
                    <xdr:row>0</xdr:row>
                    <xdr:rowOff>38100</xdr:rowOff>
                  </from>
                  <to>
                    <xdr:col>7</xdr:col>
                    <xdr:colOff>971550</xdr:colOff>
                    <xdr:row>0</xdr:row>
                    <xdr:rowOff>238125</xdr:rowOff>
                  </to>
                </anchor>
              </controlPr>
            </control>
          </mc:Choice>
        </mc:AlternateContent>
        <mc:AlternateContent xmlns:mc="http://schemas.openxmlformats.org/markup-compatibility/2006">
          <mc:Choice Requires="x14">
            <control shapeId="310274" r:id="rId6" name="Button 2">
              <controlPr defaultSize="0" print="0" autoFill="0" autoPict="0" macro="[0]!GtRes">
                <anchor>
                  <from>
                    <xdr:col>8</xdr:col>
                    <xdr:colOff>95250</xdr:colOff>
                    <xdr:row>0</xdr:row>
                    <xdr:rowOff>38100</xdr:rowOff>
                  </from>
                  <to>
                    <xdr:col>9</xdr:col>
                    <xdr:colOff>676275</xdr:colOff>
                    <xdr:row>0</xdr:row>
                    <xdr:rowOff>238125</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rgb="FF0070C0"/>
    <pageSetUpPr fitToPage="1"/>
  </sheetPr>
  <dimension ref="B1:R333"/>
  <sheetViews>
    <sheetView zoomScale="80" zoomScaleNormal="80" workbookViewId="0">
      <selection activeCell="D29" sqref="D29"/>
    </sheetView>
  </sheetViews>
  <sheetFormatPr defaultColWidth="8.85546875" defaultRowHeight="12.75"/>
  <cols>
    <col min="1" max="1" width="3.28515625" style="469" customWidth="1"/>
    <col min="2" max="2" width="36" style="469" customWidth="1"/>
    <col min="3" max="3" width="16.5703125" style="469" customWidth="1"/>
    <col min="4" max="7" width="15.7109375" style="469" customWidth="1"/>
    <col min="8" max="8" width="15.7109375" style="523" customWidth="1"/>
    <col min="9" max="9" width="7.28515625" style="469" customWidth="1"/>
    <col min="10" max="10" width="12.7109375" style="469" customWidth="1"/>
    <col min="11" max="11" width="8.85546875" style="469"/>
    <col min="12" max="12" width="9.140625" style="469" customWidth="1"/>
    <col min="13" max="13" width="8.85546875" style="469"/>
    <col min="14" max="14" width="9.85546875" style="469" customWidth="1"/>
    <col min="15" max="16" width="8.85546875" style="469"/>
    <col min="17" max="18" width="12" style="469" customWidth="1"/>
    <col min="19" max="16384" width="8.85546875" style="469"/>
  </cols>
  <sheetData>
    <row r="1" spans="2:18" s="465" customFormat="1" ht="21">
      <c r="B1" s="465" t="s">
        <v>1913</v>
      </c>
      <c r="C1" s="466"/>
      <c r="Q1" s="467">
        <f ca="1">'Log2015'!M1</f>
        <v>-8.0112614142160741</v>
      </c>
      <c r="R1" s="468">
        <f ca="1">'Log2015'!N1</f>
        <v>-160807.124977848</v>
      </c>
    </row>
    <row r="2" spans="2:18" ht="12.75" customHeight="1">
      <c r="Q2" s="624">
        <f ca="1">Q1</f>
        <v>-8.0112614142160741</v>
      </c>
      <c r="R2" s="624">
        <f ca="1">R1</f>
        <v>-160807.124977848</v>
      </c>
    </row>
    <row r="3" spans="2:18" ht="12.75" customHeight="1"/>
    <row r="4" spans="2:18" s="558" customFormat="1" ht="12.75" customHeight="1" thickBot="1">
      <c r="B4" s="470" t="s">
        <v>81</v>
      </c>
      <c r="H4" s="215"/>
    </row>
    <row r="5" spans="2:18" ht="12.75" customHeight="1" thickBot="1">
      <c r="B5" s="472" t="s">
        <v>137</v>
      </c>
      <c r="C5" s="473"/>
      <c r="D5" s="473"/>
      <c r="E5" s="473"/>
      <c r="F5" s="473"/>
      <c r="G5" s="473"/>
      <c r="I5" s="473"/>
      <c r="J5" s="474"/>
      <c r="K5" s="476"/>
      <c r="L5" s="476"/>
      <c r="M5" s="476"/>
      <c r="N5" s="476"/>
      <c r="O5" s="476"/>
      <c r="P5" s="476"/>
    </row>
    <row r="6" spans="2:18" ht="12.75" customHeight="1">
      <c r="B6" s="475"/>
      <c r="C6" s="476"/>
      <c r="D6" s="476"/>
      <c r="E6" s="476"/>
      <c r="F6" s="476"/>
      <c r="G6" s="476"/>
      <c r="H6" s="245"/>
      <c r="I6" s="476"/>
      <c r="J6" s="477"/>
      <c r="K6" s="476"/>
      <c r="L6" s="476"/>
      <c r="M6" s="476"/>
      <c r="N6" s="476"/>
      <c r="O6" s="476"/>
      <c r="P6" s="476"/>
    </row>
    <row r="7" spans="2:18" ht="12.75" customHeight="1">
      <c r="B7" s="475" t="s">
        <v>2042</v>
      </c>
      <c r="C7" s="476"/>
      <c r="D7" s="476"/>
      <c r="E7" s="476"/>
      <c r="F7" s="476"/>
      <c r="G7" s="476"/>
      <c r="H7" s="248"/>
      <c r="I7" s="476"/>
      <c r="J7" s="477"/>
      <c r="K7" s="476"/>
      <c r="L7" s="476"/>
      <c r="M7" s="476"/>
      <c r="N7" s="476"/>
      <c r="O7" s="476"/>
      <c r="P7" s="476"/>
    </row>
    <row r="8" spans="2:18" ht="12.75" customHeight="1">
      <c r="B8" s="475" t="s">
        <v>2435</v>
      </c>
      <c r="C8" s="476"/>
      <c r="D8" s="476"/>
      <c r="E8" s="476"/>
      <c r="F8" s="476"/>
      <c r="G8" s="476"/>
      <c r="H8" s="248"/>
      <c r="I8" s="476"/>
      <c r="J8" s="477"/>
      <c r="K8" s="476"/>
      <c r="L8" s="476"/>
      <c r="M8" s="476"/>
      <c r="N8" s="476"/>
      <c r="O8" s="476"/>
      <c r="P8" s="476"/>
    </row>
    <row r="9" spans="2:18" ht="12.75" customHeight="1">
      <c r="B9" s="475"/>
      <c r="C9" s="476"/>
      <c r="D9" s="476"/>
      <c r="E9" s="476"/>
      <c r="F9" s="476"/>
      <c r="G9" s="476"/>
      <c r="H9" s="248"/>
      <c r="I9" s="476"/>
      <c r="J9" s="477"/>
      <c r="K9" s="476"/>
      <c r="L9" s="476"/>
      <c r="M9" s="476"/>
      <c r="N9" s="476"/>
      <c r="O9" s="476"/>
      <c r="P9" s="476"/>
    </row>
    <row r="10" spans="2:18" ht="12.75" customHeight="1">
      <c r="B10" s="475"/>
      <c r="C10" s="476"/>
      <c r="D10" s="476"/>
      <c r="E10" s="476"/>
      <c r="F10" s="476"/>
      <c r="G10" s="476"/>
      <c r="H10" s="248"/>
      <c r="I10" s="476"/>
      <c r="J10" s="477"/>
      <c r="K10" s="476"/>
      <c r="L10" s="476"/>
      <c r="M10" s="476"/>
      <c r="N10" s="476"/>
      <c r="O10" s="476"/>
      <c r="P10" s="476"/>
    </row>
    <row r="11" spans="2:18" ht="12.75" customHeight="1">
      <c r="B11" s="475" t="s">
        <v>138</v>
      </c>
      <c r="C11" s="654" t="s">
        <v>2043</v>
      </c>
      <c r="D11" s="476"/>
      <c r="E11" s="476"/>
      <c r="F11" s="476"/>
      <c r="G11" s="476"/>
      <c r="H11" s="248"/>
      <c r="I11" s="476"/>
      <c r="J11" s="477"/>
      <c r="K11" s="476"/>
      <c r="L11" s="476"/>
      <c r="M11" s="476"/>
      <c r="N11" s="476"/>
      <c r="O11" s="476"/>
      <c r="P11" s="476"/>
    </row>
    <row r="12" spans="2:18" ht="12.75" customHeight="1">
      <c r="B12" s="475" t="s">
        <v>5</v>
      </c>
      <c r="C12" s="476"/>
      <c r="D12" s="476"/>
      <c r="E12" s="476"/>
      <c r="F12" s="476"/>
      <c r="G12" s="476"/>
      <c r="H12" s="248"/>
      <c r="I12" s="476"/>
      <c r="J12" s="477"/>
      <c r="K12" s="476"/>
      <c r="L12" s="476"/>
      <c r="M12" s="476"/>
      <c r="N12" s="476"/>
      <c r="O12" s="476"/>
      <c r="P12" s="476"/>
    </row>
    <row r="13" spans="2:18" ht="12.75" customHeight="1">
      <c r="B13" s="475" t="s">
        <v>140</v>
      </c>
      <c r="C13" s="476"/>
      <c r="D13" s="476"/>
      <c r="E13" s="476"/>
      <c r="F13" s="476"/>
      <c r="G13" s="476"/>
      <c r="H13" s="248"/>
      <c r="I13" s="476"/>
      <c r="J13" s="477"/>
      <c r="K13" s="476"/>
      <c r="L13" s="476"/>
      <c r="M13" s="476"/>
      <c r="N13" s="476"/>
      <c r="O13" s="476"/>
      <c r="P13" s="476"/>
    </row>
    <row r="14" spans="2:18" ht="12.75" customHeight="1">
      <c r="B14" s="475" t="s">
        <v>2044</v>
      </c>
      <c r="C14" s="476"/>
      <c r="D14" s="476"/>
      <c r="E14" s="476"/>
      <c r="F14" s="476"/>
      <c r="G14" s="476"/>
      <c r="H14" s="248"/>
      <c r="I14" s="476"/>
      <c r="J14" s="477"/>
      <c r="K14" s="476"/>
      <c r="L14" s="476"/>
      <c r="M14" s="476"/>
      <c r="N14" s="476"/>
      <c r="O14" s="476"/>
      <c r="P14" s="476"/>
    </row>
    <row r="15" spans="2:18" ht="12.75" customHeight="1">
      <c r="B15" s="475" t="s">
        <v>141</v>
      </c>
      <c r="C15" s="476"/>
      <c r="D15" s="476"/>
      <c r="E15" s="476"/>
      <c r="F15" s="476"/>
      <c r="G15" s="476"/>
      <c r="H15" s="248"/>
      <c r="I15" s="476"/>
      <c r="J15" s="477"/>
      <c r="K15" s="476"/>
      <c r="L15" s="476"/>
      <c r="M15" s="476"/>
      <c r="N15" s="476"/>
      <c r="O15" s="476"/>
      <c r="P15" s="476"/>
    </row>
    <row r="16" spans="2:18" ht="12.75" customHeight="1">
      <c r="B16" s="475" t="s">
        <v>364</v>
      </c>
      <c r="C16" s="476"/>
      <c r="D16" s="476"/>
      <c r="E16" s="476"/>
      <c r="F16" s="476"/>
      <c r="G16" s="476"/>
      <c r="H16" s="248"/>
      <c r="I16" s="476"/>
      <c r="J16" s="477"/>
      <c r="K16" s="476"/>
      <c r="L16" s="476"/>
      <c r="M16" s="476"/>
      <c r="N16" s="476"/>
      <c r="O16" s="476"/>
      <c r="P16" s="476"/>
    </row>
    <row r="17" spans="2:16" ht="12.75" customHeight="1">
      <c r="B17" s="475"/>
      <c r="C17" s="476"/>
      <c r="D17" s="476"/>
      <c r="E17" s="476"/>
      <c r="F17" s="476"/>
      <c r="G17" s="476"/>
      <c r="H17" s="248"/>
      <c r="I17" s="476"/>
      <c r="J17" s="477"/>
      <c r="K17" s="476"/>
      <c r="L17" s="476"/>
      <c r="M17" s="476"/>
      <c r="N17" s="476"/>
      <c r="O17" s="476"/>
      <c r="P17" s="476"/>
    </row>
    <row r="18" spans="2:16" ht="12.75" customHeight="1">
      <c r="B18" s="475" t="s">
        <v>366</v>
      </c>
      <c r="C18" s="476"/>
      <c r="D18" s="476"/>
      <c r="E18" s="476"/>
      <c r="F18" s="476"/>
      <c r="G18" s="476"/>
      <c r="H18" s="248"/>
      <c r="I18" s="476"/>
      <c r="J18" s="477"/>
      <c r="K18" s="476"/>
      <c r="L18" s="476"/>
      <c r="M18" s="476"/>
      <c r="N18" s="476"/>
      <c r="O18" s="476"/>
      <c r="P18" s="476"/>
    </row>
    <row r="19" spans="2:16" ht="12.75" customHeight="1">
      <c r="B19" s="475"/>
      <c r="C19" s="476"/>
      <c r="D19" s="476"/>
      <c r="E19" s="476"/>
      <c r="F19" s="476"/>
      <c r="G19" s="476"/>
      <c r="H19" s="248"/>
      <c r="I19" s="476"/>
      <c r="J19" s="477"/>
      <c r="K19" s="476"/>
      <c r="L19" s="476"/>
      <c r="M19" s="476"/>
      <c r="N19" s="476"/>
      <c r="O19" s="476"/>
      <c r="P19" s="476"/>
    </row>
    <row r="20" spans="2:16" ht="12.75" customHeight="1">
      <c r="B20" s="475" t="s">
        <v>142</v>
      </c>
      <c r="C20" s="476"/>
      <c r="D20" s="476"/>
      <c r="E20" s="476"/>
      <c r="F20" s="476"/>
      <c r="G20" s="476"/>
      <c r="H20" s="248"/>
      <c r="I20" s="476"/>
      <c r="J20" s="477"/>
      <c r="K20" s="476"/>
      <c r="L20" s="476"/>
      <c r="M20" s="476"/>
      <c r="N20" s="476"/>
      <c r="O20" s="476"/>
      <c r="P20" s="476"/>
    </row>
    <row r="21" spans="2:16" ht="12.75" customHeight="1">
      <c r="B21" s="475" t="s">
        <v>367</v>
      </c>
      <c r="C21" s="476"/>
      <c r="D21" s="476"/>
      <c r="E21" s="476"/>
      <c r="F21" s="476"/>
      <c r="G21" s="476"/>
      <c r="H21" s="248"/>
      <c r="I21" s="476"/>
      <c r="J21" s="477"/>
      <c r="K21" s="476"/>
      <c r="L21" s="476"/>
      <c r="M21" s="476"/>
      <c r="N21" s="476"/>
      <c r="O21" s="476"/>
      <c r="P21" s="476"/>
    </row>
    <row r="22" spans="2:16" ht="12.75" customHeight="1">
      <c r="B22" s="475" t="s">
        <v>143</v>
      </c>
      <c r="C22" s="476"/>
      <c r="D22" s="476"/>
      <c r="E22" s="476"/>
      <c r="F22" s="476"/>
      <c r="G22" s="476"/>
      <c r="H22" s="248"/>
      <c r="I22" s="476"/>
      <c r="J22" s="477"/>
      <c r="K22" s="476"/>
      <c r="L22" s="476"/>
      <c r="M22" s="476"/>
      <c r="N22" s="476"/>
      <c r="O22" s="476"/>
      <c r="P22" s="476"/>
    </row>
    <row r="23" spans="2:16" ht="12.75" customHeight="1">
      <c r="B23" s="475" t="s">
        <v>2045</v>
      </c>
      <c r="C23" s="476"/>
      <c r="D23" s="476"/>
      <c r="E23" s="476"/>
      <c r="F23" s="476"/>
      <c r="G23" s="476"/>
      <c r="H23" s="248"/>
      <c r="I23" s="476"/>
      <c r="J23" s="477"/>
      <c r="K23" s="476"/>
      <c r="L23" s="476"/>
      <c r="M23" s="476"/>
      <c r="N23" s="476"/>
      <c r="O23" s="476"/>
      <c r="P23" s="476"/>
    </row>
    <row r="24" spans="2:16" ht="12.75" customHeight="1" thickBot="1">
      <c r="B24" s="481"/>
      <c r="C24" s="482"/>
      <c r="D24" s="482"/>
      <c r="E24" s="482"/>
      <c r="F24" s="482"/>
      <c r="G24" s="482"/>
      <c r="H24" s="250"/>
      <c r="I24" s="482"/>
      <c r="J24" s="483"/>
      <c r="K24" s="476"/>
      <c r="L24" s="476"/>
      <c r="M24" s="476"/>
      <c r="N24" s="476"/>
      <c r="O24" s="476"/>
      <c r="P24" s="476"/>
    </row>
    <row r="25" spans="2:16" ht="12.75" customHeight="1">
      <c r="F25" s="560"/>
      <c r="K25" s="476"/>
      <c r="L25" s="476"/>
      <c r="M25" s="476"/>
      <c r="N25" s="476"/>
      <c r="O25" s="476"/>
      <c r="P25" s="476"/>
    </row>
    <row r="26" spans="2:16" s="558" customFormat="1" ht="12.75" customHeight="1">
      <c r="B26" s="470" t="s">
        <v>144</v>
      </c>
      <c r="H26" s="215"/>
      <c r="K26" s="660"/>
      <c r="L26" s="660"/>
      <c r="M26" s="660"/>
      <c r="N26" s="660"/>
      <c r="O26" s="660"/>
      <c r="P26" s="660"/>
    </row>
    <row r="27" spans="2:16" s="558" customFormat="1" ht="12.75" customHeight="1" thickBot="1">
      <c r="B27" s="469"/>
      <c r="F27" s="558" t="s">
        <v>145</v>
      </c>
      <c r="G27" s="558" t="s">
        <v>146</v>
      </c>
      <c r="H27" s="215"/>
    </row>
    <row r="28" spans="2:16" ht="12.75" customHeight="1">
      <c r="B28" s="472"/>
      <c r="C28" s="561" t="s">
        <v>70</v>
      </c>
      <c r="D28" s="473"/>
      <c r="E28" s="473"/>
      <c r="F28" s="473"/>
      <c r="G28" s="473"/>
      <c r="H28" s="221"/>
      <c r="I28" s="473"/>
      <c r="J28" s="474"/>
    </row>
    <row r="29" spans="2:16" ht="12.75" customHeight="1">
      <c r="B29" s="484"/>
      <c r="C29" s="655"/>
      <c r="D29" s="485">
        <v>2015</v>
      </c>
      <c r="E29" s="485">
        <v>2020</v>
      </c>
      <c r="F29" s="485">
        <v>2035</v>
      </c>
      <c r="G29" s="485">
        <v>2050</v>
      </c>
      <c r="H29" s="225" t="s">
        <v>978</v>
      </c>
      <c r="I29" s="485" t="s">
        <v>145</v>
      </c>
      <c r="J29" s="487" t="s">
        <v>146</v>
      </c>
    </row>
    <row r="30" spans="2:16" ht="12.75" customHeight="1">
      <c r="B30" s="656" t="s">
        <v>147</v>
      </c>
      <c r="C30" s="657"/>
      <c r="D30" s="658"/>
      <c r="E30" s="658"/>
      <c r="F30" s="658"/>
      <c r="G30" s="658"/>
      <c r="H30" s="209"/>
      <c r="I30" s="497"/>
      <c r="J30" s="659"/>
    </row>
    <row r="31" spans="2:16" ht="12.75" customHeight="1">
      <c r="B31" s="475" t="s">
        <v>148</v>
      </c>
      <c r="C31" s="564" t="s">
        <v>358</v>
      </c>
      <c r="D31" s="568"/>
      <c r="E31" s="568"/>
      <c r="F31" s="568"/>
      <c r="G31" s="568"/>
      <c r="H31" s="1422"/>
      <c r="I31" s="476" t="s">
        <v>366</v>
      </c>
      <c r="J31" s="477"/>
    </row>
    <row r="32" spans="2:16" ht="12.75" customHeight="1">
      <c r="B32" s="475" t="s">
        <v>67</v>
      </c>
      <c r="C32" s="564" t="s">
        <v>187</v>
      </c>
      <c r="D32" s="1418"/>
      <c r="E32" s="1418"/>
      <c r="F32" s="1418"/>
      <c r="G32" s="1418"/>
      <c r="H32" s="1422"/>
      <c r="I32" s="476"/>
      <c r="J32" s="477"/>
    </row>
    <row r="33" spans="2:10" ht="12.75" customHeight="1">
      <c r="B33" s="475" t="s">
        <v>149</v>
      </c>
      <c r="C33" s="564" t="s">
        <v>359</v>
      </c>
      <c r="D33" s="568">
        <v>1</v>
      </c>
      <c r="E33" s="568">
        <v>1</v>
      </c>
      <c r="F33" s="568">
        <v>1</v>
      </c>
      <c r="G33" s="568">
        <v>1</v>
      </c>
      <c r="H33" s="1590"/>
      <c r="I33" s="476" t="str">
        <f>Referencer!$B$62</f>
        <v>56, LNG LTD. Improved LNG process - Better Economics for Future Projects. http://www.lnglimited.com.au/IRM/content/default.aspx</v>
      </c>
      <c r="J33" s="477" t="s">
        <v>2047</v>
      </c>
    </row>
    <row r="34" spans="2:10" ht="12.75" customHeight="1">
      <c r="B34" s="475" t="s">
        <v>150</v>
      </c>
      <c r="C34" s="564" t="s">
        <v>34</v>
      </c>
      <c r="D34" s="568">
        <v>20</v>
      </c>
      <c r="E34" s="568">
        <v>20</v>
      </c>
      <c r="F34" s="568">
        <v>20</v>
      </c>
      <c r="G34" s="568">
        <v>20</v>
      </c>
      <c r="H34" s="212"/>
      <c r="I34" s="476" t="s">
        <v>366</v>
      </c>
      <c r="J34" s="477" t="s">
        <v>2048</v>
      </c>
    </row>
    <row r="35" spans="2:10" ht="12.75" customHeight="1">
      <c r="B35" s="475"/>
      <c r="C35" s="564"/>
      <c r="D35" s="569"/>
      <c r="E35" s="569"/>
      <c r="F35" s="569"/>
      <c r="G35" s="569"/>
      <c r="H35" s="213"/>
      <c r="I35" s="476"/>
      <c r="J35" s="477"/>
    </row>
    <row r="36" spans="2:10" ht="12.75" customHeight="1">
      <c r="B36" s="570" t="s">
        <v>151</v>
      </c>
      <c r="C36" s="571"/>
      <c r="D36" s="572"/>
      <c r="E36" s="573"/>
      <c r="F36" s="573"/>
      <c r="G36" s="573"/>
      <c r="H36" s="213"/>
      <c r="I36" s="476"/>
      <c r="J36" s="477"/>
    </row>
    <row r="37" spans="2:10" ht="12.75" customHeight="1">
      <c r="B37" s="475" t="str">
        <f>ProcessEnergy!B35</f>
        <v xml:space="preserve">Green diesel </v>
      </c>
      <c r="C37" s="564" t="s">
        <v>463</v>
      </c>
      <c r="H37" s="105"/>
      <c r="I37" s="476"/>
      <c r="J37" s="477"/>
    </row>
    <row r="38" spans="2:10" ht="12.75" customHeight="1">
      <c r="B38" s="575" t="str">
        <f>ProcessEnergy!B36</f>
        <v>Green gasoline</v>
      </c>
      <c r="C38" s="564"/>
      <c r="H38" s="105"/>
      <c r="I38" s="476"/>
      <c r="J38" s="477"/>
    </row>
    <row r="39" spans="2:10" ht="12.75" customHeight="1">
      <c r="B39" s="575" t="str">
        <f>ProcessEnergy!B37</f>
        <v>Electricity - balancing</v>
      </c>
      <c r="C39" s="564"/>
      <c r="H39" s="105"/>
      <c r="I39" s="476"/>
      <c r="J39" s="477"/>
    </row>
    <row r="40" spans="2:10" ht="12.75" customHeight="1">
      <c r="B40" s="575" t="str">
        <f>ProcessEnergy!B38</f>
        <v>Electricity  - continous</v>
      </c>
      <c r="C40" s="564"/>
      <c r="H40" s="105"/>
      <c r="I40" s="476"/>
      <c r="J40" s="477"/>
    </row>
    <row r="41" spans="2:10" ht="12.75" customHeight="1">
      <c r="B41" s="575" t="str">
        <f>ProcessEnergy!B39</f>
        <v>Elec/heat fuel</v>
      </c>
      <c r="C41" s="564"/>
      <c r="H41" s="105"/>
      <c r="I41" s="476"/>
      <c r="J41" s="477"/>
    </row>
    <row r="42" spans="2:10" ht="12.75" customHeight="1">
      <c r="B42" s="575" t="str">
        <f>ProcessEnergy!B40</f>
        <v>Biogas (100% CH4)</v>
      </c>
      <c r="C42" s="564"/>
      <c r="H42" s="105"/>
      <c r="I42" s="476"/>
      <c r="J42" s="477"/>
    </row>
    <row r="43" spans="2:10" ht="12.75" customHeight="1">
      <c r="B43" s="575" t="str">
        <f>ProcessEnergy!B41</f>
        <v>District heating</v>
      </c>
      <c r="C43" s="564"/>
      <c r="H43" s="105"/>
      <c r="I43" s="476"/>
      <c r="J43" s="477"/>
    </row>
    <row r="44" spans="2:10" ht="12.75" customHeight="1">
      <c r="B44" s="575" t="str">
        <f>ProcessEnergy!B42</f>
        <v>&lt;empty&gt;</v>
      </c>
      <c r="C44" s="564"/>
      <c r="H44" s="105"/>
      <c r="I44" s="476"/>
      <c r="J44" s="477"/>
    </row>
    <row r="45" spans="2:10" ht="12.75" customHeight="1">
      <c r="B45" s="575" t="str">
        <f>ProcessEnergy!B43</f>
        <v>&lt;empty&gt;</v>
      </c>
      <c r="C45" s="564"/>
      <c r="H45" s="105"/>
      <c r="I45" s="476"/>
      <c r="J45" s="477"/>
    </row>
    <row r="46" spans="2:10" ht="12.75" customHeight="1">
      <c r="B46" s="575" t="str">
        <f>ProcessEnergy!B44</f>
        <v>&lt;empty&gt;</v>
      </c>
      <c r="C46" s="564"/>
      <c r="H46" s="105"/>
      <c r="I46" s="476"/>
      <c r="J46" s="477"/>
    </row>
    <row r="47" spans="2:10" ht="12.75" customHeight="1">
      <c r="B47" s="575" t="str">
        <f>ProcessEnergy!B45</f>
        <v>&lt;empty&gt;</v>
      </c>
      <c r="C47" s="564"/>
      <c r="H47" s="105"/>
      <c r="I47" s="476"/>
      <c r="J47" s="477"/>
    </row>
    <row r="48" spans="2:10" ht="12.75" customHeight="1">
      <c r="B48" s="575" t="str">
        <f>ProcessEnergy!B46</f>
        <v>&lt;empty&gt;</v>
      </c>
      <c r="C48" s="564"/>
      <c r="H48" s="105"/>
      <c r="I48" s="476"/>
      <c r="J48" s="477"/>
    </row>
    <row r="49" spans="2:10" ht="12.75" customHeight="1">
      <c r="B49" s="575" t="str">
        <f>ProcessEnergy!B47</f>
        <v>&lt;empty&gt;</v>
      </c>
      <c r="C49" s="564"/>
      <c r="H49" s="105"/>
      <c r="I49" s="476"/>
      <c r="J49" s="477"/>
    </row>
    <row r="50" spans="2:10" ht="12.75" customHeight="1">
      <c r="B50" s="575" t="str">
        <f>ProcessEnergy!B48</f>
        <v>Glycerol</v>
      </c>
      <c r="C50" s="564"/>
      <c r="H50" s="105"/>
      <c r="I50" s="476"/>
      <c r="J50" s="477"/>
    </row>
    <row r="51" spans="2:10" ht="12.75" customHeight="1">
      <c r="B51" s="575" t="str">
        <f>ProcessEnergy!B49</f>
        <v>&lt;empty&gt;</v>
      </c>
      <c r="C51" s="564"/>
      <c r="H51" s="105"/>
      <c r="I51" s="476"/>
      <c r="J51" s="477"/>
    </row>
    <row r="52" spans="2:10" ht="12.75" customHeight="1">
      <c r="B52" s="575" t="str">
        <f>ProcessEnergy!B50</f>
        <v>&lt;empty&gt;</v>
      </c>
      <c r="C52" s="564"/>
      <c r="H52" s="105"/>
      <c r="I52" s="476"/>
      <c r="J52" s="477"/>
    </row>
    <row r="53" spans="2:10" ht="12.75" customHeight="1">
      <c r="B53" s="575" t="str">
        <f>ProcessEnergy!B51</f>
        <v>Fodder (wheat like)</v>
      </c>
      <c r="C53" s="564"/>
      <c r="H53" s="105"/>
      <c r="I53" s="476"/>
      <c r="J53" s="477"/>
    </row>
    <row r="54" spans="2:10" ht="12.75" customHeight="1">
      <c r="B54" s="575" t="str">
        <f>ProcessEnergy!B52</f>
        <v>Rape seed cake</v>
      </c>
      <c r="C54" s="564"/>
      <c r="H54" s="105"/>
      <c r="I54" s="476"/>
      <c r="J54" s="477"/>
    </row>
    <row r="55" spans="2:10" ht="12.75" customHeight="1">
      <c r="B55" s="575" t="str">
        <f>ProcessEnergy!B53</f>
        <v>&lt;empty&gt;</v>
      </c>
      <c r="C55" s="564"/>
      <c r="H55" s="105"/>
      <c r="I55" s="476"/>
      <c r="J55" s="477"/>
    </row>
    <row r="56" spans="2:10" ht="12.75" customHeight="1">
      <c r="B56" s="575" t="str">
        <f>ProcessEnergy!B54</f>
        <v>DDGS</v>
      </c>
      <c r="C56" s="564"/>
      <c r="H56" s="105"/>
      <c r="I56" s="476"/>
      <c r="J56" s="477"/>
    </row>
    <row r="57" spans="2:10" ht="12.75" customHeight="1">
      <c r="B57" s="475"/>
      <c r="C57" s="564"/>
      <c r="H57" s="105"/>
      <c r="I57" s="476"/>
      <c r="J57" s="477"/>
    </row>
    <row r="58" spans="2:10" ht="12.75" customHeight="1">
      <c r="B58" s="570" t="s">
        <v>873</v>
      </c>
      <c r="C58" s="564"/>
      <c r="H58" s="105"/>
      <c r="I58" s="476"/>
      <c r="J58" s="477"/>
    </row>
    <row r="59" spans="2:10" ht="12.75" customHeight="1">
      <c r="B59" s="475" t="str">
        <f>ProcessEnergy!B5</f>
        <v>EL - peakload</v>
      </c>
      <c r="C59" s="564" t="s">
        <v>725</v>
      </c>
      <c r="H59" s="105"/>
      <c r="I59" s="476"/>
      <c r="J59" s="477"/>
    </row>
    <row r="60" spans="2:10" ht="12.75" customHeight="1">
      <c r="B60" s="475" t="str">
        <f>ProcessEnergy!B6</f>
        <v>El - baseload</v>
      </c>
      <c r="C60" s="564" t="s">
        <v>725</v>
      </c>
      <c r="D60" s="634"/>
      <c r="E60" s="634"/>
      <c r="F60" s="634"/>
      <c r="G60" s="634"/>
      <c r="H60" s="105"/>
      <c r="I60" s="476"/>
      <c r="J60" s="477"/>
    </row>
    <row r="61" spans="2:10" ht="12.75" customHeight="1">
      <c r="B61" s="475" t="str">
        <f>ProcessEnergy!B7</f>
        <v xml:space="preserve">Varme </v>
      </c>
      <c r="C61" s="564" t="s">
        <v>725</v>
      </c>
      <c r="H61" s="105"/>
      <c r="I61" s="476"/>
      <c r="J61" s="477"/>
    </row>
    <row r="62" spans="2:10" ht="12.75" customHeight="1">
      <c r="B62" s="475" t="str">
        <f>ProcessEnergy!B8</f>
        <v>Damp</v>
      </c>
      <c r="C62" s="564" t="s">
        <v>725</v>
      </c>
      <c r="H62" s="105"/>
      <c r="I62" s="476"/>
      <c r="J62" s="477"/>
    </row>
    <row r="63" spans="2:10" ht="12.75" customHeight="1">
      <c r="B63" s="475" t="str">
        <f>ProcessEnergy!B9</f>
        <v xml:space="preserve">Olie </v>
      </c>
      <c r="C63" s="564" t="s">
        <v>725</v>
      </c>
      <c r="D63" s="574"/>
      <c r="E63" s="574"/>
      <c r="F63" s="574"/>
      <c r="G63" s="574"/>
      <c r="H63" s="105"/>
      <c r="I63" s="476"/>
      <c r="J63" s="477"/>
    </row>
    <row r="64" spans="2:10" ht="12.75" customHeight="1">
      <c r="B64" s="475" t="str">
        <f>ProcessEnergy!B10</f>
        <v>Kul</v>
      </c>
      <c r="C64" s="564" t="s">
        <v>725</v>
      </c>
      <c r="D64" s="574"/>
      <c r="E64" s="574"/>
      <c r="F64" s="574"/>
      <c r="G64" s="574"/>
      <c r="H64" s="105"/>
      <c r="I64" s="476"/>
      <c r="J64" s="477"/>
    </row>
    <row r="65" spans="2:10" ht="12.75" customHeight="1">
      <c r="B65" s="475" t="str">
        <f>ProcessEnergy!B11</f>
        <v>Naturgas kedel</v>
      </c>
      <c r="C65" s="564" t="s">
        <v>725</v>
      </c>
      <c r="D65" s="574">
        <v>6.5000000000000002E-2</v>
      </c>
      <c r="E65" s="574">
        <v>6.5000000000000002E-2</v>
      </c>
      <c r="F65" s="574">
        <v>6.5000000000000002E-2</v>
      </c>
      <c r="G65" s="574">
        <v>6.5000000000000002E-2</v>
      </c>
      <c r="H65" s="105"/>
      <c r="I65" s="476" t="str">
        <f>Referencer!$B$62</f>
        <v>56, LNG LTD. Improved LNG process - Better Economics for Future Projects. http://www.lnglimited.com.au/IRM/content/default.aspx</v>
      </c>
      <c r="J65" s="477"/>
    </row>
    <row r="66" spans="2:10" ht="12.75" customHeight="1">
      <c r="B66" s="475" t="str">
        <f>ProcessEnergy!B12</f>
        <v>Gylle</v>
      </c>
      <c r="C66" s="564" t="s">
        <v>725</v>
      </c>
      <c r="D66" s="574"/>
      <c r="E66" s="574"/>
      <c r="F66" s="574"/>
      <c r="G66" s="574"/>
      <c r="H66" s="105"/>
      <c r="I66" s="476"/>
      <c r="J66" s="477"/>
    </row>
    <row r="67" spans="2:10" ht="12.75" customHeight="1">
      <c r="B67" s="475" t="str">
        <f>ProcessEnergy!B13</f>
        <v>Affald</v>
      </c>
      <c r="C67" s="564" t="s">
        <v>725</v>
      </c>
      <c r="D67" s="574"/>
      <c r="E67" s="574"/>
      <c r="F67" s="574"/>
      <c r="G67" s="574"/>
      <c r="H67" s="105"/>
      <c r="I67" s="476"/>
      <c r="J67" s="477"/>
    </row>
    <row r="68" spans="2:10" ht="12.75" customHeight="1">
      <c r="B68" s="475" t="str">
        <f>ProcessEnergy!B14</f>
        <v>Hydrogen</v>
      </c>
      <c r="C68" s="564" t="s">
        <v>725</v>
      </c>
      <c r="D68" s="574"/>
      <c r="E68" s="574"/>
      <c r="F68" s="574"/>
      <c r="G68" s="574"/>
      <c r="H68" s="105"/>
      <c r="I68" s="476"/>
      <c r="J68" s="477"/>
    </row>
    <row r="69" spans="2:10" ht="12.75" customHeight="1">
      <c r="B69" s="475" t="str">
        <f>ProcessEnergy!B15</f>
        <v>Biomasse</v>
      </c>
      <c r="C69" s="564" t="s">
        <v>725</v>
      </c>
      <c r="D69" s="574"/>
      <c r="E69" s="574"/>
      <c r="F69" s="574"/>
      <c r="G69" s="574"/>
      <c r="H69" s="105"/>
      <c r="I69" s="476"/>
      <c r="J69" s="477"/>
    </row>
    <row r="70" spans="2:10" ht="12.75" customHeight="1">
      <c r="B70" s="475" t="str">
        <f>ProcessEnergy!B16</f>
        <v>Methanol</v>
      </c>
      <c r="C70" s="564"/>
      <c r="D70" s="574"/>
      <c r="E70" s="574"/>
      <c r="F70" s="574"/>
      <c r="G70" s="574"/>
      <c r="H70" s="105"/>
      <c r="I70" s="476"/>
      <c r="J70" s="477"/>
    </row>
    <row r="71" spans="2:10" ht="12.75" customHeight="1">
      <c r="B71" s="475" t="str">
        <f>ProcessEnergy!B17</f>
        <v>&lt;empty&gt;</v>
      </c>
      <c r="C71" s="564"/>
      <c r="D71" s="574"/>
      <c r="E71" s="574"/>
      <c r="F71" s="574"/>
      <c r="G71" s="574"/>
      <c r="H71" s="105"/>
      <c r="I71" s="476"/>
      <c r="J71" s="477"/>
    </row>
    <row r="72" spans="2:10" ht="12.75" customHeight="1">
      <c r="B72" s="475" t="str">
        <f>ProcessEnergy!B18</f>
        <v>&lt;empty&gt;</v>
      </c>
      <c r="C72" s="564"/>
      <c r="D72" s="574"/>
      <c r="E72" s="574"/>
      <c r="F72" s="574"/>
      <c r="G72" s="574"/>
      <c r="H72" s="105"/>
      <c r="I72" s="476"/>
      <c r="J72" s="477"/>
    </row>
    <row r="73" spans="2:10" ht="12.75" customHeight="1">
      <c r="B73" s="475" t="str">
        <f>ProcessEnergy!B19</f>
        <v>&lt;empty&gt;</v>
      </c>
      <c r="C73" s="564"/>
      <c r="D73" s="574"/>
      <c r="E73" s="574"/>
      <c r="F73" s="574"/>
      <c r="G73" s="574"/>
      <c r="H73" s="105"/>
      <c r="I73" s="476"/>
      <c r="J73" s="477"/>
    </row>
    <row r="74" spans="2:10" ht="12.75" customHeight="1">
      <c r="B74" s="475" t="str">
        <f>ProcessEnergy!B20</f>
        <v>&lt;empty&gt;</v>
      </c>
      <c r="C74" s="564"/>
      <c r="D74" s="574"/>
      <c r="E74" s="574"/>
      <c r="F74" s="574"/>
      <c r="G74" s="574"/>
      <c r="H74" s="105"/>
      <c r="I74" s="476"/>
      <c r="J74" s="477"/>
    </row>
    <row r="75" spans="2:10" ht="12.75" customHeight="1">
      <c r="B75" s="475" t="str">
        <f>ProcessEnergy!B21</f>
        <v>&lt;empty&gt;</v>
      </c>
      <c r="C75" s="564"/>
      <c r="D75" s="574"/>
      <c r="E75" s="574"/>
      <c r="F75" s="574"/>
      <c r="G75" s="574"/>
      <c r="H75" s="105"/>
      <c r="I75" s="476"/>
      <c r="J75" s="477"/>
    </row>
    <row r="76" spans="2:10" ht="12.75" customHeight="1">
      <c r="B76" s="475" t="str">
        <f>ProcessEnergy!B22</f>
        <v>&lt;empty&gt;</v>
      </c>
      <c r="C76" s="564"/>
      <c r="D76" s="574"/>
      <c r="E76" s="574"/>
      <c r="F76" s="574"/>
      <c r="G76" s="574"/>
      <c r="H76" s="105"/>
      <c r="I76" s="476"/>
      <c r="J76" s="477"/>
    </row>
    <row r="77" spans="2:10" ht="12.75" customHeight="1">
      <c r="B77" s="475" t="str">
        <f>ProcessEnergy!B23</f>
        <v>&lt;empty&gt;</v>
      </c>
      <c r="C77" s="564"/>
      <c r="D77" s="574"/>
      <c r="E77" s="574"/>
      <c r="F77" s="574"/>
      <c r="G77" s="574"/>
      <c r="H77" s="105"/>
      <c r="I77" s="476"/>
      <c r="J77" s="477"/>
    </row>
    <row r="78" spans="2:10" ht="12.75" customHeight="1">
      <c r="B78" s="475" t="str">
        <f>ProcessEnergy!B24</f>
        <v>&lt;empty&gt;</v>
      </c>
      <c r="C78" s="564"/>
      <c r="D78" s="574"/>
      <c r="E78" s="574"/>
      <c r="F78" s="574"/>
      <c r="G78" s="574"/>
      <c r="H78" s="105"/>
      <c r="I78" s="476"/>
      <c r="J78" s="477"/>
    </row>
    <row r="79" spans="2:10" ht="12.75" customHeight="1">
      <c r="B79" s="475"/>
      <c r="C79" s="564"/>
      <c r="D79" s="565"/>
      <c r="E79" s="565"/>
      <c r="F79" s="565"/>
      <c r="G79" s="565"/>
      <c r="H79" s="106"/>
      <c r="I79" s="476"/>
      <c r="J79" s="477"/>
    </row>
    <row r="80" spans="2:10" ht="12.75" customHeight="1">
      <c r="B80" s="475"/>
      <c r="C80" s="564"/>
      <c r="D80" s="565"/>
      <c r="E80" s="565"/>
      <c r="F80" s="565"/>
      <c r="G80" s="565"/>
      <c r="H80" s="106"/>
      <c r="I80" s="476"/>
      <c r="J80" s="477"/>
    </row>
    <row r="81" spans="2:17" ht="12.75" customHeight="1">
      <c r="B81" s="475"/>
      <c r="C81" s="564"/>
      <c r="D81" s="565"/>
      <c r="E81" s="565"/>
      <c r="F81" s="565"/>
      <c r="G81" s="565"/>
      <c r="H81" s="106"/>
      <c r="I81" s="476"/>
      <c r="J81" s="477"/>
    </row>
    <row r="82" spans="2:17" ht="12.75" customHeight="1">
      <c r="B82" s="570" t="s">
        <v>152</v>
      </c>
      <c r="C82" s="564"/>
      <c r="D82" s="565"/>
      <c r="E82" s="565"/>
      <c r="F82" s="565"/>
      <c r="G82" s="565"/>
      <c r="H82" s="106"/>
      <c r="I82" s="476"/>
      <c r="J82" s="477"/>
    </row>
    <row r="83" spans="2:17" ht="12.75" customHeight="1">
      <c r="B83" s="247" t="s">
        <v>462</v>
      </c>
      <c r="C83" s="210" t="s">
        <v>725</v>
      </c>
      <c r="D83" s="1624">
        <v>1</v>
      </c>
      <c r="E83" s="1624">
        <v>1</v>
      </c>
      <c r="F83" s="1624">
        <v>1</v>
      </c>
      <c r="G83" s="1624">
        <v>1</v>
      </c>
      <c r="H83" s="295"/>
      <c r="I83" s="476" t="str">
        <f>Referencer!$B$62</f>
        <v>56, LNG LTD. Improved LNG process - Better Economics for Future Projects. http://www.lnglimited.com.au/IRM/content/default.aspx</v>
      </c>
      <c r="J83" s="477"/>
      <c r="M83" s="619"/>
    </row>
    <row r="84" spans="2:17" ht="12.75" customHeight="1">
      <c r="B84" s="247" t="s">
        <v>153</v>
      </c>
      <c r="C84" s="210" t="s">
        <v>725</v>
      </c>
      <c r="D84" s="574">
        <v>0</v>
      </c>
      <c r="E84" s="574">
        <v>0</v>
      </c>
      <c r="F84" s="574">
        <v>0</v>
      </c>
      <c r="G84" s="574">
        <v>0</v>
      </c>
      <c r="H84" s="105"/>
      <c r="I84" s="476" t="str">
        <f>Referencer!$B$62</f>
        <v>56, LNG LTD. Improved LNG process - Better Economics for Future Projects. http://www.lnglimited.com.au/IRM/content/default.aspx</v>
      </c>
      <c r="J84" s="477"/>
    </row>
    <row r="85" spans="2:17" ht="12.75" customHeight="1">
      <c r="B85" s="247" t="s">
        <v>154</v>
      </c>
      <c r="C85" s="210" t="s">
        <v>725</v>
      </c>
      <c r="D85" s="574">
        <v>0</v>
      </c>
      <c r="E85" s="630">
        <v>0</v>
      </c>
      <c r="F85" s="630">
        <v>0</v>
      </c>
      <c r="G85" s="630">
        <v>0</v>
      </c>
      <c r="H85" s="105"/>
      <c r="I85" s="476" t="str">
        <f>Referencer!$B$62</f>
        <v>56, LNG LTD. Improved LNG process - Better Economics for Future Projects. http://www.lnglimited.com.au/IRM/content/default.aspx</v>
      </c>
      <c r="J85" s="477"/>
    </row>
    <row r="86" spans="2:17" ht="12.75" customHeight="1">
      <c r="B86" s="310" t="s">
        <v>1240</v>
      </c>
      <c r="C86" s="210" t="s">
        <v>725</v>
      </c>
      <c r="D86" s="610">
        <f>D83-D65</f>
        <v>0.93500000000000005</v>
      </c>
      <c r="E86" s="610">
        <f>E83-E65</f>
        <v>0.93500000000000005</v>
      </c>
      <c r="F86" s="610">
        <f>F83-F65</f>
        <v>0.93500000000000005</v>
      </c>
      <c r="G86" s="610">
        <f>G83-G65</f>
        <v>0.93500000000000005</v>
      </c>
      <c r="H86" s="237"/>
      <c r="I86" s="476"/>
      <c r="J86" s="477"/>
    </row>
    <row r="87" spans="2:17" ht="12.75" customHeight="1">
      <c r="B87" s="108" t="s">
        <v>155</v>
      </c>
      <c r="C87" s="210" t="s">
        <v>725</v>
      </c>
      <c r="D87" s="577">
        <f>D83+D84-D85-D86</f>
        <v>6.4999999999999947E-2</v>
      </c>
      <c r="E87" s="577">
        <f>E83+E84-E85-E86</f>
        <v>6.4999999999999947E-2</v>
      </c>
      <c r="F87" s="577">
        <f>F83+F84-F85-F86</f>
        <v>6.4999999999999947E-2</v>
      </c>
      <c r="G87" s="577">
        <f>G83+G84-G85-G86</f>
        <v>6.4999999999999947E-2</v>
      </c>
      <c r="H87" s="109"/>
      <c r="I87" s="476"/>
      <c r="J87" s="477"/>
    </row>
    <row r="88" spans="2:17" ht="12.75" customHeight="1">
      <c r="B88" s="232" t="s">
        <v>2013</v>
      </c>
      <c r="C88" s="233" t="s">
        <v>726</v>
      </c>
      <c r="D88" s="580">
        <f>(D86+D85)/(D83+D84)</f>
        <v>0.93500000000000005</v>
      </c>
      <c r="E88" s="580">
        <f>(E86+E85)/(E83+E84)</f>
        <v>0.93500000000000005</v>
      </c>
      <c r="F88" s="580">
        <f>(F86+F85)/(F83+F84)</f>
        <v>0.93500000000000005</v>
      </c>
      <c r="G88" s="580">
        <f>(G86+G85)/(G83+G84)</f>
        <v>0.93500000000000005</v>
      </c>
      <c r="H88" s="462"/>
      <c r="I88" s="476"/>
      <c r="J88" s="477"/>
    </row>
    <row r="89" spans="2:17" ht="12.75" customHeight="1">
      <c r="B89" s="475"/>
      <c r="C89" s="564"/>
      <c r="D89" s="573"/>
      <c r="E89" s="573"/>
      <c r="F89" s="573"/>
      <c r="G89" s="573"/>
      <c r="H89" s="213"/>
      <c r="I89" s="476"/>
      <c r="J89" s="477"/>
      <c r="N89" s="471"/>
    </row>
    <row r="90" spans="2:17" ht="12.75" customHeight="1">
      <c r="B90" s="570" t="s">
        <v>33</v>
      </c>
      <c r="C90" s="564"/>
      <c r="D90" s="573"/>
      <c r="E90" s="573"/>
      <c r="F90" s="573"/>
      <c r="G90" s="573"/>
      <c r="H90" s="213"/>
      <c r="I90" s="476"/>
      <c r="J90" s="477"/>
      <c r="N90" s="582"/>
      <c r="O90" s="582"/>
      <c r="P90" s="582"/>
      <c r="Q90" s="582"/>
    </row>
    <row r="91" spans="2:17" s="530" customFormat="1">
      <c r="B91" s="964" t="s">
        <v>157</v>
      </c>
      <c r="C91" s="976" t="s">
        <v>61</v>
      </c>
      <c r="D91" s="992">
        <f>HLOOKUP($H99,Supplementary!$C$44:$AF$46,3,FALSE)*D99</f>
        <v>40.554357937537056</v>
      </c>
      <c r="E91" s="555">
        <f>HLOOKUP($H99,Supplementary!$C$44:$AF$46,3,FALSE)*E99</f>
        <v>40.554357937537056</v>
      </c>
      <c r="F91" s="555">
        <f>HLOOKUP($H99,Supplementary!$C$44:$AF$46,3,FALSE)*F99</f>
        <v>40.554357937537056</v>
      </c>
      <c r="G91" s="555">
        <f>HLOOKUP($H99,Supplementary!$C$44:$AF$46,3,FALSE)*G99</f>
        <v>40.554357937537056</v>
      </c>
      <c r="H91" s="555">
        <f t="shared" ref="H91:H97" si="0">priceYear</f>
        <v>2015</v>
      </c>
      <c r="I91" s="555"/>
      <c r="J91" s="965"/>
      <c r="N91" s="991"/>
      <c r="O91" s="991"/>
      <c r="P91" s="991"/>
      <c r="Q91" s="991"/>
    </row>
    <row r="92" spans="2:17" s="530" customFormat="1">
      <c r="B92" s="964" t="s">
        <v>160</v>
      </c>
      <c r="C92" s="976" t="s">
        <v>1094</v>
      </c>
      <c r="D92" s="992">
        <f ca="1">HLOOKUP($H100,Supplementary!$C$44:$AF$46,3,FALSE)*D100</f>
        <v>7.3096223965190275</v>
      </c>
      <c r="E92" s="555">
        <f ca="1">HLOOKUP($H100,Supplementary!$C$44:$AF$46,3,FALSE)*E100</f>
        <v>7.3096223965190275</v>
      </c>
      <c r="F92" s="555">
        <f ca="1">HLOOKUP($H100,Supplementary!$C$44:$AF$46,3,FALSE)*F100</f>
        <v>7.3096223965190275</v>
      </c>
      <c r="G92" s="555">
        <f ca="1">HLOOKUP($H100,Supplementary!$C$44:$AF$46,3,FALSE)*G100</f>
        <v>7.3096223965190275</v>
      </c>
      <c r="H92" s="555">
        <f t="shared" si="0"/>
        <v>2015</v>
      </c>
      <c r="I92" s="555"/>
      <c r="J92" s="965"/>
      <c r="N92" s="991"/>
      <c r="O92" s="991"/>
      <c r="P92" s="991"/>
      <c r="Q92" s="991"/>
    </row>
    <row r="93" spans="2:17" s="530" customFormat="1">
      <c r="B93" s="995" t="s">
        <v>162</v>
      </c>
      <c r="C93" s="976" t="s">
        <v>1094</v>
      </c>
      <c r="D93" s="992">
        <f ca="1">HLOOKUP($H101,Supplementary!$C$44:$AF$46,3,FALSE)*D101</f>
        <v>3.254186602765321</v>
      </c>
      <c r="E93" s="555">
        <f ca="1">HLOOKUP($H101,Supplementary!$C$44:$AF$46,3,FALSE)*E101</f>
        <v>3.254186602765321</v>
      </c>
      <c r="F93" s="555">
        <f ca="1">HLOOKUP($H101,Supplementary!$C$44:$AF$46,3,FALSE)*F101</f>
        <v>3.254186602765321</v>
      </c>
      <c r="G93" s="555">
        <f ca="1">HLOOKUP($H101,Supplementary!$C$44:$AF$46,3,FALSE)*G101</f>
        <v>3.254186602765321</v>
      </c>
      <c r="H93" s="555">
        <f t="shared" si="0"/>
        <v>2015</v>
      </c>
      <c r="I93" s="555"/>
      <c r="J93" s="965"/>
      <c r="N93" s="991"/>
      <c r="O93" s="991"/>
      <c r="P93" s="991"/>
      <c r="Q93" s="991"/>
    </row>
    <row r="94" spans="2:17" s="530" customFormat="1">
      <c r="B94" s="995" t="s">
        <v>163</v>
      </c>
      <c r="C94" s="976" t="s">
        <v>1094</v>
      </c>
      <c r="D94" s="992">
        <f>HLOOKUP($H102,Supplementary!$C$44:$AF$46,3,FALSE)*D102</f>
        <v>4.0554357937537056</v>
      </c>
      <c r="E94" s="555">
        <f>HLOOKUP($H102,Supplementary!$C$44:$AF$46,3,FALSE)*E102</f>
        <v>4.0554357937537056</v>
      </c>
      <c r="F94" s="555">
        <f>HLOOKUP($H102,Supplementary!$C$44:$AF$46,3,FALSE)*F102</f>
        <v>4.0554357937537056</v>
      </c>
      <c r="G94" s="555">
        <f>HLOOKUP($H102,Supplementary!$C$44:$AF$46,3,FALSE)*G102</f>
        <v>4.0554357937537056</v>
      </c>
      <c r="H94" s="555">
        <f t="shared" si="0"/>
        <v>2015</v>
      </c>
      <c r="I94" s="555"/>
      <c r="J94" s="965"/>
      <c r="N94" s="991"/>
      <c r="O94" s="991"/>
      <c r="P94" s="991"/>
      <c r="Q94" s="991"/>
    </row>
    <row r="95" spans="2:17" s="530" customFormat="1">
      <c r="B95" s="995" t="s">
        <v>164</v>
      </c>
      <c r="C95" s="976" t="s">
        <v>464</v>
      </c>
      <c r="D95" s="992">
        <f>HLOOKUP($H103,Supplementary!$C$44:$AF$46,3,FALSE)*D103</f>
        <v>0</v>
      </c>
      <c r="E95" s="555">
        <f>HLOOKUP($H103,Supplementary!$C$44:$AF$46,3,FALSE)*E103</f>
        <v>0</v>
      </c>
      <c r="F95" s="555">
        <f>HLOOKUP($H103,Supplementary!$C$44:$AF$46,3,FALSE)*F103</f>
        <v>0</v>
      </c>
      <c r="G95" s="555">
        <f>HLOOKUP($H103,Supplementary!$C$44:$AF$46,3,FALSE)*G103</f>
        <v>0</v>
      </c>
      <c r="H95" s="555">
        <f t="shared" si="0"/>
        <v>2015</v>
      </c>
      <c r="I95" s="555"/>
      <c r="J95" s="965"/>
      <c r="N95" s="991"/>
      <c r="O95" s="991"/>
      <c r="P95" s="991"/>
      <c r="Q95" s="991"/>
    </row>
    <row r="96" spans="2:17" s="530" customFormat="1">
      <c r="B96" s="995" t="s">
        <v>264</v>
      </c>
      <c r="C96" s="976" t="s">
        <v>464</v>
      </c>
      <c r="D96" s="992">
        <f>HLOOKUP($H104,Supplementary!$C$44:$AF$46,3,FALSE)*D104</f>
        <v>0</v>
      </c>
      <c r="E96" s="555">
        <f>HLOOKUP($H104,Supplementary!$C$44:$AF$46,3,FALSE)*E104</f>
        <v>0</v>
      </c>
      <c r="F96" s="555">
        <f>HLOOKUP($H104,Supplementary!$C$44:$AF$46,3,FALSE)*F104</f>
        <v>0</v>
      </c>
      <c r="G96" s="555">
        <f>HLOOKUP($H104,Supplementary!$C$44:$AF$46,3,FALSE)*G104</f>
        <v>0</v>
      </c>
      <c r="H96" s="555">
        <f t="shared" si="0"/>
        <v>2015</v>
      </c>
      <c r="I96" s="555"/>
      <c r="J96" s="965"/>
      <c r="N96" s="991"/>
      <c r="O96" s="991"/>
      <c r="P96" s="991"/>
      <c r="Q96" s="991"/>
    </row>
    <row r="97" spans="2:17" s="530" customFormat="1">
      <c r="B97" s="995" t="s">
        <v>165</v>
      </c>
      <c r="C97" s="976" t="s">
        <v>464</v>
      </c>
      <c r="D97" s="992">
        <f>HLOOKUP($H105,Supplementary!$C$44:$AF$46,3,FALSE)*D105</f>
        <v>0</v>
      </c>
      <c r="E97" s="555">
        <f>HLOOKUP($H105,Supplementary!$C$44:$AF$46,3,FALSE)*E105</f>
        <v>0</v>
      </c>
      <c r="F97" s="555">
        <f>HLOOKUP($H105,Supplementary!$C$44:$AF$46,3,FALSE)*F105</f>
        <v>0</v>
      </c>
      <c r="G97" s="555">
        <f>HLOOKUP($H105,Supplementary!$C$44:$AF$46,3,FALSE)*G105</f>
        <v>0</v>
      </c>
      <c r="H97" s="555">
        <f t="shared" si="0"/>
        <v>2015</v>
      </c>
      <c r="I97" s="555"/>
      <c r="J97" s="965"/>
      <c r="N97" s="991"/>
      <c r="O97" s="991"/>
      <c r="P97" s="991"/>
      <c r="Q97" s="991"/>
    </row>
    <row r="98" spans="2:17" s="530" customFormat="1">
      <c r="B98" s="975"/>
      <c r="C98" s="976"/>
      <c r="D98" s="992"/>
      <c r="E98" s="983"/>
      <c r="F98" s="983"/>
      <c r="G98" s="983"/>
      <c r="H98" s="983"/>
      <c r="I98" s="555"/>
      <c r="J98" s="965"/>
      <c r="N98" s="991"/>
      <c r="O98" s="991"/>
      <c r="P98" s="991"/>
      <c r="Q98" s="991"/>
    </row>
    <row r="99" spans="2:17" ht="12.75" customHeight="1">
      <c r="B99" s="475" t="s">
        <v>157</v>
      </c>
      <c r="C99" s="564" t="s">
        <v>61</v>
      </c>
      <c r="D99" s="1652">
        <f>D128</f>
        <v>39.552238805970148</v>
      </c>
      <c r="E99" s="1652">
        <f>E128</f>
        <v>39.552238805970148</v>
      </c>
      <c r="F99" s="1652">
        <f>F128</f>
        <v>39.552238805970148</v>
      </c>
      <c r="G99" s="1652">
        <f>G128</f>
        <v>39.552238805970148</v>
      </c>
      <c r="H99" s="1668">
        <v>2014</v>
      </c>
      <c r="I99" s="476"/>
      <c r="J99" s="477"/>
      <c r="N99" s="582"/>
      <c r="O99" s="582"/>
      <c r="P99" s="582"/>
      <c r="Q99" s="582"/>
    </row>
    <row r="100" spans="2:17" ht="12.75" customHeight="1">
      <c r="B100" s="475" t="s">
        <v>160</v>
      </c>
      <c r="C100" s="564" t="s">
        <v>188</v>
      </c>
      <c r="D100" s="636">
        <f ca="1">+SUM(D101:D105)</f>
        <v>7.1289978515721195</v>
      </c>
      <c r="E100" s="636">
        <f ca="1">+SUM(E101:E105)</f>
        <v>7.1289978515721195</v>
      </c>
      <c r="F100" s="636">
        <f ca="1">+SUM(F101:F105)</f>
        <v>7.1289978515721195</v>
      </c>
      <c r="G100" s="636">
        <f ca="1">+SUM(G101:G105)</f>
        <v>7.1289978515721195</v>
      </c>
      <c r="H100" s="1668">
        <v>2014</v>
      </c>
      <c r="I100" s="584"/>
      <c r="J100" s="477"/>
      <c r="N100" s="582"/>
      <c r="O100" s="582"/>
      <c r="P100" s="582"/>
      <c r="Q100" s="582" t="s">
        <v>161</v>
      </c>
    </row>
    <row r="101" spans="2:17" ht="12.75" customHeight="1">
      <c r="B101" s="585" t="s">
        <v>162</v>
      </c>
      <c r="C101" s="564" t="s">
        <v>188</v>
      </c>
      <c r="D101" s="636">
        <f ca="1">PMT(rSØK,D34,-D99)</f>
        <v>3.1737739709751041</v>
      </c>
      <c r="E101" s="636">
        <f ca="1">PMT(rSØK,E34,-E99)</f>
        <v>3.1737739709751041</v>
      </c>
      <c r="F101" s="636">
        <f ca="1">PMT(rSØK,F34,-F99)</f>
        <v>3.1737739709751041</v>
      </c>
      <c r="G101" s="636">
        <f ca="1">PMT(rSØK,G34,-G99)</f>
        <v>3.1737739709751041</v>
      </c>
      <c r="H101" s="1668">
        <v>2014</v>
      </c>
      <c r="I101" s="584"/>
      <c r="J101" s="477"/>
      <c r="N101" s="582"/>
      <c r="O101" s="582"/>
      <c r="P101" s="582"/>
      <c r="Q101" s="582"/>
    </row>
    <row r="102" spans="2:17" ht="12.75" customHeight="1">
      <c r="B102" s="585" t="s">
        <v>163</v>
      </c>
      <c r="C102" s="564" t="s">
        <v>188</v>
      </c>
      <c r="D102" s="1653">
        <f>D131*D128</f>
        <v>3.955223880597015</v>
      </c>
      <c r="E102" s="1653">
        <f>E131*E128</f>
        <v>3.955223880597015</v>
      </c>
      <c r="F102" s="1653">
        <f>F131*F128</f>
        <v>3.955223880597015</v>
      </c>
      <c r="G102" s="1653">
        <f>G131*G128</f>
        <v>3.955223880597015</v>
      </c>
      <c r="H102" s="1668">
        <v>2014</v>
      </c>
      <c r="I102" s="476"/>
      <c r="J102" s="477"/>
      <c r="N102" s="582"/>
      <c r="O102" s="582"/>
      <c r="P102" s="582"/>
      <c r="Q102" s="582"/>
    </row>
    <row r="103" spans="2:17" ht="12.75" customHeight="1">
      <c r="B103" s="585" t="s">
        <v>164</v>
      </c>
      <c r="C103" s="564" t="s">
        <v>188</v>
      </c>
      <c r="D103" s="637"/>
      <c r="E103" s="637"/>
      <c r="F103" s="637"/>
      <c r="G103" s="637"/>
      <c r="H103" s="1668">
        <v>2014</v>
      </c>
      <c r="I103" s="476" t="s">
        <v>366</v>
      </c>
      <c r="J103" s="477"/>
      <c r="N103" s="582"/>
      <c r="O103" s="582"/>
      <c r="P103" s="582"/>
      <c r="Q103" s="582" t="s">
        <v>161</v>
      </c>
    </row>
    <row r="104" spans="2:17" ht="12.75" customHeight="1">
      <c r="B104" s="585" t="s">
        <v>264</v>
      </c>
      <c r="C104" s="564" t="s">
        <v>188</v>
      </c>
      <c r="D104" s="637">
        <v>0</v>
      </c>
      <c r="E104" s="637">
        <v>0</v>
      </c>
      <c r="F104" s="637">
        <v>0</v>
      </c>
      <c r="G104" s="637">
        <v>0</v>
      </c>
      <c r="H104" s="1668">
        <v>2014</v>
      </c>
      <c r="I104" s="476" t="str">
        <f>Referencer!$B$62</f>
        <v>56, LNG LTD. Improved LNG process - Better Economics for Future Projects. http://www.lnglimited.com.au/IRM/content/default.aspx</v>
      </c>
      <c r="J104" s="477"/>
      <c r="N104" s="582"/>
      <c r="O104" s="582"/>
      <c r="P104" s="582"/>
      <c r="Q104" s="582"/>
    </row>
    <row r="105" spans="2:17" ht="12.75" customHeight="1">
      <c r="B105" s="585" t="s">
        <v>165</v>
      </c>
      <c r="C105" s="564" t="s">
        <v>188</v>
      </c>
      <c r="D105" s="637">
        <v>0</v>
      </c>
      <c r="E105" s="637">
        <v>0</v>
      </c>
      <c r="F105" s="637">
        <v>0</v>
      </c>
      <c r="G105" s="637">
        <v>0</v>
      </c>
      <c r="H105" s="1668">
        <v>2014</v>
      </c>
      <c r="I105" s="476" t="str">
        <f>Referencer!$B$62</f>
        <v>56, LNG LTD. Improved LNG process - Better Economics for Future Projects. http://www.lnglimited.com.au/IRM/content/default.aspx</v>
      </c>
      <c r="J105" s="477"/>
      <c r="N105" s="582"/>
      <c r="O105" s="582"/>
      <c r="P105" s="582"/>
      <c r="Q105" s="582"/>
    </row>
    <row r="106" spans="2:17" ht="12.75" customHeight="1">
      <c r="B106" s="585"/>
      <c r="C106" s="564"/>
      <c r="D106" s="573"/>
      <c r="E106" s="573"/>
      <c r="F106" s="573"/>
      <c r="G106" s="573"/>
      <c r="I106" s="584"/>
      <c r="J106" s="477"/>
      <c r="N106" s="582"/>
      <c r="O106" s="582"/>
      <c r="P106" s="582"/>
      <c r="Q106" s="582"/>
    </row>
    <row r="107" spans="2:17" ht="12.75" customHeight="1">
      <c r="B107" s="585"/>
      <c r="C107" s="564"/>
      <c r="D107" s="573"/>
      <c r="E107" s="573"/>
      <c r="F107" s="573"/>
      <c r="G107" s="573"/>
      <c r="I107" s="584"/>
      <c r="J107" s="477"/>
      <c r="N107" s="582"/>
      <c r="O107" s="582"/>
      <c r="P107" s="582"/>
      <c r="Q107" s="582"/>
    </row>
    <row r="108" spans="2:17" ht="12.75" customHeight="1">
      <c r="B108" s="585"/>
      <c r="C108" s="564"/>
      <c r="D108" s="573"/>
      <c r="E108" s="573"/>
      <c r="F108" s="573"/>
      <c r="G108" s="573"/>
      <c r="I108" s="584"/>
      <c r="J108" s="477"/>
      <c r="N108" s="582"/>
      <c r="O108" s="582"/>
      <c r="P108" s="582"/>
      <c r="Q108" s="582"/>
    </row>
    <row r="109" spans="2:17" ht="12.75" customHeight="1">
      <c r="B109" s="585"/>
      <c r="C109" s="564"/>
      <c r="D109" s="573"/>
      <c r="E109" s="573"/>
      <c r="F109" s="573"/>
      <c r="G109" s="573"/>
      <c r="I109" s="584"/>
      <c r="J109" s="477"/>
      <c r="N109" s="582"/>
      <c r="O109" s="582"/>
      <c r="P109" s="582"/>
      <c r="Q109" s="582"/>
    </row>
    <row r="110" spans="2:17" ht="12.75" customHeight="1">
      <c r="B110" s="585"/>
      <c r="C110" s="564"/>
      <c r="D110" s="573"/>
      <c r="E110" s="573"/>
      <c r="F110" s="573"/>
      <c r="G110" s="573"/>
      <c r="I110" s="584"/>
      <c r="J110" s="477"/>
      <c r="N110" s="582"/>
      <c r="O110" s="582"/>
      <c r="P110" s="582"/>
      <c r="Q110" s="582"/>
    </row>
    <row r="111" spans="2:17" ht="12.75" customHeight="1">
      <c r="B111" s="585"/>
      <c r="C111" s="564"/>
      <c r="D111" s="573"/>
      <c r="E111" s="573"/>
      <c r="F111" s="573"/>
      <c r="G111" s="573"/>
      <c r="I111" s="584"/>
      <c r="J111" s="477"/>
      <c r="N111" s="582"/>
      <c r="O111" s="582"/>
      <c r="P111" s="582"/>
      <c r="Q111" s="582"/>
    </row>
    <row r="112" spans="2:17" ht="12.75" customHeight="1">
      <c r="B112" s="585"/>
      <c r="C112" s="564"/>
      <c r="D112" s="573"/>
      <c r="E112" s="573"/>
      <c r="F112" s="573"/>
      <c r="G112" s="573"/>
      <c r="I112" s="584"/>
      <c r="J112" s="477"/>
      <c r="N112" s="582"/>
      <c r="O112" s="582"/>
      <c r="P112" s="582"/>
      <c r="Q112" s="582"/>
    </row>
    <row r="113" spans="2:17" ht="12.75" customHeight="1">
      <c r="B113" s="585"/>
      <c r="C113" s="564"/>
      <c r="D113" s="573"/>
      <c r="E113" s="573"/>
      <c r="F113" s="573"/>
      <c r="G113" s="573"/>
      <c r="I113" s="584"/>
      <c r="J113" s="477"/>
      <c r="N113" s="582"/>
      <c r="O113" s="582"/>
      <c r="P113" s="582"/>
      <c r="Q113" s="582"/>
    </row>
    <row r="114" spans="2:17" ht="12.75" customHeight="1">
      <c r="B114" s="585"/>
      <c r="C114" s="564"/>
      <c r="D114" s="573"/>
      <c r="E114" s="573"/>
      <c r="F114" s="573"/>
      <c r="G114" s="573"/>
      <c r="I114" s="584"/>
      <c r="J114" s="477"/>
      <c r="N114" s="582"/>
      <c r="O114" s="582"/>
      <c r="P114" s="582"/>
      <c r="Q114" s="582"/>
    </row>
    <row r="115" spans="2:17" ht="12.75" customHeight="1">
      <c r="B115" s="570" t="s">
        <v>166</v>
      </c>
      <c r="C115" s="564"/>
      <c r="D115" s="573"/>
      <c r="E115" s="573"/>
      <c r="F115" s="573"/>
      <c r="G115" s="573"/>
      <c r="I115" s="584"/>
      <c r="J115" s="477"/>
      <c r="N115" s="589"/>
      <c r="O115" s="589"/>
      <c r="P115" s="589"/>
      <c r="Q115" s="582"/>
    </row>
    <row r="116" spans="2:17" ht="12.75" customHeight="1">
      <c r="B116" s="475" t="s">
        <v>24</v>
      </c>
      <c r="C116" s="564" t="s">
        <v>189</v>
      </c>
      <c r="D116" s="590"/>
      <c r="E116" s="590"/>
      <c r="F116" s="590"/>
      <c r="G116" s="590"/>
      <c r="H116" s="452"/>
      <c r="I116" s="476"/>
      <c r="J116" s="477"/>
      <c r="N116" s="582"/>
      <c r="O116" s="582"/>
      <c r="P116" s="582"/>
      <c r="Q116" s="582"/>
    </row>
    <row r="117" spans="2:17" ht="12.75" customHeight="1">
      <c r="B117" s="475" t="s">
        <v>27</v>
      </c>
      <c r="C117" s="564" t="s">
        <v>189</v>
      </c>
      <c r="D117" s="590"/>
      <c r="E117" s="590"/>
      <c r="F117" s="590"/>
      <c r="G117" s="590"/>
      <c r="H117" s="452"/>
      <c r="I117" s="476"/>
      <c r="J117" s="477"/>
      <c r="N117" s="582"/>
      <c r="O117" s="582"/>
      <c r="P117" s="582"/>
      <c r="Q117" s="582" t="s">
        <v>161</v>
      </c>
    </row>
    <row r="118" spans="2:17" ht="12.75" customHeight="1">
      <c r="B118" s="475" t="s">
        <v>28</v>
      </c>
      <c r="C118" s="564" t="s">
        <v>189</v>
      </c>
      <c r="D118" s="590"/>
      <c r="E118" s="590"/>
      <c r="F118" s="590"/>
      <c r="G118" s="590"/>
      <c r="H118" s="452"/>
      <c r="I118" s="476"/>
      <c r="J118" s="477"/>
      <c r="N118" s="582"/>
      <c r="O118" s="582"/>
      <c r="P118" s="582"/>
      <c r="Q118" s="582" t="s">
        <v>161</v>
      </c>
    </row>
    <row r="119" spans="2:17" ht="12.75" customHeight="1">
      <c r="B119" s="475" t="s">
        <v>26</v>
      </c>
      <c r="C119" s="564" t="s">
        <v>189</v>
      </c>
      <c r="D119" s="590"/>
      <c r="E119" s="590"/>
      <c r="F119" s="590"/>
      <c r="G119" s="590"/>
      <c r="H119" s="452"/>
      <c r="I119" s="476"/>
      <c r="J119" s="477"/>
      <c r="N119" s="582"/>
      <c r="O119" s="582"/>
      <c r="P119" s="582"/>
      <c r="Q119" s="582" t="s">
        <v>161</v>
      </c>
    </row>
    <row r="120" spans="2:17" ht="12.75" customHeight="1">
      <c r="B120" s="475" t="s">
        <v>167</v>
      </c>
      <c r="C120" s="564" t="s">
        <v>189</v>
      </c>
      <c r="D120" s="590"/>
      <c r="E120" s="590"/>
      <c r="F120" s="590"/>
      <c r="G120" s="590"/>
      <c r="H120" s="452"/>
      <c r="I120" s="476"/>
      <c r="J120" s="477"/>
      <c r="N120" s="589"/>
      <c r="O120" s="589"/>
      <c r="P120" s="589"/>
      <c r="Q120" s="589" t="s">
        <v>161</v>
      </c>
    </row>
    <row r="121" spans="2:17" ht="12.75" customHeight="1">
      <c r="B121" s="475" t="s">
        <v>45</v>
      </c>
      <c r="C121" s="564" t="s">
        <v>189</v>
      </c>
      <c r="D121" s="590"/>
      <c r="E121" s="590"/>
      <c r="F121" s="590"/>
      <c r="G121" s="590"/>
      <c r="H121" s="451"/>
      <c r="I121" s="476"/>
      <c r="J121" s="477"/>
    </row>
    <row r="122" spans="2:17" ht="12.75" customHeight="1" thickBot="1">
      <c r="B122" s="591"/>
      <c r="C122" s="592"/>
      <c r="D122" s="593"/>
      <c r="E122" s="482"/>
      <c r="F122" s="482"/>
      <c r="G122" s="482"/>
      <c r="H122" s="244"/>
      <c r="I122" s="594"/>
      <c r="J122" s="483"/>
    </row>
    <row r="123" spans="2:17" ht="12.75" customHeight="1"/>
    <row r="124" spans="2:17" ht="12.75" customHeight="1" thickBot="1">
      <c r="B124" s="617" t="s">
        <v>168</v>
      </c>
    </row>
    <row r="125" spans="2:17" ht="12.75" customHeight="1">
      <c r="B125" s="472"/>
      <c r="C125" s="561" t="s">
        <v>70</v>
      </c>
      <c r="D125" s="473"/>
      <c r="E125" s="473"/>
      <c r="F125" s="473"/>
      <c r="G125" s="473"/>
      <c r="I125" s="473"/>
      <c r="J125" s="474"/>
    </row>
    <row r="126" spans="2:17" ht="12.75" customHeight="1">
      <c r="B126" s="484"/>
      <c r="C126" s="655"/>
      <c r="D126" s="485">
        <v>2015</v>
      </c>
      <c r="E126" s="485">
        <v>2020</v>
      </c>
      <c r="F126" s="485">
        <v>2035</v>
      </c>
      <c r="G126" s="485">
        <v>2050</v>
      </c>
      <c r="I126" s="485" t="s">
        <v>145</v>
      </c>
      <c r="J126" s="487" t="s">
        <v>146</v>
      </c>
    </row>
    <row r="127" spans="2:17" ht="12.75" customHeight="1">
      <c r="B127" s="1625"/>
      <c r="C127" s="657"/>
      <c r="D127" s="658"/>
      <c r="E127" s="658"/>
      <c r="F127" s="658"/>
      <c r="G127" s="658"/>
      <c r="I127" s="497"/>
      <c r="J127" s="659"/>
    </row>
    <row r="128" spans="2:17" ht="12.75" customHeight="1">
      <c r="B128" s="469" t="s">
        <v>2037</v>
      </c>
      <c r="C128" s="564" t="s">
        <v>2040</v>
      </c>
      <c r="D128" s="566">
        <f>D129/Supplementary!$D$169</f>
        <v>39.552238805970148</v>
      </c>
      <c r="E128" s="566">
        <f>E129/Supplementary!$D$169</f>
        <v>39.552238805970148</v>
      </c>
      <c r="F128" s="566">
        <f>F129/Supplementary!$D$169</f>
        <v>39.552238805970148</v>
      </c>
      <c r="G128" s="566">
        <f>G129/Supplementary!$D$169</f>
        <v>39.552238805970148</v>
      </c>
      <c r="H128" s="1173"/>
      <c r="I128" s="476"/>
      <c r="J128" s="477"/>
    </row>
    <row r="129" spans="2:10" ht="12.75" customHeight="1">
      <c r="B129" s="469" t="s">
        <v>2037</v>
      </c>
      <c r="C129" s="469" t="s">
        <v>2039</v>
      </c>
      <c r="D129" s="1650">
        <f>D130*dkkPerUSD</f>
        <v>2120</v>
      </c>
      <c r="E129" s="1650">
        <f>E130*dkkPerUSD</f>
        <v>2120</v>
      </c>
      <c r="F129" s="1650">
        <f>F130*dkkPerUSD</f>
        <v>2120</v>
      </c>
      <c r="G129" s="1650">
        <f>G130*dkkPerUSD</f>
        <v>2120</v>
      </c>
      <c r="H129" s="1173"/>
      <c r="I129" s="469" t="str">
        <f>Referencer!$B$62</f>
        <v>56, LNG LTD. Improved LNG process - Better Economics for Future Projects. http://www.lnglimited.com.au/IRM/content/default.aspx</v>
      </c>
    </row>
    <row r="130" spans="2:10" ht="12.75" customHeight="1">
      <c r="B130" s="469" t="s">
        <v>2037</v>
      </c>
      <c r="C130" s="469" t="s">
        <v>2038</v>
      </c>
      <c r="D130" s="1651">
        <v>400</v>
      </c>
      <c r="E130" s="1651">
        <v>400</v>
      </c>
      <c r="F130" s="1651">
        <v>400</v>
      </c>
      <c r="G130" s="1651">
        <v>400</v>
      </c>
      <c r="H130" s="1173"/>
      <c r="I130" s="469" t="str">
        <f>Referencer!$B$62</f>
        <v>56, LNG LTD. Improved LNG process - Better Economics for Future Projects. http://www.lnglimited.com.au/IRM/content/default.aspx</v>
      </c>
    </row>
    <row r="131" spans="2:10" ht="12.75" customHeight="1">
      <c r="B131" s="469" t="s">
        <v>1699</v>
      </c>
      <c r="C131" s="469" t="s">
        <v>2041</v>
      </c>
      <c r="D131" s="1654">
        <v>0.1</v>
      </c>
      <c r="E131" s="1654">
        <v>0.1</v>
      </c>
      <c r="F131" s="1654">
        <v>0.1</v>
      </c>
      <c r="G131" s="1654">
        <v>0.1</v>
      </c>
      <c r="H131" s="1399"/>
      <c r="J131" s="469" t="s">
        <v>2049</v>
      </c>
    </row>
    <row r="132" spans="2:10" ht="12.75" customHeight="1">
      <c r="H132" s="393"/>
    </row>
    <row r="133" spans="2:10" ht="12.75" customHeight="1"/>
    <row r="134" spans="2:10" ht="12.75" customHeight="1"/>
    <row r="135" spans="2:10" ht="12.75" customHeight="1"/>
    <row r="136" spans="2:10" ht="12.75" customHeight="1"/>
    <row r="137" spans="2:10" ht="12.75" customHeight="1"/>
    <row r="138" spans="2:10" ht="12.75" customHeight="1"/>
    <row r="139" spans="2:10" ht="12.75" customHeight="1"/>
    <row r="140" spans="2:10" ht="12.75" customHeight="1"/>
    <row r="141" spans="2:10" ht="12.75" customHeight="1"/>
    <row r="142" spans="2:10" ht="12.75" customHeight="1"/>
    <row r="143" spans="2:10" ht="12.75" customHeight="1"/>
    <row r="144" spans="2:10"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sheetData>
  <pageMargins left="0.15748031496062992" right="0.15748031496062992" top="1.25" bottom="0.19685039370078741" header="0.51181102362204722" footer="0.51181102362204722"/>
  <pageSetup paperSize="9" scale="38" orientation="landscape" r:id="rId1"/>
  <headerFooter alignWithMargins="0">
    <oddHeader>&amp;L&amp;"Arial"&amp;14&amp;BBeregningsmodel
&amp;"Arial"&amp;08&amp;B64329, Teknologivurdering af alternative drivmidler til transportsektoren&amp;R&amp;"Arial"&amp;08Page &amp;P of &amp;N</oddHeader>
    <oddFooter>&amp;L&amp;"Arial"&amp;08&amp;Z&amp;F
Sheet: &amp;A&amp;C&amp;"Arial"&amp;08Printed &amp;D &amp;T&amp;R&amp;G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320961" r:id="rId5" name="Button 1">
              <controlPr defaultSize="0" print="0" autoFill="0" autoPict="0" macro="[0]!GtOver">
                <anchor>
                  <from>
                    <xdr:col>7</xdr:col>
                    <xdr:colOff>133350</xdr:colOff>
                    <xdr:row>0</xdr:row>
                    <xdr:rowOff>38100</xdr:rowOff>
                  </from>
                  <to>
                    <xdr:col>8</xdr:col>
                    <xdr:colOff>152400</xdr:colOff>
                    <xdr:row>0</xdr:row>
                    <xdr:rowOff>238125</xdr:rowOff>
                  </to>
                </anchor>
              </controlPr>
            </control>
          </mc:Choice>
        </mc:AlternateContent>
        <mc:AlternateContent xmlns:mc="http://schemas.openxmlformats.org/markup-compatibility/2006">
          <mc:Choice Requires="x14">
            <control shapeId="1320962" r:id="rId6" name="Button 2">
              <controlPr defaultSize="0" print="0" autoFill="0" autoPict="0" macro="[0]!GtRes">
                <anchor>
                  <from>
                    <xdr:col>8</xdr:col>
                    <xdr:colOff>323850</xdr:colOff>
                    <xdr:row>0</xdr:row>
                    <xdr:rowOff>38100</xdr:rowOff>
                  </from>
                  <to>
                    <xdr:col>10</xdr:col>
                    <xdr:colOff>66675</xdr:colOff>
                    <xdr:row>0</xdr:row>
                    <xdr:rowOff>238125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tabColor rgb="FF0070C0"/>
    <pageSetUpPr fitToPage="1"/>
  </sheetPr>
  <dimension ref="A1:R319"/>
  <sheetViews>
    <sheetView zoomScale="80" zoomScaleNormal="80" workbookViewId="0">
      <selection activeCell="D29" sqref="D29"/>
    </sheetView>
  </sheetViews>
  <sheetFormatPr defaultColWidth="8.85546875" defaultRowHeight="12.75"/>
  <cols>
    <col min="1" max="1" width="3.28515625" style="523" customWidth="1"/>
    <col min="2" max="2" width="36" style="523" customWidth="1"/>
    <col min="3" max="3" width="16.5703125" style="523" customWidth="1"/>
    <col min="4" max="8" width="15.7109375" style="523" customWidth="1"/>
    <col min="9" max="9" width="7.28515625" style="523" customWidth="1"/>
    <col min="10" max="10" width="12.7109375" style="523" customWidth="1"/>
    <col min="11" max="11" width="13.7109375" style="523" customWidth="1"/>
    <col min="12" max="12" width="12.7109375" style="523" customWidth="1"/>
    <col min="13" max="13" width="8.85546875" style="523"/>
    <col min="14" max="14" width="37.85546875" style="523" customWidth="1"/>
    <col min="15" max="16" width="8.85546875" style="523"/>
    <col min="17" max="18" width="11.42578125" style="523" customWidth="1"/>
    <col min="19" max="19" width="9" style="523" customWidth="1"/>
    <col min="20" max="16384" width="8.85546875" style="523"/>
  </cols>
  <sheetData>
    <row r="1" spans="2:18" s="465" customFormat="1" ht="21">
      <c r="B1" s="465" t="s">
        <v>461</v>
      </c>
      <c r="Q1" s="467">
        <f ca="1">'Log2015'!M1</f>
        <v>-8.0112614142160741</v>
      </c>
      <c r="R1" s="468">
        <f ca="1">'Log2015'!N1</f>
        <v>-160807.124977848</v>
      </c>
    </row>
    <row r="2" spans="2:18" ht="12.75" customHeight="1">
      <c r="Q2" s="623">
        <f ca="1">Q1</f>
        <v>-8.0112614142160741</v>
      </c>
      <c r="R2" s="623">
        <f ca="1">R1</f>
        <v>-160807.124977848</v>
      </c>
    </row>
    <row r="3" spans="2:18" ht="12.75" customHeight="1"/>
    <row r="4" spans="2:18" s="215" customFormat="1" ht="12.75" customHeight="1">
      <c r="B4" s="454" t="s">
        <v>81</v>
      </c>
    </row>
    <row r="5" spans="2:18" ht="12.75" customHeight="1" thickBot="1"/>
    <row r="6" spans="2:18" ht="12.75" customHeight="1">
      <c r="B6" s="219" t="s">
        <v>137</v>
      </c>
      <c r="C6" s="245"/>
      <c r="D6" s="245"/>
      <c r="E6" s="245"/>
      <c r="F6" s="245"/>
      <c r="G6" s="245"/>
      <c r="H6" s="245"/>
      <c r="I6" s="245"/>
      <c r="J6" s="245"/>
      <c r="K6" s="245"/>
      <c r="L6" s="245"/>
      <c r="M6" s="246"/>
    </row>
    <row r="7" spans="2:18" ht="12.75" customHeight="1">
      <c r="B7" s="230" t="s">
        <v>1991</v>
      </c>
      <c r="C7" s="248"/>
      <c r="D7" s="248"/>
      <c r="E7" s="248"/>
      <c r="F7" s="248"/>
      <c r="G7" s="248"/>
      <c r="H7" s="248"/>
      <c r="I7" s="248"/>
      <c r="J7" s="248"/>
      <c r="K7" s="248"/>
      <c r="L7" s="248"/>
      <c r="M7" s="249"/>
    </row>
    <row r="8" spans="2:18" ht="12.75" customHeight="1">
      <c r="B8" s="230"/>
      <c r="C8" s="248"/>
      <c r="D8" s="248"/>
      <c r="E8" s="248"/>
      <c r="F8" s="248"/>
      <c r="G8" s="248"/>
      <c r="H8" s="248"/>
      <c r="I8" s="248"/>
      <c r="J8" s="248"/>
      <c r="K8" s="248"/>
      <c r="L8" s="248"/>
      <c r="M8" s="249"/>
    </row>
    <row r="9" spans="2:18" ht="12.75" customHeight="1">
      <c r="B9" s="230"/>
      <c r="C9" s="248"/>
      <c r="D9" s="248"/>
      <c r="E9" s="248"/>
      <c r="F9" s="248"/>
      <c r="G9" s="248"/>
      <c r="H9" s="248"/>
      <c r="I9" s="248"/>
      <c r="J9" s="248"/>
      <c r="K9" s="248"/>
      <c r="L9" s="248"/>
      <c r="M9" s="249"/>
    </row>
    <row r="10" spans="2:18" ht="12.75" customHeight="1">
      <c r="B10" s="230"/>
      <c r="C10" s="248"/>
      <c r="D10" s="248"/>
      <c r="E10" s="248"/>
      <c r="F10" s="248"/>
      <c r="G10" s="248"/>
      <c r="H10" s="248"/>
      <c r="I10" s="248"/>
      <c r="J10" s="248"/>
      <c r="K10" s="248"/>
      <c r="L10" s="248"/>
      <c r="M10" s="249"/>
    </row>
    <row r="11" spans="2:18" ht="12.75" customHeight="1">
      <c r="B11" s="230" t="s">
        <v>138</v>
      </c>
      <c r="C11" s="217" t="s">
        <v>447</v>
      </c>
      <c r="D11" s="248"/>
      <c r="E11" s="248"/>
      <c r="F11" s="248"/>
      <c r="G11" s="248"/>
      <c r="H11" s="248"/>
      <c r="I11" s="248"/>
      <c r="J11" s="248"/>
      <c r="K11" s="248"/>
      <c r="L11" s="248"/>
      <c r="M11" s="249"/>
    </row>
    <row r="12" spans="2:18" ht="12.75" customHeight="1">
      <c r="B12" s="230"/>
      <c r="C12" s="248"/>
      <c r="D12" s="248"/>
      <c r="E12" s="248"/>
      <c r="F12" s="248"/>
      <c r="G12" s="248"/>
      <c r="H12" s="248"/>
      <c r="I12" s="248"/>
      <c r="J12" s="248"/>
      <c r="K12" s="248"/>
      <c r="L12" s="248"/>
      <c r="M12" s="249"/>
    </row>
    <row r="13" spans="2:18" ht="12.75" customHeight="1">
      <c r="B13" s="230" t="s">
        <v>140</v>
      </c>
      <c r="C13" s="248"/>
      <c r="D13" s="248"/>
      <c r="E13" s="248"/>
      <c r="F13" s="248"/>
      <c r="G13" s="248"/>
      <c r="H13" s="248"/>
      <c r="I13" s="248"/>
      <c r="J13" s="248"/>
      <c r="K13" s="248"/>
      <c r="L13" s="248"/>
      <c r="M13" s="249"/>
    </row>
    <row r="14" spans="2:18" ht="12.75" customHeight="1">
      <c r="B14" s="230"/>
      <c r="C14" s="248"/>
      <c r="D14" s="248"/>
      <c r="E14" s="248"/>
      <c r="F14" s="248"/>
      <c r="G14" s="248"/>
      <c r="H14" s="248"/>
      <c r="I14" s="248"/>
      <c r="J14" s="248"/>
      <c r="K14" s="248"/>
      <c r="L14" s="248"/>
      <c r="M14" s="249"/>
    </row>
    <row r="15" spans="2:18" ht="12.75" customHeight="1">
      <c r="B15" s="230" t="s">
        <v>141</v>
      </c>
      <c r="C15" s="248"/>
      <c r="D15" s="248"/>
      <c r="E15" s="248"/>
      <c r="F15" s="248"/>
      <c r="G15" s="248"/>
      <c r="H15" s="248"/>
      <c r="I15" s="248"/>
      <c r="J15" s="248"/>
      <c r="K15" s="248"/>
      <c r="L15" s="248"/>
      <c r="M15" s="249"/>
    </row>
    <row r="16" spans="2:18" ht="12.75" customHeight="1">
      <c r="B16" s="230"/>
      <c r="C16" s="248"/>
      <c r="D16" s="248"/>
      <c r="E16" s="248"/>
      <c r="F16" s="248"/>
      <c r="G16" s="248"/>
      <c r="H16" s="248"/>
      <c r="I16" s="248"/>
      <c r="J16" s="248"/>
      <c r="K16" s="248"/>
      <c r="L16" s="248"/>
      <c r="M16" s="249"/>
    </row>
    <row r="17" spans="2:13" ht="12.75" customHeight="1">
      <c r="B17" s="230" t="s">
        <v>142</v>
      </c>
      <c r="C17" s="248"/>
      <c r="D17" s="248"/>
      <c r="E17" s="248"/>
      <c r="F17" s="248"/>
      <c r="G17" s="248"/>
      <c r="H17" s="248"/>
      <c r="I17" s="248"/>
      <c r="J17" s="248"/>
      <c r="K17" s="248"/>
      <c r="L17" s="248"/>
      <c r="M17" s="249"/>
    </row>
    <row r="18" spans="2:13" ht="12.75" customHeight="1">
      <c r="B18" s="230"/>
      <c r="C18" s="248"/>
      <c r="D18" s="248"/>
      <c r="E18" s="248"/>
      <c r="F18" s="248"/>
      <c r="G18" s="248"/>
      <c r="H18" s="248"/>
      <c r="I18" s="248"/>
      <c r="J18" s="248"/>
      <c r="K18" s="248"/>
      <c r="L18" s="248"/>
      <c r="M18" s="249"/>
    </row>
    <row r="19" spans="2:13" ht="12.75" customHeight="1">
      <c r="B19" s="230"/>
      <c r="C19" s="248"/>
      <c r="D19" s="248"/>
      <c r="E19" s="248"/>
      <c r="F19" s="248"/>
      <c r="G19" s="248"/>
      <c r="H19" s="248"/>
      <c r="I19" s="248"/>
      <c r="J19" s="248"/>
      <c r="K19" s="248"/>
      <c r="L19" s="248"/>
      <c r="M19" s="249"/>
    </row>
    <row r="20" spans="2:13" ht="12.75" customHeight="1">
      <c r="B20" s="230"/>
      <c r="C20" s="248"/>
      <c r="D20" s="248"/>
      <c r="E20" s="248"/>
      <c r="F20" s="248"/>
      <c r="G20" s="248"/>
      <c r="H20" s="248"/>
      <c r="I20" s="248"/>
      <c r="J20" s="248"/>
      <c r="K20" s="248"/>
      <c r="L20" s="248"/>
      <c r="M20" s="249"/>
    </row>
    <row r="21" spans="2:13" ht="12.75" customHeight="1">
      <c r="B21" s="230"/>
      <c r="C21" s="248"/>
      <c r="D21" s="248"/>
      <c r="E21" s="248"/>
      <c r="F21" s="248"/>
      <c r="G21" s="248"/>
      <c r="H21" s="248"/>
      <c r="I21" s="248"/>
      <c r="J21" s="248"/>
      <c r="K21" s="248"/>
      <c r="L21" s="248"/>
      <c r="M21" s="249"/>
    </row>
    <row r="22" spans="2:13" ht="12.75" customHeight="1">
      <c r="B22" s="230" t="s">
        <v>143</v>
      </c>
      <c r="C22" s="248"/>
      <c r="D22" s="248"/>
      <c r="E22" s="248"/>
      <c r="F22" s="248"/>
      <c r="G22" s="248"/>
      <c r="H22" s="248"/>
      <c r="I22" s="248"/>
      <c r="J22" s="248"/>
      <c r="K22" s="248"/>
      <c r="L22" s="248"/>
      <c r="M22" s="249"/>
    </row>
    <row r="23" spans="2:13" ht="12.75" customHeight="1">
      <c r="B23" s="230"/>
      <c r="C23" s="248"/>
      <c r="D23" s="248"/>
      <c r="E23" s="248"/>
      <c r="F23" s="248"/>
      <c r="G23" s="248"/>
      <c r="H23" s="248"/>
      <c r="I23" s="248"/>
      <c r="J23" s="248"/>
      <c r="K23" s="248"/>
      <c r="L23" s="248"/>
      <c r="M23" s="249"/>
    </row>
    <row r="24" spans="2:13" ht="12.75" customHeight="1" thickBot="1">
      <c r="B24" s="242"/>
      <c r="C24" s="250"/>
      <c r="D24" s="250"/>
      <c r="E24" s="250"/>
      <c r="F24" s="250"/>
      <c r="G24" s="250"/>
      <c r="H24" s="250"/>
      <c r="I24" s="250"/>
      <c r="J24" s="250"/>
      <c r="K24" s="250"/>
      <c r="L24" s="250"/>
      <c r="M24" s="251"/>
    </row>
    <row r="25" spans="2:13" ht="12.75" customHeight="1">
      <c r="F25" s="86"/>
    </row>
    <row r="26" spans="2:13" s="215" customFormat="1" ht="12.75" customHeight="1">
      <c r="B26" s="454" t="s">
        <v>144</v>
      </c>
    </row>
    <row r="27" spans="2:13" s="215" customFormat="1" ht="12.75" customHeight="1" thickBot="1">
      <c r="B27" s="523"/>
    </row>
    <row r="28" spans="2:13" ht="12.75" customHeight="1">
      <c r="B28" s="219"/>
      <c r="C28" s="220"/>
      <c r="D28" s="221"/>
      <c r="E28" s="221"/>
      <c r="F28" s="221"/>
      <c r="G28" s="221"/>
      <c r="H28" s="221"/>
      <c r="I28" s="221"/>
      <c r="J28" s="222"/>
    </row>
    <row r="29" spans="2:13" ht="12.75" customHeight="1">
      <c r="B29" s="223"/>
      <c r="C29" s="224" t="s">
        <v>70</v>
      </c>
      <c r="D29" s="225">
        <v>2015</v>
      </c>
      <c r="E29" s="225">
        <v>2020</v>
      </c>
      <c r="F29" s="225">
        <v>2035</v>
      </c>
      <c r="G29" s="225">
        <v>2050</v>
      </c>
      <c r="H29" s="225" t="s">
        <v>978</v>
      </c>
      <c r="I29" s="226" t="s">
        <v>145</v>
      </c>
      <c r="J29" s="227" t="s">
        <v>146</v>
      </c>
    </row>
    <row r="30" spans="2:13" ht="12.75" customHeight="1">
      <c r="B30" s="216" t="s">
        <v>147</v>
      </c>
      <c r="C30" s="210"/>
      <c r="D30" s="209"/>
      <c r="E30" s="209"/>
      <c r="F30" s="209"/>
      <c r="G30" s="209"/>
      <c r="H30" s="209"/>
      <c r="I30" s="455"/>
      <c r="J30" s="229"/>
    </row>
    <row r="31" spans="2:13" ht="12.75" customHeight="1">
      <c r="B31" s="247" t="s">
        <v>148</v>
      </c>
      <c r="C31" s="210" t="s">
        <v>728</v>
      </c>
      <c r="D31" s="574">
        <v>0.95</v>
      </c>
      <c r="E31" s="1422">
        <v>0.95</v>
      </c>
      <c r="F31" s="1422">
        <v>0.95</v>
      </c>
      <c r="G31" s="1422">
        <v>0.95</v>
      </c>
      <c r="H31" s="1422"/>
      <c r="I31" s="1107" t="str">
        <f>Referencer!B60</f>
        <v>54, Niras (2011). Strategisk analyse af electrificering af banenettet - Opgave A, strategianalysen. Banedanmark.</v>
      </c>
      <c r="J31" s="229" t="s">
        <v>2001</v>
      </c>
    </row>
    <row r="32" spans="2:13" ht="12.75" customHeight="1">
      <c r="B32" s="247" t="s">
        <v>67</v>
      </c>
      <c r="C32" s="210" t="s">
        <v>729</v>
      </c>
      <c r="D32" s="574">
        <v>1</v>
      </c>
      <c r="E32" s="1422">
        <v>1</v>
      </c>
      <c r="F32" s="1422">
        <v>1</v>
      </c>
      <c r="G32" s="1422">
        <v>1</v>
      </c>
      <c r="H32" s="1422"/>
      <c r="I32" s="1107"/>
      <c r="J32" s="229"/>
    </row>
    <row r="33" spans="2:10" ht="12.75" customHeight="1">
      <c r="B33" s="230" t="s">
        <v>149</v>
      </c>
      <c r="C33" s="210" t="s">
        <v>730</v>
      </c>
      <c r="D33" s="1590">
        <f>D132</f>
        <v>43452</v>
      </c>
      <c r="E33" s="1590">
        <f>E132</f>
        <v>43452</v>
      </c>
      <c r="F33" s="1590">
        <f>F132</f>
        <v>43452</v>
      </c>
      <c r="G33" s="1590">
        <f>G132</f>
        <v>43452</v>
      </c>
      <c r="H33" s="1590"/>
      <c r="I33" s="1335"/>
      <c r="J33" s="229"/>
    </row>
    <row r="34" spans="2:10" ht="12.75" customHeight="1">
      <c r="B34" s="247" t="s">
        <v>150</v>
      </c>
      <c r="C34" s="210" t="s">
        <v>34</v>
      </c>
      <c r="D34" s="212">
        <v>50</v>
      </c>
      <c r="E34" s="212">
        <v>50</v>
      </c>
      <c r="F34" s="212">
        <v>50</v>
      </c>
      <c r="G34" s="212">
        <v>50</v>
      </c>
      <c r="H34" s="212"/>
      <c r="I34" s="77" t="str">
        <f>Referencer!$B$60</f>
        <v>54, Niras (2011). Strategisk analyse af electrificering af banenettet - Opgave A, strategianalysen. Banedanmark.</v>
      </c>
      <c r="J34" s="393" t="s">
        <v>1989</v>
      </c>
    </row>
    <row r="35" spans="2:10" ht="12.75" customHeight="1">
      <c r="B35" s="230"/>
      <c r="C35" s="231"/>
      <c r="D35" s="253"/>
      <c r="E35" s="213"/>
      <c r="F35" s="213"/>
      <c r="G35" s="213"/>
      <c r="H35" s="213"/>
      <c r="I35" s="455"/>
      <c r="J35" s="229"/>
    </row>
    <row r="36" spans="2:10" ht="12.75" customHeight="1">
      <c r="B36" s="216" t="s">
        <v>151</v>
      </c>
      <c r="C36" s="231"/>
      <c r="D36" s="253"/>
      <c r="E36" s="213"/>
      <c r="F36" s="213"/>
      <c r="G36" s="213"/>
      <c r="H36" s="213"/>
      <c r="I36" s="455"/>
      <c r="J36" s="229"/>
    </row>
    <row r="37" spans="2:10" ht="12.75" customHeight="1">
      <c r="B37" s="247" t="str">
        <f>ProcessEnergy!B35</f>
        <v xml:space="preserve">Green diesel </v>
      </c>
      <c r="C37" s="210" t="s">
        <v>463</v>
      </c>
      <c r="D37" s="105"/>
      <c r="E37" s="105"/>
      <c r="F37" s="105"/>
      <c r="G37" s="105"/>
      <c r="H37" s="105"/>
      <c r="I37" s="455"/>
      <c r="J37" s="229"/>
    </row>
    <row r="38" spans="2:10" ht="12.75" customHeight="1">
      <c r="B38" s="232" t="str">
        <f>ProcessEnergy!B36</f>
        <v>Green gasoline</v>
      </c>
      <c r="C38" s="210"/>
      <c r="D38" s="105"/>
      <c r="E38" s="105"/>
      <c r="F38" s="105"/>
      <c r="G38" s="105"/>
      <c r="H38" s="105"/>
      <c r="I38" s="455"/>
      <c r="J38" s="229"/>
    </row>
    <row r="39" spans="2:10" ht="12.75" customHeight="1">
      <c r="B39" s="232" t="str">
        <f>ProcessEnergy!B37</f>
        <v>Electricity - balancing</v>
      </c>
      <c r="C39" s="210"/>
      <c r="D39" s="105"/>
      <c r="E39" s="105"/>
      <c r="F39" s="105"/>
      <c r="G39" s="105"/>
      <c r="H39" s="105"/>
      <c r="I39" s="455"/>
      <c r="J39" s="229"/>
    </row>
    <row r="40" spans="2:10" ht="12.75" customHeight="1">
      <c r="B40" s="232" t="str">
        <f>ProcessEnergy!B38</f>
        <v>Electricity  - continous</v>
      </c>
      <c r="C40" s="210"/>
      <c r="D40" s="105"/>
      <c r="E40" s="105"/>
      <c r="F40" s="105"/>
      <c r="G40" s="105"/>
      <c r="H40" s="105"/>
      <c r="I40" s="455"/>
      <c r="J40" s="229"/>
    </row>
    <row r="41" spans="2:10" ht="12.75" customHeight="1">
      <c r="B41" s="232" t="str">
        <f>ProcessEnergy!B39</f>
        <v>Elec/heat fuel</v>
      </c>
      <c r="C41" s="210"/>
      <c r="D41" s="105"/>
      <c r="E41" s="105"/>
      <c r="F41" s="105"/>
      <c r="G41" s="105"/>
      <c r="H41" s="105"/>
      <c r="I41" s="455"/>
      <c r="J41" s="229"/>
    </row>
    <row r="42" spans="2:10" ht="12.75" customHeight="1">
      <c r="B42" s="232" t="str">
        <f>ProcessEnergy!B40</f>
        <v>Biogas (100% CH4)</v>
      </c>
      <c r="C42" s="210"/>
      <c r="D42" s="105"/>
      <c r="E42" s="105"/>
      <c r="F42" s="105"/>
      <c r="G42" s="105"/>
      <c r="H42" s="105"/>
      <c r="I42" s="455"/>
      <c r="J42" s="229"/>
    </row>
    <row r="43" spans="2:10" ht="12.75" customHeight="1">
      <c r="B43" s="232" t="str">
        <f>ProcessEnergy!B41</f>
        <v>District heating</v>
      </c>
      <c r="C43" s="210"/>
      <c r="D43" s="105"/>
      <c r="E43" s="105"/>
      <c r="F43" s="105"/>
      <c r="G43" s="105"/>
      <c r="H43" s="105"/>
      <c r="I43" s="455"/>
      <c r="J43" s="229"/>
    </row>
    <row r="44" spans="2:10" s="1240" customFormat="1" ht="12.75" customHeight="1">
      <c r="B44" s="232" t="str">
        <f>ProcessEnergy!B42</f>
        <v>&lt;empty&gt;</v>
      </c>
      <c r="C44" s="1469"/>
      <c r="D44" s="105"/>
      <c r="E44" s="105"/>
      <c r="F44" s="105"/>
      <c r="G44" s="105"/>
      <c r="H44" s="105"/>
      <c r="I44" s="1471"/>
      <c r="J44" s="1488"/>
    </row>
    <row r="45" spans="2:10" s="1240" customFormat="1" ht="12.75" customHeight="1">
      <c r="B45" s="232" t="str">
        <f>ProcessEnergy!B43</f>
        <v>&lt;empty&gt;</v>
      </c>
      <c r="C45" s="1469"/>
      <c r="D45" s="105"/>
      <c r="E45" s="105"/>
      <c r="F45" s="105"/>
      <c r="G45" s="105"/>
      <c r="H45" s="105"/>
      <c r="I45" s="1471"/>
      <c r="J45" s="1488"/>
    </row>
    <row r="46" spans="2:10" s="1240" customFormat="1" ht="12.75" customHeight="1">
      <c r="B46" s="232" t="str">
        <f>ProcessEnergy!B44</f>
        <v>&lt;empty&gt;</v>
      </c>
      <c r="C46" s="1469"/>
      <c r="D46" s="105"/>
      <c r="E46" s="105"/>
      <c r="F46" s="105"/>
      <c r="G46" s="105"/>
      <c r="H46" s="105"/>
      <c r="I46" s="1471"/>
      <c r="J46" s="1488"/>
    </row>
    <row r="47" spans="2:10" s="1240" customFormat="1" ht="12.75" customHeight="1">
      <c r="B47" s="232" t="str">
        <f>ProcessEnergy!B45</f>
        <v>&lt;empty&gt;</v>
      </c>
      <c r="C47" s="1469"/>
      <c r="D47" s="105"/>
      <c r="E47" s="105"/>
      <c r="F47" s="105"/>
      <c r="G47" s="105"/>
      <c r="H47" s="105"/>
      <c r="I47" s="1471"/>
      <c r="J47" s="1488"/>
    </row>
    <row r="48" spans="2:10" s="1240" customFormat="1" ht="12.75" customHeight="1">
      <c r="B48" s="232" t="str">
        <f>ProcessEnergy!B46</f>
        <v>&lt;empty&gt;</v>
      </c>
      <c r="C48" s="1469"/>
      <c r="D48" s="105"/>
      <c r="E48" s="105"/>
      <c r="F48" s="105"/>
      <c r="G48" s="105"/>
      <c r="H48" s="105"/>
      <c r="I48" s="1471"/>
      <c r="J48" s="1488"/>
    </row>
    <row r="49" spans="2:10" s="1240" customFormat="1" ht="12.75" customHeight="1">
      <c r="B49" s="232" t="str">
        <f>ProcessEnergy!B47</f>
        <v>&lt;empty&gt;</v>
      </c>
      <c r="C49" s="1469"/>
      <c r="D49" s="105"/>
      <c r="E49" s="105"/>
      <c r="F49" s="105"/>
      <c r="G49" s="105"/>
      <c r="H49" s="105"/>
      <c r="I49" s="1471"/>
      <c r="J49" s="1488"/>
    </row>
    <row r="50" spans="2:10" s="1240" customFormat="1" ht="12.75" customHeight="1">
      <c r="B50" s="232" t="str">
        <f>ProcessEnergy!B48</f>
        <v>Glycerol</v>
      </c>
      <c r="C50" s="1469"/>
      <c r="D50" s="105"/>
      <c r="E50" s="105"/>
      <c r="F50" s="105"/>
      <c r="G50" s="105"/>
      <c r="H50" s="105"/>
      <c r="I50" s="1471"/>
      <c r="J50" s="1488"/>
    </row>
    <row r="51" spans="2:10" s="1240" customFormat="1" ht="12.75" customHeight="1">
      <c r="B51" s="232" t="str">
        <f>ProcessEnergy!B49</f>
        <v>&lt;empty&gt;</v>
      </c>
      <c r="C51" s="1469"/>
      <c r="D51" s="105"/>
      <c r="E51" s="105"/>
      <c r="F51" s="105"/>
      <c r="G51" s="105"/>
      <c r="H51" s="105"/>
      <c r="I51" s="1471"/>
      <c r="J51" s="1488"/>
    </row>
    <row r="52" spans="2:10" s="1240" customFormat="1" ht="12.75" customHeight="1">
      <c r="B52" s="232" t="str">
        <f>ProcessEnergy!B50</f>
        <v>&lt;empty&gt;</v>
      </c>
      <c r="C52" s="1469"/>
      <c r="D52" s="105"/>
      <c r="E52" s="105"/>
      <c r="F52" s="105"/>
      <c r="G52" s="105"/>
      <c r="H52" s="105"/>
      <c r="I52" s="1471"/>
      <c r="J52" s="1488"/>
    </row>
    <row r="53" spans="2:10" ht="12.75" customHeight="1">
      <c r="B53" s="232" t="str">
        <f>ProcessEnergy!B51</f>
        <v>Fodder (wheat like)</v>
      </c>
      <c r="C53" s="210"/>
      <c r="D53" s="105"/>
      <c r="E53" s="105"/>
      <c r="F53" s="105"/>
      <c r="G53" s="105"/>
      <c r="H53" s="105"/>
      <c r="I53" s="455"/>
      <c r="J53" s="229"/>
    </row>
    <row r="54" spans="2:10" ht="12.75" customHeight="1">
      <c r="B54" s="232" t="str">
        <f>ProcessEnergy!B52</f>
        <v>Rape seed cake</v>
      </c>
      <c r="C54" s="210"/>
      <c r="D54" s="105"/>
      <c r="E54" s="105"/>
      <c r="F54" s="105"/>
      <c r="G54" s="105"/>
      <c r="H54" s="105"/>
      <c r="I54" s="455"/>
      <c r="J54" s="229"/>
    </row>
    <row r="55" spans="2:10" ht="12.75" customHeight="1">
      <c r="B55" s="232" t="str">
        <f>ProcessEnergy!B53</f>
        <v>&lt;empty&gt;</v>
      </c>
      <c r="C55" s="210"/>
      <c r="D55" s="105"/>
      <c r="E55" s="105"/>
      <c r="F55" s="105"/>
      <c r="G55" s="105"/>
      <c r="H55" s="105"/>
      <c r="I55" s="455"/>
      <c r="J55" s="229"/>
    </row>
    <row r="56" spans="2:10" ht="12.75" customHeight="1">
      <c r="B56" s="232" t="str">
        <f>ProcessEnergy!B54</f>
        <v>DDGS</v>
      </c>
      <c r="C56" s="210"/>
      <c r="D56" s="105"/>
      <c r="E56" s="105"/>
      <c r="F56" s="105"/>
      <c r="G56" s="105"/>
      <c r="H56" s="105"/>
      <c r="I56" s="455"/>
      <c r="J56" s="229"/>
    </row>
    <row r="57" spans="2:10" ht="12.75" customHeight="1">
      <c r="B57" s="247"/>
      <c r="C57" s="210"/>
      <c r="D57" s="105"/>
      <c r="E57" s="105"/>
      <c r="F57" s="105"/>
      <c r="G57" s="105"/>
      <c r="H57" s="105"/>
      <c r="I57" s="455"/>
      <c r="J57" s="229"/>
    </row>
    <row r="58" spans="2:10" ht="12.75" customHeight="1">
      <c r="B58" s="216" t="s">
        <v>873</v>
      </c>
      <c r="C58" s="210"/>
      <c r="D58" s="105"/>
      <c r="E58" s="105"/>
      <c r="F58" s="105"/>
      <c r="G58" s="105"/>
      <c r="H58" s="105"/>
      <c r="I58" s="455"/>
      <c r="J58" s="229"/>
    </row>
    <row r="59" spans="2:10" ht="12.75" customHeight="1">
      <c r="B59" s="230" t="str">
        <f>ProcessEnergy!B5</f>
        <v>EL - peakload</v>
      </c>
      <c r="C59" s="564" t="s">
        <v>725</v>
      </c>
      <c r="D59" s="105"/>
      <c r="E59" s="105"/>
      <c r="F59" s="105"/>
      <c r="G59" s="105"/>
      <c r="H59" s="105"/>
      <c r="I59" s="455"/>
      <c r="J59" s="229"/>
    </row>
    <row r="60" spans="2:10" ht="12.75" customHeight="1">
      <c r="B60" s="230" t="str">
        <f>ProcessEnergy!B6</f>
        <v>El - baseload</v>
      </c>
      <c r="C60" s="564" t="s">
        <v>725</v>
      </c>
      <c r="D60" s="105">
        <v>1</v>
      </c>
      <c r="E60" s="105">
        <v>1</v>
      </c>
      <c r="F60" s="105">
        <v>1</v>
      </c>
      <c r="G60" s="105">
        <v>1</v>
      </c>
      <c r="H60" s="105"/>
      <c r="I60" s="455"/>
      <c r="J60" s="229"/>
    </row>
    <row r="61" spans="2:10" ht="12.75" customHeight="1">
      <c r="B61" s="230" t="str">
        <f>ProcessEnergy!B7</f>
        <v xml:space="preserve">Varme </v>
      </c>
      <c r="C61" s="564" t="s">
        <v>725</v>
      </c>
      <c r="D61" s="105"/>
      <c r="E61" s="105"/>
      <c r="F61" s="105"/>
      <c r="G61" s="105"/>
      <c r="H61" s="105"/>
      <c r="I61" s="455"/>
      <c r="J61" s="229"/>
    </row>
    <row r="62" spans="2:10" ht="12.75" customHeight="1">
      <c r="B62" s="230" t="str">
        <f>ProcessEnergy!B8</f>
        <v>Damp</v>
      </c>
      <c r="C62" s="564" t="s">
        <v>725</v>
      </c>
      <c r="D62" s="105"/>
      <c r="E62" s="105"/>
      <c r="F62" s="105"/>
      <c r="G62" s="105"/>
      <c r="H62" s="105"/>
      <c r="I62" s="455"/>
      <c r="J62" s="229"/>
    </row>
    <row r="63" spans="2:10" ht="12.75" customHeight="1">
      <c r="B63" s="230" t="str">
        <f>ProcessEnergy!B9</f>
        <v xml:space="preserve">Olie </v>
      </c>
      <c r="C63" s="564" t="s">
        <v>725</v>
      </c>
      <c r="D63" s="105"/>
      <c r="E63" s="105"/>
      <c r="F63" s="105"/>
      <c r="G63" s="105"/>
      <c r="H63" s="105"/>
      <c r="I63" s="455"/>
      <c r="J63" s="229"/>
    </row>
    <row r="64" spans="2:10" ht="12.75" customHeight="1">
      <c r="B64" s="230" t="str">
        <f>ProcessEnergy!B10</f>
        <v>Kul</v>
      </c>
      <c r="C64" s="564" t="s">
        <v>725</v>
      </c>
      <c r="D64" s="105"/>
      <c r="E64" s="105"/>
      <c r="F64" s="105"/>
      <c r="G64" s="105"/>
      <c r="H64" s="105"/>
      <c r="I64" s="455"/>
      <c r="J64" s="229"/>
    </row>
    <row r="65" spans="2:10" ht="12.75" customHeight="1">
      <c r="B65" s="230" t="str">
        <f>ProcessEnergy!B11</f>
        <v>Naturgas kedel</v>
      </c>
      <c r="C65" s="564" t="s">
        <v>725</v>
      </c>
      <c r="D65" s="105"/>
      <c r="E65" s="105"/>
      <c r="F65" s="105"/>
      <c r="G65" s="105"/>
      <c r="H65" s="105"/>
      <c r="I65" s="455"/>
      <c r="J65" s="229"/>
    </row>
    <row r="66" spans="2:10" ht="12.75" customHeight="1">
      <c r="B66" s="230" t="str">
        <f>ProcessEnergy!B12</f>
        <v>Gylle</v>
      </c>
      <c r="C66" s="564" t="s">
        <v>725</v>
      </c>
      <c r="D66" s="105"/>
      <c r="E66" s="105"/>
      <c r="F66" s="105"/>
      <c r="G66" s="105"/>
      <c r="H66" s="105"/>
      <c r="I66" s="455"/>
      <c r="J66" s="229"/>
    </row>
    <row r="67" spans="2:10" ht="12.75" customHeight="1">
      <c r="B67" s="230" t="str">
        <f>ProcessEnergy!B13</f>
        <v>Affald</v>
      </c>
      <c r="C67" s="564" t="s">
        <v>725</v>
      </c>
      <c r="D67" s="105"/>
      <c r="E67" s="105"/>
      <c r="F67" s="105"/>
      <c r="G67" s="105"/>
      <c r="H67" s="105"/>
      <c r="I67" s="455"/>
      <c r="J67" s="229"/>
    </row>
    <row r="68" spans="2:10" ht="12.75" customHeight="1">
      <c r="B68" s="230" t="str">
        <f>ProcessEnergy!B14</f>
        <v>Hydrogen</v>
      </c>
      <c r="C68" s="564" t="s">
        <v>725</v>
      </c>
      <c r="D68" s="105"/>
      <c r="E68" s="105"/>
      <c r="F68" s="105"/>
      <c r="G68" s="105"/>
      <c r="H68" s="105"/>
      <c r="I68" s="455"/>
      <c r="J68" s="229"/>
    </row>
    <row r="69" spans="2:10" ht="12.75" customHeight="1">
      <c r="B69" s="230" t="str">
        <f>ProcessEnergy!B15</f>
        <v>Biomasse</v>
      </c>
      <c r="C69" s="564" t="s">
        <v>725</v>
      </c>
      <c r="D69" s="105"/>
      <c r="E69" s="105"/>
      <c r="F69" s="105"/>
      <c r="G69" s="105"/>
      <c r="H69" s="105"/>
      <c r="I69" s="455"/>
      <c r="J69" s="229"/>
    </row>
    <row r="70" spans="2:10" s="1240" customFormat="1" ht="12.75" customHeight="1">
      <c r="B70" s="1487" t="str">
        <f>ProcessEnergy!B16</f>
        <v>Methanol</v>
      </c>
      <c r="C70" s="1469"/>
      <c r="D70" s="105"/>
      <c r="E70" s="105"/>
      <c r="F70" s="105"/>
      <c r="G70" s="105"/>
      <c r="H70" s="105"/>
      <c r="I70" s="1471"/>
      <c r="J70" s="1488"/>
    </row>
    <row r="71" spans="2:10" s="1240" customFormat="1" ht="12.75" customHeight="1">
      <c r="B71" s="1487" t="str">
        <f>ProcessEnergy!B17</f>
        <v>&lt;empty&gt;</v>
      </c>
      <c r="C71" s="1469"/>
      <c r="D71" s="105"/>
      <c r="E71" s="105"/>
      <c r="F71" s="105"/>
      <c r="G71" s="105"/>
      <c r="H71" s="105"/>
      <c r="I71" s="1471"/>
      <c r="J71" s="1488"/>
    </row>
    <row r="72" spans="2:10" s="1240" customFormat="1" ht="12.75" customHeight="1">
      <c r="B72" s="1487" t="str">
        <f>ProcessEnergy!B18</f>
        <v>&lt;empty&gt;</v>
      </c>
      <c r="C72" s="1469"/>
      <c r="D72" s="105"/>
      <c r="E72" s="105"/>
      <c r="F72" s="105"/>
      <c r="G72" s="105"/>
      <c r="H72" s="105"/>
      <c r="I72" s="1471"/>
      <c r="J72" s="1488"/>
    </row>
    <row r="73" spans="2:10" s="1240" customFormat="1" ht="12.75" customHeight="1">
      <c r="B73" s="1487" t="str">
        <f>ProcessEnergy!B19</f>
        <v>&lt;empty&gt;</v>
      </c>
      <c r="C73" s="1469"/>
      <c r="D73" s="105"/>
      <c r="E73" s="105"/>
      <c r="F73" s="105"/>
      <c r="G73" s="105"/>
      <c r="H73" s="105"/>
      <c r="I73" s="1471"/>
      <c r="J73" s="1488"/>
    </row>
    <row r="74" spans="2:10" s="1240" customFormat="1" ht="12.75" customHeight="1">
      <c r="B74" s="1487" t="str">
        <f>ProcessEnergy!B20</f>
        <v>&lt;empty&gt;</v>
      </c>
      <c r="C74" s="1469"/>
      <c r="D74" s="105"/>
      <c r="E74" s="105"/>
      <c r="F74" s="105"/>
      <c r="G74" s="105"/>
      <c r="H74" s="105"/>
      <c r="I74" s="1471"/>
      <c r="J74" s="1488"/>
    </row>
    <row r="75" spans="2:10" s="1240" customFormat="1" ht="12.75" customHeight="1">
      <c r="B75" s="1487" t="str">
        <f>ProcessEnergy!B21</f>
        <v>&lt;empty&gt;</v>
      </c>
      <c r="C75" s="1469"/>
      <c r="D75" s="105"/>
      <c r="E75" s="105"/>
      <c r="F75" s="105"/>
      <c r="G75" s="105"/>
      <c r="H75" s="105"/>
      <c r="I75" s="1471"/>
      <c r="J75" s="1488"/>
    </row>
    <row r="76" spans="2:10" s="1240" customFormat="1" ht="12.75" customHeight="1">
      <c r="B76" s="1487" t="str">
        <f>ProcessEnergy!B22</f>
        <v>&lt;empty&gt;</v>
      </c>
      <c r="C76" s="1469"/>
      <c r="D76" s="105"/>
      <c r="E76" s="105"/>
      <c r="F76" s="105"/>
      <c r="G76" s="105"/>
      <c r="H76" s="105"/>
      <c r="I76" s="1471"/>
      <c r="J76" s="1488"/>
    </row>
    <row r="77" spans="2:10" s="1240" customFormat="1" ht="12.75" customHeight="1">
      <c r="B77" s="1487" t="str">
        <f>ProcessEnergy!B23</f>
        <v>&lt;empty&gt;</v>
      </c>
      <c r="C77" s="1469"/>
      <c r="D77" s="105"/>
      <c r="E77" s="105"/>
      <c r="F77" s="105"/>
      <c r="G77" s="105"/>
      <c r="H77" s="105"/>
      <c r="I77" s="1471"/>
      <c r="J77" s="1488"/>
    </row>
    <row r="78" spans="2:10" ht="12.75" customHeight="1">
      <c r="B78" s="230" t="str">
        <f>ProcessEnergy!B24</f>
        <v>&lt;empty&gt;</v>
      </c>
      <c r="C78" s="564" t="s">
        <v>725</v>
      </c>
      <c r="D78" s="105"/>
      <c r="E78" s="105"/>
      <c r="F78" s="105"/>
      <c r="G78" s="105"/>
      <c r="H78" s="105"/>
      <c r="I78" s="455"/>
      <c r="J78" s="229"/>
    </row>
    <row r="79" spans="2:10" ht="12.75" customHeight="1">
      <c r="B79" s="247"/>
      <c r="C79" s="210"/>
      <c r="D79" s="106"/>
      <c r="E79" s="106"/>
      <c r="F79" s="106"/>
      <c r="G79" s="106"/>
      <c r="H79" s="106"/>
      <c r="I79" s="455"/>
      <c r="J79" s="229"/>
    </row>
    <row r="80" spans="2:10" s="1240" customFormat="1" ht="12.75" customHeight="1">
      <c r="B80" s="247"/>
      <c r="C80" s="1469"/>
      <c r="D80" s="106"/>
      <c r="E80" s="106"/>
      <c r="F80" s="106"/>
      <c r="G80" s="106"/>
      <c r="H80" s="106"/>
      <c r="I80" s="1471"/>
      <c r="J80" s="1488"/>
    </row>
    <row r="81" spans="1:17" s="1240" customFormat="1" ht="12.75" customHeight="1">
      <c r="B81" s="247"/>
      <c r="C81" s="1469"/>
      <c r="D81" s="106"/>
      <c r="E81" s="106"/>
      <c r="F81" s="106"/>
      <c r="G81" s="106"/>
      <c r="H81" s="106"/>
      <c r="I81" s="1471"/>
      <c r="J81" s="1488"/>
    </row>
    <row r="82" spans="1:17" ht="12.75" customHeight="1">
      <c r="B82" s="216" t="s">
        <v>152</v>
      </c>
      <c r="C82" s="210"/>
      <c r="D82" s="106"/>
      <c r="E82" s="106"/>
      <c r="F82" s="106"/>
      <c r="G82" s="106"/>
      <c r="H82" s="106"/>
      <c r="I82" s="455"/>
      <c r="J82" s="229"/>
    </row>
    <row r="83" spans="1:17" ht="12.75" customHeight="1">
      <c r="A83" s="523">
        <v>4</v>
      </c>
      <c r="B83" s="247" t="s">
        <v>462</v>
      </c>
      <c r="C83" s="210" t="s">
        <v>725</v>
      </c>
      <c r="D83" s="295">
        <f>D32</f>
        <v>1</v>
      </c>
      <c r="E83" s="295">
        <f>E32</f>
        <v>1</v>
      </c>
      <c r="F83" s="295">
        <f>F32</f>
        <v>1</v>
      </c>
      <c r="G83" s="295">
        <f>G32</f>
        <v>1</v>
      </c>
      <c r="H83" s="295"/>
      <c r="I83" s="1335"/>
      <c r="J83" s="229"/>
    </row>
    <row r="84" spans="1:17" ht="12.75" customHeight="1">
      <c r="B84" s="247" t="s">
        <v>153</v>
      </c>
      <c r="C84" s="210" t="s">
        <v>725</v>
      </c>
      <c r="D84" s="105"/>
      <c r="E84" s="105"/>
      <c r="F84" s="105"/>
      <c r="G84" s="105"/>
      <c r="H84" s="105"/>
      <c r="I84" s="455"/>
      <c r="J84" s="229"/>
    </row>
    <row r="85" spans="1:17" ht="12.75" customHeight="1">
      <c r="B85" s="247" t="s">
        <v>154</v>
      </c>
      <c r="C85" s="210" t="s">
        <v>725</v>
      </c>
      <c r="D85" s="105"/>
      <c r="E85" s="105"/>
      <c r="F85" s="105"/>
      <c r="G85" s="105"/>
      <c r="H85" s="105"/>
      <c r="I85" s="455"/>
      <c r="J85" s="229"/>
    </row>
    <row r="86" spans="1:17" ht="12.75" customHeight="1">
      <c r="B86" s="310" t="s">
        <v>1240</v>
      </c>
      <c r="C86" s="210" t="s">
        <v>725</v>
      </c>
      <c r="D86" s="237">
        <f>D32*D31</f>
        <v>0.95</v>
      </c>
      <c r="E86" s="237">
        <f>E32*E31</f>
        <v>0.95</v>
      </c>
      <c r="F86" s="237">
        <f>F32*F31</f>
        <v>0.95</v>
      </c>
      <c r="G86" s="237">
        <f>G32*G31</f>
        <v>0.95</v>
      </c>
      <c r="H86" s="237"/>
      <c r="I86" s="455"/>
      <c r="J86" s="229"/>
    </row>
    <row r="87" spans="1:17" ht="12.75" customHeight="1">
      <c r="B87" s="108" t="s">
        <v>155</v>
      </c>
      <c r="C87" s="210" t="s">
        <v>725</v>
      </c>
      <c r="D87" s="109">
        <f>D83+D84-D85-D86</f>
        <v>5.0000000000000044E-2</v>
      </c>
      <c r="E87" s="109">
        <f>E83+E84-E85-E86</f>
        <v>5.0000000000000044E-2</v>
      </c>
      <c r="F87" s="109">
        <f>F83+F84-F85-F86</f>
        <v>5.0000000000000044E-2</v>
      </c>
      <c r="G87" s="109">
        <f>G83+G84-G85-G86</f>
        <v>5.0000000000000044E-2</v>
      </c>
      <c r="H87" s="109"/>
      <c r="I87" s="455"/>
      <c r="J87" s="229"/>
    </row>
    <row r="88" spans="1:17" ht="12.75" customHeight="1">
      <c r="B88" s="232" t="s">
        <v>2013</v>
      </c>
      <c r="C88" s="233" t="s">
        <v>726</v>
      </c>
      <c r="D88" s="462">
        <f>(D86+D85)/(D83+D84)</f>
        <v>0.95</v>
      </c>
      <c r="E88" s="462">
        <f>(E86+E85)/(E83+E84)</f>
        <v>0.95</v>
      </c>
      <c r="F88" s="462">
        <f>(F86+F85)/(F83+F84)</f>
        <v>0.95</v>
      </c>
      <c r="G88" s="462">
        <f>(G86+G85)/(G83+G84)</f>
        <v>0.95</v>
      </c>
      <c r="H88" s="462"/>
      <c r="I88" s="455"/>
      <c r="J88" s="229"/>
    </row>
    <row r="89" spans="1:17" ht="12.75" customHeight="1">
      <c r="B89" s="247"/>
      <c r="C89" s="210"/>
      <c r="D89" s="213"/>
      <c r="E89" s="213"/>
      <c r="F89" s="213"/>
      <c r="G89" s="213"/>
      <c r="H89" s="213"/>
      <c r="I89" s="455"/>
      <c r="J89" s="229"/>
      <c r="N89" s="234"/>
    </row>
    <row r="90" spans="1:17" ht="12.75" customHeight="1">
      <c r="B90" s="216" t="s">
        <v>33</v>
      </c>
      <c r="C90" s="210"/>
      <c r="D90" s="213"/>
      <c r="E90" s="213"/>
      <c r="F90" s="213"/>
      <c r="G90" s="213"/>
      <c r="H90" s="213"/>
      <c r="I90" s="455"/>
      <c r="J90" s="229"/>
      <c r="N90" s="110"/>
      <c r="O90" s="110"/>
      <c r="P90" s="110"/>
      <c r="Q90" s="110"/>
    </row>
    <row r="91" spans="1:17" s="530" customFormat="1">
      <c r="B91" s="964" t="s">
        <v>157</v>
      </c>
      <c r="C91" s="976" t="s">
        <v>61</v>
      </c>
      <c r="D91" s="992">
        <f>HLOOKUP($H99,Supplementary!$C$44:$AF$46,3,FALSE)*D99</f>
        <v>0</v>
      </c>
      <c r="E91" s="555">
        <f>HLOOKUP($H99,Supplementary!$C$44:$AF$46,3,FALSE)*E99</f>
        <v>0</v>
      </c>
      <c r="F91" s="555">
        <f>HLOOKUP($H99,Supplementary!$C$44:$AF$46,3,FALSE)*F99</f>
        <v>0</v>
      </c>
      <c r="G91" s="555">
        <f>HLOOKUP($H99,Supplementary!$C$44:$AF$46,3,FALSE)*G99</f>
        <v>0</v>
      </c>
      <c r="H91" s="555">
        <f t="shared" ref="H91:H97" si="0">priceYear</f>
        <v>2015</v>
      </c>
      <c r="I91" s="555"/>
      <c r="J91" s="965"/>
      <c r="N91" s="991"/>
      <c r="O91" s="991"/>
      <c r="P91" s="991"/>
      <c r="Q91" s="991"/>
    </row>
    <row r="92" spans="1:17" s="530" customFormat="1">
      <c r="B92" s="964" t="s">
        <v>160</v>
      </c>
      <c r="C92" s="976" t="s">
        <v>464</v>
      </c>
      <c r="D92" s="992">
        <f>HLOOKUP($H100,Supplementary!$C$44:$AF$46,3,FALSE)*D100</f>
        <v>408.61697906495868</v>
      </c>
      <c r="E92" s="555">
        <f>HLOOKUP($H100,Supplementary!$C$44:$AF$46,3,FALSE)*E100</f>
        <v>408.61697906495868</v>
      </c>
      <c r="F92" s="555">
        <f>HLOOKUP($H100,Supplementary!$C$44:$AF$46,3,FALSE)*F100</f>
        <v>408.61697906495868</v>
      </c>
      <c r="G92" s="555">
        <f>HLOOKUP($H100,Supplementary!$C$44:$AF$46,3,FALSE)*G100</f>
        <v>408.61697906495868</v>
      </c>
      <c r="H92" s="555">
        <f t="shared" si="0"/>
        <v>2015</v>
      </c>
      <c r="I92" s="555"/>
      <c r="J92" s="965"/>
      <c r="N92" s="991"/>
      <c r="O92" s="991"/>
      <c r="P92" s="991"/>
      <c r="Q92" s="991"/>
    </row>
    <row r="93" spans="1:17" s="530" customFormat="1">
      <c r="B93" s="995" t="s">
        <v>162</v>
      </c>
      <c r="C93" s="976" t="s">
        <v>464</v>
      </c>
      <c r="D93" s="992">
        <f>HLOOKUP($H101,Supplementary!$C$44:$AF$46,3,FALSE)*D101</f>
        <v>380.6899193446917</v>
      </c>
      <c r="E93" s="555">
        <f>HLOOKUP($H101,Supplementary!$C$44:$AF$46,3,FALSE)*E101</f>
        <v>380.6899193446917</v>
      </c>
      <c r="F93" s="555">
        <f>HLOOKUP($H101,Supplementary!$C$44:$AF$46,3,FALSE)*F101</f>
        <v>380.6899193446917</v>
      </c>
      <c r="G93" s="555">
        <f>HLOOKUP($H101,Supplementary!$C$44:$AF$46,3,FALSE)*G101</f>
        <v>380.6899193446917</v>
      </c>
      <c r="H93" s="555">
        <f t="shared" si="0"/>
        <v>2015</v>
      </c>
      <c r="I93" s="555"/>
      <c r="J93" s="965"/>
      <c r="N93" s="991"/>
      <c r="O93" s="991"/>
      <c r="P93" s="991"/>
      <c r="Q93" s="991"/>
    </row>
    <row r="94" spans="1:17" s="530" customFormat="1">
      <c r="B94" s="995" t="s">
        <v>163</v>
      </c>
      <c r="C94" s="976" t="s">
        <v>464</v>
      </c>
      <c r="D94" s="992">
        <f>HLOOKUP($H102,Supplementary!$C$44:$AF$46,3,FALSE)*D102</f>
        <v>27.927059720266961</v>
      </c>
      <c r="E94" s="555">
        <f>HLOOKUP($H102,Supplementary!$C$44:$AF$46,3,FALSE)*E102</f>
        <v>27.927059720266961</v>
      </c>
      <c r="F94" s="555">
        <f>HLOOKUP($H102,Supplementary!$C$44:$AF$46,3,FALSE)*F102</f>
        <v>27.927059720266961</v>
      </c>
      <c r="G94" s="555">
        <f>HLOOKUP($H102,Supplementary!$C$44:$AF$46,3,FALSE)*G102</f>
        <v>27.927059720266961</v>
      </c>
      <c r="H94" s="555">
        <f t="shared" si="0"/>
        <v>2015</v>
      </c>
      <c r="I94" s="555"/>
      <c r="J94" s="965"/>
      <c r="N94" s="991"/>
      <c r="O94" s="991"/>
      <c r="P94" s="991"/>
      <c r="Q94" s="991"/>
    </row>
    <row r="95" spans="1:17" s="530" customFormat="1">
      <c r="B95" s="995" t="s">
        <v>164</v>
      </c>
      <c r="C95" s="976" t="s">
        <v>464</v>
      </c>
      <c r="D95" s="992">
        <f>HLOOKUP($H103,Supplementary!$C$44:$AF$46,3,FALSE)*D103</f>
        <v>0</v>
      </c>
      <c r="E95" s="555">
        <f>HLOOKUP($H103,Supplementary!$C$44:$AF$46,3,FALSE)*E103</f>
        <v>0</v>
      </c>
      <c r="F95" s="555">
        <f>HLOOKUP($H103,Supplementary!$C$44:$AF$46,3,FALSE)*F103</f>
        <v>0</v>
      </c>
      <c r="G95" s="555">
        <f>HLOOKUP($H103,Supplementary!$C$44:$AF$46,3,FALSE)*G103</f>
        <v>0</v>
      </c>
      <c r="H95" s="555">
        <f t="shared" si="0"/>
        <v>2015</v>
      </c>
      <c r="I95" s="555"/>
      <c r="J95" s="965"/>
      <c r="N95" s="991"/>
      <c r="O95" s="991"/>
      <c r="P95" s="991"/>
      <c r="Q95" s="991"/>
    </row>
    <row r="96" spans="1:17" s="530" customFormat="1">
      <c r="B96" s="995" t="s">
        <v>264</v>
      </c>
      <c r="C96" s="976" t="s">
        <v>464</v>
      </c>
      <c r="D96" s="992">
        <f>HLOOKUP($H104,Supplementary!$C$44:$AF$46,3,FALSE)*D104</f>
        <v>0</v>
      </c>
      <c r="E96" s="555">
        <f>HLOOKUP($H104,Supplementary!$C$44:$AF$46,3,FALSE)*E104</f>
        <v>0</v>
      </c>
      <c r="F96" s="555">
        <f>HLOOKUP($H104,Supplementary!$C$44:$AF$46,3,FALSE)*F104</f>
        <v>0</v>
      </c>
      <c r="G96" s="555">
        <f>HLOOKUP($H104,Supplementary!$C$44:$AF$46,3,FALSE)*G104</f>
        <v>0</v>
      </c>
      <c r="H96" s="555">
        <f t="shared" si="0"/>
        <v>2015</v>
      </c>
      <c r="I96" s="555"/>
      <c r="J96" s="965"/>
      <c r="N96" s="991"/>
      <c r="O96" s="991"/>
      <c r="P96" s="991"/>
      <c r="Q96" s="991"/>
    </row>
    <row r="97" spans="1:17" s="530" customFormat="1">
      <c r="B97" s="995" t="s">
        <v>165</v>
      </c>
      <c r="C97" s="976" t="s">
        <v>464</v>
      </c>
      <c r="D97" s="992">
        <f>HLOOKUP($H105,Supplementary!$C$44:$AF$46,3,FALSE)*D105</f>
        <v>0</v>
      </c>
      <c r="E97" s="555">
        <f>HLOOKUP($H105,Supplementary!$C$44:$AF$46,3,FALSE)*E105</f>
        <v>0</v>
      </c>
      <c r="F97" s="555">
        <f>HLOOKUP($H105,Supplementary!$C$44:$AF$46,3,FALSE)*F105</f>
        <v>0</v>
      </c>
      <c r="G97" s="555">
        <f>HLOOKUP($H105,Supplementary!$C$44:$AF$46,3,FALSE)*G105</f>
        <v>0</v>
      </c>
      <c r="H97" s="555">
        <f t="shared" si="0"/>
        <v>2015</v>
      </c>
      <c r="I97" s="555"/>
      <c r="J97" s="965"/>
      <c r="N97" s="991"/>
      <c r="O97" s="991"/>
      <c r="P97" s="991"/>
      <c r="Q97" s="991"/>
    </row>
    <row r="98" spans="1:17" s="530" customFormat="1">
      <c r="B98" s="975"/>
      <c r="C98" s="976"/>
      <c r="D98" s="992"/>
      <c r="E98" s="983"/>
      <c r="F98" s="983"/>
      <c r="G98" s="983"/>
      <c r="H98" s="983"/>
      <c r="I98" s="555"/>
      <c r="J98" s="965"/>
      <c r="N98" s="991"/>
      <c r="O98" s="991"/>
      <c r="P98" s="991"/>
      <c r="Q98" s="991"/>
    </row>
    <row r="99" spans="1:17" ht="12.75" customHeight="1">
      <c r="B99" s="247" t="s">
        <v>157</v>
      </c>
      <c r="C99" s="210" t="s">
        <v>61</v>
      </c>
      <c r="D99" s="115"/>
      <c r="E99" s="115"/>
      <c r="F99" s="115"/>
      <c r="G99" s="115"/>
      <c r="H99" s="1668">
        <v>2011</v>
      </c>
      <c r="I99" s="455"/>
      <c r="J99" s="229"/>
      <c r="N99" s="110"/>
      <c r="O99" s="110"/>
      <c r="P99" s="110"/>
      <c r="Q99" s="110"/>
    </row>
    <row r="100" spans="1:17" ht="12.75" customHeight="1">
      <c r="B100" s="230" t="s">
        <v>160</v>
      </c>
      <c r="C100" s="210" t="s">
        <v>464</v>
      </c>
      <c r="D100" s="166">
        <f>+SUM(D101:D105)</f>
        <v>383.87185860259598</v>
      </c>
      <c r="E100" s="166">
        <f>+SUM(E101:E105)</f>
        <v>383.87185860259598</v>
      </c>
      <c r="F100" s="166">
        <f>+SUM(F101:F105)</f>
        <v>383.87185860259598</v>
      </c>
      <c r="G100" s="166">
        <f>+SUM(G101:G105)</f>
        <v>383.87185860259598</v>
      </c>
      <c r="H100" s="1668">
        <v>2011</v>
      </c>
      <c r="I100" s="235"/>
      <c r="J100" s="229"/>
      <c r="N100" s="110"/>
      <c r="O100" s="110"/>
      <c r="P100" s="110"/>
      <c r="Q100" s="110"/>
    </row>
    <row r="101" spans="1:17" ht="12.75" customHeight="1">
      <c r="B101" s="236" t="s">
        <v>162</v>
      </c>
      <c r="C101" s="210" t="s">
        <v>464</v>
      </c>
      <c r="D101" s="1591">
        <f t="shared" ref="D101:G102" si="1">D128*1000000/(D$33*D$34)</f>
        <v>357.6360121513394</v>
      </c>
      <c r="E101" s="1591">
        <f t="shared" si="1"/>
        <v>357.6360121513394</v>
      </c>
      <c r="F101" s="1591">
        <f t="shared" si="1"/>
        <v>357.6360121513394</v>
      </c>
      <c r="G101" s="1591">
        <f t="shared" si="1"/>
        <v>357.6360121513394</v>
      </c>
      <c r="H101" s="1668">
        <v>2011</v>
      </c>
      <c r="I101" s="235"/>
      <c r="J101" s="229"/>
      <c r="N101" s="110"/>
      <c r="O101" s="110"/>
      <c r="P101" s="110"/>
      <c r="Q101" s="110"/>
    </row>
    <row r="102" spans="1:17" ht="12.75" customHeight="1">
      <c r="B102" s="236" t="s">
        <v>163</v>
      </c>
      <c r="C102" s="210" t="s">
        <v>464</v>
      </c>
      <c r="D102" s="1591">
        <f t="shared" si="1"/>
        <v>26.23584645125656</v>
      </c>
      <c r="E102" s="1591">
        <f t="shared" si="1"/>
        <v>26.23584645125656</v>
      </c>
      <c r="F102" s="1591">
        <f t="shared" si="1"/>
        <v>26.23584645125656</v>
      </c>
      <c r="G102" s="1591">
        <f t="shared" si="1"/>
        <v>26.23584645125656</v>
      </c>
      <c r="H102" s="1668">
        <v>2011</v>
      </c>
      <c r="I102" s="455"/>
      <c r="J102" s="229"/>
      <c r="N102" s="110"/>
      <c r="O102" s="110"/>
      <c r="P102" s="110"/>
      <c r="Q102" s="110"/>
    </row>
    <row r="103" spans="1:17" ht="12.75" customHeight="1">
      <c r="A103" s="523">
        <v>6</v>
      </c>
      <c r="B103" s="236" t="s">
        <v>164</v>
      </c>
      <c r="C103" s="210" t="s">
        <v>464</v>
      </c>
      <c r="D103" s="460"/>
      <c r="E103" s="460"/>
      <c r="F103" s="460"/>
      <c r="G103" s="460"/>
      <c r="H103" s="1668">
        <v>2011</v>
      </c>
      <c r="I103" s="455"/>
      <c r="J103" s="229"/>
      <c r="N103" s="110"/>
      <c r="O103" s="110"/>
      <c r="P103" s="110"/>
      <c r="Q103" s="110"/>
    </row>
    <row r="104" spans="1:17" ht="12.75" customHeight="1">
      <c r="B104" s="236" t="s">
        <v>264</v>
      </c>
      <c r="C104" s="210" t="s">
        <v>464</v>
      </c>
      <c r="D104" s="460"/>
      <c r="E104" s="460"/>
      <c r="F104" s="460"/>
      <c r="G104" s="460"/>
      <c r="H104" s="1668">
        <v>2011</v>
      </c>
      <c r="I104" s="455"/>
      <c r="J104" s="229"/>
      <c r="N104" s="110"/>
      <c r="O104" s="110"/>
      <c r="P104" s="110"/>
      <c r="Q104" s="110"/>
    </row>
    <row r="105" spans="1:17" ht="12.75" customHeight="1">
      <c r="B105" s="236" t="s">
        <v>165</v>
      </c>
      <c r="C105" s="210" t="s">
        <v>464</v>
      </c>
      <c r="D105" s="460"/>
      <c r="E105" s="460"/>
      <c r="F105" s="460"/>
      <c r="G105" s="460"/>
      <c r="H105" s="1668">
        <v>2011</v>
      </c>
      <c r="I105" s="455"/>
      <c r="J105" s="229"/>
      <c r="N105" s="110"/>
      <c r="O105" s="110"/>
      <c r="P105" s="110"/>
      <c r="Q105" s="110"/>
    </row>
    <row r="106" spans="1:17" ht="12.75" customHeight="1">
      <c r="B106" s="236"/>
      <c r="C106" s="210"/>
      <c r="D106" s="213"/>
      <c r="E106" s="213"/>
      <c r="F106" s="213"/>
      <c r="G106" s="213"/>
      <c r="I106" s="235"/>
      <c r="J106" s="229"/>
      <c r="N106" s="110"/>
      <c r="O106" s="110"/>
      <c r="P106" s="110"/>
      <c r="Q106" s="110"/>
    </row>
    <row r="107" spans="1:17" ht="12.75" customHeight="1">
      <c r="B107" s="236"/>
      <c r="C107" s="210"/>
      <c r="D107" s="213"/>
      <c r="E107" s="213"/>
      <c r="F107" s="213"/>
      <c r="G107" s="213"/>
      <c r="I107" s="235"/>
      <c r="J107" s="229"/>
      <c r="N107" s="110"/>
      <c r="O107" s="110"/>
      <c r="P107" s="110"/>
      <c r="Q107" s="110"/>
    </row>
    <row r="108" spans="1:17" ht="12.75" customHeight="1">
      <c r="B108" s="236"/>
      <c r="C108" s="210"/>
      <c r="D108" s="213"/>
      <c r="E108" s="213"/>
      <c r="F108" s="213"/>
      <c r="G108" s="213"/>
      <c r="I108" s="235"/>
      <c r="J108" s="229"/>
      <c r="N108" s="110"/>
      <c r="O108" s="110"/>
      <c r="P108" s="110"/>
      <c r="Q108" s="110"/>
    </row>
    <row r="109" spans="1:17" ht="12.75" customHeight="1">
      <c r="B109" s="236"/>
      <c r="C109" s="210"/>
      <c r="D109" s="213"/>
      <c r="E109" s="213"/>
      <c r="F109" s="213"/>
      <c r="G109" s="213"/>
      <c r="I109" s="235"/>
      <c r="J109" s="229"/>
      <c r="N109" s="110"/>
      <c r="O109" s="110"/>
      <c r="P109" s="110"/>
      <c r="Q109" s="110"/>
    </row>
    <row r="110" spans="1:17" ht="12.75" customHeight="1">
      <c r="B110" s="236"/>
      <c r="C110" s="210"/>
      <c r="D110" s="213"/>
      <c r="E110" s="213"/>
      <c r="F110" s="213"/>
      <c r="G110" s="213"/>
      <c r="I110" s="235"/>
      <c r="J110" s="229"/>
      <c r="N110" s="110"/>
      <c r="O110" s="110"/>
      <c r="P110" s="110"/>
      <c r="Q110" s="110"/>
    </row>
    <row r="111" spans="1:17" ht="12.75" customHeight="1">
      <c r="B111" s="236"/>
      <c r="C111" s="210"/>
      <c r="D111" s="213"/>
      <c r="E111" s="213"/>
      <c r="F111" s="213"/>
      <c r="G111" s="213"/>
      <c r="I111" s="235"/>
      <c r="J111" s="229"/>
      <c r="N111" s="110"/>
      <c r="O111" s="110"/>
      <c r="P111" s="110"/>
      <c r="Q111" s="110"/>
    </row>
    <row r="112" spans="1:17" ht="12.75" customHeight="1">
      <c r="B112" s="236"/>
      <c r="C112" s="210"/>
      <c r="D112" s="213"/>
      <c r="E112" s="213"/>
      <c r="F112" s="213"/>
      <c r="G112" s="213"/>
      <c r="I112" s="235"/>
      <c r="J112" s="229"/>
      <c r="N112" s="110"/>
      <c r="O112" s="110"/>
      <c r="P112" s="110"/>
      <c r="Q112" s="110"/>
    </row>
    <row r="113" spans="2:17" ht="12.75" customHeight="1">
      <c r="B113" s="236"/>
      <c r="C113" s="210"/>
      <c r="D113" s="213"/>
      <c r="E113" s="213"/>
      <c r="F113" s="213"/>
      <c r="G113" s="213"/>
      <c r="I113" s="235"/>
      <c r="J113" s="229"/>
      <c r="N113" s="110"/>
      <c r="O113" s="110"/>
      <c r="P113" s="110"/>
      <c r="Q113" s="110"/>
    </row>
    <row r="114" spans="2:17" ht="12.75" customHeight="1">
      <c r="B114" s="236"/>
      <c r="C114" s="210"/>
      <c r="D114" s="213"/>
      <c r="E114" s="213"/>
      <c r="F114" s="213"/>
      <c r="G114" s="213"/>
      <c r="I114" s="235"/>
      <c r="J114" s="229"/>
      <c r="N114" s="110"/>
      <c r="O114" s="110"/>
      <c r="P114" s="110"/>
      <c r="Q114" s="110"/>
    </row>
    <row r="115" spans="2:17" ht="12.75" customHeight="1">
      <c r="B115" s="216" t="s">
        <v>166</v>
      </c>
      <c r="C115" s="210"/>
      <c r="D115" s="213"/>
      <c r="E115" s="213"/>
      <c r="F115" s="213"/>
      <c r="G115" s="213"/>
      <c r="I115" s="235"/>
      <c r="J115" s="229"/>
      <c r="N115" s="112"/>
      <c r="O115" s="112"/>
      <c r="P115" s="112"/>
      <c r="Q115" s="110"/>
    </row>
    <row r="116" spans="2:17" ht="12.75" customHeight="1">
      <c r="B116" s="230" t="s">
        <v>24</v>
      </c>
      <c r="C116" s="210" t="s">
        <v>465</v>
      </c>
      <c r="D116" s="452">
        <v>0</v>
      </c>
      <c r="E116" s="452">
        <v>0</v>
      </c>
      <c r="F116" s="452">
        <v>0</v>
      </c>
      <c r="G116" s="452">
        <v>0</v>
      </c>
      <c r="H116" s="452"/>
      <c r="I116" s="1335" t="s">
        <v>1747</v>
      </c>
      <c r="J116" s="229"/>
      <c r="N116" s="110"/>
      <c r="O116" s="110"/>
      <c r="P116" s="110"/>
      <c r="Q116" s="110"/>
    </row>
    <row r="117" spans="2:17" ht="12.75" customHeight="1">
      <c r="B117" s="230" t="s">
        <v>27</v>
      </c>
      <c r="C117" s="210" t="s">
        <v>465</v>
      </c>
      <c r="D117" s="452">
        <v>0</v>
      </c>
      <c r="E117" s="452">
        <v>0</v>
      </c>
      <c r="F117" s="452">
        <v>0</v>
      </c>
      <c r="G117" s="452">
        <v>0</v>
      </c>
      <c r="H117" s="452"/>
      <c r="I117" s="1335" t="s">
        <v>1747</v>
      </c>
      <c r="J117" s="229"/>
      <c r="N117" s="110"/>
      <c r="O117" s="110"/>
      <c r="P117" s="110"/>
      <c r="Q117" s="110"/>
    </row>
    <row r="118" spans="2:17" ht="12.75" customHeight="1">
      <c r="B118" s="230" t="s">
        <v>28</v>
      </c>
      <c r="C118" s="210" t="s">
        <v>465</v>
      </c>
      <c r="D118" s="452">
        <v>0</v>
      </c>
      <c r="E118" s="452">
        <v>0</v>
      </c>
      <c r="F118" s="452">
        <v>0</v>
      </c>
      <c r="G118" s="452">
        <v>0</v>
      </c>
      <c r="H118" s="452"/>
      <c r="I118" s="1335" t="s">
        <v>1747</v>
      </c>
      <c r="J118" s="229"/>
      <c r="N118" s="110"/>
      <c r="O118" s="110"/>
      <c r="P118" s="110"/>
      <c r="Q118" s="110"/>
    </row>
    <row r="119" spans="2:17" ht="12.75" customHeight="1">
      <c r="B119" s="230" t="s">
        <v>26</v>
      </c>
      <c r="C119" s="210" t="s">
        <v>465</v>
      </c>
      <c r="D119" s="452">
        <v>0</v>
      </c>
      <c r="E119" s="452">
        <v>0</v>
      </c>
      <c r="F119" s="452">
        <v>0</v>
      </c>
      <c r="G119" s="452">
        <v>0</v>
      </c>
      <c r="H119" s="452"/>
      <c r="I119" s="1335" t="s">
        <v>1747</v>
      </c>
      <c r="J119" s="229"/>
      <c r="N119" s="110"/>
      <c r="O119" s="110"/>
      <c r="P119" s="110"/>
      <c r="Q119" s="110"/>
    </row>
    <row r="120" spans="2:17" ht="12.75" customHeight="1">
      <c r="B120" s="230" t="s">
        <v>167</v>
      </c>
      <c r="C120" s="210" t="s">
        <v>465</v>
      </c>
      <c r="D120" s="452">
        <v>0</v>
      </c>
      <c r="E120" s="452">
        <v>0</v>
      </c>
      <c r="F120" s="452">
        <v>0</v>
      </c>
      <c r="G120" s="452">
        <v>0</v>
      </c>
      <c r="H120" s="452"/>
      <c r="I120" s="1335" t="s">
        <v>1747</v>
      </c>
      <c r="J120" s="229"/>
      <c r="N120" s="112"/>
      <c r="O120" s="112"/>
      <c r="P120" s="112"/>
      <c r="Q120" s="112"/>
    </row>
    <row r="121" spans="2:17" ht="12.75" customHeight="1">
      <c r="B121" s="230" t="s">
        <v>45</v>
      </c>
      <c r="C121" s="210" t="s">
        <v>465</v>
      </c>
      <c r="D121" s="451"/>
      <c r="E121" s="451"/>
      <c r="F121" s="451"/>
      <c r="G121" s="451"/>
      <c r="H121" s="451"/>
      <c r="I121" s="455"/>
      <c r="J121" s="229"/>
    </row>
    <row r="122" spans="2:17" ht="12.75" customHeight="1" thickBot="1">
      <c r="B122" s="113"/>
      <c r="C122" s="238"/>
      <c r="D122" s="96"/>
      <c r="E122" s="244"/>
      <c r="F122" s="244"/>
      <c r="G122" s="244"/>
      <c r="H122" s="244"/>
      <c r="I122" s="239"/>
      <c r="J122" s="240"/>
    </row>
    <row r="123" spans="2:17" ht="12.75" customHeight="1"/>
    <row r="124" spans="2:17" ht="12.75" customHeight="1"/>
    <row r="125" spans="2:17" ht="12.75" customHeight="1"/>
    <row r="126" spans="2:17" ht="12.75" customHeight="1" thickBot="1"/>
    <row r="127" spans="2:17" ht="12.75" customHeight="1">
      <c r="B127" s="339"/>
      <c r="C127" s="81"/>
      <c r="D127" s="1009">
        <v>2015</v>
      </c>
      <c r="E127" s="1009">
        <v>2020</v>
      </c>
      <c r="F127" s="1009">
        <v>2035</v>
      </c>
      <c r="G127" s="1009">
        <v>2050</v>
      </c>
      <c r="H127" s="80"/>
      <c r="I127" s="80" t="s">
        <v>145</v>
      </c>
      <c r="J127" s="139" t="s">
        <v>146</v>
      </c>
    </row>
    <row r="128" spans="2:17" ht="12.75" customHeight="1">
      <c r="B128" s="310" t="s">
        <v>1992</v>
      </c>
      <c r="C128" s="241" t="s">
        <v>2565</v>
      </c>
      <c r="D128" s="277">
        <v>777</v>
      </c>
      <c r="E128" s="277">
        <v>777</v>
      </c>
      <c r="F128" s="277">
        <v>777</v>
      </c>
      <c r="G128" s="277">
        <v>777</v>
      </c>
      <c r="H128" s="277"/>
      <c r="I128" s="77" t="str">
        <f>Referencer!$B$60</f>
        <v>54, Niras (2011). Strategisk analyse af electrificering af banenettet - Opgave A, strategianalysen. Banedanmark.</v>
      </c>
      <c r="J128" s="208" t="s">
        <v>1989</v>
      </c>
    </row>
    <row r="129" spans="2:10" ht="12.75" customHeight="1">
      <c r="B129" s="310" t="s">
        <v>1993</v>
      </c>
      <c r="C129" s="241" t="s">
        <v>2565</v>
      </c>
      <c r="D129" s="277">
        <v>57</v>
      </c>
      <c r="E129" s="277">
        <v>57</v>
      </c>
      <c r="F129" s="277">
        <v>57</v>
      </c>
      <c r="G129" s="277">
        <v>57</v>
      </c>
      <c r="H129" s="277"/>
      <c r="I129" s="77" t="str">
        <f>Referencer!$B$60</f>
        <v>54, Niras (2011). Strategisk analyse af electrificering af banenettet - Opgave A, strategianalysen. Banedanmark.</v>
      </c>
      <c r="J129" s="208" t="s">
        <v>1989</v>
      </c>
    </row>
    <row r="130" spans="2:10" ht="12.75" customHeight="1">
      <c r="B130" s="310" t="s">
        <v>1988</v>
      </c>
      <c r="C130" s="241" t="s">
        <v>1997</v>
      </c>
      <c r="D130" s="277">
        <v>1.7</v>
      </c>
      <c r="E130" s="277">
        <v>1.7</v>
      </c>
      <c r="F130" s="277">
        <v>1.7</v>
      </c>
      <c r="G130" s="277">
        <v>1.7</v>
      </c>
      <c r="H130" s="277"/>
      <c r="I130" s="77" t="str">
        <f>Referencer!$B$60</f>
        <v>54, Niras (2011). Strategisk analyse af electrificering af banenettet - Opgave A, strategianalysen. Banedanmark.</v>
      </c>
      <c r="J130" s="208" t="s">
        <v>1989</v>
      </c>
    </row>
    <row r="131" spans="2:10" ht="12.75" customHeight="1">
      <c r="B131" s="230" t="s">
        <v>1994</v>
      </c>
      <c r="C131" s="299" t="s">
        <v>267</v>
      </c>
      <c r="D131" s="1237">
        <f>'El IC-reg.tog'!N71*'El IC-reg.tog'!N75</f>
        <v>25.56</v>
      </c>
      <c r="E131" s="1237">
        <f>D131</f>
        <v>25.56</v>
      </c>
      <c r="F131" s="1237">
        <f t="shared" ref="F131:G131" si="2">E131</f>
        <v>25.56</v>
      </c>
      <c r="G131" s="1237">
        <f t="shared" si="2"/>
        <v>25.56</v>
      </c>
      <c r="H131" s="1237"/>
      <c r="I131" s="323"/>
      <c r="J131" s="323" t="s">
        <v>2566</v>
      </c>
    </row>
    <row r="132" spans="2:10" ht="12.75" customHeight="1" thickBot="1">
      <c r="B132" s="337" t="s">
        <v>1995</v>
      </c>
      <c r="C132" s="243" t="s">
        <v>1996</v>
      </c>
      <c r="D132" s="218">
        <f>D130*D131*1000</f>
        <v>43452</v>
      </c>
      <c r="E132" s="218">
        <f>E130*E131*1000</f>
        <v>43452</v>
      </c>
      <c r="F132" s="218">
        <f>F130*F131*1000</f>
        <v>43452</v>
      </c>
      <c r="G132" s="218">
        <f>G130*G131*1000</f>
        <v>43452</v>
      </c>
      <c r="H132" s="218"/>
      <c r="I132" s="244"/>
      <c r="J132" s="240"/>
    </row>
    <row r="133" spans="2:10" ht="12.75" customHeight="1"/>
    <row r="134" spans="2:10" ht="12.75" customHeight="1"/>
    <row r="135" spans="2:10" ht="12.75" customHeight="1"/>
    <row r="136" spans="2:10" ht="12.75" customHeight="1"/>
    <row r="137" spans="2:10" ht="12.75" customHeight="1"/>
    <row r="138" spans="2:10" ht="12.75" customHeight="1"/>
    <row r="139" spans="2:10" ht="12.75" customHeight="1"/>
    <row r="140" spans="2:10" ht="12.75" customHeight="1"/>
    <row r="141" spans="2:10" ht="12.75" customHeight="1"/>
    <row r="142" spans="2:10" ht="12.75" customHeight="1"/>
    <row r="143" spans="2:10" ht="12.75" customHeight="1"/>
    <row r="144" spans="2:10"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sheetData>
  <pageMargins left="0.15748031496062992" right="0.15748031496062992" top="1.25" bottom="0.19685039370078741" header="0.51181102362204722" footer="0.51181102362204722"/>
  <pageSetup paperSize="9" scale="38" orientation="landscape" r:id="rId1"/>
  <headerFooter alignWithMargins="0">
    <oddHeader>&amp;L&amp;"Arial"&amp;14&amp;BBeregningsmodel
&amp;"Arial"&amp;08&amp;B64329, Teknologivurdering af alternative drivmidler til transportsektoren&amp;R&amp;"Arial"&amp;08Page &amp;P of &amp;N</oddHeader>
    <oddFooter>&amp;L&amp;"Arial"&amp;08&amp;Z&amp;F
Sheet: &amp;A&amp;C&amp;"Arial"&amp;08Printed &amp;D &amp;T&amp;R&amp;G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271809" r:id="rId5" name="Button 1">
              <controlPr defaultSize="0" print="0" autoFill="0" autoPict="0" macro="[0]!GtOver">
                <anchor>
                  <from>
                    <xdr:col>6</xdr:col>
                    <xdr:colOff>904875</xdr:colOff>
                    <xdr:row>0</xdr:row>
                    <xdr:rowOff>38100</xdr:rowOff>
                  </from>
                  <to>
                    <xdr:col>7</xdr:col>
                    <xdr:colOff>923925</xdr:colOff>
                    <xdr:row>0</xdr:row>
                    <xdr:rowOff>238125</xdr:rowOff>
                  </to>
                </anchor>
              </controlPr>
            </control>
          </mc:Choice>
        </mc:AlternateContent>
        <mc:AlternateContent xmlns:mc="http://schemas.openxmlformats.org/markup-compatibility/2006">
          <mc:Choice Requires="x14">
            <control shapeId="1271810" r:id="rId6" name="Button 2">
              <controlPr defaultSize="0" print="0" autoFill="0" autoPict="0" macro="[0]!GtRes">
                <anchor>
                  <from>
                    <xdr:col>8</xdr:col>
                    <xdr:colOff>47625</xdr:colOff>
                    <xdr:row>0</xdr:row>
                    <xdr:rowOff>38100</xdr:rowOff>
                  </from>
                  <to>
                    <xdr:col>9</xdr:col>
                    <xdr:colOff>638175</xdr:colOff>
                    <xdr:row>0</xdr:row>
                    <xdr:rowOff>238125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rgb="FF0070C0"/>
    <pageSetUpPr fitToPage="1"/>
  </sheetPr>
  <dimension ref="B1:W333"/>
  <sheetViews>
    <sheetView zoomScale="80" zoomScaleNormal="80" workbookViewId="0">
      <selection activeCell="D29" sqref="D29"/>
    </sheetView>
  </sheetViews>
  <sheetFormatPr defaultColWidth="8.85546875" defaultRowHeight="12.75"/>
  <cols>
    <col min="1" max="1" width="3.28515625" style="469" customWidth="1"/>
    <col min="2" max="2" width="36" style="469" customWidth="1"/>
    <col min="3" max="3" width="16.5703125" style="469" customWidth="1"/>
    <col min="4" max="7" width="15.7109375" style="469" customWidth="1"/>
    <col min="8" max="8" width="15.7109375" style="523" customWidth="1"/>
    <col min="9" max="9" width="9.5703125" style="469" customWidth="1"/>
    <col min="10" max="10" width="12.7109375" style="469" customWidth="1"/>
    <col min="11" max="11" width="11.7109375" style="469" customWidth="1"/>
    <col min="12" max="12" width="12" style="469" customWidth="1"/>
    <col min="13" max="13" width="12" style="469" bestFit="1" customWidth="1"/>
    <col min="14" max="14" width="10.5703125" style="469" customWidth="1"/>
    <col min="15" max="15" width="8.85546875" style="469"/>
    <col min="16" max="16" width="12" style="469" bestFit="1" customWidth="1"/>
    <col min="17" max="17" width="12" style="469" customWidth="1"/>
    <col min="18" max="18" width="14.42578125" style="469" customWidth="1"/>
    <col min="19" max="19" width="8.85546875" style="469"/>
    <col min="20" max="20" width="20.5703125" style="469" customWidth="1"/>
    <col min="21" max="16384" width="8.85546875" style="469"/>
  </cols>
  <sheetData>
    <row r="1" spans="2:18" s="465" customFormat="1" ht="21">
      <c r="B1" s="465" t="s">
        <v>382</v>
      </c>
      <c r="C1" s="466"/>
      <c r="Q1" s="467">
        <f ca="1">'Log2015'!M1</f>
        <v>-8.0112614142160741</v>
      </c>
      <c r="R1" s="468">
        <f ca="1">'Log2015'!N1</f>
        <v>-160807.124977848</v>
      </c>
    </row>
    <row r="2" spans="2:18" ht="12.75" customHeight="1">
      <c r="Q2" s="624">
        <f ca="1">Q1</f>
        <v>-8.0112614142160741</v>
      </c>
      <c r="R2" s="624">
        <f ca="1">R1</f>
        <v>-160807.124977848</v>
      </c>
    </row>
    <row r="3" spans="2:18" ht="12.75" customHeight="1"/>
    <row r="4" spans="2:18" ht="12.75" customHeight="1" thickBot="1">
      <c r="B4" s="470" t="s">
        <v>81</v>
      </c>
      <c r="H4" s="215"/>
    </row>
    <row r="5" spans="2:18" ht="12.75" customHeight="1" thickBot="1">
      <c r="B5" s="472" t="s">
        <v>137</v>
      </c>
      <c r="C5" s="473"/>
      <c r="D5" s="473"/>
      <c r="E5" s="473"/>
      <c r="F5" s="473"/>
      <c r="G5" s="473"/>
      <c r="I5" s="473"/>
      <c r="J5" s="474"/>
      <c r="K5" s="476"/>
      <c r="L5" s="476"/>
      <c r="M5" s="476"/>
      <c r="N5" s="476"/>
      <c r="O5" s="476"/>
      <c r="P5" s="476"/>
    </row>
    <row r="6" spans="2:18" ht="12.75" customHeight="1">
      <c r="B6" s="475" t="s">
        <v>400</v>
      </c>
      <c r="C6" s="476"/>
      <c r="D6" s="476"/>
      <c r="E6" s="476"/>
      <c r="F6" s="476"/>
      <c r="G6" s="476"/>
      <c r="H6" s="245"/>
      <c r="I6" s="476"/>
      <c r="J6" s="477"/>
      <c r="K6" s="476"/>
      <c r="L6" s="476"/>
      <c r="M6" s="476"/>
      <c r="N6" s="476"/>
      <c r="O6" s="476"/>
      <c r="P6" s="476"/>
    </row>
    <row r="7" spans="2:18" ht="12.75" customHeight="1">
      <c r="B7" s="475" t="s">
        <v>401</v>
      </c>
      <c r="C7" s="476"/>
      <c r="D7" s="476"/>
      <c r="E7" s="476"/>
      <c r="F7" s="476"/>
      <c r="G7" s="476"/>
      <c r="H7" s="248"/>
      <c r="I7" s="476"/>
      <c r="J7" s="477"/>
      <c r="K7" s="476"/>
      <c r="L7" s="476"/>
      <c r="M7" s="476"/>
      <c r="N7" s="476"/>
      <c r="O7" s="476"/>
      <c r="P7" s="476"/>
    </row>
    <row r="8" spans="2:18" ht="12.75" customHeight="1">
      <c r="B8" s="475" t="s">
        <v>402</v>
      </c>
      <c r="C8" s="476"/>
      <c r="D8" s="476"/>
      <c r="E8" s="476"/>
      <c r="F8" s="476"/>
      <c r="G8" s="476"/>
      <c r="H8" s="248"/>
      <c r="I8" s="476"/>
      <c r="J8" s="477"/>
      <c r="K8" s="476"/>
      <c r="L8" s="476"/>
      <c r="M8" s="476"/>
      <c r="N8" s="476"/>
      <c r="O8" s="476"/>
      <c r="P8" s="476"/>
    </row>
    <row r="9" spans="2:18" ht="12.75" customHeight="1">
      <c r="B9" s="475" t="s">
        <v>403</v>
      </c>
      <c r="C9" s="476"/>
      <c r="D9" s="476"/>
      <c r="E9" s="476"/>
      <c r="F9" s="476"/>
      <c r="G9" s="476"/>
      <c r="H9" s="248"/>
      <c r="I9" s="476"/>
      <c r="J9" s="477"/>
      <c r="K9" s="476"/>
      <c r="L9" s="476"/>
      <c r="M9" s="476"/>
      <c r="N9" s="476"/>
      <c r="O9" s="476"/>
      <c r="P9" s="476"/>
    </row>
    <row r="10" spans="2:18" ht="12.75" customHeight="1">
      <c r="B10" s="475"/>
      <c r="C10" s="476"/>
      <c r="D10" s="476"/>
      <c r="E10" s="476"/>
      <c r="F10" s="476"/>
      <c r="G10" s="476"/>
      <c r="H10" s="248"/>
      <c r="I10" s="476"/>
      <c r="J10" s="477"/>
      <c r="K10" s="476"/>
      <c r="L10" s="476"/>
      <c r="M10" s="476"/>
      <c r="N10" s="476"/>
      <c r="O10" s="476"/>
      <c r="P10" s="476"/>
    </row>
    <row r="11" spans="2:18" ht="12.75" customHeight="1">
      <c r="B11" s="475" t="s">
        <v>404</v>
      </c>
      <c r="C11" s="476"/>
      <c r="D11" s="476"/>
      <c r="E11" s="476"/>
      <c r="F11" s="476"/>
      <c r="G11" s="476"/>
      <c r="H11" s="248"/>
      <c r="I11" s="476"/>
      <c r="J11" s="477"/>
      <c r="K11" s="476"/>
      <c r="L11" s="476"/>
      <c r="M11" s="476"/>
      <c r="N11" s="476"/>
      <c r="O11" s="476"/>
      <c r="P11" s="476"/>
    </row>
    <row r="12" spans="2:18" ht="12.75" customHeight="1">
      <c r="B12" s="475" t="s">
        <v>138</v>
      </c>
      <c r="C12" s="476"/>
      <c r="D12" s="476"/>
      <c r="E12" s="476"/>
      <c r="F12" s="476"/>
      <c r="G12" s="476"/>
      <c r="H12" s="248"/>
      <c r="I12" s="476"/>
      <c r="J12" s="477"/>
      <c r="K12" s="476"/>
      <c r="L12" s="476"/>
      <c r="M12" s="476"/>
      <c r="N12" s="476"/>
      <c r="O12" s="476"/>
      <c r="P12" s="476"/>
    </row>
    <row r="13" spans="2:18" ht="12.75" customHeight="1">
      <c r="B13" s="475" t="s">
        <v>405</v>
      </c>
      <c r="C13" s="476"/>
      <c r="D13" s="476"/>
      <c r="E13" s="476"/>
      <c r="F13" s="476"/>
      <c r="G13" s="476"/>
      <c r="H13" s="248"/>
      <c r="I13" s="476"/>
      <c r="J13" s="477"/>
      <c r="K13" s="476"/>
      <c r="L13" s="476"/>
      <c r="M13" s="476"/>
      <c r="N13" s="476"/>
      <c r="O13" s="476"/>
      <c r="P13" s="476"/>
    </row>
    <row r="14" spans="2:18" ht="12.75" customHeight="1">
      <c r="B14" s="475" t="s">
        <v>140</v>
      </c>
      <c r="C14" s="476"/>
      <c r="D14" s="476"/>
      <c r="E14" s="476"/>
      <c r="F14" s="476"/>
      <c r="G14" s="476"/>
      <c r="H14" s="248"/>
      <c r="I14" s="476"/>
      <c r="J14" s="477"/>
      <c r="K14" s="476"/>
      <c r="L14" s="476"/>
      <c r="M14" s="476"/>
      <c r="N14" s="476"/>
      <c r="O14" s="476"/>
      <c r="P14" s="476"/>
    </row>
    <row r="15" spans="2:18" ht="12.75" customHeight="1">
      <c r="B15" s="475" t="s">
        <v>406</v>
      </c>
      <c r="C15" s="476"/>
      <c r="D15" s="476"/>
      <c r="E15" s="476"/>
      <c r="F15" s="476"/>
      <c r="G15" s="476"/>
      <c r="H15" s="248"/>
      <c r="I15" s="476"/>
      <c r="J15" s="477"/>
      <c r="K15" s="476"/>
      <c r="L15" s="476"/>
      <c r="M15" s="476"/>
      <c r="N15" s="476"/>
      <c r="O15" s="476"/>
      <c r="P15" s="476"/>
    </row>
    <row r="16" spans="2:18" ht="12.75" customHeight="1">
      <c r="B16" s="475" t="s">
        <v>141</v>
      </c>
      <c r="C16" s="476"/>
      <c r="D16" s="476"/>
      <c r="E16" s="476"/>
      <c r="F16" s="476"/>
      <c r="G16" s="476"/>
      <c r="H16" s="248"/>
      <c r="I16" s="476"/>
      <c r="J16" s="477"/>
      <c r="K16" s="476"/>
      <c r="L16" s="476"/>
      <c r="M16" s="476"/>
      <c r="N16" s="476"/>
      <c r="O16" s="476"/>
      <c r="P16" s="476"/>
    </row>
    <row r="17" spans="2:16" ht="12.75" customHeight="1">
      <c r="B17" s="475"/>
      <c r="C17" s="476"/>
      <c r="D17" s="476"/>
      <c r="E17" s="476"/>
      <c r="F17" s="476"/>
      <c r="G17" s="476"/>
      <c r="H17" s="248"/>
      <c r="I17" s="476"/>
      <c r="J17" s="477"/>
      <c r="K17" s="476"/>
      <c r="L17" s="476"/>
      <c r="M17" s="476"/>
      <c r="N17" s="476"/>
      <c r="O17" s="476"/>
      <c r="P17" s="476"/>
    </row>
    <row r="18" spans="2:16" ht="12.75" customHeight="1">
      <c r="B18" s="475" t="s">
        <v>142</v>
      </c>
      <c r="C18" s="476"/>
      <c r="D18" s="476"/>
      <c r="E18" s="476"/>
      <c r="F18" s="476"/>
      <c r="G18" s="476"/>
      <c r="H18" s="248"/>
      <c r="I18" s="476"/>
      <c r="J18" s="477"/>
      <c r="K18" s="476"/>
      <c r="L18" s="476"/>
      <c r="M18" s="476"/>
      <c r="N18" s="476"/>
      <c r="O18" s="476"/>
      <c r="P18" s="476"/>
    </row>
    <row r="19" spans="2:16" ht="12.75" customHeight="1">
      <c r="B19" s="475"/>
      <c r="C19" s="476"/>
      <c r="D19" s="476"/>
      <c r="E19" s="476"/>
      <c r="F19" s="476"/>
      <c r="G19" s="476"/>
      <c r="H19" s="248"/>
      <c r="I19" s="476"/>
      <c r="J19" s="477"/>
      <c r="K19" s="476"/>
      <c r="L19" s="476"/>
      <c r="M19" s="476"/>
      <c r="N19" s="476"/>
      <c r="O19" s="476"/>
      <c r="P19" s="476"/>
    </row>
    <row r="20" spans="2:16" ht="12.75" customHeight="1">
      <c r="B20" s="475"/>
      <c r="C20" s="476"/>
      <c r="D20" s="476"/>
      <c r="E20" s="476"/>
      <c r="F20" s="476"/>
      <c r="G20" s="476"/>
      <c r="H20" s="248"/>
      <c r="I20" s="476"/>
      <c r="J20" s="477"/>
      <c r="K20" s="476"/>
      <c r="L20" s="476"/>
      <c r="M20" s="476"/>
      <c r="N20" s="476"/>
      <c r="O20" s="476"/>
      <c r="P20" s="476"/>
    </row>
    <row r="21" spans="2:16" ht="12.75" customHeight="1">
      <c r="B21" s="475" t="s">
        <v>143</v>
      </c>
      <c r="C21" s="476"/>
      <c r="D21" s="476"/>
      <c r="E21" s="476"/>
      <c r="F21" s="476"/>
      <c r="G21" s="476"/>
      <c r="H21" s="248"/>
      <c r="I21" s="476"/>
      <c r="J21" s="477"/>
      <c r="K21" s="476"/>
      <c r="L21" s="476"/>
      <c r="M21" s="476"/>
      <c r="N21" s="476"/>
      <c r="O21" s="476"/>
      <c r="P21" s="476"/>
    </row>
    <row r="22" spans="2:16" ht="12.75" customHeight="1">
      <c r="B22" s="475" t="s">
        <v>407</v>
      </c>
      <c r="C22" s="476"/>
      <c r="D22" s="476"/>
      <c r="E22" s="476"/>
      <c r="F22" s="476"/>
      <c r="G22" s="476"/>
      <c r="H22" s="248"/>
      <c r="I22" s="476"/>
      <c r="J22" s="477"/>
      <c r="K22" s="476"/>
      <c r="L22" s="476"/>
      <c r="M22" s="476"/>
      <c r="N22" s="476"/>
      <c r="O22" s="476"/>
      <c r="P22" s="476"/>
    </row>
    <row r="23" spans="2:16" ht="12.75" customHeight="1">
      <c r="B23" s="475" t="s">
        <v>408</v>
      </c>
      <c r="C23" s="476"/>
      <c r="D23" s="476"/>
      <c r="E23" s="476"/>
      <c r="F23" s="476"/>
      <c r="G23" s="476"/>
      <c r="H23" s="248"/>
      <c r="I23" s="476"/>
      <c r="J23" s="477"/>
      <c r="K23" s="476"/>
      <c r="L23" s="476"/>
      <c r="M23" s="476"/>
      <c r="N23" s="476"/>
      <c r="O23" s="476"/>
      <c r="P23" s="476"/>
    </row>
    <row r="24" spans="2:16" ht="12.75" customHeight="1" thickBot="1">
      <c r="B24" s="481"/>
      <c r="C24" s="482"/>
      <c r="D24" s="482"/>
      <c r="E24" s="482"/>
      <c r="F24" s="482"/>
      <c r="G24" s="482"/>
      <c r="H24" s="250"/>
      <c r="I24" s="482"/>
      <c r="J24" s="661"/>
      <c r="K24" s="476"/>
      <c r="L24" s="476"/>
      <c r="M24" s="476"/>
      <c r="N24" s="476"/>
      <c r="O24" s="476"/>
      <c r="P24" s="476"/>
    </row>
    <row r="25" spans="2:16" ht="12.75" customHeight="1">
      <c r="J25" s="629"/>
      <c r="K25" s="476"/>
      <c r="L25" s="476"/>
      <c r="M25" s="476"/>
      <c r="N25" s="476"/>
      <c r="O25" s="476"/>
      <c r="P25" s="476"/>
    </row>
    <row r="26" spans="2:16" ht="12.75" customHeight="1">
      <c r="B26" s="470" t="s">
        <v>144</v>
      </c>
      <c r="E26" s="596"/>
      <c r="H26" s="215"/>
      <c r="K26" s="476"/>
      <c r="L26" s="476"/>
      <c r="M26" s="476"/>
      <c r="N26" s="476"/>
      <c r="O26" s="476"/>
      <c r="P26" s="476"/>
    </row>
    <row r="27" spans="2:16" ht="12.75" customHeight="1" thickBot="1">
      <c r="D27" s="620"/>
      <c r="E27" s="620"/>
      <c r="F27" s="620"/>
      <c r="H27" s="215"/>
    </row>
    <row r="28" spans="2:16" ht="12.75" customHeight="1">
      <c r="B28" s="472"/>
      <c r="C28" s="561"/>
      <c r="D28" s="473"/>
      <c r="E28" s="473"/>
      <c r="F28" s="473"/>
      <c r="G28" s="473"/>
      <c r="H28" s="221"/>
      <c r="I28" s="473"/>
      <c r="J28" s="474"/>
    </row>
    <row r="29" spans="2:16" ht="12.75" customHeight="1">
      <c r="B29" s="484"/>
      <c r="C29" s="563" t="s">
        <v>70</v>
      </c>
      <c r="D29" s="486">
        <v>2015</v>
      </c>
      <c r="E29" s="486">
        <v>2020</v>
      </c>
      <c r="F29" s="486">
        <v>2035</v>
      </c>
      <c r="G29" s="486">
        <v>2050</v>
      </c>
      <c r="H29" s="225" t="s">
        <v>978</v>
      </c>
      <c r="I29" s="485" t="s">
        <v>145</v>
      </c>
      <c r="J29" s="487" t="s">
        <v>146</v>
      </c>
    </row>
    <row r="30" spans="2:16" ht="12.75" customHeight="1">
      <c r="B30" s="656" t="s">
        <v>147</v>
      </c>
      <c r="C30" s="657"/>
      <c r="D30" s="658"/>
      <c r="E30" s="658"/>
      <c r="F30" s="658"/>
      <c r="G30" s="658"/>
      <c r="H30" s="209"/>
      <c r="I30" s="497"/>
      <c r="J30" s="659"/>
    </row>
    <row r="31" spans="2:16" ht="12.75" customHeight="1">
      <c r="B31" s="475" t="s">
        <v>148</v>
      </c>
      <c r="C31" s="564" t="s">
        <v>735</v>
      </c>
      <c r="D31" s="650">
        <f>0.0155/(Supplementary!C50*1000)</f>
        <v>4.3055555555555555E-3</v>
      </c>
      <c r="E31" s="650">
        <f>0.0182/(Supplementary!C50*1000)</f>
        <v>5.0555555555555553E-3</v>
      </c>
      <c r="F31" s="650">
        <f>0.0208/(Supplementary!C50*1000)</f>
        <v>5.7777777777777775E-3</v>
      </c>
      <c r="G31" s="650">
        <f>0.0208/(Supplementary!C50*1000)</f>
        <v>5.7777777777777775E-3</v>
      </c>
      <c r="H31" s="1422"/>
      <c r="I31" s="476" t="str">
        <f>Referencer!B50</f>
        <v>44, Energistyrelsen. Forudsætninger for samfundsøkonomiske analyser på energi-området. Maj 2009</v>
      </c>
      <c r="J31" s="477" t="s">
        <v>366</v>
      </c>
    </row>
    <row r="32" spans="2:16" ht="12.75" customHeight="1">
      <c r="B32" s="475" t="s">
        <v>67</v>
      </c>
      <c r="C32" s="564" t="s">
        <v>409</v>
      </c>
      <c r="D32" s="1420">
        <f>Supplementary!$D$175</f>
        <v>120.1</v>
      </c>
      <c r="E32" s="1420">
        <f>Supplementary!$D$175</f>
        <v>120.1</v>
      </c>
      <c r="F32" s="1420">
        <f>Supplementary!$D$175</f>
        <v>120.1</v>
      </c>
      <c r="G32" s="1420">
        <f>Supplementary!$D$175</f>
        <v>120.1</v>
      </c>
      <c r="H32" s="1422"/>
      <c r="I32" s="476"/>
      <c r="J32" s="477" t="s">
        <v>366</v>
      </c>
    </row>
    <row r="33" spans="2:10" ht="12.75" customHeight="1">
      <c r="B33" s="475" t="s">
        <v>149</v>
      </c>
      <c r="C33" s="564" t="s">
        <v>410</v>
      </c>
      <c r="D33" s="568">
        <v>18</v>
      </c>
      <c r="E33" s="568">
        <v>74</v>
      </c>
      <c r="F33" s="568">
        <v>74</v>
      </c>
      <c r="G33" s="568">
        <v>74</v>
      </c>
      <c r="H33" s="1590"/>
      <c r="I33" s="476" t="str">
        <f>CONCATENATE(Referencer!$B$52,", ",Referencer!$B$51)</f>
        <v>46, Concawe (2006): Well-to-wheels analysis of future automotive fuels and power-trains in the European Context. May 2006., 45, Hydrogen Energy - Part2 1994 af Reinhold Wurster &amp; Werner Zittel</v>
      </c>
      <c r="J33" s="477" t="s">
        <v>411</v>
      </c>
    </row>
    <row r="34" spans="2:10" ht="12.75" customHeight="1">
      <c r="B34" s="475" t="s">
        <v>150</v>
      </c>
      <c r="C34" s="564" t="s">
        <v>34</v>
      </c>
      <c r="D34" s="569">
        <v>20</v>
      </c>
      <c r="E34" s="569">
        <v>20</v>
      </c>
      <c r="F34" s="569">
        <v>20</v>
      </c>
      <c r="G34" s="569">
        <v>20</v>
      </c>
      <c r="H34" s="212"/>
      <c r="I34" s="476" t="str">
        <f>Referencer!B55</f>
        <v>49, Hydrogen Energy - Part 2 1994; Reinhold Wurster &amp; Werner Zittel</v>
      </c>
      <c r="J34" s="477"/>
    </row>
    <row r="35" spans="2:10" ht="12.75" customHeight="1">
      <c r="B35" s="475"/>
      <c r="C35" s="564"/>
      <c r="D35" s="650"/>
      <c r="E35" s="650"/>
      <c r="F35" s="650"/>
      <c r="G35" s="650"/>
      <c r="H35" s="213"/>
      <c r="I35" s="584"/>
      <c r="J35" s="477"/>
    </row>
    <row r="36" spans="2:10" ht="12.75" customHeight="1">
      <c r="B36" s="570" t="s">
        <v>151</v>
      </c>
      <c r="C36" s="571"/>
      <c r="D36" s="573"/>
      <c r="E36" s="572"/>
      <c r="F36" s="572"/>
      <c r="G36" s="572"/>
      <c r="H36" s="213"/>
      <c r="I36" s="476"/>
      <c r="J36" s="477"/>
    </row>
    <row r="37" spans="2:10" ht="12.75" customHeight="1">
      <c r="B37" s="475" t="str">
        <f>ProcessEnergy!B35</f>
        <v xml:space="preserve">Green diesel </v>
      </c>
      <c r="C37" s="564" t="s">
        <v>463</v>
      </c>
      <c r="D37" s="565"/>
      <c r="E37" s="565"/>
      <c r="F37" s="565"/>
      <c r="G37" s="565"/>
      <c r="H37" s="105"/>
      <c r="I37" s="476"/>
      <c r="J37" s="477"/>
    </row>
    <row r="38" spans="2:10" ht="12.75" customHeight="1">
      <c r="B38" s="575" t="str">
        <f>ProcessEnergy!B36</f>
        <v>Green gasoline</v>
      </c>
      <c r="C38" s="564"/>
      <c r="D38" s="565"/>
      <c r="E38" s="565"/>
      <c r="F38" s="565"/>
      <c r="G38" s="565"/>
      <c r="H38" s="105"/>
      <c r="I38" s="476"/>
      <c r="J38" s="477"/>
    </row>
    <row r="39" spans="2:10" ht="12.75" customHeight="1">
      <c r="B39" s="575" t="str">
        <f>ProcessEnergy!B37</f>
        <v>Electricity - balancing</v>
      </c>
      <c r="C39" s="564"/>
      <c r="D39" s="565"/>
      <c r="E39" s="565"/>
      <c r="F39" s="565"/>
      <c r="G39" s="565"/>
      <c r="H39" s="105"/>
      <c r="I39" s="476"/>
      <c r="J39" s="477"/>
    </row>
    <row r="40" spans="2:10" ht="12.75" customHeight="1">
      <c r="B40" s="575" t="str">
        <f>ProcessEnergy!B38</f>
        <v>Electricity  - continous</v>
      </c>
      <c r="C40" s="564"/>
      <c r="D40" s="565"/>
      <c r="E40" s="565"/>
      <c r="F40" s="565"/>
      <c r="G40" s="565"/>
      <c r="H40" s="105"/>
      <c r="I40" s="476"/>
      <c r="J40" s="477"/>
    </row>
    <row r="41" spans="2:10" ht="12.75" customHeight="1">
      <c r="B41" s="575" t="str">
        <f>ProcessEnergy!B39</f>
        <v>Elec/heat fuel</v>
      </c>
      <c r="C41" s="564"/>
      <c r="D41" s="565"/>
      <c r="E41" s="565"/>
      <c r="F41" s="565"/>
      <c r="G41" s="565"/>
      <c r="H41" s="105"/>
      <c r="I41" s="476"/>
      <c r="J41" s="477"/>
    </row>
    <row r="42" spans="2:10" ht="12.75" customHeight="1">
      <c r="B42" s="575" t="str">
        <f>ProcessEnergy!B40</f>
        <v>Biogas (100% CH4)</v>
      </c>
      <c r="C42" s="564"/>
      <c r="D42" s="565"/>
      <c r="E42" s="565"/>
      <c r="F42" s="565"/>
      <c r="G42" s="565"/>
      <c r="H42" s="105"/>
      <c r="I42" s="476"/>
      <c r="J42" s="477"/>
    </row>
    <row r="43" spans="2:10" ht="12.75" customHeight="1">
      <c r="B43" s="575" t="str">
        <f>ProcessEnergy!B41</f>
        <v>District heating</v>
      </c>
      <c r="C43" s="564"/>
      <c r="D43" s="565"/>
      <c r="E43" s="565"/>
      <c r="F43" s="565"/>
      <c r="G43" s="565"/>
      <c r="H43" s="105"/>
      <c r="I43" s="476"/>
      <c r="J43" s="477"/>
    </row>
    <row r="44" spans="2:10" ht="12.75" customHeight="1">
      <c r="B44" s="575" t="str">
        <f>ProcessEnergy!B42</f>
        <v>&lt;empty&gt;</v>
      </c>
      <c r="C44" s="564"/>
      <c r="D44" s="565"/>
      <c r="E44" s="565"/>
      <c r="F44" s="565"/>
      <c r="G44" s="565"/>
      <c r="H44" s="105"/>
      <c r="I44" s="476"/>
      <c r="J44" s="477"/>
    </row>
    <row r="45" spans="2:10" ht="12.75" customHeight="1">
      <c r="B45" s="575" t="str">
        <f>ProcessEnergy!B43</f>
        <v>&lt;empty&gt;</v>
      </c>
      <c r="C45" s="564"/>
      <c r="D45" s="565"/>
      <c r="E45" s="565"/>
      <c r="F45" s="565"/>
      <c r="G45" s="565"/>
      <c r="H45" s="105"/>
      <c r="I45" s="476"/>
      <c r="J45" s="477"/>
    </row>
    <row r="46" spans="2:10" ht="12.75" customHeight="1">
      <c r="B46" s="575" t="str">
        <f>ProcessEnergy!B44</f>
        <v>&lt;empty&gt;</v>
      </c>
      <c r="C46" s="564"/>
      <c r="D46" s="565"/>
      <c r="E46" s="565"/>
      <c r="F46" s="565"/>
      <c r="G46" s="565"/>
      <c r="H46" s="105"/>
      <c r="I46" s="476"/>
      <c r="J46" s="477"/>
    </row>
    <row r="47" spans="2:10" ht="12.75" customHeight="1">
      <c r="B47" s="575" t="str">
        <f>ProcessEnergy!B45</f>
        <v>&lt;empty&gt;</v>
      </c>
      <c r="C47" s="564"/>
      <c r="D47" s="565"/>
      <c r="E47" s="565"/>
      <c r="F47" s="565"/>
      <c r="G47" s="565"/>
      <c r="H47" s="105"/>
      <c r="I47" s="476"/>
      <c r="J47" s="477"/>
    </row>
    <row r="48" spans="2:10" ht="12.75" customHeight="1">
      <c r="B48" s="575" t="str">
        <f>ProcessEnergy!B46</f>
        <v>&lt;empty&gt;</v>
      </c>
      <c r="C48" s="564"/>
      <c r="D48" s="565"/>
      <c r="E48" s="565"/>
      <c r="F48" s="565"/>
      <c r="G48" s="565"/>
      <c r="H48" s="105"/>
      <c r="I48" s="476"/>
      <c r="J48" s="477"/>
    </row>
    <row r="49" spans="2:10" ht="12.75" customHeight="1">
      <c r="B49" s="575" t="str">
        <f>ProcessEnergy!B47</f>
        <v>&lt;empty&gt;</v>
      </c>
      <c r="C49" s="564"/>
      <c r="D49" s="565"/>
      <c r="E49" s="565"/>
      <c r="F49" s="565"/>
      <c r="G49" s="565"/>
      <c r="H49" s="105"/>
      <c r="I49" s="476"/>
      <c r="J49" s="477"/>
    </row>
    <row r="50" spans="2:10" ht="12.75" customHeight="1">
      <c r="B50" s="575" t="str">
        <f>ProcessEnergy!B48</f>
        <v>Glycerol</v>
      </c>
      <c r="C50" s="564"/>
      <c r="D50" s="565"/>
      <c r="E50" s="565"/>
      <c r="F50" s="565"/>
      <c r="G50" s="565"/>
      <c r="H50" s="105"/>
      <c r="I50" s="476"/>
      <c r="J50" s="477"/>
    </row>
    <row r="51" spans="2:10" ht="12.75" customHeight="1">
      <c r="B51" s="575" t="str">
        <f>ProcessEnergy!B49</f>
        <v>&lt;empty&gt;</v>
      </c>
      <c r="C51" s="564"/>
      <c r="D51" s="565"/>
      <c r="E51" s="565"/>
      <c r="F51" s="565"/>
      <c r="G51" s="565"/>
      <c r="H51" s="105"/>
      <c r="I51" s="476"/>
      <c r="J51" s="477"/>
    </row>
    <row r="52" spans="2:10" ht="12.75" customHeight="1">
      <c r="B52" s="575" t="str">
        <f>ProcessEnergy!B50</f>
        <v>&lt;empty&gt;</v>
      </c>
      <c r="C52" s="564"/>
      <c r="D52" s="565"/>
      <c r="E52" s="565"/>
      <c r="F52" s="565"/>
      <c r="G52" s="565"/>
      <c r="H52" s="105"/>
      <c r="I52" s="476"/>
      <c r="J52" s="477"/>
    </row>
    <row r="53" spans="2:10" ht="12.75" customHeight="1">
      <c r="B53" s="575" t="str">
        <f>ProcessEnergy!B51</f>
        <v>Fodder (wheat like)</v>
      </c>
      <c r="C53" s="564"/>
      <c r="D53" s="565"/>
      <c r="E53" s="565"/>
      <c r="F53" s="565"/>
      <c r="G53" s="565"/>
      <c r="H53" s="105"/>
      <c r="I53" s="476"/>
      <c r="J53" s="477"/>
    </row>
    <row r="54" spans="2:10" ht="12.75" customHeight="1">
      <c r="B54" s="575" t="str">
        <f>ProcessEnergy!B52</f>
        <v>Rape seed cake</v>
      </c>
      <c r="C54" s="564"/>
      <c r="D54" s="565"/>
      <c r="E54" s="565"/>
      <c r="F54" s="565"/>
      <c r="G54" s="565"/>
      <c r="H54" s="105"/>
      <c r="I54" s="476"/>
      <c r="J54" s="477"/>
    </row>
    <row r="55" spans="2:10" ht="12.75" customHeight="1">
      <c r="B55" s="575" t="str">
        <f>ProcessEnergy!B53</f>
        <v>&lt;empty&gt;</v>
      </c>
      <c r="C55" s="564"/>
      <c r="D55" s="565"/>
      <c r="E55" s="565"/>
      <c r="F55" s="565"/>
      <c r="G55" s="565"/>
      <c r="H55" s="105"/>
      <c r="I55" s="476"/>
      <c r="J55" s="477"/>
    </row>
    <row r="56" spans="2:10" ht="12.75" customHeight="1">
      <c r="B56" s="575" t="str">
        <f>ProcessEnergy!B54</f>
        <v>DDGS</v>
      </c>
      <c r="C56" s="564"/>
      <c r="D56" s="565"/>
      <c r="E56" s="565"/>
      <c r="F56" s="565"/>
      <c r="G56" s="565"/>
      <c r="H56" s="105"/>
      <c r="I56" s="476"/>
      <c r="J56" s="477"/>
    </row>
    <row r="57" spans="2:10" ht="12.75" customHeight="1">
      <c r="B57" s="475"/>
      <c r="C57" s="564"/>
      <c r="D57" s="565"/>
      <c r="E57" s="565"/>
      <c r="F57" s="565"/>
      <c r="G57" s="565"/>
      <c r="H57" s="105"/>
      <c r="I57" s="476"/>
      <c r="J57" s="477"/>
    </row>
    <row r="58" spans="2:10" ht="12.75" customHeight="1">
      <c r="B58" s="570" t="s">
        <v>873</v>
      </c>
      <c r="C58" s="564"/>
      <c r="D58" s="565"/>
      <c r="E58" s="565"/>
      <c r="F58" s="565"/>
      <c r="G58" s="565"/>
      <c r="H58" s="105"/>
      <c r="I58" s="476"/>
      <c r="J58" s="477"/>
    </row>
    <row r="59" spans="2:10" ht="12.75" customHeight="1">
      <c r="B59" s="475" t="str">
        <f>ProcessEnergy!B5</f>
        <v>EL - peakload</v>
      </c>
      <c r="C59" s="564" t="s">
        <v>898</v>
      </c>
      <c r="D59" s="565"/>
      <c r="E59" s="565"/>
      <c r="F59" s="565"/>
      <c r="G59" s="565"/>
      <c r="H59" s="105"/>
      <c r="I59" s="476"/>
      <c r="J59" s="477"/>
    </row>
    <row r="60" spans="2:10" ht="12.75" customHeight="1">
      <c r="B60" s="475" t="str">
        <f>ProcessEnergy!B6</f>
        <v>El - baseload</v>
      </c>
      <c r="C60" s="564" t="s">
        <v>898</v>
      </c>
      <c r="D60" s="646">
        <v>1</v>
      </c>
      <c r="E60" s="646">
        <v>1</v>
      </c>
      <c r="F60" s="646">
        <v>1</v>
      </c>
      <c r="G60" s="646">
        <v>1</v>
      </c>
      <c r="H60" s="105"/>
      <c r="I60" s="476"/>
      <c r="J60" s="477"/>
    </row>
    <row r="61" spans="2:10" ht="12.75" customHeight="1">
      <c r="B61" s="475" t="str">
        <f>ProcessEnergy!B7</f>
        <v xml:space="preserve">Varme </v>
      </c>
      <c r="C61" s="564" t="s">
        <v>898</v>
      </c>
      <c r="D61" s="565"/>
      <c r="E61" s="565"/>
      <c r="F61" s="565"/>
      <c r="G61" s="565"/>
      <c r="H61" s="105"/>
      <c r="I61" s="476"/>
      <c r="J61" s="477"/>
    </row>
    <row r="62" spans="2:10" ht="12.75" customHeight="1">
      <c r="B62" s="475" t="str">
        <f>ProcessEnergy!B8</f>
        <v>Damp</v>
      </c>
      <c r="C62" s="564" t="s">
        <v>898</v>
      </c>
      <c r="D62" s="565"/>
      <c r="E62" s="565"/>
      <c r="F62" s="565"/>
      <c r="G62" s="565"/>
      <c r="H62" s="105"/>
      <c r="I62" s="476"/>
      <c r="J62" s="477"/>
    </row>
    <row r="63" spans="2:10" ht="12.75" customHeight="1">
      <c r="B63" s="475" t="str">
        <f>ProcessEnergy!B9</f>
        <v xml:space="preserve">Olie </v>
      </c>
      <c r="C63" s="564" t="s">
        <v>898</v>
      </c>
      <c r="D63" s="565"/>
      <c r="E63" s="565"/>
      <c r="F63" s="565"/>
      <c r="G63" s="565"/>
      <c r="H63" s="105"/>
      <c r="I63" s="476"/>
      <c r="J63" s="477"/>
    </row>
    <row r="64" spans="2:10" ht="12.75" customHeight="1">
      <c r="B64" s="475" t="str">
        <f>ProcessEnergy!B10</f>
        <v>Kul</v>
      </c>
      <c r="C64" s="564" t="s">
        <v>898</v>
      </c>
      <c r="D64" s="565"/>
      <c r="E64" s="565"/>
      <c r="F64" s="565"/>
      <c r="G64" s="565"/>
      <c r="H64" s="105"/>
      <c r="I64" s="476"/>
      <c r="J64" s="477"/>
    </row>
    <row r="65" spans="2:10" ht="12.75" customHeight="1">
      <c r="B65" s="475" t="str">
        <f>ProcessEnergy!B11</f>
        <v>Naturgas kedel</v>
      </c>
      <c r="C65" s="564" t="s">
        <v>898</v>
      </c>
      <c r="D65" s="565"/>
      <c r="E65" s="565"/>
      <c r="F65" s="565"/>
      <c r="G65" s="565"/>
      <c r="H65" s="105"/>
      <c r="I65" s="476"/>
      <c r="J65" s="477"/>
    </row>
    <row r="66" spans="2:10" ht="12.75" customHeight="1">
      <c r="B66" s="475" t="str">
        <f>ProcessEnergy!B12</f>
        <v>Gylle</v>
      </c>
      <c r="C66" s="564" t="s">
        <v>898</v>
      </c>
      <c r="D66" s="565"/>
      <c r="E66" s="565"/>
      <c r="F66" s="565"/>
      <c r="G66" s="565"/>
      <c r="H66" s="105"/>
      <c r="I66" s="476"/>
      <c r="J66" s="477"/>
    </row>
    <row r="67" spans="2:10" ht="12.75" customHeight="1">
      <c r="B67" s="475" t="str">
        <f>ProcessEnergy!B13</f>
        <v>Affald</v>
      </c>
      <c r="C67" s="564" t="s">
        <v>898</v>
      </c>
      <c r="D67" s="565"/>
      <c r="E67" s="565"/>
      <c r="F67" s="565"/>
      <c r="G67" s="565"/>
      <c r="H67" s="105"/>
      <c r="I67" s="476"/>
      <c r="J67" s="477"/>
    </row>
    <row r="68" spans="2:10" ht="12.75" customHeight="1">
      <c r="B68" s="475" t="str">
        <f>ProcessEnergy!B14</f>
        <v>Hydrogen</v>
      </c>
      <c r="C68" s="564" t="s">
        <v>898</v>
      </c>
      <c r="D68" s="565"/>
      <c r="E68" s="565"/>
      <c r="F68" s="565"/>
      <c r="G68" s="565"/>
      <c r="H68" s="105"/>
      <c r="I68" s="476"/>
      <c r="J68" s="477"/>
    </row>
    <row r="69" spans="2:10" ht="12.75" customHeight="1">
      <c r="B69" s="475" t="str">
        <f>ProcessEnergy!B15</f>
        <v>Biomasse</v>
      </c>
      <c r="C69" s="564" t="s">
        <v>898</v>
      </c>
      <c r="D69" s="565"/>
      <c r="E69" s="565"/>
      <c r="F69" s="565"/>
      <c r="G69" s="565"/>
      <c r="H69" s="105"/>
      <c r="I69" s="476"/>
      <c r="J69" s="477"/>
    </row>
    <row r="70" spans="2:10" ht="12.75" customHeight="1">
      <c r="B70" s="475" t="str">
        <f>ProcessEnergy!B16</f>
        <v>Methanol</v>
      </c>
      <c r="C70" s="564"/>
      <c r="D70" s="565"/>
      <c r="E70" s="565"/>
      <c r="F70" s="565"/>
      <c r="G70" s="565"/>
      <c r="H70" s="105"/>
      <c r="I70" s="476"/>
      <c r="J70" s="477"/>
    </row>
    <row r="71" spans="2:10" ht="12.75" customHeight="1">
      <c r="B71" s="475" t="str">
        <f>ProcessEnergy!B17</f>
        <v>&lt;empty&gt;</v>
      </c>
      <c r="C71" s="564"/>
      <c r="D71" s="565"/>
      <c r="E71" s="565"/>
      <c r="F71" s="565"/>
      <c r="G71" s="565"/>
      <c r="H71" s="105"/>
      <c r="I71" s="476"/>
      <c r="J71" s="477"/>
    </row>
    <row r="72" spans="2:10" ht="12.75" customHeight="1">
      <c r="B72" s="475" t="str">
        <f>ProcessEnergy!B18</f>
        <v>&lt;empty&gt;</v>
      </c>
      <c r="C72" s="564"/>
      <c r="D72" s="565"/>
      <c r="E72" s="565"/>
      <c r="F72" s="565"/>
      <c r="G72" s="565"/>
      <c r="H72" s="105"/>
      <c r="I72" s="476"/>
      <c r="J72" s="477"/>
    </row>
    <row r="73" spans="2:10" ht="12.75" customHeight="1">
      <c r="B73" s="475" t="str">
        <f>ProcessEnergy!B19</f>
        <v>&lt;empty&gt;</v>
      </c>
      <c r="C73" s="564"/>
      <c r="D73" s="565"/>
      <c r="E73" s="565"/>
      <c r="F73" s="565"/>
      <c r="G73" s="565"/>
      <c r="H73" s="105"/>
      <c r="I73" s="476"/>
      <c r="J73" s="477"/>
    </row>
    <row r="74" spans="2:10" ht="12.75" customHeight="1">
      <c r="B74" s="475" t="str">
        <f>ProcessEnergy!B20</f>
        <v>&lt;empty&gt;</v>
      </c>
      <c r="C74" s="564"/>
      <c r="D74" s="565"/>
      <c r="E74" s="565"/>
      <c r="F74" s="565"/>
      <c r="G74" s="565"/>
      <c r="H74" s="105"/>
      <c r="I74" s="476"/>
      <c r="J74" s="477"/>
    </row>
    <row r="75" spans="2:10" ht="12.75" customHeight="1">
      <c r="B75" s="475" t="str">
        <f>ProcessEnergy!B21</f>
        <v>&lt;empty&gt;</v>
      </c>
      <c r="C75" s="564"/>
      <c r="D75" s="565"/>
      <c r="E75" s="565"/>
      <c r="F75" s="565"/>
      <c r="G75" s="565"/>
      <c r="H75" s="105"/>
      <c r="I75" s="476"/>
      <c r="J75" s="477"/>
    </row>
    <row r="76" spans="2:10" ht="12.75" customHeight="1">
      <c r="B76" s="475" t="str">
        <f>ProcessEnergy!B22</f>
        <v>&lt;empty&gt;</v>
      </c>
      <c r="C76" s="564"/>
      <c r="D76" s="565"/>
      <c r="E76" s="565"/>
      <c r="F76" s="565"/>
      <c r="G76" s="565"/>
      <c r="H76" s="105"/>
      <c r="I76" s="476"/>
      <c r="J76" s="477"/>
    </row>
    <row r="77" spans="2:10" ht="12.75" customHeight="1">
      <c r="B77" s="475" t="str">
        <f>ProcessEnergy!B23</f>
        <v>&lt;empty&gt;</v>
      </c>
      <c r="C77" s="564"/>
      <c r="D77" s="565"/>
      <c r="E77" s="565"/>
      <c r="F77" s="565"/>
      <c r="G77" s="565"/>
      <c r="H77" s="105"/>
      <c r="I77" s="476"/>
      <c r="J77" s="477"/>
    </row>
    <row r="78" spans="2:10" ht="12.75" customHeight="1">
      <c r="B78" s="475" t="str">
        <f>ProcessEnergy!B24</f>
        <v>&lt;empty&gt;</v>
      </c>
      <c r="C78" s="564"/>
      <c r="D78" s="565"/>
      <c r="E78" s="565"/>
      <c r="F78" s="565"/>
      <c r="G78" s="565"/>
      <c r="H78" s="105"/>
      <c r="I78" s="476"/>
      <c r="J78" s="477"/>
    </row>
    <row r="79" spans="2:10" ht="12.75" customHeight="1">
      <c r="B79" s="475"/>
      <c r="C79" s="564"/>
      <c r="D79" s="565"/>
      <c r="E79" s="565"/>
      <c r="F79" s="565"/>
      <c r="G79" s="565"/>
      <c r="H79" s="106"/>
      <c r="I79" s="476"/>
      <c r="J79" s="477"/>
    </row>
    <row r="80" spans="2:10" ht="12.75" customHeight="1">
      <c r="B80" s="475"/>
      <c r="C80" s="564"/>
      <c r="D80" s="565"/>
      <c r="E80" s="565"/>
      <c r="F80" s="565"/>
      <c r="G80" s="565"/>
      <c r="H80" s="106"/>
      <c r="I80" s="476"/>
      <c r="J80" s="477"/>
    </row>
    <row r="81" spans="2:20" ht="12.75" customHeight="1">
      <c r="B81" s="475"/>
      <c r="C81" s="564"/>
      <c r="D81" s="565"/>
      <c r="E81" s="565"/>
      <c r="F81" s="565"/>
      <c r="G81" s="565"/>
      <c r="H81" s="106"/>
      <c r="I81" s="476"/>
      <c r="J81" s="477"/>
    </row>
    <row r="82" spans="2:20" ht="12.75" customHeight="1">
      <c r="B82" s="570" t="s">
        <v>152</v>
      </c>
      <c r="C82" s="564"/>
      <c r="D82" s="565"/>
      <c r="E82" s="565"/>
      <c r="F82" s="565"/>
      <c r="G82" s="565"/>
      <c r="H82" s="106"/>
      <c r="I82" s="476"/>
      <c r="J82" s="477"/>
    </row>
    <row r="83" spans="2:20" ht="12.75" customHeight="1">
      <c r="B83" s="247" t="s">
        <v>462</v>
      </c>
      <c r="C83" s="210" t="s">
        <v>725</v>
      </c>
      <c r="D83" s="630">
        <v>1</v>
      </c>
      <c r="E83" s="630">
        <v>1</v>
      </c>
      <c r="F83" s="630">
        <v>1</v>
      </c>
      <c r="G83" s="630">
        <v>1</v>
      </c>
      <c r="H83" s="295"/>
      <c r="I83" s="1673" t="str">
        <f>CONCATENATE(Referencer!$B$52)</f>
        <v>46, Concawe (2006): Well-to-wheels analysis of future automotive fuels and power-trains in the European Context. May 2006.</v>
      </c>
      <c r="J83" s="477" t="s">
        <v>413</v>
      </c>
    </row>
    <row r="84" spans="2:20" ht="12.75" customHeight="1">
      <c r="B84" s="247" t="s">
        <v>153</v>
      </c>
      <c r="C84" s="210" t="s">
        <v>725</v>
      </c>
      <c r="D84" s="630"/>
      <c r="E84" s="630"/>
      <c r="F84" s="630"/>
      <c r="G84" s="630"/>
      <c r="H84" s="105"/>
      <c r="I84" s="1673" t="str">
        <f>CONCATENATE(Referencer!$B$52)</f>
        <v>46, Concawe (2006): Well-to-wheels analysis of future automotive fuels and power-trains in the European Context. May 2006.</v>
      </c>
      <c r="J84" s="477" t="s">
        <v>414</v>
      </c>
    </row>
    <row r="85" spans="2:20" ht="12.75" customHeight="1">
      <c r="B85" s="247" t="s">
        <v>154</v>
      </c>
      <c r="C85" s="210" t="s">
        <v>725</v>
      </c>
      <c r="D85" s="1421">
        <f>+$I$138</f>
        <v>0.15</v>
      </c>
      <c r="E85" s="1421">
        <f>+$I$138</f>
        <v>0.15</v>
      </c>
      <c r="F85" s="1421">
        <f>+$I$138</f>
        <v>0.15</v>
      </c>
      <c r="G85" s="1421">
        <f>+$I$138</f>
        <v>0.15</v>
      </c>
      <c r="H85" s="105"/>
      <c r="I85" s="1673" t="str">
        <f>CONCATENATE(Referencer!$B$52)</f>
        <v>46, Concawe (2006): Well-to-wheels analysis of future automotive fuels and power-trains in the European Context. May 2006.</v>
      </c>
      <c r="J85" s="477" t="s">
        <v>734</v>
      </c>
    </row>
    <row r="86" spans="2:20" ht="12.75" customHeight="1">
      <c r="B86" s="310" t="s">
        <v>1240</v>
      </c>
      <c r="C86" s="210" t="s">
        <v>725</v>
      </c>
      <c r="D86" s="615">
        <f>D32*D31</f>
        <v>0.51709722222222221</v>
      </c>
      <c r="E86" s="615">
        <f>E32*E31</f>
        <v>0.60717222222222211</v>
      </c>
      <c r="F86" s="615">
        <f>F32*F31</f>
        <v>0.69391111111111103</v>
      </c>
      <c r="G86" s="615">
        <f>G32*G31</f>
        <v>0.69391111111111103</v>
      </c>
      <c r="H86" s="237"/>
      <c r="I86" s="476"/>
      <c r="J86" s="477"/>
    </row>
    <row r="87" spans="2:20" ht="12.75" customHeight="1">
      <c r="B87" s="108" t="s">
        <v>155</v>
      </c>
      <c r="C87" s="210" t="s">
        <v>725</v>
      </c>
      <c r="D87" s="610">
        <f>D83+D84-D85-D86</f>
        <v>0.33290277777777777</v>
      </c>
      <c r="E87" s="610">
        <f>E83+E84-E85-E86</f>
        <v>0.24282777777777786</v>
      </c>
      <c r="F87" s="610">
        <f>F83+F84-F85-F86</f>
        <v>0.15608888888888894</v>
      </c>
      <c r="G87" s="610">
        <f>G83+G84-G85-G86</f>
        <v>0.15608888888888894</v>
      </c>
      <c r="H87" s="109"/>
      <c r="I87" s="476"/>
      <c r="J87" s="477"/>
    </row>
    <row r="88" spans="2:20" ht="12.75" customHeight="1">
      <c r="B88" s="232" t="s">
        <v>2013</v>
      </c>
      <c r="C88" s="233" t="s">
        <v>726</v>
      </c>
      <c r="D88" s="580">
        <f>(D86+D85)/(D83+D84)</f>
        <v>0.66709722222222223</v>
      </c>
      <c r="E88" s="580">
        <f>(E86+E85)/(E83+E84)</f>
        <v>0.75717222222222214</v>
      </c>
      <c r="F88" s="580">
        <f>(F86+F85)/(F83+F84)</f>
        <v>0.84391111111111106</v>
      </c>
      <c r="G88" s="580">
        <f>(G86+G85)/(G83+G84)</f>
        <v>0.84391111111111106</v>
      </c>
      <c r="H88" s="462"/>
      <c r="I88" s="476"/>
      <c r="J88" s="477"/>
    </row>
    <row r="89" spans="2:20" ht="12.75" customHeight="1">
      <c r="B89" s="475" t="s">
        <v>781</v>
      </c>
      <c r="C89" s="564" t="s">
        <v>782</v>
      </c>
      <c r="D89" s="647">
        <f>D32*D31/D83</f>
        <v>0.51709722222222221</v>
      </c>
      <c r="E89" s="647">
        <f>E32*E31/E83</f>
        <v>0.60717222222222211</v>
      </c>
      <c r="F89" s="647">
        <f>F32*F31/F83</f>
        <v>0.69391111111111103</v>
      </c>
      <c r="G89" s="647">
        <f>G32*G31/G83</f>
        <v>0.69391111111111103</v>
      </c>
      <c r="H89" s="213"/>
      <c r="I89" s="476"/>
      <c r="J89" s="477"/>
      <c r="T89" s="471"/>
    </row>
    <row r="90" spans="2:20" ht="12.75" customHeight="1">
      <c r="B90" s="570" t="s">
        <v>33</v>
      </c>
      <c r="C90" s="564"/>
      <c r="D90" s="1437"/>
      <c r="E90" s="1437"/>
      <c r="F90" s="1437"/>
      <c r="G90" s="1437"/>
      <c r="H90" s="213"/>
      <c r="I90" s="476"/>
      <c r="J90" s="477"/>
    </row>
    <row r="91" spans="2:20" s="530" customFormat="1">
      <c r="B91" s="964" t="s">
        <v>157</v>
      </c>
      <c r="C91" s="976" t="s">
        <v>61</v>
      </c>
      <c r="D91" s="992">
        <f>HLOOKUP($H99,Supplementary!$C$44:$AF$46,3,FALSE)*D99</f>
        <v>7398634.5000000028</v>
      </c>
      <c r="E91" s="555">
        <f>HLOOKUP($H99,Supplementary!$C$44:$AF$46,3,FALSE)*E99</f>
        <v>11097951.750000004</v>
      </c>
      <c r="F91" s="555">
        <f>HLOOKUP($H99,Supplementary!$C$44:$AF$46,3,FALSE)*F99</f>
        <v>11097951.750000004</v>
      </c>
      <c r="G91" s="555">
        <f>HLOOKUP($H99,Supplementary!$C$44:$AF$46,3,FALSE)*G99</f>
        <v>11097951.750000004</v>
      </c>
      <c r="H91" s="555">
        <f t="shared" ref="H91:H97" si="0">priceYear</f>
        <v>2015</v>
      </c>
      <c r="I91" s="555"/>
      <c r="J91" s="965"/>
      <c r="N91" s="991"/>
      <c r="O91" s="991"/>
      <c r="P91" s="991"/>
      <c r="Q91" s="991"/>
    </row>
    <row r="92" spans="2:20" s="530" customFormat="1">
      <c r="B92" s="964" t="s">
        <v>160</v>
      </c>
      <c r="C92" s="976" t="s">
        <v>464</v>
      </c>
      <c r="D92" s="992">
        <f ca="1">HLOOKUP($H100,Supplementary!$C$44:$AF$46,3,FALSE)*D100</f>
        <v>254.83209733052055</v>
      </c>
      <c r="E92" s="555">
        <f ca="1">HLOOKUP($H100,Supplementary!$C$44:$AF$46,3,FALSE)*E100</f>
        <v>99.776043744940466</v>
      </c>
      <c r="F92" s="555">
        <f ca="1">HLOOKUP($H100,Supplementary!$C$44:$AF$46,3,FALSE)*F100</f>
        <v>99.776043744940466</v>
      </c>
      <c r="G92" s="555">
        <f ca="1">HLOOKUP($H100,Supplementary!$C$44:$AF$46,3,FALSE)*G100</f>
        <v>99.776043744940466</v>
      </c>
      <c r="H92" s="555">
        <f t="shared" si="0"/>
        <v>2015</v>
      </c>
      <c r="I92" s="555"/>
      <c r="J92" s="965"/>
      <c r="N92" s="991"/>
      <c r="O92" s="991"/>
      <c r="P92" s="991"/>
      <c r="Q92" s="991"/>
    </row>
    <row r="93" spans="2:20" s="530" customFormat="1">
      <c r="B93" s="995" t="s">
        <v>162</v>
      </c>
      <c r="C93" s="976" t="s">
        <v>464</v>
      </c>
      <c r="D93" s="992">
        <f ca="1">HLOOKUP($H101,Supplementary!$C$44:$AF$46,3,FALSE)*D101</f>
        <v>274.62557773998844</v>
      </c>
      <c r="E93" s="555">
        <f ca="1">HLOOKUP($H101,Supplementary!$C$44:$AF$46,3,FALSE)*E101</f>
        <v>100.20122431053635</v>
      </c>
      <c r="F93" s="555">
        <f ca="1">HLOOKUP($H101,Supplementary!$C$44:$AF$46,3,FALSE)*F101</f>
        <v>100.20122431053635</v>
      </c>
      <c r="G93" s="555">
        <f ca="1">HLOOKUP($H101,Supplementary!$C$44:$AF$46,3,FALSE)*G101</f>
        <v>100.20122431053635</v>
      </c>
      <c r="H93" s="555">
        <f t="shared" si="0"/>
        <v>2015</v>
      </c>
      <c r="I93" s="555"/>
      <c r="J93" s="965"/>
      <c r="N93" s="991"/>
      <c r="O93" s="991"/>
      <c r="P93" s="991"/>
      <c r="Q93" s="991"/>
    </row>
    <row r="94" spans="2:20" s="530" customFormat="1">
      <c r="B94" s="995" t="s">
        <v>163</v>
      </c>
      <c r="C94" s="976" t="s">
        <v>464</v>
      </c>
      <c r="D94" s="992">
        <f>HLOOKUP($H102,Supplementary!$C$44:$AF$46,3,FALSE)*D102</f>
        <v>11.758739399663559</v>
      </c>
      <c r="E94" s="555">
        <f>HLOOKUP($H102,Supplementary!$C$44:$AF$46,3,FALSE)*E102</f>
        <v>11.758739399663559</v>
      </c>
      <c r="F94" s="555">
        <f>HLOOKUP($H102,Supplementary!$C$44:$AF$46,3,FALSE)*F102</f>
        <v>11.758739399663559</v>
      </c>
      <c r="G94" s="555">
        <f>HLOOKUP($H102,Supplementary!$C$44:$AF$46,3,FALSE)*G102</f>
        <v>11.758739399663559</v>
      </c>
      <c r="H94" s="555">
        <f t="shared" si="0"/>
        <v>2015</v>
      </c>
      <c r="I94" s="555"/>
      <c r="J94" s="965"/>
      <c r="N94" s="991"/>
      <c r="O94" s="991"/>
      <c r="P94" s="991"/>
      <c r="Q94" s="991"/>
    </row>
    <row r="95" spans="2:20" s="530" customFormat="1">
      <c r="B95" s="995" t="s">
        <v>164</v>
      </c>
      <c r="C95" s="976" t="s">
        <v>464</v>
      </c>
      <c r="D95" s="992">
        <f>HLOOKUP($H103,Supplementary!$C$44:$AF$46,3,FALSE)*D103</f>
        <v>0</v>
      </c>
      <c r="E95" s="555">
        <f>HLOOKUP($H103,Supplementary!$C$44:$AF$46,3,FALSE)*E103</f>
        <v>0</v>
      </c>
      <c r="F95" s="555">
        <f>HLOOKUP($H103,Supplementary!$C$44:$AF$46,3,FALSE)*F103</f>
        <v>0</v>
      </c>
      <c r="G95" s="555">
        <f>HLOOKUP($H103,Supplementary!$C$44:$AF$46,3,FALSE)*G103</f>
        <v>0</v>
      </c>
      <c r="H95" s="555">
        <f t="shared" si="0"/>
        <v>2015</v>
      </c>
      <c r="I95" s="555"/>
      <c r="J95" s="965"/>
      <c r="N95" s="991"/>
      <c r="O95" s="991"/>
      <c r="P95" s="991"/>
      <c r="Q95" s="991"/>
    </row>
    <row r="96" spans="2:20" s="530" customFormat="1">
      <c r="B96" s="995" t="s">
        <v>264</v>
      </c>
      <c r="C96" s="976" t="s">
        <v>464</v>
      </c>
      <c r="D96" s="992">
        <f>HLOOKUP($H104,Supplementary!$C$44:$AF$46,3,FALSE)*D104</f>
        <v>45.660501703197319</v>
      </c>
      <c r="E96" s="555">
        <f>HLOOKUP($H104,Supplementary!$C$44:$AF$46,3,FALSE)*E104</f>
        <v>16.659912783599019</v>
      </c>
      <c r="F96" s="555">
        <f>HLOOKUP($H104,Supplementary!$C$44:$AF$46,3,FALSE)*F104</f>
        <v>16.659912783599019</v>
      </c>
      <c r="G96" s="555">
        <f>HLOOKUP($H104,Supplementary!$C$44:$AF$46,3,FALSE)*G104</f>
        <v>16.659912783599019</v>
      </c>
      <c r="H96" s="555">
        <f t="shared" si="0"/>
        <v>2015</v>
      </c>
      <c r="I96" s="555"/>
      <c r="J96" s="965"/>
      <c r="N96" s="991"/>
      <c r="O96" s="991"/>
      <c r="P96" s="991"/>
      <c r="Q96" s="991"/>
    </row>
    <row r="97" spans="2:17" s="530" customFormat="1">
      <c r="B97" s="995" t="s">
        <v>165</v>
      </c>
      <c r="C97" s="976" t="s">
        <v>464</v>
      </c>
      <c r="D97" s="992">
        <f>HLOOKUP($H105,Supplementary!$C$44:$AF$46,3,FALSE)*D105</f>
        <v>-77.212721512328756</v>
      </c>
      <c r="E97" s="555">
        <f>HLOOKUP($H105,Supplementary!$C$44:$AF$46,3,FALSE)*E105</f>
        <v>-28.843832748858443</v>
      </c>
      <c r="F97" s="555">
        <f>HLOOKUP($H105,Supplementary!$C$44:$AF$46,3,FALSE)*F105</f>
        <v>-28.843832748858443</v>
      </c>
      <c r="G97" s="555">
        <f>HLOOKUP($H105,Supplementary!$C$44:$AF$46,3,FALSE)*G105</f>
        <v>-28.843832748858443</v>
      </c>
      <c r="H97" s="555">
        <f t="shared" si="0"/>
        <v>2015</v>
      </c>
      <c r="I97" s="555"/>
      <c r="J97" s="965"/>
      <c r="N97" s="991"/>
      <c r="O97" s="991"/>
      <c r="P97" s="991"/>
      <c r="Q97" s="991"/>
    </row>
    <row r="98" spans="2:17" s="530" customFormat="1">
      <c r="B98" s="975"/>
      <c r="C98" s="976"/>
      <c r="D98" s="992"/>
      <c r="E98" s="983"/>
      <c r="F98" s="983"/>
      <c r="G98" s="983"/>
      <c r="H98" s="983"/>
      <c r="I98" s="555"/>
      <c r="J98" s="965"/>
      <c r="N98" s="991"/>
      <c r="O98" s="991"/>
      <c r="P98" s="991"/>
      <c r="Q98" s="991"/>
    </row>
    <row r="99" spans="2:17" ht="12.75" customHeight="1">
      <c r="B99" s="475" t="s">
        <v>157</v>
      </c>
      <c r="C99" s="564" t="s">
        <v>61</v>
      </c>
      <c r="D99" s="568">
        <v>6000000</v>
      </c>
      <c r="E99" s="568">
        <v>9000000</v>
      </c>
      <c r="F99" s="568">
        <v>9000000</v>
      </c>
      <c r="G99" s="568">
        <v>9000000</v>
      </c>
      <c r="H99" s="1668">
        <v>2006</v>
      </c>
      <c r="I99" s="1673" t="str">
        <f>CONCATENATE(Referencer!$B$52)</f>
        <v>46, Concawe (2006): Well-to-wheels analysis of future automotive fuels and power-trains in the European Context. May 2006.</v>
      </c>
      <c r="J99" s="477" t="s">
        <v>415</v>
      </c>
    </row>
    <row r="100" spans="2:17" ht="12.75" customHeight="1">
      <c r="B100" s="475" t="s">
        <v>160</v>
      </c>
      <c r="C100" s="564" t="s">
        <v>416</v>
      </c>
      <c r="D100" s="583">
        <f ca="1">+SUM(D101:D105)</f>
        <v>206.65875358258646</v>
      </c>
      <c r="E100" s="583">
        <f ca="1">+SUM(E101:E105)</f>
        <v>80.914425826771492</v>
      </c>
      <c r="F100" s="583">
        <f ca="1">+SUM(F101:F105)</f>
        <v>80.914425826771492</v>
      </c>
      <c r="G100" s="583">
        <f ca="1">+SUM(G101:G105)</f>
        <v>80.914425826771492</v>
      </c>
      <c r="H100" s="1668">
        <v>2006</v>
      </c>
      <c r="I100" s="1673"/>
      <c r="J100" s="648"/>
    </row>
    <row r="101" spans="2:17" ht="12.75" customHeight="1">
      <c r="B101" s="585" t="s">
        <v>162</v>
      </c>
      <c r="C101" s="564" t="s">
        <v>416</v>
      </c>
      <c r="D101" s="583">
        <f ca="1">PMT(rSØK,D34,-D99)/(D32*D33)</f>
        <v>222.71048346014797</v>
      </c>
      <c r="E101" s="583">
        <f ca="1">PMT(rSØK,E34,-E99)/(E32*E33)</f>
        <v>81.25923045167562</v>
      </c>
      <c r="F101" s="583">
        <f ca="1">PMT(rSØK,F34,-F99)/(F32*F33)</f>
        <v>81.25923045167562</v>
      </c>
      <c r="G101" s="583">
        <f ca="1">PMT(rSØK,G34,-G99)/(G32*G33)</f>
        <v>81.25923045167562</v>
      </c>
      <c r="H101" s="1668">
        <v>2006</v>
      </c>
      <c r="I101" s="1673"/>
      <c r="J101" s="648"/>
    </row>
    <row r="102" spans="2:17" ht="12.75" customHeight="1">
      <c r="B102" s="585" t="s">
        <v>163</v>
      </c>
      <c r="C102" s="564" t="s">
        <v>416</v>
      </c>
      <c r="D102" s="1438">
        <f>+((0.1+0.106)*1000000)/(D33*I130*3.6)*7.5*Prices!$K$28/900*18</f>
        <v>9.5358726529849971</v>
      </c>
      <c r="E102" s="1438">
        <f>+D102</f>
        <v>9.5358726529849971</v>
      </c>
      <c r="F102" s="1438">
        <f>+D102</f>
        <v>9.5358726529849971</v>
      </c>
      <c r="G102" s="1438">
        <f>+E102</f>
        <v>9.5358726529849971</v>
      </c>
      <c r="H102" s="1668">
        <v>2006</v>
      </c>
      <c r="I102" s="1673" t="str">
        <f>CONCATENATE(Referencer!$B$52)</f>
        <v>46, Concawe (2006): Well-to-wheels analysis of future automotive fuels and power-trains in the European Context. May 2006.</v>
      </c>
      <c r="J102" s="477" t="s">
        <v>678</v>
      </c>
    </row>
    <row r="103" spans="2:17" ht="12.75" customHeight="1">
      <c r="B103" s="585" t="s">
        <v>164</v>
      </c>
      <c r="C103" s="564" t="s">
        <v>416</v>
      </c>
      <c r="D103" s="577"/>
      <c r="E103" s="577"/>
      <c r="F103" s="577"/>
      <c r="G103" s="577"/>
      <c r="H103" s="1668">
        <v>2006</v>
      </c>
      <c r="I103" s="1673"/>
      <c r="J103" s="477"/>
    </row>
    <row r="104" spans="2:17" ht="12.75" customHeight="1">
      <c r="B104" s="585" t="s">
        <v>264</v>
      </c>
      <c r="C104" s="564" t="s">
        <v>416</v>
      </c>
      <c r="D104" s="566">
        <f>0.02*D99/(D33*I129/1000)*Prices!$K$28</f>
        <v>37.028861233675457</v>
      </c>
      <c r="E104" s="566">
        <f>0.02*E99/(E33*M129/1000)*Prices!$K$28</f>
        <v>13.510530450124827</v>
      </c>
      <c r="F104" s="566">
        <f>0.02*F99/(F33*Q129/1000)*Prices!$K$28</f>
        <v>13.510530450124827</v>
      </c>
      <c r="G104" s="829">
        <f>F104</f>
        <v>13.510530450124827</v>
      </c>
      <c r="H104" s="1668">
        <v>2006</v>
      </c>
      <c r="I104" s="1673" t="str">
        <f>CONCATENATE(Referencer!$B$52)</f>
        <v>46, Concawe (2006): Well-to-wheels analysis of future automotive fuels and power-trains in the European Context. May 2006.</v>
      </c>
      <c r="J104" s="477" t="s">
        <v>417</v>
      </c>
    </row>
    <row r="105" spans="2:17" ht="12.75" customHeight="1">
      <c r="B105" s="585" t="s">
        <v>165</v>
      </c>
      <c r="C105" s="564" t="s">
        <v>416</v>
      </c>
      <c r="D105" s="566">
        <f>-I137/(I136*(Supplementary!C50*1000))*I134*1000*Prices!$K$28</f>
        <v>-62.616463764221947</v>
      </c>
      <c r="E105" s="566">
        <f>-E137/(E136*(Supplementary!C50*1000))*L134*1000*Prices!$K$28</f>
        <v>-23.391207728013946</v>
      </c>
      <c r="F105" s="566">
        <f>-I137/(I136*(Supplementary!C50*1000))*M134*1000*Prices!$K$28</f>
        <v>-23.391207728013946</v>
      </c>
      <c r="G105" s="829">
        <f>F105</f>
        <v>-23.391207728013946</v>
      </c>
      <c r="H105" s="1668">
        <v>2006</v>
      </c>
      <c r="I105" s="1673" t="str">
        <f>CONCATENATE(Referencer!$B$52)</f>
        <v>46, Concawe (2006): Well-to-wheels analysis of future automotive fuels and power-trains in the European Context. May 2006.</v>
      </c>
      <c r="J105" s="477" t="s">
        <v>418</v>
      </c>
      <c r="M105" s="629"/>
    </row>
    <row r="106" spans="2:17" ht="12.75" customHeight="1">
      <c r="B106" s="585"/>
      <c r="C106" s="564"/>
      <c r="D106" s="573"/>
      <c r="E106" s="573"/>
      <c r="F106" s="573"/>
      <c r="G106" s="573"/>
      <c r="I106" s="584"/>
      <c r="J106" s="648"/>
    </row>
    <row r="107" spans="2:17" ht="12.75" customHeight="1">
      <c r="B107" s="585"/>
      <c r="C107" s="564"/>
      <c r="D107" s="573"/>
      <c r="E107" s="573"/>
      <c r="F107" s="573"/>
      <c r="G107" s="573"/>
      <c r="I107" s="584"/>
      <c r="J107" s="648"/>
    </row>
    <row r="108" spans="2:17" ht="12.75" customHeight="1">
      <c r="B108" s="585"/>
      <c r="C108" s="564"/>
      <c r="D108" s="573"/>
      <c r="E108" s="573"/>
      <c r="F108" s="573"/>
      <c r="G108" s="573"/>
      <c r="I108" s="584"/>
      <c r="J108" s="648"/>
    </row>
    <row r="109" spans="2:17" ht="12.75" customHeight="1">
      <c r="B109" s="585"/>
      <c r="C109" s="564"/>
      <c r="D109" s="573"/>
      <c r="E109" s="573"/>
      <c r="F109" s="573"/>
      <c r="G109" s="573"/>
      <c r="I109" s="584"/>
      <c r="J109" s="648"/>
    </row>
    <row r="110" spans="2:17" ht="12.75" customHeight="1">
      <c r="B110" s="585"/>
      <c r="C110" s="564"/>
      <c r="D110" s="573"/>
      <c r="E110" s="573"/>
      <c r="F110" s="573"/>
      <c r="G110" s="573"/>
      <c r="I110" s="584"/>
      <c r="J110" s="648"/>
    </row>
    <row r="111" spans="2:17" ht="12.75" customHeight="1">
      <c r="B111" s="585"/>
      <c r="C111" s="564"/>
      <c r="D111" s="573"/>
      <c r="E111" s="573"/>
      <c r="F111" s="573"/>
      <c r="G111" s="573"/>
      <c r="I111" s="584"/>
      <c r="J111" s="648"/>
    </row>
    <row r="112" spans="2:17" ht="12.75" customHeight="1">
      <c r="B112" s="585"/>
      <c r="C112" s="564"/>
      <c r="D112" s="573"/>
      <c r="E112" s="573"/>
      <c r="F112" s="573"/>
      <c r="G112" s="573"/>
      <c r="I112" s="584"/>
      <c r="J112" s="648"/>
    </row>
    <row r="113" spans="2:23" ht="12.75" customHeight="1">
      <c r="B113" s="585"/>
      <c r="C113" s="564"/>
      <c r="D113" s="573"/>
      <c r="E113" s="573"/>
      <c r="F113" s="573"/>
      <c r="G113" s="573"/>
      <c r="I113" s="584"/>
      <c r="J113" s="648"/>
    </row>
    <row r="114" spans="2:23" ht="12.75" customHeight="1">
      <c r="B114" s="585"/>
      <c r="C114" s="564"/>
      <c r="D114" s="573"/>
      <c r="E114" s="573"/>
      <c r="F114" s="573"/>
      <c r="G114" s="573"/>
      <c r="I114" s="584"/>
      <c r="J114" s="648"/>
    </row>
    <row r="115" spans="2:23" ht="12.75" customHeight="1">
      <c r="B115" s="570" t="s">
        <v>166</v>
      </c>
      <c r="C115" s="564"/>
      <c r="D115" s="573"/>
      <c r="E115" s="573"/>
      <c r="F115" s="573"/>
      <c r="G115" s="573"/>
      <c r="I115" s="584"/>
      <c r="J115" s="648"/>
      <c r="T115" s="471"/>
      <c r="U115" s="471"/>
      <c r="V115" s="471"/>
    </row>
    <row r="116" spans="2:23" ht="12.75" customHeight="1">
      <c r="B116" s="475" t="s">
        <v>24</v>
      </c>
      <c r="C116" s="564" t="s">
        <v>288</v>
      </c>
      <c r="D116" s="652"/>
      <c r="E116" s="652"/>
      <c r="F116" s="652"/>
      <c r="G116" s="652"/>
      <c r="H116" s="452"/>
      <c r="I116" s="476"/>
      <c r="J116" s="653" t="s">
        <v>366</v>
      </c>
    </row>
    <row r="117" spans="2:23" ht="12.75" customHeight="1">
      <c r="B117" s="475" t="s">
        <v>27</v>
      </c>
      <c r="C117" s="564" t="s">
        <v>288</v>
      </c>
      <c r="D117" s="652"/>
      <c r="E117" s="652"/>
      <c r="F117" s="652"/>
      <c r="G117" s="652"/>
      <c r="H117" s="452"/>
      <c r="I117" s="476"/>
      <c r="J117" s="653" t="s">
        <v>366</v>
      </c>
    </row>
    <row r="118" spans="2:23" ht="12.75" customHeight="1">
      <c r="B118" s="475" t="s">
        <v>28</v>
      </c>
      <c r="C118" s="564" t="s">
        <v>288</v>
      </c>
      <c r="D118" s="652"/>
      <c r="E118" s="652"/>
      <c r="F118" s="652"/>
      <c r="G118" s="652"/>
      <c r="H118" s="452"/>
      <c r="I118" s="476"/>
      <c r="J118" s="653" t="s">
        <v>366</v>
      </c>
    </row>
    <row r="119" spans="2:23" ht="12.75" customHeight="1">
      <c r="B119" s="475" t="s">
        <v>26</v>
      </c>
      <c r="C119" s="564" t="s">
        <v>288</v>
      </c>
      <c r="D119" s="652"/>
      <c r="E119" s="652"/>
      <c r="F119" s="652"/>
      <c r="G119" s="652"/>
      <c r="H119" s="452"/>
      <c r="I119" s="476"/>
      <c r="J119" s="653" t="s">
        <v>366</v>
      </c>
    </row>
    <row r="120" spans="2:23" ht="12.75" customHeight="1">
      <c r="B120" s="475" t="s">
        <v>167</v>
      </c>
      <c r="C120" s="564" t="s">
        <v>288</v>
      </c>
      <c r="D120" s="652"/>
      <c r="E120" s="652"/>
      <c r="F120" s="652"/>
      <c r="G120" s="652"/>
      <c r="H120" s="452"/>
      <c r="I120" s="476"/>
      <c r="J120" s="653" t="s">
        <v>366</v>
      </c>
      <c r="T120" s="471"/>
      <c r="U120" s="471"/>
      <c r="V120" s="471"/>
      <c r="W120" s="471"/>
    </row>
    <row r="121" spans="2:23" ht="12.75" customHeight="1">
      <c r="B121" s="475" t="s">
        <v>45</v>
      </c>
      <c r="C121" s="564" t="s">
        <v>288</v>
      </c>
      <c r="D121" s="652"/>
      <c r="E121" s="652"/>
      <c r="F121" s="652"/>
      <c r="G121" s="652"/>
      <c r="H121" s="451"/>
      <c r="I121" s="476"/>
      <c r="J121" s="653" t="s">
        <v>366</v>
      </c>
    </row>
    <row r="122" spans="2:23" ht="12.75" customHeight="1" thickBot="1">
      <c r="B122" s="591"/>
      <c r="C122" s="592"/>
      <c r="D122" s="593"/>
      <c r="E122" s="593"/>
      <c r="F122" s="593"/>
      <c r="G122" s="593"/>
      <c r="H122" s="244"/>
      <c r="I122" s="594"/>
      <c r="J122" s="649"/>
    </row>
    <row r="123" spans="2:23" ht="12.75" customHeight="1"/>
    <row r="124" spans="2:23" ht="12.75" customHeight="1"/>
    <row r="125" spans="2:23" ht="12.75" customHeight="1"/>
    <row r="126" spans="2:23" ht="12.75" customHeight="1" thickBot="1">
      <c r="B126" s="617" t="s">
        <v>168</v>
      </c>
    </row>
    <row r="127" spans="2:23" ht="12.75" customHeight="1">
      <c r="B127" s="472"/>
      <c r="C127" s="561"/>
      <c r="D127" s="473">
        <v>2015</v>
      </c>
      <c r="E127" s="473"/>
      <c r="F127" s="473"/>
      <c r="G127" s="473"/>
      <c r="I127" s="561"/>
      <c r="J127" s="473">
        <v>2020</v>
      </c>
      <c r="K127" s="473"/>
      <c r="L127" s="473"/>
      <c r="M127" s="561"/>
      <c r="N127" s="473">
        <v>2035</v>
      </c>
      <c r="O127" s="473"/>
      <c r="P127" s="473"/>
      <c r="Q127" s="561"/>
      <c r="R127" s="473" t="s">
        <v>145</v>
      </c>
      <c r="S127" s="474" t="s">
        <v>146</v>
      </c>
    </row>
    <row r="128" spans="2:23" ht="12.75" customHeight="1">
      <c r="B128" s="484"/>
      <c r="C128" s="563" t="s">
        <v>70</v>
      </c>
      <c r="D128" s="486" t="s">
        <v>392</v>
      </c>
      <c r="E128" s="486" t="s">
        <v>357</v>
      </c>
      <c r="F128" s="486" t="s">
        <v>393</v>
      </c>
      <c r="G128" s="486"/>
      <c r="H128" s="1173"/>
      <c r="I128" s="563" t="s">
        <v>394</v>
      </c>
      <c r="J128" s="486" t="s">
        <v>392</v>
      </c>
      <c r="K128" s="486" t="s">
        <v>357</v>
      </c>
      <c r="L128" s="486" t="s">
        <v>393</v>
      </c>
      <c r="M128" s="563" t="s">
        <v>394</v>
      </c>
      <c r="N128" s="486" t="s">
        <v>392</v>
      </c>
      <c r="O128" s="486" t="s">
        <v>357</v>
      </c>
      <c r="P128" s="486" t="s">
        <v>393</v>
      </c>
      <c r="Q128" s="563" t="s">
        <v>394</v>
      </c>
      <c r="R128" s="485"/>
      <c r="S128" s="487"/>
    </row>
    <row r="129" spans="2:19" ht="12.75" customHeight="1">
      <c r="B129" s="475" t="s">
        <v>419</v>
      </c>
      <c r="C129" s="501" t="s">
        <v>420</v>
      </c>
      <c r="D129" s="1431">
        <v>119972</v>
      </c>
      <c r="E129" s="1432" t="s">
        <v>366</v>
      </c>
      <c r="F129" s="1431">
        <v>141890</v>
      </c>
      <c r="G129" s="1431"/>
      <c r="H129" s="1173"/>
      <c r="I129" s="1433">
        <f>+F129</f>
        <v>141890</v>
      </c>
      <c r="J129" s="1431">
        <v>119972</v>
      </c>
      <c r="K129" s="1431" t="s">
        <v>366</v>
      </c>
      <c r="L129" s="1431">
        <v>141890</v>
      </c>
      <c r="M129" s="1433">
        <f>+L129</f>
        <v>141890</v>
      </c>
      <c r="N129" s="1431">
        <v>119972</v>
      </c>
      <c r="O129" s="1431" t="s">
        <v>366</v>
      </c>
      <c r="P129" s="1431">
        <v>141890</v>
      </c>
      <c r="Q129" s="1433">
        <f>+P129</f>
        <v>141890</v>
      </c>
      <c r="R129" s="476" t="str">
        <f>Referencer!B53</f>
        <v>47, Hydrogen in the Energy Sector, Issue 8.7.1996, Authors: Dr. Werner Zittel, Reinhold Wurster, Ludwig-Bölkow-Systemtechnik GmbH</v>
      </c>
      <c r="S129" s="477"/>
    </row>
    <row r="130" spans="2:19" ht="12.75" customHeight="1">
      <c r="B130" s="475"/>
      <c r="C130" s="501" t="s">
        <v>421</v>
      </c>
      <c r="D130" s="1422">
        <v>33.33</v>
      </c>
      <c r="E130" s="1423" t="s">
        <v>366</v>
      </c>
      <c r="F130" s="1422">
        <v>39.409999999999997</v>
      </c>
      <c r="G130" s="1422"/>
      <c r="H130" s="1173"/>
      <c r="I130" s="1424">
        <f>+F130</f>
        <v>39.409999999999997</v>
      </c>
      <c r="J130" s="1422">
        <v>33.33</v>
      </c>
      <c r="K130" s="1422" t="s">
        <v>366</v>
      </c>
      <c r="L130" s="1422">
        <v>39.409999999999997</v>
      </c>
      <c r="M130" s="1424">
        <f>+L130</f>
        <v>39.409999999999997</v>
      </c>
      <c r="N130" s="1422">
        <v>33.33</v>
      </c>
      <c r="O130" s="1422" t="s">
        <v>366</v>
      </c>
      <c r="P130" s="1422">
        <v>39.409999999999997</v>
      </c>
      <c r="Q130" s="1424">
        <f>+P130</f>
        <v>39.409999999999997</v>
      </c>
      <c r="R130" s="476"/>
      <c r="S130" s="477"/>
    </row>
    <row r="131" spans="2:19" ht="12.75" customHeight="1">
      <c r="B131" s="475"/>
      <c r="C131" s="501" t="s">
        <v>422</v>
      </c>
      <c r="D131" s="1422">
        <v>10.782999999999999</v>
      </c>
      <c r="E131" s="1423" t="s">
        <v>366</v>
      </c>
      <c r="F131" s="1422">
        <v>12.744999999999999</v>
      </c>
      <c r="G131" s="1422"/>
      <c r="H131" s="1399"/>
      <c r="I131" s="1424">
        <f>+F131</f>
        <v>12.744999999999999</v>
      </c>
      <c r="J131" s="1422">
        <v>10.782999999999999</v>
      </c>
      <c r="K131" s="1422" t="s">
        <v>366</v>
      </c>
      <c r="L131" s="1422">
        <v>12.744999999999999</v>
      </c>
      <c r="M131" s="1424">
        <f>+L131</f>
        <v>12.744999999999999</v>
      </c>
      <c r="N131" s="1422">
        <v>10.782999999999999</v>
      </c>
      <c r="O131" s="1422" t="s">
        <v>366</v>
      </c>
      <c r="P131" s="1422">
        <v>12.744999999999999</v>
      </c>
      <c r="Q131" s="1424">
        <f>+P131</f>
        <v>12.744999999999999</v>
      </c>
      <c r="R131" s="476"/>
      <c r="S131" s="477"/>
    </row>
    <row r="132" spans="2:19" ht="12.75" customHeight="1">
      <c r="B132" s="475"/>
      <c r="C132" s="501" t="s">
        <v>423</v>
      </c>
      <c r="D132" s="1422">
        <v>2.9950000000000001</v>
      </c>
      <c r="E132" s="1423" t="s">
        <v>366</v>
      </c>
      <c r="F132" s="1422">
        <v>3.5089999999999999</v>
      </c>
      <c r="G132" s="1422"/>
      <c r="H132" s="393"/>
      <c r="I132" s="1424">
        <f>+F132</f>
        <v>3.5089999999999999</v>
      </c>
      <c r="J132" s="1422">
        <v>2.9950000000000001</v>
      </c>
      <c r="K132" s="1422" t="s">
        <v>366</v>
      </c>
      <c r="L132" s="1422">
        <v>3.5089999999999999</v>
      </c>
      <c r="M132" s="1424">
        <f>+L132</f>
        <v>3.5089999999999999</v>
      </c>
      <c r="N132" s="1422">
        <v>2.9950000000000001</v>
      </c>
      <c r="O132" s="1422" t="s">
        <v>366</v>
      </c>
      <c r="P132" s="1422">
        <v>3.5089999999999999</v>
      </c>
      <c r="Q132" s="1424">
        <f>+P132</f>
        <v>3.5089999999999999</v>
      </c>
      <c r="R132" s="476"/>
      <c r="S132" s="477"/>
    </row>
    <row r="133" spans="2:19" ht="12.75" customHeight="1">
      <c r="B133" s="475" t="s">
        <v>366</v>
      </c>
      <c r="C133" s="501" t="s">
        <v>366</v>
      </c>
      <c r="D133" s="1423" t="s">
        <v>366</v>
      </c>
      <c r="E133" s="1423" t="s">
        <v>366</v>
      </c>
      <c r="F133" s="1422" t="s">
        <v>366</v>
      </c>
      <c r="G133" s="1422"/>
      <c r="I133" s="1424"/>
      <c r="J133" s="1422"/>
      <c r="K133" s="1422" t="s">
        <v>366</v>
      </c>
      <c r="L133" s="1422"/>
      <c r="M133" s="1424"/>
      <c r="N133" s="1422"/>
      <c r="O133" s="1422" t="s">
        <v>366</v>
      </c>
      <c r="P133" s="1422"/>
      <c r="Q133" s="1424"/>
      <c r="R133" s="476"/>
      <c r="S133" s="477"/>
    </row>
    <row r="134" spans="2:19" ht="12.75" customHeight="1">
      <c r="B134" s="475" t="s">
        <v>424</v>
      </c>
      <c r="C134" s="501" t="s">
        <v>425</v>
      </c>
      <c r="D134" s="1422">
        <v>1.74</v>
      </c>
      <c r="E134" s="1423" t="s">
        <v>366</v>
      </c>
      <c r="F134" s="1422">
        <v>1.74</v>
      </c>
      <c r="G134" s="1422"/>
      <c r="I134" s="1424">
        <f>+F134</f>
        <v>1.74</v>
      </c>
      <c r="J134" s="1422">
        <v>0.65</v>
      </c>
      <c r="K134" s="1422" t="s">
        <v>366</v>
      </c>
      <c r="L134" s="1422">
        <v>0.65</v>
      </c>
      <c r="M134" s="1424">
        <f>+L134</f>
        <v>0.65</v>
      </c>
      <c r="N134" s="1422">
        <v>0.65</v>
      </c>
      <c r="O134" s="1422" t="s">
        <v>366</v>
      </c>
      <c r="P134" s="1422">
        <v>0.65</v>
      </c>
      <c r="Q134" s="1424">
        <f>+P134</f>
        <v>0.65</v>
      </c>
      <c r="R134" s="476" t="str">
        <f>Referencer!B54</f>
        <v xml:space="preserve">48, Hvide Sande 2 </v>
      </c>
      <c r="S134" s="477"/>
    </row>
    <row r="135" spans="2:19" ht="12.75" customHeight="1" thickBot="1">
      <c r="B135" s="481"/>
      <c r="C135" s="502"/>
      <c r="D135" s="1425" t="s">
        <v>366</v>
      </c>
      <c r="E135" s="1425" t="s">
        <v>366</v>
      </c>
      <c r="F135" s="1425" t="s">
        <v>366</v>
      </c>
      <c r="G135" s="1425"/>
      <c r="I135" s="1426"/>
      <c r="J135" s="1425"/>
      <c r="K135" s="1425" t="s">
        <v>366</v>
      </c>
      <c r="L135" s="1425"/>
      <c r="M135" s="1427"/>
      <c r="N135" s="1425"/>
      <c r="O135" s="1425" t="s">
        <v>366</v>
      </c>
      <c r="P135" s="1425"/>
      <c r="Q135" s="1426"/>
      <c r="R135" s="482"/>
      <c r="S135" s="483"/>
    </row>
    <row r="136" spans="2:19" ht="12.75" customHeight="1">
      <c r="B136" s="469" t="s">
        <v>426</v>
      </c>
      <c r="C136" s="469" t="s">
        <v>427</v>
      </c>
      <c r="D136" s="1428"/>
      <c r="E136" s="1429">
        <v>0.73</v>
      </c>
      <c r="F136" s="1428"/>
      <c r="G136" s="1428"/>
      <c r="I136" s="1430">
        <f>+E136</f>
        <v>0.73</v>
      </c>
      <c r="J136" s="1428"/>
      <c r="K136" s="1428"/>
      <c r="L136" s="1428"/>
      <c r="M136" s="1428"/>
      <c r="N136" s="1428"/>
      <c r="O136" s="1428"/>
      <c r="P136" s="1428"/>
      <c r="Q136" s="1428"/>
    </row>
    <row r="137" spans="2:19" ht="12.75" customHeight="1">
      <c r="C137" s="469" t="s">
        <v>428</v>
      </c>
      <c r="D137" s="1428"/>
      <c r="E137" s="1429">
        <v>0.12</v>
      </c>
      <c r="F137" s="1428"/>
      <c r="G137" s="1428"/>
      <c r="I137" s="1430">
        <f>+E137</f>
        <v>0.12</v>
      </c>
      <c r="J137" s="1428"/>
      <c r="K137" s="1428"/>
      <c r="L137" s="1428"/>
      <c r="M137" s="1428"/>
      <c r="N137" s="1428"/>
      <c r="O137" s="1428"/>
      <c r="P137" s="1428"/>
      <c r="Q137" s="1428"/>
    </row>
    <row r="138" spans="2:19" ht="12.75" customHeight="1">
      <c r="C138" s="469" t="s">
        <v>429</v>
      </c>
      <c r="D138" s="1428"/>
      <c r="E138" s="1434">
        <v>0.15</v>
      </c>
      <c r="F138" s="1435"/>
      <c r="G138" s="1435"/>
      <c r="I138" s="1436">
        <f>+E138</f>
        <v>0.15</v>
      </c>
      <c r="J138" s="1428"/>
      <c r="K138" s="1428"/>
      <c r="L138" s="1428"/>
      <c r="M138" s="1428"/>
      <c r="N138" s="1428"/>
      <c r="O138" s="1428"/>
      <c r="P138" s="1428"/>
      <c r="Q138" s="1428"/>
    </row>
    <row r="139" spans="2:19" ht="12.75" customHeight="1"/>
    <row r="140" spans="2:19" ht="12.75" customHeight="1">
      <c r="E140" s="469" t="s">
        <v>366</v>
      </c>
    </row>
    <row r="141" spans="2:19" ht="12.75" customHeight="1"/>
    <row r="142" spans="2:19" ht="12.75" customHeight="1"/>
    <row r="143" spans="2:19" ht="12.75" customHeight="1"/>
    <row r="144" spans="2:19"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sheetData>
  <pageMargins left="0.15748031496062992" right="0.15748031496062992" top="1.25" bottom="0.19685039370078741" header="0.51181102362204722" footer="0.51181102362204722"/>
  <pageSetup paperSize="9" scale="38" orientation="landscape" r:id="rId1"/>
  <headerFooter alignWithMargins="0">
    <oddHeader>&amp;L&amp;"Arial"&amp;14&amp;BBeregningsmodel
&amp;"Arial"&amp;08&amp;B64329, Teknologivurdering af alternative drivmidler til transportsektoren&amp;R&amp;"Arial"&amp;08Page &amp;P of &amp;N</oddHeader>
    <oddFooter>&amp;L&amp;"Arial"&amp;08&amp;Z&amp;F
Sheet: &amp;A&amp;C&amp;"Arial"&amp;08Printed &amp;D &amp;T&amp;R&amp;G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6323" r:id="rId5" name="Button 3">
              <controlPr defaultSize="0" print="0" autoFill="0" autoPict="0" macro="[0]!GtOver">
                <anchor>
                  <from>
                    <xdr:col>7</xdr:col>
                    <xdr:colOff>847725</xdr:colOff>
                    <xdr:row>0</xdr:row>
                    <xdr:rowOff>38100</xdr:rowOff>
                  </from>
                  <to>
                    <xdr:col>9</xdr:col>
                    <xdr:colOff>219075</xdr:colOff>
                    <xdr:row>0</xdr:row>
                    <xdr:rowOff>238125</xdr:rowOff>
                  </to>
                </anchor>
              </controlPr>
            </control>
          </mc:Choice>
        </mc:AlternateContent>
        <mc:AlternateContent xmlns:mc="http://schemas.openxmlformats.org/markup-compatibility/2006">
          <mc:Choice Requires="x14">
            <control shapeId="56324" r:id="rId6" name="Button 4">
              <controlPr defaultSize="0" print="0" autoFill="0" autoPict="0" macro="[0]!GtRes">
                <anchor>
                  <from>
                    <xdr:col>9</xdr:col>
                    <xdr:colOff>400050</xdr:colOff>
                    <xdr:row>0</xdr:row>
                    <xdr:rowOff>38100</xdr:rowOff>
                  </from>
                  <to>
                    <xdr:col>10</xdr:col>
                    <xdr:colOff>609600</xdr:colOff>
                    <xdr:row>0</xdr:row>
                    <xdr:rowOff>238125</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rgb="FF0070C0"/>
    <pageSetUpPr fitToPage="1"/>
  </sheetPr>
  <dimension ref="B1:T333"/>
  <sheetViews>
    <sheetView zoomScale="80" zoomScaleNormal="80" workbookViewId="0">
      <selection activeCell="D29" sqref="D29"/>
    </sheetView>
  </sheetViews>
  <sheetFormatPr defaultColWidth="8.85546875" defaultRowHeight="12.75"/>
  <cols>
    <col min="1" max="1" width="3.28515625" style="469" customWidth="1"/>
    <col min="2" max="2" width="36" style="469" customWidth="1"/>
    <col min="3" max="3" width="16.5703125" style="469" customWidth="1"/>
    <col min="4" max="7" width="15.7109375" style="469" customWidth="1"/>
    <col min="8" max="8" width="15.7109375" style="523" customWidth="1"/>
    <col min="9" max="9" width="7.28515625" style="469" customWidth="1"/>
    <col min="10" max="10" width="12.7109375" style="469" customWidth="1"/>
    <col min="11" max="11" width="11.28515625" style="469" customWidth="1"/>
    <col min="12" max="13" width="8.85546875" style="469"/>
    <col min="14" max="14" width="37.85546875" style="469" customWidth="1"/>
    <col min="15" max="16" width="8.85546875" style="469"/>
    <col min="17" max="18" width="12" style="469" customWidth="1"/>
    <col min="19" max="16384" width="8.85546875" style="469"/>
  </cols>
  <sheetData>
    <row r="1" spans="2:18" s="465" customFormat="1" ht="21">
      <c r="B1" s="465" t="s">
        <v>383</v>
      </c>
      <c r="C1" s="466"/>
      <c r="Q1" s="467">
        <f ca="1">'Log2015'!M1</f>
        <v>-8.0112614142160741</v>
      </c>
      <c r="R1" s="468">
        <f ca="1">'Log2015'!N1</f>
        <v>-160807.124977848</v>
      </c>
    </row>
    <row r="2" spans="2:18" ht="12.75" customHeight="1">
      <c r="Q2" s="624">
        <f ca="1">Q1</f>
        <v>-8.0112614142160741</v>
      </c>
      <c r="R2" s="624">
        <f ca="1">R1</f>
        <v>-160807.124977848</v>
      </c>
    </row>
    <row r="3" spans="2:18" ht="12.75" customHeight="1"/>
    <row r="4" spans="2:18" ht="12.75" customHeight="1" thickBot="1">
      <c r="B4" s="470" t="s">
        <v>81</v>
      </c>
      <c r="H4" s="215"/>
    </row>
    <row r="5" spans="2:18" ht="12.75" customHeight="1" thickBot="1">
      <c r="B5" s="472" t="s">
        <v>137</v>
      </c>
      <c r="C5" s="473"/>
      <c r="D5" s="473"/>
      <c r="E5" s="473"/>
      <c r="F5" s="473"/>
      <c r="G5" s="473"/>
      <c r="I5" s="473"/>
      <c r="J5" s="474"/>
      <c r="K5" s="476"/>
      <c r="L5" s="476"/>
      <c r="M5" s="476"/>
      <c r="N5" s="476"/>
      <c r="O5" s="476"/>
      <c r="P5" s="476"/>
    </row>
    <row r="6" spans="2:18" ht="12.75" customHeight="1">
      <c r="B6" s="475" t="s">
        <v>676</v>
      </c>
      <c r="C6" s="476"/>
      <c r="D6" s="476"/>
      <c r="E6" s="476"/>
      <c r="F6" s="476"/>
      <c r="G6" s="476"/>
      <c r="H6" s="245"/>
      <c r="I6" s="476"/>
      <c r="J6" s="477"/>
      <c r="K6" s="476"/>
      <c r="L6" s="476"/>
      <c r="M6" s="476"/>
      <c r="N6" s="476"/>
      <c r="O6" s="476"/>
      <c r="P6" s="476"/>
    </row>
    <row r="7" spans="2:18" ht="12.75" customHeight="1">
      <c r="B7" s="475" t="s">
        <v>430</v>
      </c>
      <c r="C7" s="476"/>
      <c r="D7" s="476"/>
      <c r="E7" s="476"/>
      <c r="F7" s="476"/>
      <c r="G7" s="476"/>
      <c r="H7" s="248"/>
      <c r="I7" s="476"/>
      <c r="J7" s="477"/>
      <c r="K7" s="476"/>
      <c r="L7" s="476"/>
      <c r="M7" s="476"/>
      <c r="N7" s="476"/>
      <c r="O7" s="476"/>
      <c r="P7" s="476"/>
    </row>
    <row r="8" spans="2:18" ht="12.75" customHeight="1">
      <c r="B8" s="475" t="s">
        <v>431</v>
      </c>
      <c r="C8" s="476"/>
      <c r="D8" s="476"/>
      <c r="E8" s="476"/>
      <c r="F8" s="476"/>
      <c r="G8" s="476"/>
      <c r="H8" s="248"/>
      <c r="I8" s="476"/>
      <c r="J8" s="477"/>
      <c r="K8" s="476"/>
      <c r="L8" s="476"/>
      <c r="M8" s="476"/>
      <c r="N8" s="476"/>
      <c r="O8" s="476"/>
      <c r="P8" s="476"/>
    </row>
    <row r="9" spans="2:18" ht="12.75" customHeight="1">
      <c r="B9" s="475" t="s">
        <v>432</v>
      </c>
      <c r="C9" s="476"/>
      <c r="D9" s="476"/>
      <c r="E9" s="476"/>
      <c r="F9" s="476"/>
      <c r="G9" s="476"/>
      <c r="H9" s="248"/>
      <c r="I9" s="476"/>
      <c r="J9" s="477"/>
      <c r="K9" s="476"/>
      <c r="L9" s="476"/>
      <c r="M9" s="476"/>
      <c r="N9" s="476"/>
      <c r="O9" s="476"/>
      <c r="P9" s="476"/>
    </row>
    <row r="10" spans="2:18" ht="12.75" customHeight="1">
      <c r="B10" s="475" t="s">
        <v>138</v>
      </c>
      <c r="C10" s="476"/>
      <c r="D10" s="476"/>
      <c r="E10" s="476"/>
      <c r="F10" s="476"/>
      <c r="G10" s="476"/>
      <c r="H10" s="248"/>
      <c r="I10" s="476"/>
      <c r="J10" s="477"/>
      <c r="K10" s="476"/>
      <c r="L10" s="476"/>
      <c r="M10" s="476"/>
      <c r="N10" s="476"/>
      <c r="O10" s="476"/>
      <c r="P10" s="476"/>
    </row>
    <row r="11" spans="2:18" ht="12.75" customHeight="1">
      <c r="B11" s="475" t="s">
        <v>433</v>
      </c>
      <c r="C11" s="476"/>
      <c r="D11" s="476"/>
      <c r="E11" s="476"/>
      <c r="F11" s="476"/>
      <c r="G11" s="476"/>
      <c r="H11" s="248"/>
      <c r="I11" s="476"/>
      <c r="J11" s="477"/>
      <c r="K11" s="476"/>
      <c r="L11" s="476"/>
      <c r="M11" s="476"/>
      <c r="N11" s="476"/>
      <c r="O11" s="476"/>
      <c r="P11" s="476"/>
    </row>
    <row r="12" spans="2:18" ht="12.75" customHeight="1">
      <c r="B12" s="475" t="s">
        <v>140</v>
      </c>
      <c r="C12" s="476"/>
      <c r="D12" s="476"/>
      <c r="E12" s="476"/>
      <c r="F12" s="476"/>
      <c r="G12" s="476"/>
      <c r="H12" s="248"/>
      <c r="I12" s="476"/>
      <c r="J12" s="477"/>
      <c r="K12" s="476"/>
      <c r="L12" s="476"/>
      <c r="M12" s="476"/>
      <c r="N12" s="476"/>
      <c r="O12" s="476"/>
      <c r="P12" s="476"/>
    </row>
    <row r="13" spans="2:18" ht="12.75" customHeight="1">
      <c r="B13" s="475" t="s">
        <v>434</v>
      </c>
      <c r="C13" s="476"/>
      <c r="D13" s="476"/>
      <c r="E13" s="476"/>
      <c r="F13" s="476"/>
      <c r="G13" s="476"/>
      <c r="H13" s="248"/>
      <c r="I13" s="476"/>
      <c r="J13" s="477"/>
      <c r="K13" s="476"/>
      <c r="L13" s="476"/>
      <c r="M13" s="476"/>
      <c r="N13" s="476"/>
      <c r="O13" s="476"/>
      <c r="P13" s="476"/>
    </row>
    <row r="14" spans="2:18" ht="12.75" customHeight="1">
      <c r="B14" s="475" t="s">
        <v>141</v>
      </c>
      <c r="C14" s="476"/>
      <c r="D14" s="476"/>
      <c r="E14" s="476"/>
      <c r="F14" s="476"/>
      <c r="G14" s="476"/>
      <c r="H14" s="248"/>
      <c r="I14" s="476"/>
      <c r="J14" s="477"/>
      <c r="K14" s="476"/>
      <c r="L14" s="476"/>
      <c r="M14" s="476"/>
      <c r="N14" s="476"/>
      <c r="O14" s="476"/>
      <c r="P14" s="476"/>
    </row>
    <row r="15" spans="2:18" ht="12.75" customHeight="1">
      <c r="B15" s="475"/>
      <c r="C15" s="476"/>
      <c r="D15" s="476"/>
      <c r="E15" s="476"/>
      <c r="F15" s="476"/>
      <c r="G15" s="476"/>
      <c r="H15" s="248"/>
      <c r="I15" s="476"/>
      <c r="J15" s="477"/>
      <c r="K15" s="476"/>
      <c r="L15" s="476"/>
      <c r="M15" s="476"/>
      <c r="N15" s="476"/>
      <c r="O15" s="476"/>
      <c r="P15" s="476"/>
    </row>
    <row r="16" spans="2:18" ht="12.75" customHeight="1">
      <c r="B16" s="475" t="s">
        <v>142</v>
      </c>
      <c r="C16" s="476"/>
      <c r="D16" s="476"/>
      <c r="E16" s="476"/>
      <c r="F16" s="476"/>
      <c r="G16" s="476"/>
      <c r="H16" s="248"/>
      <c r="I16" s="476"/>
      <c r="J16" s="477"/>
      <c r="K16" s="476"/>
      <c r="L16" s="476"/>
      <c r="M16" s="476"/>
      <c r="N16" s="476"/>
      <c r="O16" s="476"/>
      <c r="P16" s="476"/>
    </row>
    <row r="17" spans="2:16" ht="12.75" customHeight="1">
      <c r="B17" s="475"/>
      <c r="C17" s="476"/>
      <c r="D17" s="476"/>
      <c r="E17" s="476"/>
      <c r="F17" s="476"/>
      <c r="G17" s="476"/>
      <c r="H17" s="248"/>
      <c r="I17" s="476"/>
      <c r="J17" s="477"/>
      <c r="K17" s="476"/>
      <c r="L17" s="476"/>
      <c r="M17" s="476"/>
      <c r="N17" s="476"/>
      <c r="O17" s="476"/>
      <c r="P17" s="476"/>
    </row>
    <row r="18" spans="2:16" ht="12.75" customHeight="1">
      <c r="B18" s="475"/>
      <c r="C18" s="476"/>
      <c r="D18" s="476"/>
      <c r="E18" s="476"/>
      <c r="F18" s="476"/>
      <c r="G18" s="476"/>
      <c r="H18" s="248"/>
      <c r="I18" s="476"/>
      <c r="J18" s="477"/>
      <c r="K18" s="476"/>
      <c r="L18" s="476"/>
      <c r="M18" s="476"/>
      <c r="N18" s="476"/>
      <c r="O18" s="476"/>
      <c r="P18" s="476"/>
    </row>
    <row r="19" spans="2:16" ht="12.75" customHeight="1">
      <c r="B19" s="475"/>
      <c r="C19" s="476"/>
      <c r="D19" s="476"/>
      <c r="E19" s="476"/>
      <c r="F19" s="476"/>
      <c r="G19" s="476"/>
      <c r="H19" s="248"/>
      <c r="I19" s="476"/>
      <c r="J19" s="477"/>
      <c r="K19" s="476"/>
      <c r="L19" s="476"/>
      <c r="M19" s="476"/>
      <c r="N19" s="476"/>
      <c r="O19" s="476"/>
      <c r="P19" s="476"/>
    </row>
    <row r="20" spans="2:16" ht="12.75" customHeight="1">
      <c r="B20" s="475"/>
      <c r="C20" s="476"/>
      <c r="D20" s="476"/>
      <c r="E20" s="476"/>
      <c r="F20" s="476"/>
      <c r="G20" s="476"/>
      <c r="H20" s="248"/>
      <c r="I20" s="476"/>
      <c r="J20" s="477"/>
      <c r="K20" s="476"/>
      <c r="L20" s="476"/>
      <c r="M20" s="476"/>
      <c r="N20" s="476"/>
      <c r="O20" s="476"/>
      <c r="P20" s="476"/>
    </row>
    <row r="21" spans="2:16" ht="12.75" customHeight="1">
      <c r="B21" s="475" t="s">
        <v>143</v>
      </c>
      <c r="C21" s="476"/>
      <c r="D21" s="476"/>
      <c r="E21" s="476"/>
      <c r="F21" s="476"/>
      <c r="G21" s="476"/>
      <c r="H21" s="248"/>
      <c r="I21" s="476"/>
      <c r="J21" s="477"/>
      <c r="K21" s="476"/>
      <c r="L21" s="476"/>
      <c r="M21" s="476"/>
      <c r="N21" s="476"/>
      <c r="O21" s="476"/>
      <c r="P21" s="476"/>
    </row>
    <row r="22" spans="2:16" ht="12.75" customHeight="1">
      <c r="B22" s="475"/>
      <c r="C22" s="476"/>
      <c r="D22" s="476"/>
      <c r="E22" s="476"/>
      <c r="F22" s="476"/>
      <c r="G22" s="476"/>
      <c r="H22" s="248"/>
      <c r="I22" s="476"/>
      <c r="J22" s="477"/>
      <c r="K22" s="476"/>
      <c r="L22" s="476"/>
      <c r="M22" s="476"/>
      <c r="N22" s="476"/>
      <c r="O22" s="476"/>
      <c r="P22" s="476"/>
    </row>
    <row r="23" spans="2:16" ht="12.75" customHeight="1">
      <c r="B23" s="475"/>
      <c r="C23" s="476"/>
      <c r="D23" s="476"/>
      <c r="E23" s="476"/>
      <c r="F23" s="476"/>
      <c r="G23" s="476"/>
      <c r="H23" s="248"/>
      <c r="I23" s="476"/>
      <c r="J23" s="477"/>
      <c r="K23" s="476"/>
      <c r="L23" s="476"/>
      <c r="M23" s="476"/>
      <c r="N23" s="476"/>
      <c r="O23" s="476"/>
      <c r="P23" s="476"/>
    </row>
    <row r="24" spans="2:16" ht="12.75" customHeight="1" thickBot="1">
      <c r="B24" s="481"/>
      <c r="C24" s="482"/>
      <c r="D24" s="482"/>
      <c r="E24" s="482"/>
      <c r="F24" s="482"/>
      <c r="G24" s="482"/>
      <c r="H24" s="250"/>
      <c r="I24" s="482"/>
      <c r="J24" s="483"/>
      <c r="K24" s="476"/>
      <c r="L24" s="476"/>
      <c r="M24" s="476"/>
      <c r="N24" s="476"/>
      <c r="O24" s="476"/>
      <c r="P24" s="476"/>
    </row>
    <row r="25" spans="2:16" ht="12.75" customHeight="1">
      <c r="K25" s="476"/>
      <c r="L25" s="476"/>
      <c r="M25" s="476"/>
      <c r="N25" s="476"/>
      <c r="O25" s="476"/>
      <c r="P25" s="476"/>
    </row>
    <row r="26" spans="2:16" ht="12.75" customHeight="1">
      <c r="B26" s="470" t="s">
        <v>144</v>
      </c>
      <c r="E26" s="596"/>
      <c r="H26" s="215"/>
      <c r="K26" s="476"/>
      <c r="L26" s="476"/>
      <c r="M26" s="476"/>
      <c r="N26" s="476"/>
      <c r="O26" s="476"/>
      <c r="P26" s="476"/>
    </row>
    <row r="27" spans="2:16" ht="12.75" customHeight="1" thickBot="1">
      <c r="E27" s="596"/>
      <c r="H27" s="215"/>
    </row>
    <row r="28" spans="2:16" ht="12.75" customHeight="1">
      <c r="B28" s="472"/>
      <c r="C28" s="561"/>
      <c r="D28" s="473"/>
      <c r="E28" s="473"/>
      <c r="F28" s="473"/>
      <c r="G28" s="473"/>
      <c r="H28" s="221"/>
      <c r="I28" s="473"/>
      <c r="J28" s="474"/>
    </row>
    <row r="29" spans="2:16" ht="12.75" customHeight="1">
      <c r="B29" s="484"/>
      <c r="C29" s="563" t="s">
        <v>70</v>
      </c>
      <c r="D29" s="486">
        <v>2015</v>
      </c>
      <c r="E29" s="486">
        <v>2020</v>
      </c>
      <c r="F29" s="486">
        <v>2035</v>
      </c>
      <c r="G29" s="486">
        <v>2050</v>
      </c>
      <c r="H29" s="225" t="s">
        <v>978</v>
      </c>
      <c r="I29" s="485" t="s">
        <v>145</v>
      </c>
      <c r="J29" s="487" t="s">
        <v>146</v>
      </c>
    </row>
    <row r="30" spans="2:16" ht="12.75" customHeight="1">
      <c r="B30" s="656" t="s">
        <v>147</v>
      </c>
      <c r="C30" s="657"/>
      <c r="D30" s="658"/>
      <c r="E30" s="658"/>
      <c r="F30" s="658"/>
      <c r="G30" s="658"/>
      <c r="H30" s="209"/>
      <c r="I30" s="497"/>
      <c r="J30" s="659"/>
    </row>
    <row r="31" spans="2:16" ht="12.75" customHeight="1">
      <c r="B31" s="475" t="s">
        <v>148</v>
      </c>
      <c r="C31" s="564" t="s">
        <v>726</v>
      </c>
      <c r="D31" s="574">
        <v>0.9</v>
      </c>
      <c r="E31" s="574">
        <v>0.9</v>
      </c>
      <c r="F31" s="574">
        <v>0.9</v>
      </c>
      <c r="G31" s="574">
        <f>F31</f>
        <v>0.9</v>
      </c>
      <c r="H31" s="1422"/>
      <c r="I31" s="476"/>
      <c r="J31" s="644" t="s">
        <v>679</v>
      </c>
    </row>
    <row r="32" spans="2:16" ht="12.75" customHeight="1">
      <c r="B32" s="475" t="s">
        <v>67</v>
      </c>
      <c r="C32" s="564" t="s">
        <v>724</v>
      </c>
      <c r="D32" s="630">
        <v>1</v>
      </c>
      <c r="E32" s="630">
        <v>1</v>
      </c>
      <c r="F32" s="630">
        <v>1</v>
      </c>
      <c r="G32" s="630">
        <v>1</v>
      </c>
      <c r="H32" s="1422"/>
      <c r="I32" s="476" t="s">
        <v>366</v>
      </c>
      <c r="J32" s="477"/>
    </row>
    <row r="33" spans="2:10" ht="12.75" customHeight="1">
      <c r="B33" s="475" t="s">
        <v>149</v>
      </c>
      <c r="C33" s="564" t="s">
        <v>185</v>
      </c>
      <c r="D33" s="1439">
        <f>Elmotor!D75/D32/Elmotor!D23</f>
        <v>7.3742399999999995</v>
      </c>
      <c r="E33" s="1439">
        <f>Elmotor!E75/E32/Elmotor!E23</f>
        <v>5.7607200000000018</v>
      </c>
      <c r="F33" s="1439">
        <f>Elmotor!F75/F32/Elmotor!F23</f>
        <v>5.7607200000000018</v>
      </c>
      <c r="G33" s="1440">
        <f>F33</f>
        <v>5.7607200000000018</v>
      </c>
      <c r="H33" s="1590"/>
      <c r="I33" s="476"/>
      <c r="J33" s="645"/>
    </row>
    <row r="34" spans="2:10" ht="12.75" customHeight="1">
      <c r="B34" s="475" t="s">
        <v>150</v>
      </c>
      <c r="C34" s="564" t="s">
        <v>34</v>
      </c>
      <c r="D34" s="569">
        <v>30</v>
      </c>
      <c r="E34" s="569">
        <v>30</v>
      </c>
      <c r="F34" s="569">
        <v>30</v>
      </c>
      <c r="G34" s="569">
        <v>30</v>
      </c>
      <c r="H34" s="212"/>
      <c r="I34" s="476"/>
      <c r="J34" s="645"/>
    </row>
    <row r="35" spans="2:10" ht="12.75" customHeight="1">
      <c r="B35" s="475"/>
      <c r="C35" s="571"/>
      <c r="D35" s="573"/>
      <c r="E35" s="573"/>
      <c r="F35" s="573"/>
      <c r="G35" s="573"/>
      <c r="H35" s="213"/>
      <c r="I35" s="476"/>
      <c r="J35" s="477"/>
    </row>
    <row r="36" spans="2:10" ht="12.75" customHeight="1">
      <c r="B36" s="570" t="s">
        <v>151</v>
      </c>
      <c r="C36" s="571"/>
      <c r="D36" s="573"/>
      <c r="E36" s="573"/>
      <c r="F36" s="573"/>
      <c r="G36" s="573"/>
      <c r="H36" s="213"/>
      <c r="I36" s="476"/>
      <c r="J36" s="477"/>
    </row>
    <row r="37" spans="2:10" ht="12.75" customHeight="1">
      <c r="B37" s="475" t="str">
        <f>ProcessEnergy!B35</f>
        <v xml:space="preserve">Green diesel </v>
      </c>
      <c r="C37" s="564" t="s">
        <v>463</v>
      </c>
      <c r="D37" s="565"/>
      <c r="E37" s="565"/>
      <c r="F37" s="565"/>
      <c r="G37" s="565"/>
      <c r="H37" s="105"/>
      <c r="I37" s="476"/>
      <c r="J37" s="477"/>
    </row>
    <row r="38" spans="2:10" ht="12.75" customHeight="1">
      <c r="B38" s="575" t="str">
        <f>ProcessEnergy!B36</f>
        <v>Green gasoline</v>
      </c>
      <c r="C38" s="564"/>
      <c r="D38" s="565"/>
      <c r="E38" s="565"/>
      <c r="F38" s="565"/>
      <c r="G38" s="565"/>
      <c r="H38" s="105"/>
      <c r="I38" s="476"/>
      <c r="J38" s="477"/>
    </row>
    <row r="39" spans="2:10" ht="12.75" customHeight="1">
      <c r="B39" s="575" t="str">
        <f>ProcessEnergy!B37</f>
        <v>Electricity - balancing</v>
      </c>
      <c r="C39" s="564"/>
      <c r="D39" s="565"/>
      <c r="E39" s="565"/>
      <c r="F39" s="565"/>
      <c r="G39" s="565"/>
      <c r="H39" s="105"/>
      <c r="I39" s="476"/>
      <c r="J39" s="477"/>
    </row>
    <row r="40" spans="2:10" ht="12.75" customHeight="1">
      <c r="B40" s="575" t="str">
        <f>ProcessEnergy!B38</f>
        <v>Electricity  - continous</v>
      </c>
      <c r="C40" s="564"/>
      <c r="D40" s="565"/>
      <c r="E40" s="565"/>
      <c r="F40" s="565"/>
      <c r="G40" s="565"/>
      <c r="H40" s="105"/>
      <c r="I40" s="476"/>
      <c r="J40" s="477"/>
    </row>
    <row r="41" spans="2:10" ht="12.75" customHeight="1">
      <c r="B41" s="575" t="str">
        <f>ProcessEnergy!B39</f>
        <v>Elec/heat fuel</v>
      </c>
      <c r="C41" s="564"/>
      <c r="D41" s="565"/>
      <c r="E41" s="565"/>
      <c r="F41" s="565"/>
      <c r="G41" s="565"/>
      <c r="H41" s="105"/>
      <c r="I41" s="476"/>
      <c r="J41" s="477"/>
    </row>
    <row r="42" spans="2:10" ht="12.75" customHeight="1">
      <c r="B42" s="575" t="str">
        <f>ProcessEnergy!B40</f>
        <v>Biogas (100% CH4)</v>
      </c>
      <c r="C42" s="564"/>
      <c r="D42" s="565"/>
      <c r="E42" s="565"/>
      <c r="F42" s="565"/>
      <c r="G42" s="565"/>
      <c r="H42" s="105"/>
      <c r="I42" s="476"/>
      <c r="J42" s="477"/>
    </row>
    <row r="43" spans="2:10" ht="12.75" customHeight="1">
      <c r="B43" s="575" t="str">
        <f>ProcessEnergy!B41</f>
        <v>District heating</v>
      </c>
      <c r="C43" s="564"/>
      <c r="D43" s="565"/>
      <c r="E43" s="565"/>
      <c r="F43" s="565"/>
      <c r="G43" s="565"/>
      <c r="H43" s="105"/>
      <c r="I43" s="476"/>
      <c r="J43" s="477"/>
    </row>
    <row r="44" spans="2:10" ht="12.75" customHeight="1">
      <c r="B44" s="575" t="str">
        <f>ProcessEnergy!B42</f>
        <v>&lt;empty&gt;</v>
      </c>
      <c r="C44" s="564"/>
      <c r="D44" s="565"/>
      <c r="E44" s="565"/>
      <c r="F44" s="565"/>
      <c r="G44" s="565"/>
      <c r="H44" s="105"/>
      <c r="I44" s="476"/>
      <c r="J44" s="477"/>
    </row>
    <row r="45" spans="2:10" ht="12.75" customHeight="1">
      <c r="B45" s="575" t="str">
        <f>ProcessEnergy!B43</f>
        <v>&lt;empty&gt;</v>
      </c>
      <c r="C45" s="564"/>
      <c r="D45" s="565"/>
      <c r="E45" s="565"/>
      <c r="F45" s="565"/>
      <c r="G45" s="565"/>
      <c r="H45" s="105"/>
      <c r="I45" s="476"/>
      <c r="J45" s="477"/>
    </row>
    <row r="46" spans="2:10" ht="12.75" customHeight="1">
      <c r="B46" s="575" t="str">
        <f>ProcessEnergy!B44</f>
        <v>&lt;empty&gt;</v>
      </c>
      <c r="C46" s="564"/>
      <c r="D46" s="565"/>
      <c r="E46" s="565"/>
      <c r="F46" s="565"/>
      <c r="G46" s="565"/>
      <c r="H46" s="105"/>
      <c r="I46" s="476"/>
      <c r="J46" s="477"/>
    </row>
    <row r="47" spans="2:10" ht="12.75" customHeight="1">
      <c r="B47" s="575" t="str">
        <f>ProcessEnergy!B45</f>
        <v>&lt;empty&gt;</v>
      </c>
      <c r="C47" s="564"/>
      <c r="D47" s="565"/>
      <c r="E47" s="565"/>
      <c r="F47" s="565"/>
      <c r="G47" s="565"/>
      <c r="H47" s="105"/>
      <c r="I47" s="476"/>
      <c r="J47" s="477"/>
    </row>
    <row r="48" spans="2:10" ht="12.75" customHeight="1">
      <c r="B48" s="575" t="str">
        <f>ProcessEnergy!B46</f>
        <v>&lt;empty&gt;</v>
      </c>
      <c r="C48" s="564"/>
      <c r="D48" s="565"/>
      <c r="E48" s="565"/>
      <c r="F48" s="565"/>
      <c r="G48" s="565"/>
      <c r="H48" s="105"/>
      <c r="I48" s="476"/>
      <c r="J48" s="477"/>
    </row>
    <row r="49" spans="2:10" ht="12.75" customHeight="1">
      <c r="B49" s="575" t="str">
        <f>ProcessEnergy!B47</f>
        <v>&lt;empty&gt;</v>
      </c>
      <c r="C49" s="564"/>
      <c r="D49" s="565"/>
      <c r="E49" s="565"/>
      <c r="F49" s="565"/>
      <c r="G49" s="565"/>
      <c r="H49" s="105"/>
      <c r="I49" s="476"/>
      <c r="J49" s="477"/>
    </row>
    <row r="50" spans="2:10" ht="12.75" customHeight="1">
      <c r="B50" s="575" t="str">
        <f>ProcessEnergy!B48</f>
        <v>Glycerol</v>
      </c>
      <c r="C50" s="564"/>
      <c r="D50" s="565"/>
      <c r="E50" s="565"/>
      <c r="F50" s="565"/>
      <c r="G50" s="565"/>
      <c r="H50" s="105"/>
      <c r="I50" s="476"/>
      <c r="J50" s="477"/>
    </row>
    <row r="51" spans="2:10" ht="12.75" customHeight="1">
      <c r="B51" s="575" t="str">
        <f>ProcessEnergy!B49</f>
        <v>&lt;empty&gt;</v>
      </c>
      <c r="C51" s="564"/>
      <c r="D51" s="565"/>
      <c r="E51" s="565"/>
      <c r="F51" s="565"/>
      <c r="G51" s="565"/>
      <c r="H51" s="105"/>
      <c r="I51" s="476"/>
      <c r="J51" s="477"/>
    </row>
    <row r="52" spans="2:10" ht="12.75" customHeight="1">
      <c r="B52" s="575" t="str">
        <f>ProcessEnergy!B50</f>
        <v>&lt;empty&gt;</v>
      </c>
      <c r="C52" s="564"/>
      <c r="D52" s="565"/>
      <c r="E52" s="565"/>
      <c r="F52" s="565"/>
      <c r="G52" s="565"/>
      <c r="H52" s="105"/>
      <c r="I52" s="476"/>
      <c r="J52" s="477"/>
    </row>
    <row r="53" spans="2:10" ht="12.75" customHeight="1">
      <c r="B53" s="575" t="str">
        <f>ProcessEnergy!B51</f>
        <v>Fodder (wheat like)</v>
      </c>
      <c r="C53" s="564"/>
      <c r="D53" s="565"/>
      <c r="E53" s="565"/>
      <c r="F53" s="565"/>
      <c r="G53" s="565"/>
      <c r="H53" s="105"/>
      <c r="I53" s="476"/>
      <c r="J53" s="477"/>
    </row>
    <row r="54" spans="2:10" ht="12.75" customHeight="1">
      <c r="B54" s="575" t="str">
        <f>ProcessEnergy!B52</f>
        <v>Rape seed cake</v>
      </c>
      <c r="C54" s="564"/>
      <c r="D54" s="565"/>
      <c r="E54" s="565"/>
      <c r="F54" s="565"/>
      <c r="G54" s="565"/>
      <c r="H54" s="105"/>
      <c r="I54" s="476"/>
      <c r="J54" s="477"/>
    </row>
    <row r="55" spans="2:10" ht="12.75" customHeight="1">
      <c r="B55" s="575" t="str">
        <f>ProcessEnergy!B53</f>
        <v>&lt;empty&gt;</v>
      </c>
      <c r="C55" s="564"/>
      <c r="D55" s="565"/>
      <c r="E55" s="565"/>
      <c r="F55" s="565"/>
      <c r="G55" s="565"/>
      <c r="H55" s="105"/>
      <c r="I55" s="476"/>
      <c r="J55" s="477"/>
    </row>
    <row r="56" spans="2:10" ht="12.75" customHeight="1">
      <c r="B56" s="575" t="str">
        <f>ProcessEnergy!B54</f>
        <v>DDGS</v>
      </c>
      <c r="C56" s="564"/>
      <c r="D56" s="565"/>
      <c r="E56" s="565"/>
      <c r="F56" s="565"/>
      <c r="G56" s="565"/>
      <c r="H56" s="105"/>
      <c r="I56" s="476"/>
      <c r="J56" s="477"/>
    </row>
    <row r="57" spans="2:10" ht="12.75" customHeight="1">
      <c r="B57" s="475"/>
      <c r="C57" s="564"/>
      <c r="D57" s="565"/>
      <c r="E57" s="565"/>
      <c r="F57" s="565"/>
      <c r="G57" s="565"/>
      <c r="H57" s="105"/>
      <c r="I57" s="476"/>
      <c r="J57" s="477"/>
    </row>
    <row r="58" spans="2:10" ht="12.75" customHeight="1">
      <c r="B58" s="570" t="s">
        <v>873</v>
      </c>
      <c r="C58" s="564"/>
      <c r="D58" s="565"/>
      <c r="E58" s="565"/>
      <c r="F58" s="565"/>
      <c r="G58" s="565"/>
      <c r="H58" s="105"/>
      <c r="I58" s="476"/>
      <c r="J58" s="477"/>
    </row>
    <row r="59" spans="2:10" ht="12.75" customHeight="1">
      <c r="B59" s="475" t="str">
        <f>ProcessEnergy!B5</f>
        <v>EL - peakload</v>
      </c>
      <c r="C59" s="564" t="s">
        <v>897</v>
      </c>
      <c r="D59" s="565"/>
      <c r="E59" s="565"/>
      <c r="F59" s="565"/>
      <c r="G59" s="565"/>
      <c r="H59" s="105"/>
      <c r="I59" s="476"/>
      <c r="J59" s="477"/>
    </row>
    <row r="60" spans="2:10" ht="12.75" customHeight="1">
      <c r="B60" s="475" t="str">
        <f>ProcessEnergy!B6</f>
        <v>El - baseload</v>
      </c>
      <c r="C60" s="564" t="s">
        <v>897</v>
      </c>
      <c r="D60" s="646">
        <v>1</v>
      </c>
      <c r="E60" s="646">
        <v>1</v>
      </c>
      <c r="F60" s="646">
        <v>1</v>
      </c>
      <c r="G60" s="646">
        <v>1</v>
      </c>
      <c r="H60" s="105"/>
      <c r="I60" s="476"/>
      <c r="J60" s="477"/>
    </row>
    <row r="61" spans="2:10" ht="12.75" customHeight="1">
      <c r="B61" s="475" t="str">
        <f>ProcessEnergy!B7</f>
        <v xml:space="preserve">Varme </v>
      </c>
      <c r="C61" s="564" t="s">
        <v>897</v>
      </c>
      <c r="D61" s="565"/>
      <c r="E61" s="565"/>
      <c r="F61" s="565"/>
      <c r="G61" s="565"/>
      <c r="H61" s="105"/>
      <c r="I61" s="476"/>
      <c r="J61" s="477"/>
    </row>
    <row r="62" spans="2:10" ht="12.75" customHeight="1">
      <c r="B62" s="475" t="str">
        <f>ProcessEnergy!B8</f>
        <v>Damp</v>
      </c>
      <c r="C62" s="564" t="s">
        <v>897</v>
      </c>
      <c r="D62" s="565"/>
      <c r="E62" s="565"/>
      <c r="F62" s="565"/>
      <c r="G62" s="565"/>
      <c r="H62" s="105"/>
      <c r="I62" s="476"/>
      <c r="J62" s="477"/>
    </row>
    <row r="63" spans="2:10" ht="12.75" customHeight="1">
      <c r="B63" s="475" t="str">
        <f>ProcessEnergy!B9</f>
        <v xml:space="preserve">Olie </v>
      </c>
      <c r="C63" s="564" t="s">
        <v>897</v>
      </c>
      <c r="D63" s="565"/>
      <c r="E63" s="565"/>
      <c r="F63" s="565"/>
      <c r="G63" s="565"/>
      <c r="H63" s="105"/>
      <c r="I63" s="476"/>
      <c r="J63" s="477"/>
    </row>
    <row r="64" spans="2:10" ht="12.75" customHeight="1">
      <c r="B64" s="475" t="str">
        <f>ProcessEnergy!B10</f>
        <v>Kul</v>
      </c>
      <c r="C64" s="564" t="s">
        <v>897</v>
      </c>
      <c r="D64" s="565"/>
      <c r="E64" s="565"/>
      <c r="F64" s="565"/>
      <c r="G64" s="565"/>
      <c r="H64" s="105"/>
      <c r="I64" s="476"/>
      <c r="J64" s="477"/>
    </row>
    <row r="65" spans="2:10" ht="12.75" customHeight="1">
      <c r="B65" s="475" t="str">
        <f>ProcessEnergy!B11</f>
        <v>Naturgas kedel</v>
      </c>
      <c r="C65" s="564" t="s">
        <v>897</v>
      </c>
      <c r="D65" s="565"/>
      <c r="E65" s="565"/>
      <c r="F65" s="565"/>
      <c r="G65" s="565"/>
      <c r="H65" s="105"/>
      <c r="I65" s="476"/>
      <c r="J65" s="477"/>
    </row>
    <row r="66" spans="2:10" ht="12.75" customHeight="1">
      <c r="B66" s="475" t="str">
        <f>ProcessEnergy!B12</f>
        <v>Gylle</v>
      </c>
      <c r="C66" s="564" t="s">
        <v>897</v>
      </c>
      <c r="D66" s="565"/>
      <c r="E66" s="565"/>
      <c r="F66" s="565"/>
      <c r="G66" s="565"/>
      <c r="H66" s="105"/>
      <c r="I66" s="476"/>
      <c r="J66" s="477"/>
    </row>
    <row r="67" spans="2:10" ht="12.75" customHeight="1">
      <c r="B67" s="475" t="str">
        <f>ProcessEnergy!B13</f>
        <v>Affald</v>
      </c>
      <c r="C67" s="564" t="s">
        <v>897</v>
      </c>
      <c r="D67" s="565"/>
      <c r="E67" s="565"/>
      <c r="F67" s="565"/>
      <c r="G67" s="565"/>
      <c r="H67" s="105"/>
      <c r="I67" s="476"/>
      <c r="J67" s="477"/>
    </row>
    <row r="68" spans="2:10" ht="12.75" customHeight="1">
      <c r="B68" s="475" t="str">
        <f>ProcessEnergy!B14</f>
        <v>Hydrogen</v>
      </c>
      <c r="C68" s="564" t="s">
        <v>897</v>
      </c>
      <c r="D68" s="565"/>
      <c r="E68" s="565"/>
      <c r="F68" s="565"/>
      <c r="G68" s="565"/>
      <c r="H68" s="105"/>
      <c r="I68" s="476"/>
      <c r="J68" s="477"/>
    </row>
    <row r="69" spans="2:10" ht="12.75" customHeight="1">
      <c r="B69" s="475" t="str">
        <f>ProcessEnergy!B15</f>
        <v>Biomasse</v>
      </c>
      <c r="C69" s="564" t="s">
        <v>897</v>
      </c>
      <c r="D69" s="565"/>
      <c r="E69" s="565"/>
      <c r="F69" s="565"/>
      <c r="G69" s="565"/>
      <c r="H69" s="105"/>
      <c r="I69" s="476"/>
      <c r="J69" s="477"/>
    </row>
    <row r="70" spans="2:10" ht="12.75" customHeight="1">
      <c r="B70" s="475" t="str">
        <f>ProcessEnergy!B16</f>
        <v>Methanol</v>
      </c>
      <c r="C70" s="564"/>
      <c r="D70" s="565"/>
      <c r="E70" s="565"/>
      <c r="F70" s="565"/>
      <c r="G70" s="565"/>
      <c r="H70" s="105"/>
      <c r="I70" s="476"/>
      <c r="J70" s="477"/>
    </row>
    <row r="71" spans="2:10" ht="12.75" customHeight="1">
      <c r="B71" s="475" t="str">
        <f>ProcessEnergy!B17</f>
        <v>&lt;empty&gt;</v>
      </c>
      <c r="C71" s="564"/>
      <c r="D71" s="565"/>
      <c r="E71" s="565"/>
      <c r="F71" s="565"/>
      <c r="G71" s="565"/>
      <c r="H71" s="105"/>
      <c r="I71" s="476"/>
      <c r="J71" s="477"/>
    </row>
    <row r="72" spans="2:10" ht="12.75" customHeight="1">
      <c r="B72" s="475" t="str">
        <f>ProcessEnergy!B18</f>
        <v>&lt;empty&gt;</v>
      </c>
      <c r="C72" s="564"/>
      <c r="D72" s="565"/>
      <c r="E72" s="565"/>
      <c r="F72" s="565"/>
      <c r="G72" s="565"/>
      <c r="H72" s="105"/>
      <c r="I72" s="476"/>
      <c r="J72" s="477"/>
    </row>
    <row r="73" spans="2:10" ht="12.75" customHeight="1">
      <c r="B73" s="475" t="str">
        <f>ProcessEnergy!B19</f>
        <v>&lt;empty&gt;</v>
      </c>
      <c r="C73" s="564"/>
      <c r="D73" s="565"/>
      <c r="E73" s="565"/>
      <c r="F73" s="565"/>
      <c r="G73" s="565"/>
      <c r="H73" s="105"/>
      <c r="I73" s="476"/>
      <c r="J73" s="477"/>
    </row>
    <row r="74" spans="2:10" ht="12.75" customHeight="1">
      <c r="B74" s="475" t="str">
        <f>ProcessEnergy!B20</f>
        <v>&lt;empty&gt;</v>
      </c>
      <c r="C74" s="564"/>
      <c r="D74" s="565"/>
      <c r="E74" s="565"/>
      <c r="F74" s="565"/>
      <c r="G74" s="565"/>
      <c r="H74" s="105"/>
      <c r="I74" s="476"/>
      <c r="J74" s="477"/>
    </row>
    <row r="75" spans="2:10" ht="12.75" customHeight="1">
      <c r="B75" s="475" t="str">
        <f>ProcessEnergy!B21</f>
        <v>&lt;empty&gt;</v>
      </c>
      <c r="C75" s="564"/>
      <c r="D75" s="565"/>
      <c r="E75" s="565"/>
      <c r="F75" s="565"/>
      <c r="G75" s="565"/>
      <c r="H75" s="105"/>
      <c r="I75" s="476"/>
      <c r="J75" s="477"/>
    </row>
    <row r="76" spans="2:10" ht="12.75" customHeight="1">
      <c r="B76" s="475" t="str">
        <f>ProcessEnergy!B22</f>
        <v>&lt;empty&gt;</v>
      </c>
      <c r="C76" s="564"/>
      <c r="D76" s="565"/>
      <c r="E76" s="565"/>
      <c r="F76" s="565"/>
      <c r="G76" s="565"/>
      <c r="H76" s="105"/>
      <c r="I76" s="476"/>
      <c r="J76" s="477"/>
    </row>
    <row r="77" spans="2:10" ht="12.75" customHeight="1">
      <c r="B77" s="475" t="str">
        <f>ProcessEnergy!B23</f>
        <v>&lt;empty&gt;</v>
      </c>
      <c r="C77" s="564"/>
      <c r="D77" s="565"/>
      <c r="E77" s="565"/>
      <c r="F77" s="565"/>
      <c r="G77" s="565"/>
      <c r="H77" s="105"/>
      <c r="I77" s="476"/>
      <c r="J77" s="477"/>
    </row>
    <row r="78" spans="2:10" ht="12.75" customHeight="1">
      <c r="B78" s="475" t="str">
        <f>ProcessEnergy!B24</f>
        <v>&lt;empty&gt;</v>
      </c>
      <c r="C78" s="564"/>
      <c r="D78" s="565"/>
      <c r="E78" s="565"/>
      <c r="F78" s="565"/>
      <c r="G78" s="565"/>
      <c r="H78" s="105"/>
      <c r="I78" s="476"/>
      <c r="J78" s="477"/>
    </row>
    <row r="79" spans="2:10" ht="12.75" customHeight="1">
      <c r="B79" s="475"/>
      <c r="C79" s="564"/>
      <c r="D79" s="565"/>
      <c r="E79" s="565"/>
      <c r="F79" s="565"/>
      <c r="G79" s="565"/>
      <c r="H79" s="106"/>
      <c r="I79" s="476"/>
      <c r="J79" s="477"/>
    </row>
    <row r="80" spans="2:10" ht="12.75" customHeight="1">
      <c r="B80" s="475"/>
      <c r="C80" s="564"/>
      <c r="D80" s="565"/>
      <c r="E80" s="565"/>
      <c r="F80" s="565"/>
      <c r="G80" s="565"/>
      <c r="H80" s="106"/>
      <c r="I80" s="476"/>
      <c r="J80" s="477"/>
    </row>
    <row r="81" spans="2:20" ht="12.75" customHeight="1">
      <c r="B81" s="475"/>
      <c r="C81" s="564"/>
      <c r="D81" s="565"/>
      <c r="E81" s="565"/>
      <c r="F81" s="565"/>
      <c r="G81" s="565"/>
      <c r="H81" s="106"/>
      <c r="I81" s="476"/>
      <c r="J81" s="477"/>
    </row>
    <row r="82" spans="2:20" ht="12.75" customHeight="1">
      <c r="B82" s="570" t="s">
        <v>152</v>
      </c>
      <c r="C82" s="564"/>
      <c r="D82" s="565"/>
      <c r="E82" s="565"/>
      <c r="F82" s="565"/>
      <c r="G82" s="565"/>
      <c r="H82" s="106"/>
      <c r="I82" s="476"/>
      <c r="J82" s="477"/>
    </row>
    <row r="83" spans="2:20" ht="12.75" customHeight="1">
      <c r="B83" s="247" t="s">
        <v>462</v>
      </c>
      <c r="C83" s="210" t="s">
        <v>725</v>
      </c>
      <c r="D83" s="574">
        <v>1</v>
      </c>
      <c r="E83" s="574">
        <v>1</v>
      </c>
      <c r="F83" s="574">
        <v>1</v>
      </c>
      <c r="G83" s="574">
        <v>1</v>
      </c>
      <c r="H83" s="295"/>
      <c r="I83" s="476" t="s">
        <v>366</v>
      </c>
      <c r="J83" s="477"/>
    </row>
    <row r="84" spans="2:20" ht="12.75" customHeight="1">
      <c r="B84" s="247" t="s">
        <v>153</v>
      </c>
      <c r="C84" s="210" t="s">
        <v>725</v>
      </c>
      <c r="D84" s="574">
        <v>0</v>
      </c>
      <c r="E84" s="574">
        <v>0</v>
      </c>
      <c r="F84" s="574">
        <v>0</v>
      </c>
      <c r="G84" s="574">
        <v>0</v>
      </c>
      <c r="H84" s="105"/>
      <c r="I84" s="476" t="s">
        <v>366</v>
      </c>
      <c r="J84" s="477"/>
    </row>
    <row r="85" spans="2:20" ht="12.75" customHeight="1">
      <c r="B85" s="247" t="s">
        <v>154</v>
      </c>
      <c r="C85" s="210" t="s">
        <v>725</v>
      </c>
      <c r="D85" s="574">
        <v>0</v>
      </c>
      <c r="E85" s="574">
        <v>0</v>
      </c>
      <c r="F85" s="574">
        <v>0</v>
      </c>
      <c r="G85" s="574">
        <v>0</v>
      </c>
      <c r="H85" s="105"/>
      <c r="I85" s="476" t="s">
        <v>366</v>
      </c>
      <c r="J85" s="477"/>
    </row>
    <row r="86" spans="2:20" ht="12.75" customHeight="1">
      <c r="B86" s="310" t="s">
        <v>1240</v>
      </c>
      <c r="C86" s="210" t="s">
        <v>725</v>
      </c>
      <c r="D86" s="577">
        <f>D32*D31</f>
        <v>0.9</v>
      </c>
      <c r="E86" s="577">
        <f>E32*E31</f>
        <v>0.9</v>
      </c>
      <c r="F86" s="577">
        <f>F32*F31</f>
        <v>0.9</v>
      </c>
      <c r="G86" s="577">
        <f>G32*G31</f>
        <v>0.9</v>
      </c>
      <c r="H86" s="237"/>
      <c r="I86" s="476"/>
      <c r="J86" s="477"/>
    </row>
    <row r="87" spans="2:20" ht="12.75" customHeight="1">
      <c r="B87" s="108" t="s">
        <v>155</v>
      </c>
      <c r="C87" s="210" t="s">
        <v>725</v>
      </c>
      <c r="D87" s="577">
        <f>D83+D84-D85-D86</f>
        <v>9.9999999999999978E-2</v>
      </c>
      <c r="E87" s="577">
        <f>E83+E84-E85-E86</f>
        <v>9.9999999999999978E-2</v>
      </c>
      <c r="F87" s="577">
        <f>F83+F84-F85-F86</f>
        <v>9.9999999999999978E-2</v>
      </c>
      <c r="G87" s="577">
        <f>G83+G84-G85-G86</f>
        <v>9.9999999999999978E-2</v>
      </c>
      <c r="H87" s="109"/>
      <c r="I87" s="476"/>
      <c r="J87" s="477"/>
    </row>
    <row r="88" spans="2:20" ht="12.75" customHeight="1">
      <c r="B88" s="232" t="s">
        <v>2013</v>
      </c>
      <c r="C88" s="233" t="s">
        <v>726</v>
      </c>
      <c r="D88" s="580">
        <f>(D86+D85)/(D83+D84)</f>
        <v>0.9</v>
      </c>
      <c r="E88" s="580">
        <f>(E86+E85)/(E83+E84)</f>
        <v>0.9</v>
      </c>
      <c r="F88" s="580">
        <f>(F86+F85)/(F83+F84)</f>
        <v>0.9</v>
      </c>
      <c r="G88" s="580">
        <f>(G86+G85)/(G83+G84)</f>
        <v>0.9</v>
      </c>
      <c r="H88" s="462"/>
      <c r="I88" s="476"/>
      <c r="J88" s="477"/>
    </row>
    <row r="89" spans="2:20" ht="12.75" customHeight="1">
      <c r="B89" s="475" t="s">
        <v>781</v>
      </c>
      <c r="C89" s="564" t="s">
        <v>782</v>
      </c>
      <c r="D89" s="647">
        <f>D32*D31/D83</f>
        <v>0.9</v>
      </c>
      <c r="E89" s="647">
        <f>E32*E31/E83</f>
        <v>0.9</v>
      </c>
      <c r="F89" s="647">
        <f>F32*F31/F83</f>
        <v>0.9</v>
      </c>
      <c r="G89" s="647">
        <f>G32*G31/G83</f>
        <v>0.9</v>
      </c>
      <c r="H89" s="213"/>
      <c r="I89" s="476"/>
      <c r="J89" s="477"/>
      <c r="T89" s="471"/>
    </row>
    <row r="90" spans="2:20" ht="12.75" customHeight="1">
      <c r="B90" s="570" t="s">
        <v>33</v>
      </c>
      <c r="C90" s="564"/>
      <c r="D90" s="573"/>
      <c r="E90" s="573"/>
      <c r="F90" s="573"/>
      <c r="G90" s="573"/>
      <c r="H90" s="213"/>
      <c r="I90" s="476"/>
      <c r="J90" s="477"/>
    </row>
    <row r="91" spans="2:20" s="530" customFormat="1">
      <c r="B91" s="964" t="s">
        <v>157</v>
      </c>
      <c r="C91" s="976" t="s">
        <v>61</v>
      </c>
      <c r="D91" s="992">
        <f>HLOOKUP($H99,Supplementary!$C$44:$AF$46,3,FALSE)*D99</f>
        <v>10644.619289167016</v>
      </c>
      <c r="E91" s="555">
        <f>HLOOKUP($H99,Supplementary!$C$44:$AF$46,3,FALSE)*E99</f>
        <v>10644.619289167016</v>
      </c>
      <c r="F91" s="555">
        <f>HLOOKUP($H99,Supplementary!$C$44:$AF$46,3,FALSE)*F99</f>
        <v>9314.0418780211403</v>
      </c>
      <c r="G91" s="555">
        <f>HLOOKUP($H99,Supplementary!$C$44:$AF$46,3,FALSE)*G99</f>
        <v>9314.0418780211403</v>
      </c>
      <c r="H91" s="555">
        <f t="shared" ref="H91:H97" si="0">priceYear</f>
        <v>2015</v>
      </c>
      <c r="I91" s="555"/>
      <c r="J91" s="965"/>
      <c r="N91" s="991"/>
      <c r="O91" s="991"/>
      <c r="P91" s="991"/>
      <c r="Q91" s="991"/>
    </row>
    <row r="92" spans="2:20" s="530" customFormat="1">
      <c r="B92" s="964" t="s">
        <v>160</v>
      </c>
      <c r="C92" s="976" t="s">
        <v>464</v>
      </c>
      <c r="D92" s="992">
        <f ca="1">HLOOKUP($H100,Supplementary!$C$44:$AF$46,3,FALSE)*D100</f>
        <v>94.196582218466048</v>
      </c>
      <c r="E92" s="555">
        <f ca="1">HLOOKUP($H100,Supplementary!$C$44:$AF$46,3,FALSE)*E100</f>
        <v>120.49728378087467</v>
      </c>
      <c r="F92" s="555">
        <f ca="1">HLOOKUP($H100,Supplementary!$C$44:$AF$46,3,FALSE)*F100</f>
        <v>105.47208379190829</v>
      </c>
      <c r="G92" s="555">
        <f ca="1">HLOOKUP($H100,Supplementary!$C$44:$AF$46,3,FALSE)*G100</f>
        <v>105.47208379190829</v>
      </c>
      <c r="H92" s="555">
        <f t="shared" si="0"/>
        <v>2015</v>
      </c>
      <c r="I92" s="555"/>
      <c r="J92" s="965"/>
      <c r="N92" s="991"/>
      <c r="O92" s="991"/>
      <c r="P92" s="991"/>
      <c r="Q92" s="991"/>
    </row>
    <row r="93" spans="2:20" s="530" customFormat="1">
      <c r="B93" s="995" t="s">
        <v>162</v>
      </c>
      <c r="C93" s="976" t="s">
        <v>464</v>
      </c>
      <c r="D93" s="992">
        <f ca="1">HLOOKUP($H101,Supplementary!$C$44:$AF$46,3,FALSE)*D101</f>
        <v>93.900898349322532</v>
      </c>
      <c r="E93" s="555">
        <f ca="1">HLOOKUP($H101,Supplementary!$C$44:$AF$46,3,FALSE)*E101</f>
        <v>120.20159991173115</v>
      </c>
      <c r="F93" s="555">
        <f ca="1">HLOOKUP($H101,Supplementary!$C$44:$AF$46,3,FALSE)*F101</f>
        <v>105.17639992276476</v>
      </c>
      <c r="G93" s="555">
        <f ca="1">HLOOKUP($H101,Supplementary!$C$44:$AF$46,3,FALSE)*G101</f>
        <v>105.17639992276476</v>
      </c>
      <c r="H93" s="555">
        <f t="shared" si="0"/>
        <v>2015</v>
      </c>
      <c r="I93" s="555"/>
      <c r="J93" s="965"/>
      <c r="N93" s="991"/>
      <c r="O93" s="991"/>
      <c r="P93" s="991"/>
      <c r="Q93" s="991"/>
    </row>
    <row r="94" spans="2:20" s="530" customFormat="1">
      <c r="B94" s="995" t="s">
        <v>163</v>
      </c>
      <c r="C94" s="976" t="s">
        <v>464</v>
      </c>
      <c r="D94" s="992">
        <f>HLOOKUP($H102,Supplementary!$C$44:$AF$46,3,FALSE)*D102</f>
        <v>0</v>
      </c>
      <c r="E94" s="555">
        <f>HLOOKUP($H102,Supplementary!$C$44:$AF$46,3,FALSE)*E102</f>
        <v>0</v>
      </c>
      <c r="F94" s="555">
        <f>HLOOKUP($H102,Supplementary!$C$44:$AF$46,3,FALSE)*F102</f>
        <v>0</v>
      </c>
      <c r="G94" s="555">
        <f>HLOOKUP($H102,Supplementary!$C$44:$AF$46,3,FALSE)*G102</f>
        <v>0</v>
      </c>
      <c r="H94" s="555">
        <f t="shared" si="0"/>
        <v>2015</v>
      </c>
      <c r="I94" s="555"/>
      <c r="J94" s="965"/>
      <c r="N94" s="991"/>
      <c r="O94" s="991"/>
      <c r="P94" s="991"/>
      <c r="Q94" s="991"/>
    </row>
    <row r="95" spans="2:20" s="530" customFormat="1">
      <c r="B95" s="995" t="s">
        <v>164</v>
      </c>
      <c r="C95" s="976" t="s">
        <v>464</v>
      </c>
      <c r="D95" s="992">
        <f>HLOOKUP($H103,Supplementary!$C$44:$AF$46,3,FALSE)*D103</f>
        <v>0</v>
      </c>
      <c r="E95" s="555">
        <f>HLOOKUP($H103,Supplementary!$C$44:$AF$46,3,FALSE)*E103</f>
        <v>0</v>
      </c>
      <c r="F95" s="555">
        <f>HLOOKUP($H103,Supplementary!$C$44:$AF$46,3,FALSE)*F103</f>
        <v>0</v>
      </c>
      <c r="G95" s="555">
        <f>HLOOKUP($H103,Supplementary!$C$44:$AF$46,3,FALSE)*G103</f>
        <v>0</v>
      </c>
      <c r="H95" s="555">
        <f t="shared" si="0"/>
        <v>2015</v>
      </c>
      <c r="I95" s="555"/>
      <c r="J95" s="965"/>
      <c r="N95" s="991"/>
      <c r="O95" s="991"/>
      <c r="P95" s="991"/>
      <c r="Q95" s="991"/>
    </row>
    <row r="96" spans="2:20" s="530" customFormat="1">
      <c r="B96" s="995" t="s">
        <v>264</v>
      </c>
      <c r="C96" s="976" t="s">
        <v>464</v>
      </c>
      <c r="D96" s="992">
        <f>HLOOKUP($H104,Supplementary!$C$44:$AF$46,3,FALSE)*D104</f>
        <v>0.29568386914352823</v>
      </c>
      <c r="E96" s="555">
        <f>HLOOKUP($H104,Supplementary!$C$44:$AF$46,3,FALSE)*E104</f>
        <v>0.29568386914352823</v>
      </c>
      <c r="F96" s="555">
        <f>HLOOKUP($H104,Supplementary!$C$44:$AF$46,3,FALSE)*F104</f>
        <v>0.29568386914352823</v>
      </c>
      <c r="G96" s="555">
        <f>HLOOKUP($H104,Supplementary!$C$44:$AF$46,3,FALSE)*G104</f>
        <v>0.29568386914352823</v>
      </c>
      <c r="H96" s="555">
        <f t="shared" si="0"/>
        <v>2015</v>
      </c>
      <c r="I96" s="555"/>
      <c r="J96" s="965"/>
      <c r="N96" s="991"/>
      <c r="O96" s="991"/>
      <c r="P96" s="991"/>
      <c r="Q96" s="991"/>
    </row>
    <row r="97" spans="2:17" s="530" customFormat="1">
      <c r="B97" s="995" t="s">
        <v>165</v>
      </c>
      <c r="C97" s="976" t="s">
        <v>464</v>
      </c>
      <c r="D97" s="992">
        <f>HLOOKUP($H105,Supplementary!$C$44:$AF$46,3,FALSE)*D105</f>
        <v>0</v>
      </c>
      <c r="E97" s="555">
        <f>HLOOKUP($H105,Supplementary!$C$44:$AF$46,3,FALSE)*E105</f>
        <v>0</v>
      </c>
      <c r="F97" s="555">
        <f>HLOOKUP($H105,Supplementary!$C$44:$AF$46,3,FALSE)*F105</f>
        <v>0</v>
      </c>
      <c r="G97" s="555">
        <f>HLOOKUP($H105,Supplementary!$C$44:$AF$46,3,FALSE)*G105</f>
        <v>0</v>
      </c>
      <c r="H97" s="555">
        <f t="shared" si="0"/>
        <v>2015</v>
      </c>
      <c r="I97" s="555"/>
      <c r="J97" s="965"/>
      <c r="N97" s="991"/>
      <c r="O97" s="991"/>
      <c r="P97" s="991"/>
      <c r="Q97" s="991"/>
    </row>
    <row r="98" spans="2:17" s="530" customFormat="1">
      <c r="B98" s="975"/>
      <c r="C98" s="976"/>
      <c r="D98" s="992"/>
      <c r="E98" s="983"/>
      <c r="F98" s="983"/>
      <c r="G98" s="983"/>
      <c r="H98" s="983"/>
      <c r="I98" s="555"/>
      <c r="J98" s="965"/>
      <c r="N98" s="991"/>
      <c r="O98" s="991"/>
      <c r="P98" s="991"/>
      <c r="Q98" s="991"/>
    </row>
    <row r="99" spans="2:17" ht="12.75" customHeight="1">
      <c r="B99" s="475" t="s">
        <v>157</v>
      </c>
      <c r="C99" s="564" t="s">
        <v>61</v>
      </c>
      <c r="D99" s="568">
        <v>10000</v>
      </c>
      <c r="E99" s="568">
        <v>10000</v>
      </c>
      <c r="F99" s="568">
        <v>8750</v>
      </c>
      <c r="G99" s="568">
        <v>8750</v>
      </c>
      <c r="H99" s="1663">
        <v>2011</v>
      </c>
      <c r="I99" s="476" t="str">
        <f>CONCATENATE(Referencer!$B$56)</f>
        <v>50, www.cleanfuelconnection.com</v>
      </c>
      <c r="J99" s="477" t="s">
        <v>437</v>
      </c>
    </row>
    <row r="100" spans="2:17" ht="12.75" customHeight="1">
      <c r="B100" s="475" t="s">
        <v>160</v>
      </c>
      <c r="C100" s="564" t="s">
        <v>460</v>
      </c>
      <c r="D100" s="636">
        <f ca="1">+SUM(D101:D105)</f>
        <v>88.492204051233202</v>
      </c>
      <c r="E100" s="636">
        <f ca="1">+SUM(E101:E105)</f>
        <v>113.20018171387701</v>
      </c>
      <c r="F100" s="636">
        <f ca="1">+SUM(F101:F105)</f>
        <v>99.08488122186462</v>
      </c>
      <c r="G100" s="636">
        <f ca="1">+SUM(G101:G105)</f>
        <v>99.08488122186462</v>
      </c>
      <c r="H100" s="1663">
        <v>2011</v>
      </c>
      <c r="I100" s="584"/>
      <c r="J100" s="477" t="s">
        <v>1780</v>
      </c>
    </row>
    <row r="101" spans="2:17" ht="12.75" customHeight="1">
      <c r="B101" s="585" t="s">
        <v>162</v>
      </c>
      <c r="C101" s="564" t="s">
        <v>460</v>
      </c>
      <c r="D101" s="636">
        <f ca="1">PMT(rSØK,D34,-D99)/(D33)/D32</f>
        <v>88.21442627345543</v>
      </c>
      <c r="E101" s="636">
        <f ca="1">PMT(rSØK,E34,-E99)/(E33)/E32</f>
        <v>112.92240393609924</v>
      </c>
      <c r="F101" s="636">
        <f ca="1">PMT(rSØK,F34,-F99)/(F33)/F32</f>
        <v>98.807103444086849</v>
      </c>
      <c r="G101" s="636">
        <f ca="1">PMT(rSØK,G34,-G99)/(G33)/G32</f>
        <v>98.807103444086849</v>
      </c>
      <c r="H101" s="1663">
        <v>2011</v>
      </c>
      <c r="I101" s="584"/>
      <c r="J101" s="648"/>
    </row>
    <row r="102" spans="2:17" ht="12.75" customHeight="1">
      <c r="B102" s="585" t="s">
        <v>163</v>
      </c>
      <c r="C102" s="564" t="s">
        <v>460</v>
      </c>
      <c r="D102" s="568">
        <v>0</v>
      </c>
      <c r="E102" s="568">
        <v>0</v>
      </c>
      <c r="F102" s="568">
        <v>0</v>
      </c>
      <c r="G102" s="568">
        <v>0</v>
      </c>
      <c r="H102" s="1663">
        <v>2011</v>
      </c>
      <c r="I102" s="476" t="s">
        <v>366</v>
      </c>
      <c r="J102" s="477" t="s">
        <v>439</v>
      </c>
    </row>
    <row r="103" spans="2:17" ht="12.75" customHeight="1">
      <c r="B103" s="585" t="s">
        <v>164</v>
      </c>
      <c r="C103" s="564" t="s">
        <v>460</v>
      </c>
      <c r="D103" s="610"/>
      <c r="E103" s="610"/>
      <c r="F103" s="610"/>
      <c r="G103" s="610"/>
      <c r="H103" s="1663">
        <v>2011</v>
      </c>
      <c r="I103" s="476"/>
      <c r="J103" s="477"/>
    </row>
    <row r="104" spans="2:17" ht="12.75" customHeight="1">
      <c r="B104" s="585" t="s">
        <v>264</v>
      </c>
      <c r="C104" s="564" t="s">
        <v>460</v>
      </c>
      <c r="D104" s="638">
        <f>1/(Supplementary!C50*1000)</f>
        <v>0.27777777777777779</v>
      </c>
      <c r="E104" s="638">
        <f>1/(Supplementary!C50*1000)</f>
        <v>0.27777777777777779</v>
      </c>
      <c r="F104" s="638">
        <f>1/(Supplementary!C50*1000)</f>
        <v>0.27777777777777779</v>
      </c>
      <c r="G104" s="638">
        <f>1/(Supplementary!C50*1000)</f>
        <v>0.27777777777777779</v>
      </c>
      <c r="H104" s="1663">
        <v>2011</v>
      </c>
      <c r="I104" s="476" t="str">
        <f>CONCATENATE(Referencer!$B$56)</f>
        <v>50, www.cleanfuelconnection.com</v>
      </c>
      <c r="J104" s="477" t="s">
        <v>733</v>
      </c>
    </row>
    <row r="105" spans="2:17" ht="12.75" customHeight="1">
      <c r="B105" s="585" t="s">
        <v>165</v>
      </c>
      <c r="C105" s="564" t="s">
        <v>460</v>
      </c>
      <c r="D105" s="638">
        <v>0</v>
      </c>
      <c r="E105" s="638">
        <v>0</v>
      </c>
      <c r="F105" s="638">
        <v>0</v>
      </c>
      <c r="G105" s="638">
        <v>0</v>
      </c>
      <c r="H105" s="1663">
        <v>2011</v>
      </c>
      <c r="I105" s="476" t="s">
        <v>366</v>
      </c>
      <c r="J105" s="477" t="s">
        <v>366</v>
      </c>
    </row>
    <row r="106" spans="2:17" ht="12.75" customHeight="1">
      <c r="B106" s="585"/>
      <c r="C106" s="564"/>
      <c r="D106" s="573"/>
      <c r="E106" s="573"/>
      <c r="F106" s="573"/>
      <c r="G106" s="573"/>
      <c r="I106" s="584"/>
      <c r="J106" s="648"/>
    </row>
    <row r="107" spans="2:17" ht="12.75" customHeight="1">
      <c r="B107" s="585"/>
      <c r="C107" s="564"/>
      <c r="D107" s="573"/>
      <c r="E107" s="573"/>
      <c r="F107" s="573"/>
      <c r="G107" s="573"/>
      <c r="I107" s="584"/>
      <c r="J107" s="648"/>
    </row>
    <row r="108" spans="2:17" ht="12.75" customHeight="1">
      <c r="B108" s="585"/>
      <c r="C108" s="564"/>
      <c r="D108" s="573"/>
      <c r="E108" s="573"/>
      <c r="F108" s="573"/>
      <c r="G108" s="573"/>
      <c r="I108" s="584"/>
      <c r="J108" s="648"/>
    </row>
    <row r="109" spans="2:17" ht="12.75" customHeight="1">
      <c r="B109" s="585"/>
      <c r="C109" s="564"/>
      <c r="D109" s="573"/>
      <c r="E109" s="573"/>
      <c r="F109" s="573"/>
      <c r="G109" s="573"/>
      <c r="I109" s="584"/>
      <c r="J109" s="648"/>
    </row>
    <row r="110" spans="2:17" ht="12.75" customHeight="1">
      <c r="B110" s="585"/>
      <c r="C110" s="564"/>
      <c r="D110" s="573"/>
      <c r="E110" s="573"/>
      <c r="F110" s="573"/>
      <c r="G110" s="573"/>
      <c r="I110" s="584"/>
      <c r="J110" s="648"/>
    </row>
    <row r="111" spans="2:17" ht="12.75" customHeight="1">
      <c r="B111" s="585"/>
      <c r="C111" s="564"/>
      <c r="D111" s="573"/>
      <c r="E111" s="573"/>
      <c r="F111" s="573"/>
      <c r="G111" s="573"/>
      <c r="I111" s="584"/>
      <c r="J111" s="648"/>
    </row>
    <row r="112" spans="2:17" ht="12.75" customHeight="1">
      <c r="B112" s="585"/>
      <c r="C112" s="564"/>
      <c r="D112" s="573"/>
      <c r="E112" s="573"/>
      <c r="F112" s="573"/>
      <c r="G112" s="573"/>
      <c r="I112" s="584"/>
      <c r="J112" s="648"/>
    </row>
    <row r="113" spans="2:20" ht="12.75" customHeight="1">
      <c r="B113" s="585"/>
      <c r="C113" s="564"/>
      <c r="D113" s="573"/>
      <c r="E113" s="573"/>
      <c r="F113" s="573"/>
      <c r="G113" s="573"/>
      <c r="I113" s="584"/>
      <c r="J113" s="648"/>
    </row>
    <row r="114" spans="2:20" ht="12.75" customHeight="1">
      <c r="B114" s="585"/>
      <c r="C114" s="564"/>
      <c r="D114" s="573"/>
      <c r="E114" s="573"/>
      <c r="F114" s="573"/>
      <c r="G114" s="573"/>
      <c r="I114" s="584"/>
      <c r="J114" s="648"/>
    </row>
    <row r="115" spans="2:20" ht="12.75" customHeight="1">
      <c r="B115" s="570" t="s">
        <v>166</v>
      </c>
      <c r="C115" s="564"/>
      <c r="D115" s="573"/>
      <c r="E115" s="573"/>
      <c r="F115" s="573"/>
      <c r="G115" s="573"/>
      <c r="I115" s="584"/>
      <c r="J115" s="648"/>
      <c r="T115" s="471"/>
    </row>
    <row r="116" spans="2:20" ht="12.75" customHeight="1">
      <c r="B116" s="475" t="s">
        <v>24</v>
      </c>
      <c r="C116" s="564" t="s">
        <v>440</v>
      </c>
      <c r="D116" s="614"/>
      <c r="E116" s="614"/>
      <c r="F116" s="614"/>
      <c r="G116" s="614"/>
      <c r="H116" s="452"/>
      <c r="I116" s="476"/>
      <c r="J116" s="648"/>
    </row>
    <row r="117" spans="2:20" ht="12.75" customHeight="1">
      <c r="B117" s="475" t="s">
        <v>27</v>
      </c>
      <c r="C117" s="564" t="s">
        <v>440</v>
      </c>
      <c r="D117" s="614"/>
      <c r="E117" s="614"/>
      <c r="F117" s="614"/>
      <c r="G117" s="614"/>
      <c r="H117" s="452"/>
      <c r="I117" s="476"/>
      <c r="J117" s="648"/>
    </row>
    <row r="118" spans="2:20" ht="12.75" customHeight="1">
      <c r="B118" s="475" t="s">
        <v>28</v>
      </c>
      <c r="C118" s="564" t="s">
        <v>440</v>
      </c>
      <c r="D118" s="614"/>
      <c r="E118" s="614"/>
      <c r="F118" s="614"/>
      <c r="G118" s="614"/>
      <c r="H118" s="452"/>
      <c r="I118" s="476"/>
      <c r="J118" s="648"/>
    </row>
    <row r="119" spans="2:20" ht="12.75" customHeight="1">
      <c r="B119" s="475" t="s">
        <v>26</v>
      </c>
      <c r="C119" s="564" t="s">
        <v>440</v>
      </c>
      <c r="D119" s="614"/>
      <c r="E119" s="614"/>
      <c r="F119" s="614"/>
      <c r="G119" s="614"/>
      <c r="H119" s="452"/>
      <c r="I119" s="476"/>
      <c r="J119" s="648"/>
    </row>
    <row r="120" spans="2:20" ht="12.75" customHeight="1">
      <c r="B120" s="475" t="s">
        <v>167</v>
      </c>
      <c r="C120" s="564" t="s">
        <v>440</v>
      </c>
      <c r="D120" s="614"/>
      <c r="E120" s="614"/>
      <c r="F120" s="614"/>
      <c r="G120" s="614"/>
      <c r="H120" s="452"/>
      <c r="I120" s="476"/>
      <c r="J120" s="648"/>
      <c r="T120" s="471"/>
    </row>
    <row r="121" spans="2:20" ht="12.75" customHeight="1">
      <c r="B121" s="475" t="s">
        <v>45</v>
      </c>
      <c r="C121" s="564" t="s">
        <v>440</v>
      </c>
      <c r="D121" s="614"/>
      <c r="E121" s="614"/>
      <c r="F121" s="614"/>
      <c r="G121" s="614"/>
      <c r="H121" s="451"/>
      <c r="I121" s="476"/>
      <c r="J121" s="648"/>
    </row>
    <row r="122" spans="2:20" ht="12.75" customHeight="1" thickBot="1">
      <c r="B122" s="591"/>
      <c r="C122" s="592"/>
      <c r="D122" s="593"/>
      <c r="E122" s="593"/>
      <c r="F122" s="593"/>
      <c r="G122" s="593"/>
      <c r="H122" s="244"/>
      <c r="I122" s="594"/>
      <c r="J122" s="649"/>
    </row>
    <row r="123" spans="2:20" ht="12.75" customHeight="1"/>
    <row r="124" spans="2:20" ht="12.75" customHeight="1"/>
    <row r="125" spans="2:20" ht="12.75" customHeight="1"/>
    <row r="126" spans="2:20" ht="12.75" customHeight="1"/>
    <row r="127" spans="2:20" ht="12.75" customHeight="1"/>
    <row r="128" spans="2:20" ht="12.75" customHeight="1">
      <c r="H128" s="1173"/>
    </row>
    <row r="129" spans="8:8" ht="12.75" customHeight="1">
      <c r="H129" s="1173"/>
    </row>
    <row r="130" spans="8:8" ht="12.75" customHeight="1">
      <c r="H130" s="1173"/>
    </row>
    <row r="131" spans="8:8" ht="12.75" customHeight="1">
      <c r="H131" s="1399"/>
    </row>
    <row r="132" spans="8:8" ht="12.75" customHeight="1">
      <c r="H132" s="393"/>
    </row>
    <row r="133" spans="8:8" ht="12.75" customHeight="1"/>
    <row r="134" spans="8:8" ht="12.75" customHeight="1"/>
    <row r="135" spans="8:8" ht="12.75" customHeight="1"/>
    <row r="136" spans="8:8" ht="12.75" customHeight="1"/>
    <row r="137" spans="8:8" ht="12.75" customHeight="1"/>
    <row r="138" spans="8:8" ht="12.75" customHeight="1"/>
    <row r="139" spans="8:8" ht="12.75" customHeight="1"/>
    <row r="140" spans="8:8" ht="12.75" customHeight="1"/>
    <row r="141" spans="8:8" ht="12.75" customHeight="1"/>
    <row r="142" spans="8:8" ht="12.75" customHeight="1"/>
    <row r="143" spans="8:8" ht="12.75" customHeight="1"/>
    <row r="144" spans="8:8"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sheetData>
  <pageMargins left="0.15748031496062992" right="0.15748031496062992" top="1.25" bottom="0.19685039370078741" header="0.51181102362204722" footer="0.51181102362204722"/>
  <pageSetup paperSize="9" scale="38" orientation="landscape" r:id="rId1"/>
  <headerFooter alignWithMargins="0">
    <oddHeader>&amp;L&amp;"Arial"&amp;14&amp;BBeregningsmodel
&amp;"Arial"&amp;08&amp;B64329, Teknologivurdering af alternative drivmidler til transportsektoren&amp;R&amp;"Arial"&amp;08Page &amp;P of &amp;N</oddHeader>
    <oddFooter>&amp;L&amp;"Arial"&amp;08&amp;Z&amp;F
Sheet: &amp;A&amp;C&amp;"Arial"&amp;08Printed &amp;D &amp;T&amp;R&amp;G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7347" r:id="rId5" name="Button 3">
              <controlPr defaultSize="0" print="0" autoFill="0" autoPict="0" macro="[0]!GtOver">
                <anchor>
                  <from>
                    <xdr:col>6</xdr:col>
                    <xdr:colOff>962025</xdr:colOff>
                    <xdr:row>0</xdr:row>
                    <xdr:rowOff>38100</xdr:rowOff>
                  </from>
                  <to>
                    <xdr:col>7</xdr:col>
                    <xdr:colOff>971550</xdr:colOff>
                    <xdr:row>0</xdr:row>
                    <xdr:rowOff>238125</xdr:rowOff>
                  </to>
                </anchor>
              </controlPr>
            </control>
          </mc:Choice>
        </mc:AlternateContent>
        <mc:AlternateContent xmlns:mc="http://schemas.openxmlformats.org/markup-compatibility/2006">
          <mc:Choice Requires="x14">
            <control shapeId="57348" r:id="rId6" name="Button 4">
              <controlPr defaultSize="0" print="0" autoFill="0" autoPict="0" macro="[0]!GtRes">
                <anchor>
                  <from>
                    <xdr:col>8</xdr:col>
                    <xdr:colOff>95250</xdr:colOff>
                    <xdr:row>0</xdr:row>
                    <xdr:rowOff>38100</xdr:rowOff>
                  </from>
                  <to>
                    <xdr:col>9</xdr:col>
                    <xdr:colOff>666750</xdr:colOff>
                    <xdr:row>0</xdr:row>
                    <xdr:rowOff>238125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rgb="FF0070C0"/>
    <pageSetUpPr fitToPage="1"/>
  </sheetPr>
  <dimension ref="B1:W333"/>
  <sheetViews>
    <sheetView topLeftCell="A70" zoomScale="80" zoomScaleNormal="80" workbookViewId="0">
      <selection activeCell="D29" sqref="D29"/>
    </sheetView>
  </sheetViews>
  <sheetFormatPr defaultColWidth="8.85546875" defaultRowHeight="12.75"/>
  <cols>
    <col min="1" max="1" width="3.28515625" style="469" customWidth="1"/>
    <col min="2" max="2" width="36" style="469" customWidth="1"/>
    <col min="3" max="3" width="16.5703125" style="469" customWidth="1"/>
    <col min="4" max="7" width="15.7109375" style="469" customWidth="1"/>
    <col min="8" max="8" width="15.7109375" style="523" customWidth="1"/>
    <col min="9" max="9" width="7.28515625" style="469" customWidth="1"/>
    <col min="10" max="10" width="12.7109375" style="469" customWidth="1"/>
    <col min="11" max="11" width="11.28515625" style="469" customWidth="1"/>
    <col min="12" max="13" width="8.85546875" style="469"/>
    <col min="14" max="14" width="37.85546875" style="469" customWidth="1"/>
    <col min="15" max="16" width="8.85546875" style="469"/>
    <col min="17" max="18" width="12" style="469" customWidth="1"/>
    <col min="19" max="19" width="8.85546875" style="469"/>
    <col min="20" max="20" width="20.5703125" style="469" customWidth="1"/>
    <col min="21" max="16384" width="8.85546875" style="469"/>
  </cols>
  <sheetData>
    <row r="1" spans="2:18" s="465" customFormat="1" ht="21">
      <c r="B1" s="465" t="s">
        <v>383</v>
      </c>
      <c r="C1" s="466"/>
      <c r="Q1" s="467">
        <f ca="1">'Log2015'!M1</f>
        <v>-8.0112614142160741</v>
      </c>
      <c r="R1" s="468">
        <f ca="1">'Log2015'!N1</f>
        <v>-160807.124977848</v>
      </c>
    </row>
    <row r="2" spans="2:18" ht="12.75" customHeight="1">
      <c r="Q2" s="624">
        <f ca="1">Q1</f>
        <v>-8.0112614142160741</v>
      </c>
      <c r="R2" s="624">
        <f ca="1">R1</f>
        <v>-160807.124977848</v>
      </c>
    </row>
    <row r="3" spans="2:18" ht="12.75" customHeight="1"/>
    <row r="4" spans="2:18" ht="12.75" customHeight="1" thickBot="1">
      <c r="B4" s="470" t="s">
        <v>81</v>
      </c>
      <c r="H4" s="215"/>
    </row>
    <row r="5" spans="2:18" ht="12.75" customHeight="1" thickBot="1">
      <c r="B5" s="472" t="s">
        <v>137</v>
      </c>
      <c r="C5" s="473"/>
      <c r="D5" s="473"/>
      <c r="E5" s="473"/>
      <c r="F5" s="473"/>
      <c r="G5" s="473"/>
      <c r="I5" s="473"/>
      <c r="J5" s="474"/>
      <c r="K5" s="476"/>
      <c r="L5" s="476"/>
      <c r="M5" s="476"/>
      <c r="N5" s="476"/>
      <c r="O5" s="476"/>
      <c r="P5" s="476"/>
    </row>
    <row r="6" spans="2:18" ht="12.75" customHeight="1">
      <c r="B6" s="475" t="s">
        <v>675</v>
      </c>
      <c r="C6" s="476"/>
      <c r="D6" s="476"/>
      <c r="E6" s="476"/>
      <c r="F6" s="476"/>
      <c r="G6" s="476"/>
      <c r="H6" s="245"/>
      <c r="I6" s="476"/>
      <c r="J6" s="477"/>
      <c r="K6" s="476"/>
      <c r="L6" s="476"/>
      <c r="M6" s="476"/>
      <c r="N6" s="476"/>
      <c r="O6" s="476"/>
      <c r="P6" s="476"/>
    </row>
    <row r="7" spans="2:18" ht="12.75" customHeight="1">
      <c r="B7" s="475" t="s">
        <v>430</v>
      </c>
      <c r="C7" s="476"/>
      <c r="D7" s="476"/>
      <c r="E7" s="476"/>
      <c r="F7" s="476"/>
      <c r="G7" s="476"/>
      <c r="H7" s="248"/>
      <c r="I7" s="476"/>
      <c r="J7" s="477"/>
      <c r="K7" s="476"/>
      <c r="L7" s="476"/>
      <c r="M7" s="476"/>
      <c r="N7" s="476"/>
      <c r="O7" s="476"/>
      <c r="P7" s="476"/>
    </row>
    <row r="8" spans="2:18" ht="12.75" customHeight="1">
      <c r="B8" s="475" t="s">
        <v>431</v>
      </c>
      <c r="C8" s="476"/>
      <c r="D8" s="476"/>
      <c r="E8" s="476"/>
      <c r="F8" s="476"/>
      <c r="G8" s="476"/>
      <c r="H8" s="248"/>
      <c r="I8" s="476"/>
      <c r="J8" s="477"/>
      <c r="K8" s="476"/>
      <c r="L8" s="476"/>
      <c r="M8" s="476"/>
      <c r="N8" s="476"/>
      <c r="O8" s="476"/>
      <c r="P8" s="476"/>
    </row>
    <row r="9" spans="2:18" ht="12.75" customHeight="1">
      <c r="B9" s="475" t="s">
        <v>432</v>
      </c>
      <c r="C9" s="476"/>
      <c r="D9" s="476"/>
      <c r="E9" s="476"/>
      <c r="F9" s="476"/>
      <c r="G9" s="476"/>
      <c r="H9" s="248"/>
      <c r="I9" s="476"/>
      <c r="J9" s="477"/>
      <c r="K9" s="476"/>
      <c r="L9" s="476"/>
      <c r="M9" s="476"/>
      <c r="N9" s="476"/>
      <c r="O9" s="476"/>
      <c r="P9" s="476"/>
    </row>
    <row r="10" spans="2:18" ht="12.75" customHeight="1">
      <c r="B10" s="475" t="s">
        <v>138</v>
      </c>
      <c r="C10" s="476"/>
      <c r="D10" s="476"/>
      <c r="E10" s="476"/>
      <c r="F10" s="476"/>
      <c r="G10" s="476"/>
      <c r="H10" s="248"/>
      <c r="I10" s="476"/>
      <c r="J10" s="477"/>
      <c r="K10" s="476"/>
      <c r="L10" s="476"/>
      <c r="M10" s="476"/>
      <c r="N10" s="476"/>
      <c r="O10" s="476"/>
      <c r="P10" s="476"/>
    </row>
    <row r="11" spans="2:18" ht="12.75" customHeight="1">
      <c r="B11" s="475" t="s">
        <v>433</v>
      </c>
      <c r="C11" s="476"/>
      <c r="D11" s="476"/>
      <c r="E11" s="476"/>
      <c r="F11" s="476"/>
      <c r="G11" s="476"/>
      <c r="H11" s="248"/>
      <c r="I11" s="476"/>
      <c r="J11" s="477"/>
      <c r="K11" s="476"/>
      <c r="L11" s="476"/>
      <c r="M11" s="476"/>
      <c r="N11" s="476"/>
      <c r="O11" s="476"/>
      <c r="P11" s="476"/>
    </row>
    <row r="12" spans="2:18" ht="12.75" customHeight="1">
      <c r="B12" s="475" t="s">
        <v>140</v>
      </c>
      <c r="C12" s="476"/>
      <c r="D12" s="476"/>
      <c r="E12" s="476"/>
      <c r="F12" s="476"/>
      <c r="G12" s="476"/>
      <c r="H12" s="248"/>
      <c r="I12" s="476"/>
      <c r="J12" s="477"/>
      <c r="K12" s="476"/>
      <c r="L12" s="476"/>
      <c r="M12" s="476"/>
      <c r="N12" s="476"/>
      <c r="O12" s="476"/>
      <c r="P12" s="476"/>
    </row>
    <row r="13" spans="2:18" ht="12.75" customHeight="1">
      <c r="B13" s="475" t="s">
        <v>434</v>
      </c>
      <c r="C13" s="476"/>
      <c r="D13" s="476"/>
      <c r="E13" s="476"/>
      <c r="F13" s="476"/>
      <c r="G13" s="476"/>
      <c r="H13" s="248"/>
      <c r="I13" s="476"/>
      <c r="J13" s="477"/>
      <c r="K13" s="476"/>
      <c r="L13" s="476"/>
      <c r="M13" s="476"/>
      <c r="N13" s="476"/>
      <c r="O13" s="476"/>
      <c r="P13" s="476"/>
    </row>
    <row r="14" spans="2:18" ht="12.75" customHeight="1">
      <c r="B14" s="475" t="s">
        <v>141</v>
      </c>
      <c r="C14" s="476"/>
      <c r="D14" s="476"/>
      <c r="E14" s="476"/>
      <c r="F14" s="476"/>
      <c r="G14" s="476"/>
      <c r="H14" s="248"/>
      <c r="I14" s="476"/>
      <c r="J14" s="477"/>
      <c r="K14" s="476"/>
      <c r="L14" s="476"/>
      <c r="M14" s="476"/>
      <c r="N14" s="476"/>
      <c r="O14" s="476"/>
      <c r="P14" s="476"/>
    </row>
    <row r="15" spans="2:18" ht="12.75" customHeight="1">
      <c r="B15" s="475"/>
      <c r="C15" s="476"/>
      <c r="D15" s="476"/>
      <c r="E15" s="476"/>
      <c r="F15" s="476"/>
      <c r="G15" s="476"/>
      <c r="H15" s="248"/>
      <c r="I15" s="476"/>
      <c r="J15" s="477"/>
      <c r="K15" s="476"/>
      <c r="L15" s="476"/>
      <c r="M15" s="476"/>
      <c r="N15" s="476"/>
      <c r="O15" s="476"/>
      <c r="P15" s="476"/>
    </row>
    <row r="16" spans="2:18" ht="12.75" customHeight="1">
      <c r="B16" s="475" t="s">
        <v>142</v>
      </c>
      <c r="C16" s="476"/>
      <c r="D16" s="476"/>
      <c r="E16" s="476"/>
      <c r="F16" s="476"/>
      <c r="G16" s="476"/>
      <c r="H16" s="248"/>
      <c r="I16" s="476"/>
      <c r="J16" s="477"/>
      <c r="K16" s="476"/>
      <c r="L16" s="476"/>
      <c r="M16" s="476"/>
      <c r="N16" s="476"/>
      <c r="O16" s="476"/>
      <c r="P16" s="476"/>
    </row>
    <row r="17" spans="2:16" ht="12.75" customHeight="1">
      <c r="B17" s="475"/>
      <c r="C17" s="476"/>
      <c r="D17" s="476"/>
      <c r="E17" s="476"/>
      <c r="F17" s="476"/>
      <c r="G17" s="476"/>
      <c r="H17" s="248"/>
      <c r="I17" s="476"/>
      <c r="J17" s="477"/>
      <c r="K17" s="476"/>
      <c r="L17" s="476"/>
      <c r="M17" s="476"/>
      <c r="N17" s="476"/>
      <c r="O17" s="476"/>
      <c r="P17" s="476"/>
    </row>
    <row r="18" spans="2:16" ht="12.75" customHeight="1">
      <c r="B18" s="475"/>
      <c r="C18" s="476"/>
      <c r="D18" s="476"/>
      <c r="E18" s="476"/>
      <c r="F18" s="476"/>
      <c r="G18" s="476"/>
      <c r="H18" s="248"/>
      <c r="I18" s="476"/>
      <c r="J18" s="477"/>
      <c r="K18" s="476"/>
      <c r="L18" s="476"/>
      <c r="M18" s="476"/>
      <c r="N18" s="476"/>
      <c r="O18" s="476"/>
      <c r="P18" s="476"/>
    </row>
    <row r="19" spans="2:16" ht="12.75" customHeight="1">
      <c r="B19" s="475"/>
      <c r="C19" s="476"/>
      <c r="D19" s="476"/>
      <c r="E19" s="476"/>
      <c r="F19" s="476"/>
      <c r="G19" s="476"/>
      <c r="H19" s="248"/>
      <c r="I19" s="476"/>
      <c r="J19" s="477"/>
      <c r="K19" s="476"/>
      <c r="L19" s="476"/>
      <c r="M19" s="476"/>
      <c r="N19" s="476"/>
      <c r="O19" s="476"/>
      <c r="P19" s="476"/>
    </row>
    <row r="20" spans="2:16" ht="12.75" customHeight="1">
      <c r="B20" s="475"/>
      <c r="C20" s="476"/>
      <c r="D20" s="476"/>
      <c r="E20" s="476"/>
      <c r="F20" s="476"/>
      <c r="G20" s="476"/>
      <c r="H20" s="248"/>
      <c r="I20" s="476"/>
      <c r="J20" s="477"/>
      <c r="K20" s="476"/>
      <c r="L20" s="476"/>
      <c r="M20" s="476"/>
      <c r="N20" s="476"/>
      <c r="O20" s="476"/>
      <c r="P20" s="476"/>
    </row>
    <row r="21" spans="2:16" ht="12.75" customHeight="1">
      <c r="B21" s="475" t="s">
        <v>143</v>
      </c>
      <c r="C21" s="476"/>
      <c r="D21" s="476"/>
      <c r="E21" s="476"/>
      <c r="F21" s="476"/>
      <c r="G21" s="476"/>
      <c r="H21" s="248"/>
      <c r="I21" s="476"/>
      <c r="J21" s="477"/>
      <c r="K21" s="476"/>
      <c r="L21" s="476"/>
      <c r="M21" s="476"/>
      <c r="N21" s="476"/>
      <c r="O21" s="476"/>
      <c r="P21" s="476"/>
    </row>
    <row r="22" spans="2:16" ht="12.75" customHeight="1">
      <c r="B22" s="475"/>
      <c r="C22" s="476"/>
      <c r="D22" s="476"/>
      <c r="E22" s="476"/>
      <c r="F22" s="476"/>
      <c r="G22" s="476"/>
      <c r="H22" s="248"/>
      <c r="I22" s="476"/>
      <c r="J22" s="477"/>
      <c r="K22" s="476"/>
      <c r="L22" s="476"/>
      <c r="M22" s="476"/>
      <c r="N22" s="476"/>
      <c r="O22" s="476"/>
      <c r="P22" s="476"/>
    </row>
    <row r="23" spans="2:16" ht="12.75" customHeight="1">
      <c r="B23" s="475"/>
      <c r="C23" s="476"/>
      <c r="D23" s="476"/>
      <c r="E23" s="476"/>
      <c r="F23" s="476"/>
      <c r="G23" s="476"/>
      <c r="H23" s="248"/>
      <c r="I23" s="476"/>
      <c r="J23" s="477"/>
      <c r="K23" s="476"/>
      <c r="L23" s="476"/>
      <c r="M23" s="476"/>
      <c r="N23" s="476"/>
      <c r="O23" s="476"/>
      <c r="P23" s="476"/>
    </row>
    <row r="24" spans="2:16" ht="12.75" customHeight="1" thickBot="1">
      <c r="B24" s="481"/>
      <c r="C24" s="482"/>
      <c r="D24" s="482"/>
      <c r="E24" s="482"/>
      <c r="F24" s="482"/>
      <c r="G24" s="482"/>
      <c r="H24" s="250"/>
      <c r="I24" s="482"/>
      <c r="J24" s="483"/>
      <c r="K24" s="476"/>
      <c r="L24" s="476"/>
      <c r="M24" s="476"/>
      <c r="N24" s="476"/>
      <c r="O24" s="476"/>
      <c r="P24" s="476"/>
    </row>
    <row r="25" spans="2:16" ht="12.75" customHeight="1">
      <c r="K25" s="476"/>
      <c r="L25" s="476"/>
      <c r="M25" s="476"/>
      <c r="N25" s="476"/>
      <c r="O25" s="476"/>
      <c r="P25" s="476"/>
    </row>
    <row r="26" spans="2:16" ht="12.75" customHeight="1">
      <c r="B26" s="470" t="s">
        <v>144</v>
      </c>
      <c r="E26" s="596"/>
      <c r="H26" s="215"/>
      <c r="K26" s="476"/>
      <c r="L26" s="476"/>
      <c r="M26" s="476"/>
      <c r="N26" s="476"/>
      <c r="O26" s="476"/>
      <c r="P26" s="476"/>
    </row>
    <row r="27" spans="2:16" ht="12.75" customHeight="1" thickBot="1">
      <c r="E27" s="596"/>
      <c r="H27" s="215"/>
    </row>
    <row r="28" spans="2:16" ht="12.75" customHeight="1">
      <c r="B28" s="472"/>
      <c r="C28" s="561"/>
      <c r="D28" s="473"/>
      <c r="E28" s="473"/>
      <c r="F28" s="473"/>
      <c r="G28" s="473"/>
      <c r="H28" s="221"/>
      <c r="I28" s="473"/>
      <c r="J28" s="474"/>
    </row>
    <row r="29" spans="2:16" ht="12.75" customHeight="1">
      <c r="B29" s="484"/>
      <c r="C29" s="563" t="s">
        <v>70</v>
      </c>
      <c r="D29" s="486">
        <v>2015</v>
      </c>
      <c r="E29" s="486">
        <v>2020</v>
      </c>
      <c r="F29" s="486">
        <v>2035</v>
      </c>
      <c r="G29" s="486">
        <v>2050</v>
      </c>
      <c r="H29" s="225" t="s">
        <v>978</v>
      </c>
      <c r="I29" s="485" t="s">
        <v>145</v>
      </c>
      <c r="J29" s="487" t="s">
        <v>146</v>
      </c>
    </row>
    <row r="30" spans="2:16" ht="12.75" customHeight="1">
      <c r="B30" s="656" t="s">
        <v>147</v>
      </c>
      <c r="C30" s="657"/>
      <c r="D30" s="658"/>
      <c r="E30" s="658"/>
      <c r="F30" s="658"/>
      <c r="G30" s="658"/>
      <c r="H30" s="209"/>
      <c r="I30" s="497"/>
      <c r="J30" s="659"/>
    </row>
    <row r="31" spans="2:16" ht="12.75" customHeight="1">
      <c r="B31" s="475" t="s">
        <v>148</v>
      </c>
      <c r="C31" s="564" t="s">
        <v>435</v>
      </c>
      <c r="D31" s="574">
        <v>0.9</v>
      </c>
      <c r="E31" s="574">
        <v>0.9</v>
      </c>
      <c r="F31" s="574">
        <v>0.9</v>
      </c>
      <c r="G31" s="574">
        <v>0.9</v>
      </c>
      <c r="H31" s="1422"/>
      <c r="I31" s="476"/>
      <c r="J31" s="644" t="s">
        <v>679</v>
      </c>
    </row>
    <row r="32" spans="2:16" ht="12.75" customHeight="1">
      <c r="B32" s="475" t="s">
        <v>67</v>
      </c>
      <c r="C32" s="564" t="s">
        <v>724</v>
      </c>
      <c r="D32" s="630">
        <v>1</v>
      </c>
      <c r="E32" s="630">
        <v>1</v>
      </c>
      <c r="F32" s="630">
        <v>1</v>
      </c>
      <c r="G32" s="630">
        <v>1</v>
      </c>
      <c r="H32" s="1422"/>
      <c r="I32" s="476" t="s">
        <v>366</v>
      </c>
      <c r="J32" s="477"/>
    </row>
    <row r="33" spans="2:10" ht="12.75" customHeight="1">
      <c r="B33" s="475" t="s">
        <v>149</v>
      </c>
      <c r="C33" s="564" t="s">
        <v>185</v>
      </c>
      <c r="D33" s="1439">
        <f>Elmotor!D75/D32/Elmotor!D23</f>
        <v>7.3742399999999995</v>
      </c>
      <c r="E33" s="1439">
        <f>Elmotor!E75/E32/Elmotor!E23</f>
        <v>5.7607200000000018</v>
      </c>
      <c r="F33" s="1439">
        <f>Elmotor!F75/F32/Elmotor!F23</f>
        <v>5.7607200000000018</v>
      </c>
      <c r="G33" s="1441">
        <f>F33</f>
        <v>5.7607200000000018</v>
      </c>
      <c r="H33" s="1590"/>
      <c r="I33" s="476"/>
      <c r="J33" s="645"/>
    </row>
    <row r="34" spans="2:10" ht="12.75" customHeight="1">
      <c r="B34" s="475" t="s">
        <v>150</v>
      </c>
      <c r="C34" s="564" t="s">
        <v>34</v>
      </c>
      <c r="D34" s="569">
        <v>30</v>
      </c>
      <c r="E34" s="569">
        <v>30</v>
      </c>
      <c r="F34" s="569">
        <v>30</v>
      </c>
      <c r="G34" s="569">
        <v>30</v>
      </c>
      <c r="H34" s="212"/>
      <c r="I34" s="476"/>
      <c r="J34" s="645"/>
    </row>
    <row r="35" spans="2:10" ht="12.75" customHeight="1">
      <c r="B35" s="475"/>
      <c r="C35" s="571"/>
      <c r="D35" s="573"/>
      <c r="E35" s="573"/>
      <c r="F35" s="573"/>
      <c r="G35" s="573"/>
      <c r="H35" s="213"/>
      <c r="I35" s="476"/>
      <c r="J35" s="477"/>
    </row>
    <row r="36" spans="2:10" ht="12.75" customHeight="1">
      <c r="B36" s="570" t="s">
        <v>151</v>
      </c>
      <c r="C36" s="571"/>
      <c r="D36" s="573"/>
      <c r="E36" s="573"/>
      <c r="F36" s="573"/>
      <c r="G36" s="573"/>
      <c r="H36" s="213"/>
      <c r="I36" s="476"/>
      <c r="J36" s="477"/>
    </row>
    <row r="37" spans="2:10" ht="12.75" customHeight="1">
      <c r="B37" s="475" t="str">
        <f>ProcessEnergy!B35</f>
        <v xml:space="preserve">Green diesel </v>
      </c>
      <c r="C37" s="564" t="s">
        <v>463</v>
      </c>
      <c r="D37" s="565"/>
      <c r="E37" s="565"/>
      <c r="F37" s="565"/>
      <c r="G37" s="565"/>
      <c r="H37" s="105"/>
      <c r="I37" s="476"/>
      <c r="J37" s="477"/>
    </row>
    <row r="38" spans="2:10" ht="12.75" customHeight="1">
      <c r="B38" s="575" t="str">
        <f>ProcessEnergy!B36</f>
        <v>Green gasoline</v>
      </c>
      <c r="C38" s="564"/>
      <c r="D38" s="565"/>
      <c r="E38" s="565"/>
      <c r="F38" s="565"/>
      <c r="G38" s="565"/>
      <c r="H38" s="105"/>
      <c r="I38" s="476"/>
      <c r="J38" s="477"/>
    </row>
    <row r="39" spans="2:10" ht="12.75" customHeight="1">
      <c r="B39" s="575" t="str">
        <f>ProcessEnergy!B37</f>
        <v>Electricity - balancing</v>
      </c>
      <c r="C39" s="564"/>
      <c r="D39" s="565"/>
      <c r="E39" s="565"/>
      <c r="F39" s="565"/>
      <c r="G39" s="565"/>
      <c r="H39" s="105"/>
      <c r="I39" s="476"/>
      <c r="J39" s="477"/>
    </row>
    <row r="40" spans="2:10" ht="12.75" customHeight="1">
      <c r="B40" s="575" t="str">
        <f>ProcessEnergy!B38</f>
        <v>Electricity  - continous</v>
      </c>
      <c r="C40" s="564"/>
      <c r="D40" s="565"/>
      <c r="E40" s="565"/>
      <c r="F40" s="565"/>
      <c r="G40" s="565"/>
      <c r="H40" s="105"/>
      <c r="I40" s="476"/>
      <c r="J40" s="477"/>
    </row>
    <row r="41" spans="2:10" ht="12.75" customHeight="1">
      <c r="B41" s="575" t="str">
        <f>ProcessEnergy!B39</f>
        <v>Elec/heat fuel</v>
      </c>
      <c r="C41" s="564"/>
      <c r="D41" s="565"/>
      <c r="E41" s="565"/>
      <c r="F41" s="565"/>
      <c r="G41" s="565"/>
      <c r="H41" s="105"/>
      <c r="I41" s="476"/>
      <c r="J41" s="477"/>
    </row>
    <row r="42" spans="2:10" ht="12.75" customHeight="1">
      <c r="B42" s="575" t="str">
        <f>ProcessEnergy!B40</f>
        <v>Biogas (100% CH4)</v>
      </c>
      <c r="C42" s="564"/>
      <c r="D42" s="565"/>
      <c r="E42" s="565"/>
      <c r="F42" s="565"/>
      <c r="G42" s="565"/>
      <c r="H42" s="105"/>
      <c r="I42" s="476"/>
      <c r="J42" s="477"/>
    </row>
    <row r="43" spans="2:10" ht="12.75" customHeight="1">
      <c r="B43" s="575" t="str">
        <f>ProcessEnergy!B41</f>
        <v>District heating</v>
      </c>
      <c r="C43" s="564"/>
      <c r="D43" s="565"/>
      <c r="E43" s="565"/>
      <c r="F43" s="565"/>
      <c r="G43" s="565"/>
      <c r="H43" s="105"/>
      <c r="I43" s="476"/>
      <c r="J43" s="477"/>
    </row>
    <row r="44" spans="2:10" ht="12.75" customHeight="1">
      <c r="B44" s="575" t="str">
        <f>ProcessEnergy!B42</f>
        <v>&lt;empty&gt;</v>
      </c>
      <c r="C44" s="564"/>
      <c r="D44" s="565"/>
      <c r="E44" s="565"/>
      <c r="F44" s="565"/>
      <c r="G44" s="565"/>
      <c r="H44" s="105"/>
      <c r="I44" s="476"/>
      <c r="J44" s="477"/>
    </row>
    <row r="45" spans="2:10" ht="12.75" customHeight="1">
      <c r="B45" s="575" t="str">
        <f>ProcessEnergy!B43</f>
        <v>&lt;empty&gt;</v>
      </c>
      <c r="C45" s="564"/>
      <c r="D45" s="565"/>
      <c r="E45" s="565"/>
      <c r="F45" s="565"/>
      <c r="G45" s="565"/>
      <c r="H45" s="105"/>
      <c r="I45" s="476"/>
      <c r="J45" s="477"/>
    </row>
    <row r="46" spans="2:10" ht="12.75" customHeight="1">
      <c r="B46" s="575" t="str">
        <f>ProcessEnergy!B44</f>
        <v>&lt;empty&gt;</v>
      </c>
      <c r="C46" s="564"/>
      <c r="D46" s="565"/>
      <c r="E46" s="565"/>
      <c r="F46" s="565"/>
      <c r="G46" s="565"/>
      <c r="H46" s="105"/>
      <c r="I46" s="476"/>
      <c r="J46" s="477"/>
    </row>
    <row r="47" spans="2:10" ht="12.75" customHeight="1">
      <c r="B47" s="575" t="str">
        <f>ProcessEnergy!B45</f>
        <v>&lt;empty&gt;</v>
      </c>
      <c r="C47" s="564"/>
      <c r="D47" s="565"/>
      <c r="E47" s="565"/>
      <c r="F47" s="565"/>
      <c r="G47" s="565"/>
      <c r="H47" s="105"/>
      <c r="I47" s="476"/>
      <c r="J47" s="477"/>
    </row>
    <row r="48" spans="2:10" ht="12.75" customHeight="1">
      <c r="B48" s="575" t="str">
        <f>ProcessEnergy!B46</f>
        <v>&lt;empty&gt;</v>
      </c>
      <c r="C48" s="564"/>
      <c r="D48" s="565"/>
      <c r="E48" s="565"/>
      <c r="F48" s="565"/>
      <c r="G48" s="565"/>
      <c r="H48" s="105"/>
      <c r="I48" s="476"/>
      <c r="J48" s="477"/>
    </row>
    <row r="49" spans="2:10" ht="12.75" customHeight="1">
      <c r="B49" s="575" t="str">
        <f>ProcessEnergy!B47</f>
        <v>&lt;empty&gt;</v>
      </c>
      <c r="C49" s="564"/>
      <c r="D49" s="565"/>
      <c r="E49" s="565"/>
      <c r="F49" s="565"/>
      <c r="G49" s="565"/>
      <c r="H49" s="105"/>
      <c r="I49" s="476"/>
      <c r="J49" s="477"/>
    </row>
    <row r="50" spans="2:10" ht="12.75" customHeight="1">
      <c r="B50" s="575" t="str">
        <f>ProcessEnergy!B48</f>
        <v>Glycerol</v>
      </c>
      <c r="C50" s="564"/>
      <c r="D50" s="565"/>
      <c r="E50" s="565"/>
      <c r="F50" s="565"/>
      <c r="G50" s="565"/>
      <c r="H50" s="105"/>
      <c r="I50" s="476"/>
      <c r="J50" s="477"/>
    </row>
    <row r="51" spans="2:10" ht="12.75" customHeight="1">
      <c r="B51" s="575" t="str">
        <f>ProcessEnergy!B49</f>
        <v>&lt;empty&gt;</v>
      </c>
      <c r="C51" s="564"/>
      <c r="D51" s="565"/>
      <c r="E51" s="565"/>
      <c r="F51" s="565"/>
      <c r="G51" s="565"/>
      <c r="H51" s="105"/>
      <c r="I51" s="476"/>
      <c r="J51" s="477"/>
    </row>
    <row r="52" spans="2:10" ht="12.75" customHeight="1">
      <c r="B52" s="575" t="str">
        <f>ProcessEnergy!B50</f>
        <v>&lt;empty&gt;</v>
      </c>
      <c r="C52" s="564"/>
      <c r="D52" s="565"/>
      <c r="E52" s="565"/>
      <c r="F52" s="565"/>
      <c r="G52" s="565"/>
      <c r="H52" s="105"/>
      <c r="I52" s="476"/>
      <c r="J52" s="477"/>
    </row>
    <row r="53" spans="2:10" ht="12.75" customHeight="1">
      <c r="B53" s="575" t="str">
        <f>ProcessEnergy!B51</f>
        <v>Fodder (wheat like)</v>
      </c>
      <c r="C53" s="564"/>
      <c r="D53" s="565"/>
      <c r="E53" s="565"/>
      <c r="F53" s="565"/>
      <c r="G53" s="565"/>
      <c r="H53" s="105"/>
      <c r="I53" s="476"/>
      <c r="J53" s="477"/>
    </row>
    <row r="54" spans="2:10" ht="12.75" customHeight="1">
      <c r="B54" s="575" t="str">
        <f>ProcessEnergy!B52</f>
        <v>Rape seed cake</v>
      </c>
      <c r="C54" s="564"/>
      <c r="D54" s="565"/>
      <c r="E54" s="565"/>
      <c r="F54" s="565"/>
      <c r="G54" s="565"/>
      <c r="H54" s="105"/>
      <c r="I54" s="476"/>
      <c r="J54" s="477"/>
    </row>
    <row r="55" spans="2:10" ht="12.75" customHeight="1">
      <c r="B55" s="575" t="str">
        <f>ProcessEnergy!B53</f>
        <v>&lt;empty&gt;</v>
      </c>
      <c r="C55" s="564"/>
      <c r="D55" s="565"/>
      <c r="E55" s="565"/>
      <c r="F55" s="565"/>
      <c r="G55" s="565"/>
      <c r="H55" s="105"/>
      <c r="I55" s="476"/>
      <c r="J55" s="477"/>
    </row>
    <row r="56" spans="2:10" ht="12.75" customHeight="1">
      <c r="B56" s="575" t="str">
        <f>ProcessEnergy!B54</f>
        <v>DDGS</v>
      </c>
      <c r="C56" s="564"/>
      <c r="D56" s="565"/>
      <c r="E56" s="565"/>
      <c r="F56" s="565"/>
      <c r="G56" s="565"/>
      <c r="H56" s="105"/>
      <c r="I56" s="476"/>
      <c r="J56" s="477"/>
    </row>
    <row r="57" spans="2:10" ht="12.75" customHeight="1">
      <c r="B57" s="475"/>
      <c r="C57" s="564"/>
      <c r="D57" s="565"/>
      <c r="E57" s="565"/>
      <c r="F57" s="565"/>
      <c r="G57" s="565"/>
      <c r="H57" s="105"/>
      <c r="I57" s="476"/>
      <c r="J57" s="477"/>
    </row>
    <row r="58" spans="2:10" ht="12.75" customHeight="1">
      <c r="B58" s="570" t="s">
        <v>873</v>
      </c>
      <c r="C58" s="564"/>
      <c r="D58" s="565"/>
      <c r="E58" s="565"/>
      <c r="F58" s="565"/>
      <c r="G58" s="565"/>
      <c r="H58" s="105"/>
      <c r="I58" s="476"/>
      <c r="J58" s="477"/>
    </row>
    <row r="59" spans="2:10" ht="12.75" customHeight="1">
      <c r="B59" s="475" t="str">
        <f>ProcessEnergy!B5</f>
        <v>EL - peakload</v>
      </c>
      <c r="C59" s="564" t="s">
        <v>897</v>
      </c>
      <c r="D59" s="646"/>
      <c r="E59" s="646"/>
      <c r="F59" s="646"/>
      <c r="G59" s="646"/>
      <c r="H59" s="105"/>
      <c r="I59" s="476"/>
      <c r="J59" s="477"/>
    </row>
    <row r="60" spans="2:10" ht="12.75" customHeight="1">
      <c r="B60" s="475" t="str">
        <f>ProcessEnergy!B6</f>
        <v>El - baseload</v>
      </c>
      <c r="C60" s="564" t="s">
        <v>897</v>
      </c>
      <c r="D60" s="646">
        <v>1</v>
      </c>
      <c r="E60" s="646">
        <v>1</v>
      </c>
      <c r="F60" s="646">
        <v>1</v>
      </c>
      <c r="G60" s="646">
        <v>1</v>
      </c>
      <c r="H60" s="105"/>
      <c r="I60" s="476"/>
      <c r="J60" s="477"/>
    </row>
    <row r="61" spans="2:10" ht="12.75" customHeight="1">
      <c r="B61" s="475" t="str">
        <f>ProcessEnergy!B7</f>
        <v xml:space="preserve">Varme </v>
      </c>
      <c r="C61" s="564" t="s">
        <v>897</v>
      </c>
      <c r="D61" s="565"/>
      <c r="E61" s="565"/>
      <c r="F61" s="565"/>
      <c r="G61" s="565"/>
      <c r="H61" s="105"/>
      <c r="I61" s="476"/>
      <c r="J61" s="477"/>
    </row>
    <row r="62" spans="2:10" ht="12.75" customHeight="1">
      <c r="B62" s="475" t="str">
        <f>ProcessEnergy!B8</f>
        <v>Damp</v>
      </c>
      <c r="C62" s="564" t="s">
        <v>897</v>
      </c>
      <c r="D62" s="565"/>
      <c r="E62" s="565"/>
      <c r="F62" s="565"/>
      <c r="G62" s="565"/>
      <c r="H62" s="105"/>
      <c r="I62" s="476"/>
      <c r="J62" s="477"/>
    </row>
    <row r="63" spans="2:10" ht="12.75" customHeight="1">
      <c r="B63" s="475" t="str">
        <f>ProcessEnergy!B9</f>
        <v xml:space="preserve">Olie </v>
      </c>
      <c r="C63" s="564" t="s">
        <v>897</v>
      </c>
      <c r="D63" s="565"/>
      <c r="E63" s="565"/>
      <c r="F63" s="565"/>
      <c r="G63" s="565"/>
      <c r="H63" s="105"/>
      <c r="I63" s="476"/>
      <c r="J63" s="477"/>
    </row>
    <row r="64" spans="2:10" ht="12.75" customHeight="1">
      <c r="B64" s="475" t="str">
        <f>ProcessEnergy!B10</f>
        <v>Kul</v>
      </c>
      <c r="C64" s="564" t="s">
        <v>897</v>
      </c>
      <c r="D64" s="565"/>
      <c r="E64" s="565"/>
      <c r="F64" s="565"/>
      <c r="G64" s="565"/>
      <c r="H64" s="105"/>
      <c r="I64" s="476"/>
      <c r="J64" s="477"/>
    </row>
    <row r="65" spans="2:10" ht="12.75" customHeight="1">
      <c r="B65" s="475" t="str">
        <f>ProcessEnergy!B11</f>
        <v>Naturgas kedel</v>
      </c>
      <c r="C65" s="564" t="s">
        <v>897</v>
      </c>
      <c r="D65" s="565"/>
      <c r="E65" s="565"/>
      <c r="F65" s="565"/>
      <c r="G65" s="565"/>
      <c r="H65" s="105"/>
      <c r="I65" s="476"/>
      <c r="J65" s="477"/>
    </row>
    <row r="66" spans="2:10" ht="12.75" customHeight="1">
      <c r="B66" s="475" t="str">
        <f>ProcessEnergy!B12</f>
        <v>Gylle</v>
      </c>
      <c r="C66" s="564" t="s">
        <v>897</v>
      </c>
      <c r="D66" s="565"/>
      <c r="E66" s="565"/>
      <c r="F66" s="565"/>
      <c r="G66" s="565"/>
      <c r="H66" s="105"/>
      <c r="I66" s="476"/>
      <c r="J66" s="477"/>
    </row>
    <row r="67" spans="2:10" ht="12.75" customHeight="1">
      <c r="B67" s="475" t="str">
        <f>ProcessEnergy!B13</f>
        <v>Affald</v>
      </c>
      <c r="C67" s="564" t="s">
        <v>897</v>
      </c>
      <c r="D67" s="565"/>
      <c r="E67" s="565"/>
      <c r="F67" s="565"/>
      <c r="G67" s="565"/>
      <c r="H67" s="105"/>
      <c r="I67" s="476"/>
      <c r="J67" s="477"/>
    </row>
    <row r="68" spans="2:10" ht="12.75" customHeight="1">
      <c r="B68" s="475" t="str">
        <f>ProcessEnergy!B14</f>
        <v>Hydrogen</v>
      </c>
      <c r="C68" s="564" t="s">
        <v>897</v>
      </c>
      <c r="D68" s="565"/>
      <c r="E68" s="565"/>
      <c r="F68" s="565"/>
      <c r="G68" s="565"/>
      <c r="H68" s="105"/>
      <c r="I68" s="476"/>
      <c r="J68" s="477"/>
    </row>
    <row r="69" spans="2:10" ht="12.75" customHeight="1">
      <c r="B69" s="475" t="str">
        <f>ProcessEnergy!B15</f>
        <v>Biomasse</v>
      </c>
      <c r="C69" s="564" t="s">
        <v>897</v>
      </c>
      <c r="D69" s="565"/>
      <c r="E69" s="565"/>
      <c r="F69" s="565"/>
      <c r="G69" s="565"/>
      <c r="H69" s="105"/>
      <c r="I69" s="476"/>
      <c r="J69" s="477"/>
    </row>
    <row r="70" spans="2:10" ht="12.75" customHeight="1">
      <c r="B70" s="475" t="str">
        <f>ProcessEnergy!B16</f>
        <v>Methanol</v>
      </c>
      <c r="C70" s="564"/>
      <c r="D70" s="565"/>
      <c r="E70" s="565"/>
      <c r="F70" s="565"/>
      <c r="G70" s="565"/>
      <c r="H70" s="105"/>
      <c r="I70" s="476"/>
      <c r="J70" s="477"/>
    </row>
    <row r="71" spans="2:10" ht="12.75" customHeight="1">
      <c r="B71" s="475" t="str">
        <f>ProcessEnergy!B17</f>
        <v>&lt;empty&gt;</v>
      </c>
      <c r="C71" s="564"/>
      <c r="D71" s="565"/>
      <c r="E71" s="565"/>
      <c r="F71" s="565"/>
      <c r="G71" s="565"/>
      <c r="H71" s="105"/>
      <c r="I71" s="476"/>
      <c r="J71" s="477"/>
    </row>
    <row r="72" spans="2:10" ht="12.75" customHeight="1">
      <c r="B72" s="475" t="str">
        <f>ProcessEnergy!B18</f>
        <v>&lt;empty&gt;</v>
      </c>
      <c r="C72" s="564"/>
      <c r="D72" s="565"/>
      <c r="E72" s="565"/>
      <c r="F72" s="565"/>
      <c r="G72" s="565"/>
      <c r="H72" s="105"/>
      <c r="I72" s="476"/>
      <c r="J72" s="477"/>
    </row>
    <row r="73" spans="2:10" ht="12.75" customHeight="1">
      <c r="B73" s="475" t="str">
        <f>ProcessEnergy!B19</f>
        <v>&lt;empty&gt;</v>
      </c>
      <c r="C73" s="564"/>
      <c r="D73" s="565"/>
      <c r="E73" s="565"/>
      <c r="F73" s="565"/>
      <c r="G73" s="565"/>
      <c r="H73" s="105"/>
      <c r="I73" s="476"/>
      <c r="J73" s="477"/>
    </row>
    <row r="74" spans="2:10" ht="12.75" customHeight="1">
      <c r="B74" s="475" t="str">
        <f>ProcessEnergy!B20</f>
        <v>&lt;empty&gt;</v>
      </c>
      <c r="C74" s="564"/>
      <c r="D74" s="565"/>
      <c r="E74" s="565"/>
      <c r="F74" s="565"/>
      <c r="G74" s="565"/>
      <c r="H74" s="105"/>
      <c r="I74" s="476"/>
      <c r="J74" s="477"/>
    </row>
    <row r="75" spans="2:10" ht="12.75" customHeight="1">
      <c r="B75" s="475" t="str">
        <f>ProcessEnergy!B21</f>
        <v>&lt;empty&gt;</v>
      </c>
      <c r="C75" s="564"/>
      <c r="D75" s="565"/>
      <c r="E75" s="565"/>
      <c r="F75" s="565"/>
      <c r="G75" s="565"/>
      <c r="H75" s="105"/>
      <c r="I75" s="476"/>
      <c r="J75" s="477"/>
    </row>
    <row r="76" spans="2:10" ht="12.75" customHeight="1">
      <c r="B76" s="475" t="str">
        <f>ProcessEnergy!B22</f>
        <v>&lt;empty&gt;</v>
      </c>
      <c r="C76" s="564"/>
      <c r="D76" s="565"/>
      <c r="E76" s="565"/>
      <c r="F76" s="565"/>
      <c r="G76" s="565"/>
      <c r="H76" s="105"/>
      <c r="I76" s="476"/>
      <c r="J76" s="477"/>
    </row>
    <row r="77" spans="2:10" ht="12.75" customHeight="1">
      <c r="B77" s="475" t="str">
        <f>ProcessEnergy!B23</f>
        <v>&lt;empty&gt;</v>
      </c>
      <c r="C77" s="564"/>
      <c r="D77" s="565"/>
      <c r="E77" s="565"/>
      <c r="F77" s="565"/>
      <c r="G77" s="565"/>
      <c r="H77" s="105"/>
      <c r="I77" s="476"/>
      <c r="J77" s="477"/>
    </row>
    <row r="78" spans="2:10" ht="12.75" customHeight="1">
      <c r="B78" s="475" t="str">
        <f>ProcessEnergy!B24</f>
        <v>&lt;empty&gt;</v>
      </c>
      <c r="C78" s="564"/>
      <c r="D78" s="565"/>
      <c r="E78" s="565"/>
      <c r="F78" s="565"/>
      <c r="G78" s="565"/>
      <c r="H78" s="105"/>
      <c r="I78" s="476"/>
      <c r="J78" s="477"/>
    </row>
    <row r="79" spans="2:10" ht="12.75" customHeight="1">
      <c r="B79" s="475"/>
      <c r="C79" s="564"/>
      <c r="D79" s="565"/>
      <c r="E79" s="565"/>
      <c r="F79" s="565"/>
      <c r="G79" s="565"/>
      <c r="H79" s="106"/>
      <c r="I79" s="476"/>
      <c r="J79" s="477"/>
    </row>
    <row r="80" spans="2:10" ht="12.75" customHeight="1">
      <c r="B80" s="475"/>
      <c r="C80" s="564"/>
      <c r="D80" s="565"/>
      <c r="E80" s="565"/>
      <c r="F80" s="565"/>
      <c r="G80" s="565"/>
      <c r="H80" s="106"/>
      <c r="I80" s="476"/>
      <c r="J80" s="477"/>
    </row>
    <row r="81" spans="2:20" ht="12.75" customHeight="1">
      <c r="B81" s="475"/>
      <c r="C81" s="564"/>
      <c r="D81" s="565"/>
      <c r="E81" s="565"/>
      <c r="F81" s="565"/>
      <c r="G81" s="565"/>
      <c r="H81" s="106"/>
      <c r="I81" s="476"/>
      <c r="J81" s="477"/>
    </row>
    <row r="82" spans="2:20" ht="12.75" customHeight="1">
      <c r="B82" s="570" t="s">
        <v>152</v>
      </c>
      <c r="C82" s="564"/>
      <c r="D82" s="565"/>
      <c r="E82" s="565"/>
      <c r="F82" s="565"/>
      <c r="G82" s="565"/>
      <c r="H82" s="106"/>
      <c r="I82" s="476"/>
      <c r="J82" s="477"/>
    </row>
    <row r="83" spans="2:20" ht="12.75" customHeight="1">
      <c r="B83" s="247" t="s">
        <v>462</v>
      </c>
      <c r="C83" s="210" t="s">
        <v>725</v>
      </c>
      <c r="D83" s="574">
        <v>1</v>
      </c>
      <c r="E83" s="574">
        <v>1</v>
      </c>
      <c r="F83" s="574">
        <v>1</v>
      </c>
      <c r="G83" s="574">
        <v>1</v>
      </c>
      <c r="H83" s="295"/>
      <c r="I83" s="476" t="s">
        <v>366</v>
      </c>
      <c r="J83" s="477"/>
    </row>
    <row r="84" spans="2:20" ht="12.75" customHeight="1">
      <c r="B84" s="247" t="s">
        <v>153</v>
      </c>
      <c r="C84" s="210" t="s">
        <v>725</v>
      </c>
      <c r="D84" s="574">
        <v>0</v>
      </c>
      <c r="E84" s="574">
        <v>0</v>
      </c>
      <c r="F84" s="574">
        <v>0</v>
      </c>
      <c r="G84" s="574">
        <v>0</v>
      </c>
      <c r="H84" s="105"/>
      <c r="I84" s="476" t="s">
        <v>366</v>
      </c>
      <c r="J84" s="477"/>
    </row>
    <row r="85" spans="2:20" ht="12.75" customHeight="1">
      <c r="B85" s="247" t="s">
        <v>154</v>
      </c>
      <c r="C85" s="210" t="s">
        <v>725</v>
      </c>
      <c r="D85" s="574">
        <v>0</v>
      </c>
      <c r="E85" s="574">
        <v>0</v>
      </c>
      <c r="F85" s="574">
        <v>0</v>
      </c>
      <c r="G85" s="574">
        <v>0</v>
      </c>
      <c r="H85" s="105"/>
      <c r="I85" s="476" t="s">
        <v>366</v>
      </c>
      <c r="J85" s="477"/>
    </row>
    <row r="86" spans="2:20" ht="12.75" customHeight="1">
      <c r="B86" s="310" t="s">
        <v>1240</v>
      </c>
      <c r="C86" s="210" t="s">
        <v>725</v>
      </c>
      <c r="D86" s="577">
        <f>D32*D31</f>
        <v>0.9</v>
      </c>
      <c r="E86" s="577">
        <f>E32*E31</f>
        <v>0.9</v>
      </c>
      <c r="F86" s="577">
        <f>F32*F31</f>
        <v>0.9</v>
      </c>
      <c r="G86" s="577">
        <f>G32*G31</f>
        <v>0.9</v>
      </c>
      <c r="H86" s="237"/>
      <c r="I86" s="476"/>
      <c r="J86" s="477"/>
    </row>
    <row r="87" spans="2:20" ht="12.75" customHeight="1">
      <c r="B87" s="108" t="s">
        <v>155</v>
      </c>
      <c r="C87" s="210" t="s">
        <v>725</v>
      </c>
      <c r="D87" s="577">
        <f>D83+D84-D85-D86</f>
        <v>9.9999999999999978E-2</v>
      </c>
      <c r="E87" s="577">
        <f>E83+E84-E85-E86</f>
        <v>9.9999999999999978E-2</v>
      </c>
      <c r="F87" s="577">
        <f>F83+F84-F85-F86</f>
        <v>9.9999999999999978E-2</v>
      </c>
      <c r="G87" s="577">
        <f>G83+G84-G85-G86</f>
        <v>9.9999999999999978E-2</v>
      </c>
      <c r="H87" s="109"/>
      <c r="I87" s="476"/>
      <c r="J87" s="477"/>
    </row>
    <row r="88" spans="2:20" ht="12.75" customHeight="1">
      <c r="B88" s="232" t="s">
        <v>2013</v>
      </c>
      <c r="C88" s="233" t="s">
        <v>726</v>
      </c>
      <c r="D88" s="580">
        <f>(D86+D85)/(D83+D84)</f>
        <v>0.9</v>
      </c>
      <c r="E88" s="580">
        <f>(E86+E85)/(E83+E84)</f>
        <v>0.9</v>
      </c>
      <c r="F88" s="580">
        <f>(F86+F85)/(F83+F84)</f>
        <v>0.9</v>
      </c>
      <c r="G88" s="580">
        <f>(G86+G85)/(G83+G84)</f>
        <v>0.9</v>
      </c>
      <c r="H88" s="462"/>
      <c r="I88" s="476"/>
      <c r="J88" s="477"/>
    </row>
    <row r="89" spans="2:20" ht="12.75" customHeight="1">
      <c r="B89" s="475" t="s">
        <v>781</v>
      </c>
      <c r="C89" s="564" t="s">
        <v>782</v>
      </c>
      <c r="D89" s="647">
        <f>D32*D31/D83</f>
        <v>0.9</v>
      </c>
      <c r="E89" s="647">
        <f>E32*E31/E83</f>
        <v>0.9</v>
      </c>
      <c r="F89" s="647">
        <f>F32*F31/F83</f>
        <v>0.9</v>
      </c>
      <c r="G89" s="647">
        <f>G32*G31/G83</f>
        <v>0.9</v>
      </c>
      <c r="H89" s="213"/>
      <c r="I89" s="476"/>
      <c r="J89" s="477"/>
      <c r="T89" s="471"/>
    </row>
    <row r="90" spans="2:20" ht="12.75" customHeight="1">
      <c r="B90" s="570" t="s">
        <v>33</v>
      </c>
      <c r="C90" s="564"/>
      <c r="D90" s="573"/>
      <c r="E90" s="573"/>
      <c r="F90" s="573"/>
      <c r="G90" s="573"/>
      <c r="H90" s="213"/>
      <c r="I90" s="476"/>
      <c r="J90" s="477"/>
    </row>
    <row r="91" spans="2:20" s="530" customFormat="1">
      <c r="B91" s="964" t="s">
        <v>157</v>
      </c>
      <c r="C91" s="976" t="s">
        <v>61</v>
      </c>
      <c r="D91" s="992">
        <f>HLOOKUP($H99,Supplementary!$C$44:$AF$46,3,FALSE)*D99</f>
        <v>5322.3096445835081</v>
      </c>
      <c r="E91" s="555">
        <f>HLOOKUP($H99,Supplementary!$C$44:$AF$46,3,FALSE)*E99</f>
        <v>5322.3096445835081</v>
      </c>
      <c r="F91" s="555">
        <f>HLOOKUP($H99,Supplementary!$C$44:$AF$46,3,FALSE)*F99</f>
        <v>5322.3096445835081</v>
      </c>
      <c r="G91" s="555">
        <f>HLOOKUP($H99,Supplementary!$C$44:$AF$46,3,FALSE)*G99</f>
        <v>5322.3096445835081</v>
      </c>
      <c r="H91" s="555">
        <f t="shared" ref="H91:H97" si="0">priceYear</f>
        <v>2015</v>
      </c>
      <c r="I91" s="555"/>
      <c r="J91" s="965"/>
      <c r="N91" s="991"/>
      <c r="O91" s="991"/>
      <c r="P91" s="991"/>
      <c r="Q91" s="991"/>
    </row>
    <row r="92" spans="2:20" s="530" customFormat="1">
      <c r="B92" s="964" t="s">
        <v>160</v>
      </c>
      <c r="C92" s="976" t="s">
        <v>464</v>
      </c>
      <c r="D92" s="992">
        <f ca="1">HLOOKUP($H100,Supplementary!$C$44:$AF$46,3,FALSE)*D100</f>
        <v>47.246133043804797</v>
      </c>
      <c r="E92" s="555">
        <f ca="1">HLOOKUP($H100,Supplementary!$C$44:$AF$46,3,FALSE)*E100</f>
        <v>60.396483825009099</v>
      </c>
      <c r="F92" s="555">
        <f ca="1">HLOOKUP($H100,Supplementary!$C$44:$AF$46,3,FALSE)*F100</f>
        <v>60.396483825009099</v>
      </c>
      <c r="G92" s="555">
        <f ca="1">HLOOKUP($H100,Supplementary!$C$44:$AF$46,3,FALSE)*G100</f>
        <v>60.396483825009099</v>
      </c>
      <c r="H92" s="555">
        <f t="shared" si="0"/>
        <v>2015</v>
      </c>
      <c r="I92" s="555"/>
      <c r="J92" s="965"/>
      <c r="N92" s="991"/>
      <c r="O92" s="991"/>
      <c r="P92" s="991"/>
      <c r="Q92" s="991"/>
    </row>
    <row r="93" spans="2:20" s="530" customFormat="1">
      <c r="B93" s="995" t="s">
        <v>162</v>
      </c>
      <c r="C93" s="976" t="s">
        <v>464</v>
      </c>
      <c r="D93" s="992">
        <f ca="1">HLOOKUP($H101,Supplementary!$C$44:$AF$46,3,FALSE)*D101</f>
        <v>46.950449174661266</v>
      </c>
      <c r="E93" s="555">
        <f ca="1">HLOOKUP($H101,Supplementary!$C$44:$AF$46,3,FALSE)*E101</f>
        <v>60.100799955865575</v>
      </c>
      <c r="F93" s="555">
        <f ca="1">HLOOKUP($H101,Supplementary!$C$44:$AF$46,3,FALSE)*F101</f>
        <v>60.100799955865575</v>
      </c>
      <c r="G93" s="555">
        <f ca="1">HLOOKUP($H101,Supplementary!$C$44:$AF$46,3,FALSE)*G101</f>
        <v>60.100799955865575</v>
      </c>
      <c r="H93" s="555">
        <f t="shared" si="0"/>
        <v>2015</v>
      </c>
      <c r="I93" s="555"/>
      <c r="J93" s="965"/>
      <c r="N93" s="991"/>
      <c r="O93" s="991"/>
      <c r="P93" s="991"/>
      <c r="Q93" s="991"/>
    </row>
    <row r="94" spans="2:20" s="530" customFormat="1">
      <c r="B94" s="995" t="s">
        <v>163</v>
      </c>
      <c r="C94" s="976" t="s">
        <v>464</v>
      </c>
      <c r="D94" s="992">
        <f>HLOOKUP($H102,Supplementary!$C$44:$AF$46,3,FALSE)*D102</f>
        <v>0</v>
      </c>
      <c r="E94" s="555">
        <f>HLOOKUP($H102,Supplementary!$C$44:$AF$46,3,FALSE)*E102</f>
        <v>0</v>
      </c>
      <c r="F94" s="555">
        <f>HLOOKUP($H102,Supplementary!$C$44:$AF$46,3,FALSE)*F102</f>
        <v>0</v>
      </c>
      <c r="G94" s="555">
        <f>HLOOKUP($H102,Supplementary!$C$44:$AF$46,3,FALSE)*G102</f>
        <v>0</v>
      </c>
      <c r="H94" s="555">
        <f t="shared" si="0"/>
        <v>2015</v>
      </c>
      <c r="I94" s="555"/>
      <c r="J94" s="965"/>
      <c r="N94" s="991"/>
      <c r="O94" s="991"/>
      <c r="P94" s="991"/>
      <c r="Q94" s="991"/>
    </row>
    <row r="95" spans="2:20" s="530" customFormat="1">
      <c r="B95" s="995" t="s">
        <v>164</v>
      </c>
      <c r="C95" s="976" t="s">
        <v>464</v>
      </c>
      <c r="D95" s="992">
        <f>HLOOKUP($H103,Supplementary!$C$44:$AF$46,3,FALSE)*D103</f>
        <v>0</v>
      </c>
      <c r="E95" s="555">
        <f>HLOOKUP($H103,Supplementary!$C$44:$AF$46,3,FALSE)*E103</f>
        <v>0</v>
      </c>
      <c r="F95" s="555">
        <f>HLOOKUP($H103,Supplementary!$C$44:$AF$46,3,FALSE)*F103</f>
        <v>0</v>
      </c>
      <c r="G95" s="555">
        <f>HLOOKUP($H103,Supplementary!$C$44:$AF$46,3,FALSE)*G103</f>
        <v>0</v>
      </c>
      <c r="H95" s="555">
        <f t="shared" si="0"/>
        <v>2015</v>
      </c>
      <c r="I95" s="555"/>
      <c r="J95" s="965"/>
      <c r="N95" s="991"/>
      <c r="O95" s="991"/>
      <c r="P95" s="991"/>
      <c r="Q95" s="991"/>
    </row>
    <row r="96" spans="2:20" s="530" customFormat="1">
      <c r="B96" s="995" t="s">
        <v>264</v>
      </c>
      <c r="C96" s="976" t="s">
        <v>464</v>
      </c>
      <c r="D96" s="992">
        <f>HLOOKUP($H104,Supplementary!$C$44:$AF$46,3,FALSE)*D104</f>
        <v>0.29568386914352823</v>
      </c>
      <c r="E96" s="555">
        <f>HLOOKUP($H104,Supplementary!$C$44:$AF$46,3,FALSE)*E104</f>
        <v>0.29568386914352823</v>
      </c>
      <c r="F96" s="555">
        <f>HLOOKUP($H104,Supplementary!$C$44:$AF$46,3,FALSE)*F104</f>
        <v>0.29568386914352823</v>
      </c>
      <c r="G96" s="555">
        <f>HLOOKUP($H104,Supplementary!$C$44:$AF$46,3,FALSE)*G104</f>
        <v>0.29568386914352823</v>
      </c>
      <c r="H96" s="555">
        <f t="shared" si="0"/>
        <v>2015</v>
      </c>
      <c r="I96" s="555"/>
      <c r="J96" s="965"/>
      <c r="N96" s="991"/>
      <c r="O96" s="991"/>
      <c r="P96" s="991"/>
      <c r="Q96" s="991"/>
    </row>
    <row r="97" spans="2:17" s="530" customFormat="1">
      <c r="B97" s="995" t="s">
        <v>165</v>
      </c>
      <c r="C97" s="976" t="s">
        <v>464</v>
      </c>
      <c r="D97" s="992">
        <f>HLOOKUP($H105,Supplementary!$C$44:$AF$46,3,FALSE)*D105</f>
        <v>0</v>
      </c>
      <c r="E97" s="555">
        <f>HLOOKUP($H105,Supplementary!$C$44:$AF$46,3,FALSE)*E105</f>
        <v>0</v>
      </c>
      <c r="F97" s="555">
        <f>HLOOKUP($H105,Supplementary!$C$44:$AF$46,3,FALSE)*F105</f>
        <v>0</v>
      </c>
      <c r="G97" s="555">
        <f>HLOOKUP($H105,Supplementary!$C$44:$AF$46,3,FALSE)*G105</f>
        <v>0</v>
      </c>
      <c r="H97" s="555">
        <f t="shared" si="0"/>
        <v>2015</v>
      </c>
      <c r="I97" s="555"/>
      <c r="J97" s="965"/>
      <c r="N97" s="991"/>
      <c r="O97" s="991"/>
      <c r="P97" s="991"/>
      <c r="Q97" s="991"/>
    </row>
    <row r="98" spans="2:17" s="530" customFormat="1">
      <c r="B98" s="975"/>
      <c r="C98" s="976"/>
      <c r="D98" s="992"/>
      <c r="E98" s="983"/>
      <c r="F98" s="983"/>
      <c r="G98" s="983"/>
      <c r="H98" s="983"/>
      <c r="I98" s="555"/>
      <c r="J98" s="965"/>
      <c r="N98" s="991"/>
      <c r="O98" s="991"/>
      <c r="P98" s="991"/>
      <c r="Q98" s="991"/>
    </row>
    <row r="99" spans="2:17" ht="12.75" customHeight="1">
      <c r="B99" s="475" t="s">
        <v>157</v>
      </c>
      <c r="C99" s="564" t="s">
        <v>61</v>
      </c>
      <c r="D99" s="568">
        <v>5000</v>
      </c>
      <c r="E99" s="568">
        <v>5000</v>
      </c>
      <c r="F99" s="568">
        <v>5000</v>
      </c>
      <c r="G99" s="568">
        <v>5000</v>
      </c>
      <c r="H99" s="1663">
        <v>2011</v>
      </c>
      <c r="I99" s="476" t="str">
        <f>CONCATENATE(Referencer!$B$56)</f>
        <v>50, www.cleanfuelconnection.com</v>
      </c>
      <c r="J99" s="477" t="s">
        <v>437</v>
      </c>
    </row>
    <row r="100" spans="2:17" ht="12.75" customHeight="1">
      <c r="B100" s="475" t="s">
        <v>160</v>
      </c>
      <c r="C100" s="564" t="s">
        <v>460</v>
      </c>
      <c r="D100" s="636">
        <f ca="1">+SUM(D101:D105)</f>
        <v>44.384990914505494</v>
      </c>
      <c r="E100" s="636">
        <f ca="1">+SUM(E101:E105)</f>
        <v>56.7389797458274</v>
      </c>
      <c r="F100" s="636">
        <f ca="1">+SUM(F101:F105)</f>
        <v>56.7389797458274</v>
      </c>
      <c r="G100" s="636">
        <f ca="1">+SUM(G101:G105)</f>
        <v>56.7389797458274</v>
      </c>
      <c r="H100" s="1663">
        <v>2011</v>
      </c>
      <c r="I100" s="584"/>
      <c r="J100" s="477" t="s">
        <v>438</v>
      </c>
    </row>
    <row r="101" spans="2:17" ht="12.75" customHeight="1">
      <c r="B101" s="585" t="s">
        <v>162</v>
      </c>
      <c r="C101" s="564" t="s">
        <v>460</v>
      </c>
      <c r="D101" s="636">
        <f ca="1">PMT(rSØK,D34,-D99)/(D33)/D32</f>
        <v>44.107213136727715</v>
      </c>
      <c r="E101" s="636">
        <f ca="1">PMT(rSØK,E34,-E99)/(E33)/E32</f>
        <v>56.461201968049622</v>
      </c>
      <c r="F101" s="636">
        <f ca="1">PMT(rSØK,F34,-F99)/(F33)/F32</f>
        <v>56.461201968049622</v>
      </c>
      <c r="G101" s="636">
        <f ca="1">PMT(rSØK,G34,-G99)/(G33)/G32</f>
        <v>56.461201968049622</v>
      </c>
      <c r="H101" s="1663">
        <v>2011</v>
      </c>
      <c r="I101" s="584"/>
      <c r="J101" s="648"/>
    </row>
    <row r="102" spans="2:17" ht="12.75" customHeight="1">
      <c r="B102" s="585" t="s">
        <v>163</v>
      </c>
      <c r="C102" s="564" t="s">
        <v>460</v>
      </c>
      <c r="D102" s="568">
        <v>0</v>
      </c>
      <c r="E102" s="568">
        <v>0</v>
      </c>
      <c r="F102" s="568">
        <v>0</v>
      </c>
      <c r="G102" s="568">
        <v>0</v>
      </c>
      <c r="H102" s="1663">
        <v>2011</v>
      </c>
      <c r="I102" s="476" t="s">
        <v>366</v>
      </c>
      <c r="J102" s="477" t="s">
        <v>439</v>
      </c>
    </row>
    <row r="103" spans="2:17" ht="12.75" customHeight="1">
      <c r="B103" s="585" t="s">
        <v>164</v>
      </c>
      <c r="C103" s="564" t="s">
        <v>460</v>
      </c>
      <c r="D103" s="610"/>
      <c r="E103" s="610"/>
      <c r="F103" s="610"/>
      <c r="G103" s="610"/>
      <c r="H103" s="1663">
        <v>2011</v>
      </c>
      <c r="I103" s="476"/>
      <c r="J103" s="477"/>
    </row>
    <row r="104" spans="2:17" ht="12.75" customHeight="1">
      <c r="B104" s="585" t="s">
        <v>264</v>
      </c>
      <c r="C104" s="564" t="s">
        <v>460</v>
      </c>
      <c r="D104" s="638">
        <f>1/(Supplementary!C50*1000)</f>
        <v>0.27777777777777779</v>
      </c>
      <c r="E104" s="638">
        <f>1/(Supplementary!C50*1000)</f>
        <v>0.27777777777777779</v>
      </c>
      <c r="F104" s="638">
        <f>1/(Supplementary!C50*1000)</f>
        <v>0.27777777777777779</v>
      </c>
      <c r="G104" s="638">
        <f>1/(Supplementary!C50*1000)</f>
        <v>0.27777777777777779</v>
      </c>
      <c r="H104" s="1663">
        <v>2011</v>
      </c>
      <c r="I104" s="476" t="str">
        <f>CONCATENATE(Referencer!$B$56)</f>
        <v>50, www.cleanfuelconnection.com</v>
      </c>
      <c r="J104" s="477" t="s">
        <v>733</v>
      </c>
    </row>
    <row r="105" spans="2:17" ht="12.75" customHeight="1">
      <c r="B105" s="585" t="s">
        <v>165</v>
      </c>
      <c r="C105" s="564" t="s">
        <v>460</v>
      </c>
      <c r="D105" s="630">
        <v>0</v>
      </c>
      <c r="E105" s="630">
        <v>0</v>
      </c>
      <c r="F105" s="630">
        <v>0</v>
      </c>
      <c r="G105" s="630">
        <v>0</v>
      </c>
      <c r="H105" s="1663">
        <v>2011</v>
      </c>
      <c r="I105" s="476" t="s">
        <v>366</v>
      </c>
      <c r="J105" s="477" t="s">
        <v>366</v>
      </c>
    </row>
    <row r="106" spans="2:17" ht="12.75" customHeight="1">
      <c r="B106" s="585"/>
      <c r="C106" s="564"/>
      <c r="D106" s="573"/>
      <c r="E106" s="573"/>
      <c r="F106" s="573"/>
      <c r="G106" s="573"/>
      <c r="I106" s="584"/>
      <c r="J106" s="648"/>
    </row>
    <row r="107" spans="2:17" ht="12.75" customHeight="1">
      <c r="B107" s="585"/>
      <c r="C107" s="564"/>
      <c r="D107" s="573"/>
      <c r="E107" s="573"/>
      <c r="F107" s="573"/>
      <c r="G107" s="573"/>
      <c r="I107" s="584"/>
      <c r="J107" s="648"/>
    </row>
    <row r="108" spans="2:17" ht="12.75" customHeight="1">
      <c r="B108" s="585"/>
      <c r="C108" s="564"/>
      <c r="D108" s="573"/>
      <c r="E108" s="573"/>
      <c r="F108" s="573"/>
      <c r="G108" s="573"/>
      <c r="I108" s="584"/>
      <c r="J108" s="648"/>
    </row>
    <row r="109" spans="2:17" ht="12.75" customHeight="1">
      <c r="B109" s="585"/>
      <c r="C109" s="564"/>
      <c r="D109" s="573"/>
      <c r="E109" s="573"/>
      <c r="F109" s="573"/>
      <c r="G109" s="573"/>
      <c r="I109" s="584"/>
      <c r="J109" s="648"/>
    </row>
    <row r="110" spans="2:17" ht="12.75" customHeight="1">
      <c r="B110" s="585"/>
      <c r="C110" s="564"/>
      <c r="D110" s="573"/>
      <c r="E110" s="573"/>
      <c r="F110" s="573"/>
      <c r="G110" s="573"/>
      <c r="I110" s="584"/>
      <c r="J110" s="648"/>
    </row>
    <row r="111" spans="2:17" ht="12.75" customHeight="1">
      <c r="B111" s="585"/>
      <c r="C111" s="564"/>
      <c r="D111" s="573"/>
      <c r="E111" s="573"/>
      <c r="F111" s="573"/>
      <c r="G111" s="573"/>
      <c r="I111" s="584"/>
      <c r="J111" s="648"/>
    </row>
    <row r="112" spans="2:17" ht="12.75" customHeight="1">
      <c r="B112" s="585"/>
      <c r="C112" s="564"/>
      <c r="D112" s="573"/>
      <c r="E112" s="573"/>
      <c r="F112" s="573"/>
      <c r="G112" s="573"/>
      <c r="I112" s="584"/>
      <c r="J112" s="648"/>
    </row>
    <row r="113" spans="2:23" ht="12.75" customHeight="1">
      <c r="B113" s="585"/>
      <c r="C113" s="564"/>
      <c r="D113" s="573"/>
      <c r="E113" s="573"/>
      <c r="F113" s="573"/>
      <c r="G113" s="573"/>
      <c r="I113" s="584"/>
      <c r="J113" s="648"/>
    </row>
    <row r="114" spans="2:23" ht="12.75" customHeight="1">
      <c r="B114" s="585"/>
      <c r="C114" s="564"/>
      <c r="D114" s="573"/>
      <c r="E114" s="573"/>
      <c r="F114" s="573"/>
      <c r="G114" s="573"/>
      <c r="I114" s="584"/>
      <c r="J114" s="648"/>
    </row>
    <row r="115" spans="2:23" ht="12.75" customHeight="1">
      <c r="B115" s="570" t="s">
        <v>166</v>
      </c>
      <c r="C115" s="564"/>
      <c r="D115" s="573"/>
      <c r="E115" s="573"/>
      <c r="F115" s="573"/>
      <c r="G115" s="573"/>
      <c r="I115" s="584"/>
      <c r="J115" s="648"/>
      <c r="T115" s="471"/>
      <c r="U115" s="471"/>
      <c r="V115" s="471"/>
    </row>
    <row r="116" spans="2:23" ht="12.75" customHeight="1">
      <c r="B116" s="475" t="s">
        <v>24</v>
      </c>
      <c r="C116" s="564" t="s">
        <v>440</v>
      </c>
      <c r="D116" s="614"/>
      <c r="E116" s="614"/>
      <c r="F116" s="614"/>
      <c r="G116" s="614"/>
      <c r="H116" s="452"/>
      <c r="I116" s="476"/>
      <c r="J116" s="648"/>
    </row>
    <row r="117" spans="2:23" ht="12.75" customHeight="1">
      <c r="B117" s="475" t="s">
        <v>27</v>
      </c>
      <c r="C117" s="564" t="s">
        <v>440</v>
      </c>
      <c r="D117" s="614"/>
      <c r="E117" s="614"/>
      <c r="F117" s="614"/>
      <c r="G117" s="614"/>
      <c r="H117" s="452"/>
      <c r="I117" s="476"/>
      <c r="J117" s="648"/>
    </row>
    <row r="118" spans="2:23" ht="12.75" customHeight="1">
      <c r="B118" s="475" t="s">
        <v>28</v>
      </c>
      <c r="C118" s="564" t="s">
        <v>440</v>
      </c>
      <c r="D118" s="614"/>
      <c r="E118" s="614"/>
      <c r="F118" s="614"/>
      <c r="G118" s="614"/>
      <c r="H118" s="452"/>
      <c r="I118" s="476"/>
      <c r="J118" s="648"/>
    </row>
    <row r="119" spans="2:23" ht="12.75" customHeight="1">
      <c r="B119" s="475" t="s">
        <v>26</v>
      </c>
      <c r="C119" s="564" t="s">
        <v>440</v>
      </c>
      <c r="D119" s="614"/>
      <c r="E119" s="614"/>
      <c r="F119" s="614"/>
      <c r="G119" s="614"/>
      <c r="H119" s="452"/>
      <c r="I119" s="476"/>
      <c r="J119" s="648"/>
    </row>
    <row r="120" spans="2:23" ht="12.75" customHeight="1">
      <c r="B120" s="475" t="s">
        <v>167</v>
      </c>
      <c r="C120" s="564" t="s">
        <v>440</v>
      </c>
      <c r="D120" s="614"/>
      <c r="E120" s="614"/>
      <c r="F120" s="614"/>
      <c r="G120" s="614"/>
      <c r="H120" s="452"/>
      <c r="I120" s="476"/>
      <c r="J120" s="648"/>
      <c r="T120" s="471"/>
      <c r="U120" s="471"/>
      <c r="V120" s="471"/>
      <c r="W120" s="471"/>
    </row>
    <row r="121" spans="2:23" ht="12.75" customHeight="1">
      <c r="B121" s="475" t="s">
        <v>45</v>
      </c>
      <c r="C121" s="564" t="s">
        <v>440</v>
      </c>
      <c r="D121" s="614"/>
      <c r="E121" s="614"/>
      <c r="F121" s="614"/>
      <c r="G121" s="614"/>
      <c r="H121" s="451"/>
      <c r="I121" s="476"/>
      <c r="J121" s="648"/>
    </row>
    <row r="122" spans="2:23" ht="12.75" customHeight="1" thickBot="1">
      <c r="B122" s="591"/>
      <c r="C122" s="592"/>
      <c r="D122" s="593"/>
      <c r="E122" s="593"/>
      <c r="F122" s="593"/>
      <c r="G122" s="593"/>
      <c r="H122" s="244"/>
      <c r="I122" s="594"/>
      <c r="J122" s="649"/>
    </row>
    <row r="123" spans="2:23" ht="12.75" customHeight="1"/>
    <row r="124" spans="2:23" ht="12.75" customHeight="1"/>
    <row r="125" spans="2:23" ht="12.75" customHeight="1"/>
    <row r="126" spans="2:23" ht="12.75" customHeight="1"/>
    <row r="127" spans="2:23" ht="12.75" customHeight="1"/>
    <row r="128" spans="2:23" ht="12.75" customHeight="1">
      <c r="H128" s="1173"/>
    </row>
    <row r="129" spans="8:8" ht="12.75" customHeight="1">
      <c r="H129" s="1173"/>
    </row>
    <row r="130" spans="8:8" ht="12.75" customHeight="1">
      <c r="H130" s="1173"/>
    </row>
    <row r="131" spans="8:8" ht="12.75" customHeight="1">
      <c r="H131" s="1399"/>
    </row>
    <row r="132" spans="8:8" ht="12.75" customHeight="1">
      <c r="H132" s="393"/>
    </row>
    <row r="133" spans="8:8" ht="12.75" customHeight="1"/>
    <row r="134" spans="8:8" ht="12.75" customHeight="1"/>
    <row r="135" spans="8:8" ht="12.75" customHeight="1"/>
    <row r="136" spans="8:8" ht="12.75" customHeight="1"/>
    <row r="137" spans="8:8" ht="12.75" customHeight="1"/>
    <row r="138" spans="8:8" ht="12.75" customHeight="1"/>
    <row r="139" spans="8:8" ht="12.75" customHeight="1"/>
    <row r="140" spans="8:8" ht="12.75" customHeight="1"/>
    <row r="141" spans="8:8" ht="12.75" customHeight="1"/>
    <row r="142" spans="8:8" ht="12.75" customHeight="1"/>
    <row r="143" spans="8:8" ht="12.75" customHeight="1"/>
    <row r="144" spans="8:8"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sheetData>
  <pageMargins left="0.15748031496062992" right="0.15748031496062992" top="1.25" bottom="0.19685039370078741" header="0.51181102362204722" footer="0.51181102362204722"/>
  <pageSetup paperSize="9" scale="38" orientation="landscape" r:id="rId1"/>
  <headerFooter alignWithMargins="0">
    <oddHeader>&amp;L&amp;"Arial"&amp;14&amp;BBeregningsmodel
&amp;"Arial"&amp;08&amp;B64329, Teknologivurdering af alternative drivmidler til transportsektoren&amp;R&amp;"Arial"&amp;08Page &amp;P of &amp;N</oddHeader>
    <oddFooter>&amp;L&amp;"Arial"&amp;08&amp;Z&amp;F
Sheet: &amp;A&amp;C&amp;"Arial"&amp;08Printed &amp;D &amp;T&amp;R&amp;G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23937" r:id="rId5" name="Button 1">
              <controlPr defaultSize="0" print="0" autoFill="0" autoPict="0" macro="[0]!GtOver">
                <anchor>
                  <from>
                    <xdr:col>6</xdr:col>
                    <xdr:colOff>962025</xdr:colOff>
                    <xdr:row>0</xdr:row>
                    <xdr:rowOff>38100</xdr:rowOff>
                  </from>
                  <to>
                    <xdr:col>7</xdr:col>
                    <xdr:colOff>971550</xdr:colOff>
                    <xdr:row>0</xdr:row>
                    <xdr:rowOff>238125</xdr:rowOff>
                  </to>
                </anchor>
              </controlPr>
            </control>
          </mc:Choice>
        </mc:AlternateContent>
        <mc:AlternateContent xmlns:mc="http://schemas.openxmlformats.org/markup-compatibility/2006">
          <mc:Choice Requires="x14">
            <control shapeId="423938" r:id="rId6" name="Button 2">
              <controlPr defaultSize="0" print="0" autoFill="0" autoPict="0" macro="[0]!GtRes">
                <anchor>
                  <from>
                    <xdr:col>8</xdr:col>
                    <xdr:colOff>95250</xdr:colOff>
                    <xdr:row>0</xdr:row>
                    <xdr:rowOff>38100</xdr:rowOff>
                  </from>
                  <to>
                    <xdr:col>9</xdr:col>
                    <xdr:colOff>676275</xdr:colOff>
                    <xdr:row>0</xdr:row>
                    <xdr:rowOff>238125</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0070C0"/>
    <pageSetUpPr fitToPage="1"/>
  </sheetPr>
  <dimension ref="A1:R333"/>
  <sheetViews>
    <sheetView topLeftCell="A97" zoomScale="80" zoomScaleNormal="80" workbookViewId="0">
      <selection activeCell="D29" sqref="D29"/>
    </sheetView>
  </sheetViews>
  <sheetFormatPr defaultColWidth="8.85546875" defaultRowHeight="12.75"/>
  <cols>
    <col min="1" max="1" width="3.28515625" style="469" customWidth="1"/>
    <col min="2" max="2" width="36" style="469" customWidth="1"/>
    <col min="3" max="3" width="16.5703125" style="469" customWidth="1"/>
    <col min="4" max="7" width="15.7109375" style="469" customWidth="1"/>
    <col min="8" max="8" width="15.7109375" style="523" customWidth="1"/>
    <col min="9" max="9" width="7.28515625" style="469" customWidth="1"/>
    <col min="10" max="10" width="12.7109375" style="469" customWidth="1"/>
    <col min="11" max="11" width="8.85546875" style="469"/>
    <col min="12" max="12" width="9.140625" style="469" customWidth="1"/>
    <col min="13" max="13" width="8.85546875" style="469"/>
    <col min="14" max="14" width="9.85546875" style="469" customWidth="1"/>
    <col min="15" max="16" width="8.85546875" style="469"/>
    <col min="17" max="18" width="12" style="469" customWidth="1"/>
    <col min="19" max="16384" width="8.85546875" style="469"/>
  </cols>
  <sheetData>
    <row r="1" spans="2:18" s="465" customFormat="1" ht="21">
      <c r="B1" s="465" t="s">
        <v>361</v>
      </c>
      <c r="C1" s="466"/>
      <c r="Q1" s="467">
        <f ca="1">'Log2015'!M1</f>
        <v>-8.0112614142160741</v>
      </c>
      <c r="R1" s="468">
        <f ca="1">'Log2015'!N1</f>
        <v>-160807.124977848</v>
      </c>
    </row>
    <row r="2" spans="2:18" ht="12.75" customHeight="1">
      <c r="Q2" s="624">
        <f ca="1">Q1</f>
        <v>-8.0112614142160741</v>
      </c>
      <c r="R2" s="624">
        <f ca="1">R1</f>
        <v>-160807.124977848</v>
      </c>
    </row>
    <row r="3" spans="2:18" ht="12.75" customHeight="1"/>
    <row r="4" spans="2:18" s="558" customFormat="1" ht="12.75" customHeight="1" thickBot="1">
      <c r="B4" s="470" t="s">
        <v>81</v>
      </c>
      <c r="H4" s="215"/>
    </row>
    <row r="5" spans="2:18" ht="12.75" customHeight="1" thickBot="1">
      <c r="B5" s="472" t="s">
        <v>137</v>
      </c>
      <c r="C5" s="473"/>
      <c r="D5" s="473"/>
      <c r="E5" s="473"/>
      <c r="F5" s="473"/>
      <c r="G5" s="473"/>
      <c r="I5" s="473"/>
      <c r="J5" s="474"/>
      <c r="K5" s="476"/>
      <c r="L5" s="476"/>
      <c r="M5" s="476"/>
      <c r="N5" s="476"/>
      <c r="O5" s="476"/>
      <c r="P5" s="476"/>
    </row>
    <row r="6" spans="2:18" ht="12.75" customHeight="1">
      <c r="B6" s="475"/>
      <c r="C6" s="476"/>
      <c r="D6" s="476"/>
      <c r="E6" s="476"/>
      <c r="F6" s="476"/>
      <c r="G6" s="476"/>
      <c r="H6" s="245"/>
      <c r="I6" s="476"/>
      <c r="J6" s="477"/>
      <c r="K6" s="476"/>
      <c r="L6" s="476"/>
      <c r="M6" s="476"/>
      <c r="N6" s="476"/>
      <c r="O6" s="476"/>
      <c r="P6" s="476"/>
    </row>
    <row r="7" spans="2:18" ht="12.75" customHeight="1">
      <c r="B7" s="475" t="s">
        <v>362</v>
      </c>
      <c r="C7" s="476"/>
      <c r="D7" s="476"/>
      <c r="E7" s="476"/>
      <c r="F7" s="476"/>
      <c r="G7" s="476"/>
      <c r="H7" s="248"/>
      <c r="I7" s="476"/>
      <c r="J7" s="477"/>
      <c r="K7" s="476"/>
      <c r="L7" s="476"/>
      <c r="M7" s="476"/>
      <c r="N7" s="476"/>
      <c r="O7" s="476"/>
      <c r="P7" s="476"/>
    </row>
    <row r="8" spans="2:18" ht="12.75" customHeight="1">
      <c r="B8" s="475" t="s">
        <v>363</v>
      </c>
      <c r="C8" s="476"/>
      <c r="D8" s="476"/>
      <c r="E8" s="476"/>
      <c r="F8" s="476"/>
      <c r="G8" s="476"/>
      <c r="H8" s="248"/>
      <c r="I8" s="476"/>
      <c r="J8" s="477"/>
      <c r="K8" s="476"/>
      <c r="L8" s="476"/>
      <c r="M8" s="476"/>
      <c r="N8" s="476"/>
      <c r="O8" s="476"/>
      <c r="P8" s="476"/>
    </row>
    <row r="9" spans="2:18" ht="12.75" customHeight="1">
      <c r="B9" s="475"/>
      <c r="C9" s="476"/>
      <c r="D9" s="476"/>
      <c r="E9" s="476"/>
      <c r="F9" s="476"/>
      <c r="G9" s="476"/>
      <c r="H9" s="248"/>
      <c r="I9" s="476"/>
      <c r="J9" s="477"/>
      <c r="K9" s="476"/>
      <c r="L9" s="476"/>
      <c r="M9" s="476"/>
      <c r="N9" s="476"/>
      <c r="O9" s="476"/>
      <c r="P9" s="476"/>
    </row>
    <row r="10" spans="2:18" ht="12.75" customHeight="1">
      <c r="B10" s="475"/>
      <c r="C10" s="476"/>
      <c r="D10" s="476"/>
      <c r="E10" s="476"/>
      <c r="F10" s="476"/>
      <c r="G10" s="476"/>
      <c r="H10" s="248"/>
      <c r="I10" s="476"/>
      <c r="J10" s="477"/>
      <c r="K10" s="476"/>
      <c r="L10" s="476"/>
      <c r="M10" s="476"/>
      <c r="N10" s="476"/>
      <c r="O10" s="476"/>
      <c r="P10" s="476"/>
    </row>
    <row r="11" spans="2:18" ht="12.75" customHeight="1">
      <c r="B11" s="475" t="s">
        <v>138</v>
      </c>
      <c r="C11" s="654" t="s">
        <v>689</v>
      </c>
      <c r="D11" s="476"/>
      <c r="E11" s="476"/>
      <c r="F11" s="476"/>
      <c r="G11" s="476"/>
      <c r="H11" s="248"/>
      <c r="I11" s="476"/>
      <c r="J11" s="477"/>
      <c r="K11" s="476"/>
      <c r="L11" s="476"/>
      <c r="M11" s="476"/>
      <c r="N11" s="476"/>
      <c r="O11" s="476"/>
      <c r="P11" s="476"/>
    </row>
    <row r="12" spans="2:18" ht="12.75" customHeight="1">
      <c r="B12" s="475" t="s">
        <v>5</v>
      </c>
      <c r="C12" s="476"/>
      <c r="D12" s="476"/>
      <c r="E12" s="476"/>
      <c r="F12" s="476"/>
      <c r="G12" s="476"/>
      <c r="H12" s="248"/>
      <c r="I12" s="476"/>
      <c r="J12" s="477"/>
      <c r="K12" s="476"/>
      <c r="L12" s="476"/>
      <c r="M12" s="476"/>
      <c r="N12" s="476"/>
      <c r="O12" s="476"/>
      <c r="P12" s="476"/>
    </row>
    <row r="13" spans="2:18" ht="12.75" customHeight="1">
      <c r="B13" s="475" t="s">
        <v>140</v>
      </c>
      <c r="C13" s="476"/>
      <c r="D13" s="476"/>
      <c r="E13" s="476"/>
      <c r="F13" s="476"/>
      <c r="G13" s="476"/>
      <c r="H13" s="248"/>
      <c r="I13" s="476"/>
      <c r="J13" s="477"/>
      <c r="K13" s="476"/>
      <c r="L13" s="476"/>
      <c r="M13" s="476"/>
      <c r="N13" s="476"/>
      <c r="O13" s="476"/>
      <c r="P13" s="476"/>
    </row>
    <row r="14" spans="2:18" ht="12.75" customHeight="1">
      <c r="B14" s="475" t="s">
        <v>243</v>
      </c>
      <c r="C14" s="476"/>
      <c r="D14" s="476"/>
      <c r="E14" s="476"/>
      <c r="F14" s="476"/>
      <c r="G14" s="476"/>
      <c r="H14" s="248"/>
      <c r="I14" s="476"/>
      <c r="J14" s="477"/>
      <c r="K14" s="476"/>
      <c r="L14" s="476"/>
      <c r="M14" s="476"/>
      <c r="N14" s="476"/>
      <c r="O14" s="476"/>
      <c r="P14" s="476"/>
    </row>
    <row r="15" spans="2:18" ht="12.75" customHeight="1">
      <c r="B15" s="475" t="s">
        <v>141</v>
      </c>
      <c r="C15" s="476"/>
      <c r="D15" s="476"/>
      <c r="E15" s="476"/>
      <c r="F15" s="476"/>
      <c r="G15" s="476"/>
      <c r="H15" s="248"/>
      <c r="I15" s="476"/>
      <c r="J15" s="477"/>
      <c r="K15" s="476"/>
      <c r="L15" s="476"/>
      <c r="M15" s="476"/>
      <c r="N15" s="476"/>
      <c r="O15" s="476"/>
      <c r="P15" s="476"/>
    </row>
    <row r="16" spans="2:18" ht="12.75" customHeight="1">
      <c r="B16" s="475" t="s">
        <v>364</v>
      </c>
      <c r="C16" s="476"/>
      <c r="D16" s="476"/>
      <c r="E16" s="476"/>
      <c r="F16" s="476"/>
      <c r="G16" s="476"/>
      <c r="H16" s="248"/>
      <c r="I16" s="476"/>
      <c r="J16" s="477"/>
      <c r="K16" s="476"/>
      <c r="L16" s="476"/>
      <c r="M16" s="476"/>
      <c r="N16" s="476"/>
      <c r="O16" s="476"/>
      <c r="P16" s="476"/>
    </row>
    <row r="17" spans="2:16" ht="12.75" customHeight="1">
      <c r="B17" s="475" t="s">
        <v>365</v>
      </c>
      <c r="C17" s="476"/>
      <c r="D17" s="476"/>
      <c r="E17" s="476"/>
      <c r="F17" s="476"/>
      <c r="G17" s="476"/>
      <c r="H17" s="248"/>
      <c r="I17" s="476"/>
      <c r="J17" s="477"/>
      <c r="K17" s="476"/>
      <c r="L17" s="476"/>
      <c r="M17" s="476"/>
      <c r="N17" s="476"/>
      <c r="O17" s="476"/>
      <c r="P17" s="476"/>
    </row>
    <row r="18" spans="2:16" ht="12.75" customHeight="1">
      <c r="B18" s="475" t="s">
        <v>366</v>
      </c>
      <c r="C18" s="476"/>
      <c r="D18" s="476"/>
      <c r="E18" s="476"/>
      <c r="F18" s="476"/>
      <c r="G18" s="476"/>
      <c r="H18" s="248"/>
      <c r="I18" s="476"/>
      <c r="J18" s="477"/>
      <c r="K18" s="476"/>
      <c r="L18" s="476"/>
      <c r="M18" s="476"/>
      <c r="N18" s="476"/>
      <c r="O18" s="476"/>
      <c r="P18" s="476"/>
    </row>
    <row r="19" spans="2:16" ht="12.75" customHeight="1">
      <c r="B19" s="475"/>
      <c r="C19" s="476"/>
      <c r="D19" s="476"/>
      <c r="E19" s="476"/>
      <c r="F19" s="476"/>
      <c r="G19" s="476"/>
      <c r="H19" s="248"/>
      <c r="I19" s="476"/>
      <c r="J19" s="477"/>
      <c r="K19" s="476"/>
      <c r="L19" s="476"/>
      <c r="M19" s="476"/>
      <c r="N19" s="476"/>
      <c r="O19" s="476"/>
      <c r="P19" s="476"/>
    </row>
    <row r="20" spans="2:16" ht="12.75" customHeight="1">
      <c r="B20" s="475" t="s">
        <v>142</v>
      </c>
      <c r="C20" s="476"/>
      <c r="D20" s="476"/>
      <c r="E20" s="476"/>
      <c r="F20" s="476"/>
      <c r="G20" s="476"/>
      <c r="H20" s="248"/>
      <c r="I20" s="476"/>
      <c r="J20" s="477"/>
      <c r="K20" s="476"/>
      <c r="L20" s="476"/>
      <c r="M20" s="476"/>
      <c r="N20" s="476"/>
      <c r="O20" s="476"/>
      <c r="P20" s="476"/>
    </row>
    <row r="21" spans="2:16" ht="12.75" customHeight="1">
      <c r="B21" s="475" t="s">
        <v>367</v>
      </c>
      <c r="C21" s="476"/>
      <c r="D21" s="476"/>
      <c r="E21" s="476"/>
      <c r="F21" s="476"/>
      <c r="G21" s="476"/>
      <c r="H21" s="248"/>
      <c r="I21" s="476"/>
      <c r="J21" s="477"/>
      <c r="K21" s="476"/>
      <c r="L21" s="476"/>
      <c r="M21" s="476"/>
      <c r="N21" s="476"/>
      <c r="O21" s="476"/>
      <c r="P21" s="476"/>
    </row>
    <row r="22" spans="2:16" ht="12.75" customHeight="1">
      <c r="B22" s="475" t="s">
        <v>143</v>
      </c>
      <c r="C22" s="476"/>
      <c r="D22" s="476"/>
      <c r="E22" s="476"/>
      <c r="F22" s="476"/>
      <c r="G22" s="476"/>
      <c r="H22" s="248"/>
      <c r="I22" s="476"/>
      <c r="J22" s="477"/>
      <c r="K22" s="476"/>
      <c r="L22" s="476"/>
      <c r="M22" s="476"/>
      <c r="N22" s="476"/>
      <c r="O22" s="476"/>
      <c r="P22" s="476"/>
    </row>
    <row r="23" spans="2:16" ht="12.75" customHeight="1">
      <c r="B23" s="475" t="s">
        <v>368</v>
      </c>
      <c r="C23" s="476"/>
      <c r="D23" s="476"/>
      <c r="E23" s="476"/>
      <c r="F23" s="476"/>
      <c r="G23" s="476"/>
      <c r="H23" s="248"/>
      <c r="I23" s="476"/>
      <c r="J23" s="477"/>
      <c r="K23" s="476"/>
      <c r="L23" s="476"/>
      <c r="M23" s="476"/>
      <c r="N23" s="476"/>
      <c r="O23" s="476"/>
      <c r="P23" s="476"/>
    </row>
    <row r="24" spans="2:16" ht="12.75" customHeight="1" thickBot="1">
      <c r="B24" s="481" t="s">
        <v>369</v>
      </c>
      <c r="C24" s="482"/>
      <c r="D24" s="482"/>
      <c r="E24" s="482"/>
      <c r="F24" s="482"/>
      <c r="G24" s="482"/>
      <c r="H24" s="250"/>
      <c r="I24" s="482"/>
      <c r="J24" s="483"/>
      <c r="K24" s="476"/>
      <c r="L24" s="476"/>
      <c r="M24" s="476"/>
      <c r="N24" s="476"/>
      <c r="O24" s="476"/>
      <c r="P24" s="476"/>
    </row>
    <row r="25" spans="2:16" ht="12.75" customHeight="1">
      <c r="F25" s="560"/>
      <c r="K25" s="476"/>
      <c r="L25" s="476"/>
      <c r="M25" s="476"/>
      <c r="N25" s="476"/>
      <c r="O25" s="476"/>
      <c r="P25" s="476"/>
    </row>
    <row r="26" spans="2:16" s="558" customFormat="1" ht="12.75" customHeight="1">
      <c r="B26" s="470" t="s">
        <v>144</v>
      </c>
      <c r="H26" s="215"/>
      <c r="K26" s="660"/>
      <c r="L26" s="660"/>
      <c r="M26" s="660"/>
      <c r="N26" s="660"/>
      <c r="O26" s="660"/>
      <c r="P26" s="660"/>
    </row>
    <row r="27" spans="2:16" s="558" customFormat="1" ht="12.75" customHeight="1" thickBot="1">
      <c r="B27" s="469"/>
      <c r="F27" s="558" t="s">
        <v>145</v>
      </c>
      <c r="G27" s="558" t="s">
        <v>146</v>
      </c>
      <c r="H27" s="215"/>
    </row>
    <row r="28" spans="2:16" ht="12.75" customHeight="1">
      <c r="B28" s="472"/>
      <c r="C28" s="561" t="s">
        <v>70</v>
      </c>
      <c r="D28" s="473"/>
      <c r="E28" s="473"/>
      <c r="F28" s="473"/>
      <c r="G28" s="473"/>
      <c r="H28" s="221"/>
      <c r="I28" s="473"/>
      <c r="J28" s="474"/>
    </row>
    <row r="29" spans="2:16" ht="12.75" customHeight="1">
      <c r="B29" s="484"/>
      <c r="C29" s="655"/>
      <c r="D29" s="485">
        <v>2015</v>
      </c>
      <c r="E29" s="485">
        <v>2020</v>
      </c>
      <c r="F29" s="485">
        <v>2035</v>
      </c>
      <c r="G29" s="485">
        <v>2050</v>
      </c>
      <c r="H29" s="225" t="s">
        <v>978</v>
      </c>
      <c r="I29" s="485" t="s">
        <v>145</v>
      </c>
      <c r="J29" s="487" t="s">
        <v>146</v>
      </c>
    </row>
    <row r="30" spans="2:16" ht="12.75" customHeight="1">
      <c r="B30" s="656" t="s">
        <v>147</v>
      </c>
      <c r="C30" s="657"/>
      <c r="D30" s="658"/>
      <c r="E30" s="658"/>
      <c r="F30" s="658"/>
      <c r="G30" s="658"/>
      <c r="H30" s="209"/>
      <c r="I30" s="497"/>
      <c r="J30" s="659"/>
    </row>
    <row r="31" spans="2:16" ht="12.75" customHeight="1">
      <c r="B31" s="475" t="s">
        <v>148</v>
      </c>
      <c r="C31" s="564" t="s">
        <v>358</v>
      </c>
      <c r="D31" s="568">
        <v>1</v>
      </c>
      <c r="E31" s="568">
        <v>1</v>
      </c>
      <c r="F31" s="568">
        <v>1</v>
      </c>
      <c r="G31" s="568">
        <v>1</v>
      </c>
      <c r="H31" s="1422"/>
      <c r="I31" s="476" t="s">
        <v>366</v>
      </c>
      <c r="J31" s="477"/>
    </row>
    <row r="32" spans="2:16" ht="12.75" customHeight="1">
      <c r="B32" s="475" t="s">
        <v>67</v>
      </c>
      <c r="C32" s="564" t="s">
        <v>187</v>
      </c>
      <c r="D32" s="1418">
        <f>Supplementary!$G$169</f>
        <v>39.46</v>
      </c>
      <c r="E32" s="1418">
        <f>Supplementary!$G$169</f>
        <v>39.46</v>
      </c>
      <c r="F32" s="1418">
        <f>Supplementary!$G$169</f>
        <v>39.46</v>
      </c>
      <c r="G32" s="1418">
        <f>Supplementary!$G$169</f>
        <v>39.46</v>
      </c>
      <c r="H32" s="1422"/>
      <c r="I32" s="476"/>
      <c r="J32" s="477"/>
    </row>
    <row r="33" spans="2:10" ht="12.75" customHeight="1">
      <c r="B33" s="475" t="s">
        <v>149</v>
      </c>
      <c r="C33" s="564" t="s">
        <v>359</v>
      </c>
      <c r="D33" s="568">
        <v>1000</v>
      </c>
      <c r="E33" s="568">
        <v>1000</v>
      </c>
      <c r="F33" s="568">
        <v>1000</v>
      </c>
      <c r="G33" s="568">
        <v>1000</v>
      </c>
      <c r="H33" s="1590"/>
      <c r="I33" s="476" t="s">
        <v>366</v>
      </c>
      <c r="J33" s="477"/>
    </row>
    <row r="34" spans="2:10" ht="12.75" customHeight="1">
      <c r="B34" s="475" t="s">
        <v>150</v>
      </c>
      <c r="C34" s="564" t="s">
        <v>34</v>
      </c>
      <c r="D34" s="568">
        <v>20</v>
      </c>
      <c r="E34" s="568">
        <v>20</v>
      </c>
      <c r="F34" s="568">
        <v>20</v>
      </c>
      <c r="G34" s="568">
        <v>20</v>
      </c>
      <c r="H34" s="212"/>
      <c r="I34" s="476" t="s">
        <v>366</v>
      </c>
      <c r="J34" s="477"/>
    </row>
    <row r="35" spans="2:10" ht="12.75" customHeight="1">
      <c r="B35" s="475"/>
      <c r="C35" s="564"/>
      <c r="D35" s="569"/>
      <c r="E35" s="569"/>
      <c r="F35" s="569"/>
      <c r="G35" s="569"/>
      <c r="H35" s="213"/>
      <c r="I35" s="476"/>
      <c r="J35" s="477"/>
    </row>
    <row r="36" spans="2:10" ht="12.75" customHeight="1">
      <c r="B36" s="570" t="s">
        <v>151</v>
      </c>
      <c r="C36" s="571"/>
      <c r="D36" s="572"/>
      <c r="E36" s="573"/>
      <c r="F36" s="573"/>
      <c r="G36" s="573"/>
      <c r="H36" s="213"/>
      <c r="I36" s="476"/>
      <c r="J36" s="477"/>
    </row>
    <row r="37" spans="2:10" ht="12.75" customHeight="1">
      <c r="B37" s="475" t="str">
        <f>ProcessEnergy!B35</f>
        <v xml:space="preserve">Green diesel </v>
      </c>
      <c r="C37" s="564" t="s">
        <v>463</v>
      </c>
      <c r="H37" s="105"/>
      <c r="I37" s="476"/>
      <c r="J37" s="477"/>
    </row>
    <row r="38" spans="2:10" ht="12.75" customHeight="1">
      <c r="B38" s="575" t="str">
        <f>ProcessEnergy!B36</f>
        <v>Green gasoline</v>
      </c>
      <c r="C38" s="564"/>
      <c r="H38" s="105"/>
      <c r="I38" s="476"/>
      <c r="J38" s="477"/>
    </row>
    <row r="39" spans="2:10" ht="12.75" customHeight="1">
      <c r="B39" s="575" t="str">
        <f>ProcessEnergy!B37</f>
        <v>Electricity - balancing</v>
      </c>
      <c r="C39" s="564"/>
      <c r="H39" s="105"/>
      <c r="I39" s="476"/>
      <c r="J39" s="477"/>
    </row>
    <row r="40" spans="2:10" ht="12.75" customHeight="1">
      <c r="B40" s="575" t="str">
        <f>ProcessEnergy!B38</f>
        <v>Electricity  - continous</v>
      </c>
      <c r="C40" s="564"/>
      <c r="H40" s="105"/>
      <c r="I40" s="476"/>
      <c r="J40" s="477"/>
    </row>
    <row r="41" spans="2:10" ht="12.75" customHeight="1">
      <c r="B41" s="575" t="str">
        <f>ProcessEnergy!B39</f>
        <v>Elec/heat fuel</v>
      </c>
      <c r="C41" s="564"/>
      <c r="H41" s="105"/>
      <c r="I41" s="476"/>
      <c r="J41" s="477"/>
    </row>
    <row r="42" spans="2:10" ht="12.75" customHeight="1">
      <c r="B42" s="575" t="str">
        <f>ProcessEnergy!B40</f>
        <v>Biogas (100% CH4)</v>
      </c>
      <c r="C42" s="564"/>
      <c r="H42" s="105"/>
      <c r="I42" s="476"/>
      <c r="J42" s="477"/>
    </row>
    <row r="43" spans="2:10" ht="12.75" customHeight="1">
      <c r="B43" s="575" t="str">
        <f>ProcessEnergy!B41</f>
        <v>District heating</v>
      </c>
      <c r="C43" s="564"/>
      <c r="H43" s="105"/>
      <c r="I43" s="476"/>
      <c r="J43" s="477"/>
    </row>
    <row r="44" spans="2:10" ht="12.75" customHeight="1">
      <c r="B44" s="575" t="str">
        <f>ProcessEnergy!B42</f>
        <v>&lt;empty&gt;</v>
      </c>
      <c r="C44" s="564"/>
      <c r="H44" s="105"/>
      <c r="I44" s="476"/>
      <c r="J44" s="477"/>
    </row>
    <row r="45" spans="2:10" ht="12.75" customHeight="1">
      <c r="B45" s="575" t="str">
        <f>ProcessEnergy!B43</f>
        <v>&lt;empty&gt;</v>
      </c>
      <c r="C45" s="564"/>
      <c r="H45" s="105"/>
      <c r="I45" s="476"/>
      <c r="J45" s="477"/>
    </row>
    <row r="46" spans="2:10" ht="12.75" customHeight="1">
      <c r="B46" s="575" t="str">
        <f>ProcessEnergy!B44</f>
        <v>&lt;empty&gt;</v>
      </c>
      <c r="C46" s="564"/>
      <c r="H46" s="105"/>
      <c r="I46" s="476"/>
      <c r="J46" s="477"/>
    </row>
    <row r="47" spans="2:10" ht="12.75" customHeight="1">
      <c r="B47" s="575" t="str">
        <f>ProcessEnergy!B45</f>
        <v>&lt;empty&gt;</v>
      </c>
      <c r="C47" s="564"/>
      <c r="H47" s="105"/>
      <c r="I47" s="476"/>
      <c r="J47" s="477"/>
    </row>
    <row r="48" spans="2:10" ht="12.75" customHeight="1">
      <c r="B48" s="575" t="str">
        <f>ProcessEnergy!B46</f>
        <v>&lt;empty&gt;</v>
      </c>
      <c r="C48" s="564"/>
      <c r="H48" s="105"/>
      <c r="I48" s="476"/>
      <c r="J48" s="477"/>
    </row>
    <row r="49" spans="2:10" ht="12.75" customHeight="1">
      <c r="B49" s="575" t="str">
        <f>ProcessEnergy!B47</f>
        <v>&lt;empty&gt;</v>
      </c>
      <c r="C49" s="564"/>
      <c r="H49" s="105"/>
      <c r="I49" s="476"/>
      <c r="J49" s="477"/>
    </row>
    <row r="50" spans="2:10" ht="12.75" customHeight="1">
      <c r="B50" s="575" t="str">
        <f>ProcessEnergy!B48</f>
        <v>Glycerol</v>
      </c>
      <c r="C50" s="564"/>
      <c r="H50" s="105"/>
      <c r="I50" s="476"/>
      <c r="J50" s="477"/>
    </row>
    <row r="51" spans="2:10" ht="12.75" customHeight="1">
      <c r="B51" s="575" t="str">
        <f>ProcessEnergy!B49</f>
        <v>&lt;empty&gt;</v>
      </c>
      <c r="C51" s="564"/>
      <c r="H51" s="105"/>
      <c r="I51" s="476"/>
      <c r="J51" s="477"/>
    </row>
    <row r="52" spans="2:10" ht="12.75" customHeight="1">
      <c r="B52" s="575" t="str">
        <f>ProcessEnergy!B50</f>
        <v>&lt;empty&gt;</v>
      </c>
      <c r="C52" s="564"/>
      <c r="H52" s="105"/>
      <c r="I52" s="476"/>
      <c r="J52" s="477"/>
    </row>
    <row r="53" spans="2:10" ht="12.75" customHeight="1">
      <c r="B53" s="575" t="str">
        <f>ProcessEnergy!B51</f>
        <v>Fodder (wheat like)</v>
      </c>
      <c r="C53" s="564"/>
      <c r="H53" s="105"/>
      <c r="I53" s="476"/>
      <c r="J53" s="477"/>
    </row>
    <row r="54" spans="2:10" ht="12.75" customHeight="1">
      <c r="B54" s="575" t="str">
        <f>ProcessEnergy!B52</f>
        <v>Rape seed cake</v>
      </c>
      <c r="C54" s="564"/>
      <c r="H54" s="105"/>
      <c r="I54" s="476"/>
      <c r="J54" s="477"/>
    </row>
    <row r="55" spans="2:10" ht="12.75" customHeight="1">
      <c r="B55" s="575" t="str">
        <f>ProcessEnergy!B53</f>
        <v>&lt;empty&gt;</v>
      </c>
      <c r="C55" s="564"/>
      <c r="H55" s="105"/>
      <c r="I55" s="476"/>
      <c r="J55" s="477"/>
    </row>
    <row r="56" spans="2:10" ht="12.75" customHeight="1">
      <c r="B56" s="575" t="str">
        <f>ProcessEnergy!B54</f>
        <v>DDGS</v>
      </c>
      <c r="C56" s="564"/>
      <c r="H56" s="105"/>
      <c r="I56" s="476"/>
      <c r="J56" s="477"/>
    </row>
    <row r="57" spans="2:10" ht="12.75" customHeight="1">
      <c r="B57" s="475"/>
      <c r="C57" s="564"/>
      <c r="H57" s="105"/>
      <c r="I57" s="476"/>
      <c r="J57" s="477"/>
    </row>
    <row r="58" spans="2:10" ht="12.75" customHeight="1">
      <c r="B58" s="570" t="s">
        <v>873</v>
      </c>
      <c r="C58" s="564"/>
      <c r="H58" s="105"/>
      <c r="I58" s="476"/>
      <c r="J58" s="477"/>
    </row>
    <row r="59" spans="2:10" ht="12.75" customHeight="1">
      <c r="B59" s="475" t="str">
        <f>ProcessEnergy!B5</f>
        <v>EL - peakload</v>
      </c>
      <c r="C59" s="564" t="s">
        <v>897</v>
      </c>
      <c r="H59" s="105"/>
      <c r="I59" s="476"/>
      <c r="J59" s="477"/>
    </row>
    <row r="60" spans="2:10" ht="12.75" customHeight="1">
      <c r="B60" s="475" t="str">
        <f>ProcessEnergy!B6</f>
        <v>El - baseload</v>
      </c>
      <c r="C60" s="564" t="s">
        <v>897</v>
      </c>
      <c r="D60" s="634">
        <v>2.5000000000000001E-2</v>
      </c>
      <c r="E60" s="634">
        <v>2.5000000000000001E-2</v>
      </c>
      <c r="F60" s="634">
        <v>2.5000000000000001E-2</v>
      </c>
      <c r="G60" s="634">
        <v>2.5000000000000001E-2</v>
      </c>
      <c r="H60" s="105"/>
      <c r="I60" s="476" t="str">
        <f>CONCATENATE(Referencer!$B$57)</f>
        <v>51, Energistyrelsen (2006): Appendiks: Forudsætninger for samfundsøkonomiske analyser på energiområdet. Energistyrelsen, juli 2006.</v>
      </c>
      <c r="J60" s="477" t="s">
        <v>1781</v>
      </c>
    </row>
    <row r="61" spans="2:10" ht="12.75" customHeight="1">
      <c r="B61" s="475" t="str">
        <f>ProcessEnergy!B7</f>
        <v xml:space="preserve">Varme </v>
      </c>
      <c r="C61" s="564" t="s">
        <v>897</v>
      </c>
      <c r="H61" s="105"/>
      <c r="I61" s="476"/>
      <c r="J61" s="477"/>
    </row>
    <row r="62" spans="2:10" ht="12.75" customHeight="1">
      <c r="B62" s="475" t="str">
        <f>ProcessEnergy!B8</f>
        <v>Damp</v>
      </c>
      <c r="C62" s="564" t="s">
        <v>897</v>
      </c>
      <c r="H62" s="105"/>
      <c r="I62" s="476"/>
      <c r="J62" s="477"/>
    </row>
    <row r="63" spans="2:10" ht="12.75" customHeight="1">
      <c r="B63" s="475" t="str">
        <f>ProcessEnergy!B9</f>
        <v xml:space="preserve">Olie </v>
      </c>
      <c r="C63" s="564" t="s">
        <v>897</v>
      </c>
      <c r="D63" s="574"/>
      <c r="E63" s="574"/>
      <c r="F63" s="574"/>
      <c r="G63" s="574"/>
      <c r="H63" s="105"/>
      <c r="I63" s="476"/>
      <c r="J63" s="477"/>
    </row>
    <row r="64" spans="2:10" ht="12.75" customHeight="1">
      <c r="B64" s="475" t="str">
        <f>ProcessEnergy!B10</f>
        <v>Kul</v>
      </c>
      <c r="C64" s="564" t="s">
        <v>897</v>
      </c>
      <c r="D64" s="574"/>
      <c r="E64" s="574"/>
      <c r="F64" s="574"/>
      <c r="G64" s="574"/>
      <c r="H64" s="105"/>
      <c r="I64" s="476"/>
      <c r="J64" s="477"/>
    </row>
    <row r="65" spans="2:10" ht="12.75" customHeight="1">
      <c r="B65" s="475" t="str">
        <f>ProcessEnergy!B11</f>
        <v>Naturgas kedel</v>
      </c>
      <c r="C65" s="564" t="s">
        <v>897</v>
      </c>
      <c r="D65" s="574"/>
      <c r="E65" s="574"/>
      <c r="F65" s="574"/>
      <c r="G65" s="574"/>
      <c r="H65" s="105"/>
      <c r="I65" s="476"/>
      <c r="J65" s="477"/>
    </row>
    <row r="66" spans="2:10" ht="12.75" customHeight="1">
      <c r="B66" s="475" t="str">
        <f>ProcessEnergy!B12</f>
        <v>Gylle</v>
      </c>
      <c r="C66" s="564" t="s">
        <v>897</v>
      </c>
      <c r="D66" s="574"/>
      <c r="E66" s="574"/>
      <c r="F66" s="574"/>
      <c r="G66" s="574"/>
      <c r="H66" s="105"/>
      <c r="I66" s="476"/>
      <c r="J66" s="477"/>
    </row>
    <row r="67" spans="2:10" ht="12.75" customHeight="1">
      <c r="B67" s="475" t="str">
        <f>ProcessEnergy!B13</f>
        <v>Affald</v>
      </c>
      <c r="C67" s="564" t="s">
        <v>897</v>
      </c>
      <c r="D67" s="574"/>
      <c r="E67" s="574"/>
      <c r="F67" s="574"/>
      <c r="G67" s="574"/>
      <c r="H67" s="105"/>
      <c r="I67" s="476"/>
      <c r="J67" s="477"/>
    </row>
    <row r="68" spans="2:10" ht="12.75" customHeight="1">
      <c r="B68" s="475" t="str">
        <f>ProcessEnergy!B14</f>
        <v>Hydrogen</v>
      </c>
      <c r="C68" s="564" t="s">
        <v>897</v>
      </c>
      <c r="D68" s="574"/>
      <c r="E68" s="574"/>
      <c r="F68" s="574"/>
      <c r="G68" s="574"/>
      <c r="H68" s="105"/>
      <c r="I68" s="476"/>
      <c r="J68" s="477"/>
    </row>
    <row r="69" spans="2:10" ht="12.75" customHeight="1">
      <c r="B69" s="475" t="str">
        <f>ProcessEnergy!B15</f>
        <v>Biomasse</v>
      </c>
      <c r="C69" s="564" t="s">
        <v>897</v>
      </c>
      <c r="D69" s="574"/>
      <c r="E69" s="574"/>
      <c r="F69" s="574"/>
      <c r="G69" s="574"/>
      <c r="H69" s="105"/>
      <c r="I69" s="476"/>
      <c r="J69" s="477"/>
    </row>
    <row r="70" spans="2:10" ht="12.75" customHeight="1">
      <c r="B70" s="475" t="str">
        <f>ProcessEnergy!B16</f>
        <v>Methanol</v>
      </c>
      <c r="C70" s="564"/>
      <c r="D70" s="574"/>
      <c r="E70" s="574"/>
      <c r="F70" s="574"/>
      <c r="G70" s="574"/>
      <c r="H70" s="105"/>
      <c r="I70" s="476"/>
      <c r="J70" s="477"/>
    </row>
    <row r="71" spans="2:10" ht="12.75" customHeight="1">
      <c r="B71" s="475" t="str">
        <f>ProcessEnergy!B17</f>
        <v>&lt;empty&gt;</v>
      </c>
      <c r="C71" s="564"/>
      <c r="D71" s="574"/>
      <c r="E71" s="574"/>
      <c r="F71" s="574"/>
      <c r="G71" s="574"/>
      <c r="H71" s="105"/>
      <c r="I71" s="476"/>
      <c r="J71" s="477"/>
    </row>
    <row r="72" spans="2:10" ht="12.75" customHeight="1">
      <c r="B72" s="475" t="str">
        <f>ProcessEnergy!B18</f>
        <v>&lt;empty&gt;</v>
      </c>
      <c r="C72" s="564"/>
      <c r="D72" s="574"/>
      <c r="E72" s="574"/>
      <c r="F72" s="574"/>
      <c r="G72" s="574"/>
      <c r="H72" s="105"/>
      <c r="I72" s="476"/>
      <c r="J72" s="477"/>
    </row>
    <row r="73" spans="2:10" ht="12.75" customHeight="1">
      <c r="B73" s="475" t="str">
        <f>ProcessEnergy!B19</f>
        <v>&lt;empty&gt;</v>
      </c>
      <c r="C73" s="564"/>
      <c r="D73" s="574"/>
      <c r="E73" s="574"/>
      <c r="F73" s="574"/>
      <c r="G73" s="574"/>
      <c r="H73" s="105"/>
      <c r="I73" s="476"/>
      <c r="J73" s="477"/>
    </row>
    <row r="74" spans="2:10" ht="12.75" customHeight="1">
      <c r="B74" s="475" t="str">
        <f>ProcessEnergy!B20</f>
        <v>&lt;empty&gt;</v>
      </c>
      <c r="C74" s="564"/>
      <c r="D74" s="574"/>
      <c r="E74" s="574"/>
      <c r="F74" s="574"/>
      <c r="G74" s="574"/>
      <c r="H74" s="105"/>
      <c r="I74" s="476"/>
      <c r="J74" s="477"/>
    </row>
    <row r="75" spans="2:10" ht="12.75" customHeight="1">
      <c r="B75" s="475" t="str">
        <f>ProcessEnergy!B21</f>
        <v>&lt;empty&gt;</v>
      </c>
      <c r="C75" s="564"/>
      <c r="D75" s="574"/>
      <c r="E75" s="574"/>
      <c r="F75" s="574"/>
      <c r="G75" s="574"/>
      <c r="H75" s="105"/>
      <c r="I75" s="476"/>
      <c r="J75" s="477"/>
    </row>
    <row r="76" spans="2:10" ht="12.75" customHeight="1">
      <c r="B76" s="475" t="str">
        <f>ProcessEnergy!B22</f>
        <v>&lt;empty&gt;</v>
      </c>
      <c r="C76" s="564"/>
      <c r="D76" s="574"/>
      <c r="E76" s="574"/>
      <c r="F76" s="574"/>
      <c r="G76" s="574"/>
      <c r="H76" s="105"/>
      <c r="I76" s="476"/>
      <c r="J76" s="477"/>
    </row>
    <row r="77" spans="2:10" ht="12.75" customHeight="1">
      <c r="B77" s="475" t="str">
        <f>ProcessEnergy!B23</f>
        <v>&lt;empty&gt;</v>
      </c>
      <c r="C77" s="564"/>
      <c r="D77" s="574"/>
      <c r="E77" s="574"/>
      <c r="F77" s="574"/>
      <c r="G77" s="574"/>
      <c r="H77" s="105"/>
      <c r="I77" s="476"/>
      <c r="J77" s="477"/>
    </row>
    <row r="78" spans="2:10" ht="12.75" customHeight="1">
      <c r="B78" s="475" t="str">
        <f>ProcessEnergy!B24</f>
        <v>&lt;empty&gt;</v>
      </c>
      <c r="C78" s="564"/>
      <c r="D78" s="574"/>
      <c r="E78" s="574"/>
      <c r="F78" s="574"/>
      <c r="G78" s="574"/>
      <c r="H78" s="105"/>
      <c r="I78" s="476"/>
      <c r="J78" s="477"/>
    </row>
    <row r="79" spans="2:10" ht="12.75" customHeight="1">
      <c r="B79" s="475"/>
      <c r="C79" s="564"/>
      <c r="D79" s="565"/>
      <c r="E79" s="565"/>
      <c r="F79" s="565"/>
      <c r="G79" s="565"/>
      <c r="H79" s="106"/>
      <c r="I79" s="476"/>
      <c r="J79" s="477"/>
    </row>
    <row r="80" spans="2:10" ht="12.75" customHeight="1">
      <c r="B80" s="475"/>
      <c r="C80" s="564"/>
      <c r="D80" s="565"/>
      <c r="E80" s="565"/>
      <c r="F80" s="565"/>
      <c r="G80" s="565"/>
      <c r="H80" s="106"/>
      <c r="I80" s="476"/>
      <c r="J80" s="477"/>
    </row>
    <row r="81" spans="1:17" ht="12.75" customHeight="1">
      <c r="B81" s="475"/>
      <c r="C81" s="564"/>
      <c r="D81" s="565"/>
      <c r="E81" s="565"/>
      <c r="F81" s="565"/>
      <c r="G81" s="565"/>
      <c r="H81" s="106"/>
      <c r="I81" s="476"/>
      <c r="J81" s="477"/>
    </row>
    <row r="82" spans="1:17" ht="12.75" customHeight="1">
      <c r="B82" s="570" t="s">
        <v>152</v>
      </c>
      <c r="C82" s="564"/>
      <c r="D82" s="565"/>
      <c r="E82" s="565"/>
      <c r="F82" s="565"/>
      <c r="G82" s="565"/>
      <c r="H82" s="106"/>
      <c r="I82" s="476"/>
      <c r="J82" s="477"/>
    </row>
    <row r="83" spans="1:17" ht="12.75" customHeight="1">
      <c r="B83" s="247" t="s">
        <v>462</v>
      </c>
      <c r="C83" s="210" t="s">
        <v>725</v>
      </c>
      <c r="D83" s="1624">
        <v>1</v>
      </c>
      <c r="E83" s="1624">
        <v>1</v>
      </c>
      <c r="F83" s="1624">
        <v>1</v>
      </c>
      <c r="G83" s="1624">
        <v>1</v>
      </c>
      <c r="H83" s="295"/>
      <c r="I83" s="476"/>
      <c r="J83" s="477"/>
      <c r="M83" s="619"/>
    </row>
    <row r="84" spans="1:17" ht="12.75" customHeight="1">
      <c r="B84" s="247" t="s">
        <v>153</v>
      </c>
      <c r="C84" s="210" t="s">
        <v>725</v>
      </c>
      <c r="D84" s="574">
        <f>D128/D32</f>
        <v>2.1959999999999997E-2</v>
      </c>
      <c r="E84" s="574">
        <f>E128/E32</f>
        <v>2.1959999999999997E-2</v>
      </c>
      <c r="F84" s="574">
        <f>F128/F32</f>
        <v>2.1959999999999997E-2</v>
      </c>
      <c r="G84" s="574">
        <f>G128/G32</f>
        <v>2.1959999999999997E-2</v>
      </c>
      <c r="H84" s="105"/>
      <c r="I84" s="476" t="str">
        <f>CONCATENATE(Referencer!$B$52)</f>
        <v>46, Concawe (2006): Well-to-wheels analysis of future automotive fuels and power-trains in the European Context. May 2006.</v>
      </c>
      <c r="J84" s="477" t="s">
        <v>370</v>
      </c>
      <c r="K84" s="469" t="s">
        <v>900</v>
      </c>
    </row>
    <row r="85" spans="1:17" ht="12.75" customHeight="1">
      <c r="B85" s="247" t="s">
        <v>154</v>
      </c>
      <c r="C85" s="210" t="s">
        <v>725</v>
      </c>
      <c r="D85" s="574">
        <v>0</v>
      </c>
      <c r="E85" s="630">
        <v>0</v>
      </c>
      <c r="F85" s="630">
        <v>0</v>
      </c>
      <c r="G85" s="630">
        <v>0</v>
      </c>
      <c r="H85" s="105"/>
      <c r="I85" s="476" t="s">
        <v>366</v>
      </c>
      <c r="J85" s="477"/>
    </row>
    <row r="86" spans="1:17" ht="12.75" customHeight="1">
      <c r="B86" s="310" t="s">
        <v>1240</v>
      </c>
      <c r="C86" s="210" t="s">
        <v>725</v>
      </c>
      <c r="D86" s="610">
        <f>D31*D83</f>
        <v>1</v>
      </c>
      <c r="E86" s="610">
        <f>E31*E83</f>
        <v>1</v>
      </c>
      <c r="F86" s="610">
        <f>F31*F83</f>
        <v>1</v>
      </c>
      <c r="G86" s="610">
        <f>G31*G83</f>
        <v>1</v>
      </c>
      <c r="H86" s="237"/>
      <c r="I86" s="476"/>
      <c r="J86" s="477"/>
    </row>
    <row r="87" spans="1:17" ht="12.75" customHeight="1">
      <c r="B87" s="108" t="s">
        <v>155</v>
      </c>
      <c r="C87" s="210" t="s">
        <v>725</v>
      </c>
      <c r="D87" s="577">
        <f>D83+D84-D85-D86</f>
        <v>2.195999999999998E-2</v>
      </c>
      <c r="E87" s="577">
        <f>E83+E84-E85-E86</f>
        <v>2.195999999999998E-2</v>
      </c>
      <c r="F87" s="577">
        <f>F83+F84-F85-F86</f>
        <v>2.195999999999998E-2</v>
      </c>
      <c r="G87" s="577">
        <f>G83+G84-G85-G86</f>
        <v>2.195999999999998E-2</v>
      </c>
      <c r="H87" s="109"/>
      <c r="I87" s="476"/>
      <c r="J87" s="477"/>
    </row>
    <row r="88" spans="1:17" ht="12.75" customHeight="1">
      <c r="B88" s="232" t="s">
        <v>2013</v>
      </c>
      <c r="C88" s="233" t="s">
        <v>726</v>
      </c>
      <c r="D88" s="580">
        <f>(D86+D85)/(D83+D84)</f>
        <v>0.97851187913421267</v>
      </c>
      <c r="E88" s="580">
        <f>(E86+E85)/(E83+E84)</f>
        <v>0.97851187913421267</v>
      </c>
      <c r="F88" s="580">
        <f>(F86+F85)/(F83+F84)</f>
        <v>0.97851187913421267</v>
      </c>
      <c r="G88" s="580">
        <f>(G86+G85)/(G83+G84)</f>
        <v>0.97851187913421267</v>
      </c>
      <c r="H88" s="462"/>
      <c r="I88" s="476"/>
      <c r="J88" s="477"/>
    </row>
    <row r="89" spans="1:17" ht="12.75" customHeight="1">
      <c r="B89" s="475"/>
      <c r="C89" s="564"/>
      <c r="D89" s="573"/>
      <c r="E89" s="573"/>
      <c r="F89" s="573"/>
      <c r="G89" s="573"/>
      <c r="H89" s="213"/>
      <c r="I89" s="476"/>
      <c r="J89" s="477"/>
      <c r="N89" s="471"/>
    </row>
    <row r="90" spans="1:17" ht="12.75" customHeight="1">
      <c r="B90" s="570" t="s">
        <v>33</v>
      </c>
      <c r="C90" s="564"/>
      <c r="D90" s="573"/>
      <c r="E90" s="573"/>
      <c r="F90" s="573"/>
      <c r="G90" s="573"/>
      <c r="H90" s="213"/>
      <c r="I90" s="476"/>
      <c r="J90" s="477"/>
      <c r="N90" s="582"/>
      <c r="O90" s="582"/>
      <c r="P90" s="582"/>
      <c r="Q90" s="582"/>
    </row>
    <row r="91" spans="1:17" s="530" customFormat="1">
      <c r="A91" s="469"/>
      <c r="B91" s="964" t="s">
        <v>157</v>
      </c>
      <c r="C91" s="976" t="s">
        <v>61</v>
      </c>
      <c r="D91" s="992">
        <f>HLOOKUP($H99,Supplementary!$C$44:$AF$46,3,FALSE)*D99</f>
        <v>2551015.1310000001</v>
      </c>
      <c r="E91" s="555">
        <f>HLOOKUP($H99,Supplementary!$C$44:$AF$46,3,FALSE)*E99</f>
        <v>2806116.6440999997</v>
      </c>
      <c r="F91" s="555">
        <f>HLOOKUP($H99,Supplementary!$C$44:$AF$46,3,FALSE)*F99</f>
        <v>2806116.6440999997</v>
      </c>
      <c r="G91" s="555">
        <f>HLOOKUP($H99,Supplementary!$C$44:$AF$46,3,FALSE)*G99</f>
        <v>2806116.6440999997</v>
      </c>
      <c r="H91" s="555">
        <f t="shared" ref="H91:H97" si="0">priceYear</f>
        <v>2015</v>
      </c>
      <c r="I91" s="555"/>
      <c r="J91" s="965"/>
      <c r="N91" s="991"/>
      <c r="O91" s="991"/>
      <c r="P91" s="991"/>
      <c r="Q91" s="991"/>
    </row>
    <row r="92" spans="1:17" s="530" customFormat="1">
      <c r="A92" s="469"/>
      <c r="B92" s="964" t="s">
        <v>160</v>
      </c>
      <c r="C92" s="976" t="s">
        <v>464</v>
      </c>
      <c r="D92" s="992">
        <f ca="1">HLOOKUP($H100,Supplementary!$C$44:$AF$46,3,FALSE)*D100</f>
        <v>10.892088788558995</v>
      </c>
      <c r="E92" s="555">
        <f ca="1">HLOOKUP($H100,Supplementary!$C$44:$AF$46,3,FALSE)*E100</f>
        <v>11.410842093358896</v>
      </c>
      <c r="F92" s="555">
        <f ca="1">HLOOKUP($H100,Supplementary!$C$44:$AF$46,3,FALSE)*F100</f>
        <v>11.410842093358896</v>
      </c>
      <c r="G92" s="555">
        <f ca="1">HLOOKUP($H100,Supplementary!$C$44:$AF$46,3,FALSE)*G100</f>
        <v>11.410842093358896</v>
      </c>
      <c r="H92" s="555">
        <f t="shared" si="0"/>
        <v>2015</v>
      </c>
      <c r="I92" s="555"/>
      <c r="J92" s="965"/>
      <c r="N92" s="991"/>
      <c r="O92" s="991"/>
      <c r="P92" s="991"/>
      <c r="Q92" s="991"/>
    </row>
    <row r="93" spans="1:17" s="530" customFormat="1">
      <c r="A93" s="469"/>
      <c r="B93" s="995" t="s">
        <v>162</v>
      </c>
      <c r="C93" s="976" t="s">
        <v>464</v>
      </c>
      <c r="D93" s="992">
        <f ca="1">HLOOKUP($H101,Supplementary!$C$44:$AF$46,3,FALSE)*D101</f>
        <v>5.1875330479989943</v>
      </c>
      <c r="E93" s="555">
        <f ca="1">HLOOKUP($H101,Supplementary!$C$44:$AF$46,3,FALSE)*E101</f>
        <v>5.7062863527988936</v>
      </c>
      <c r="F93" s="555">
        <f ca="1">HLOOKUP($H101,Supplementary!$C$44:$AF$46,3,FALSE)*F101</f>
        <v>5.7062863527988936</v>
      </c>
      <c r="G93" s="555">
        <f ca="1">HLOOKUP($H101,Supplementary!$C$44:$AF$46,3,FALSE)*G101</f>
        <v>5.7062863527988936</v>
      </c>
      <c r="H93" s="555">
        <f t="shared" si="0"/>
        <v>2015</v>
      </c>
      <c r="I93" s="555"/>
      <c r="J93" s="965"/>
      <c r="N93" s="991"/>
      <c r="O93" s="991"/>
      <c r="P93" s="991"/>
      <c r="Q93" s="991"/>
    </row>
    <row r="94" spans="1:17" s="530" customFormat="1">
      <c r="A94" s="469"/>
      <c r="B94" s="995" t="s">
        <v>163</v>
      </c>
      <c r="C94" s="976" t="s">
        <v>464</v>
      </c>
      <c r="D94" s="992">
        <f>HLOOKUP($H102,Supplementary!$C$44:$AF$46,3,FALSE)*D102</f>
        <v>5.70455574056</v>
      </c>
      <c r="E94" s="555">
        <f>HLOOKUP($H102,Supplementary!$C$44:$AF$46,3,FALSE)*E102</f>
        <v>5.70455574056</v>
      </c>
      <c r="F94" s="555">
        <f>HLOOKUP($H102,Supplementary!$C$44:$AF$46,3,FALSE)*F102</f>
        <v>5.70455574056</v>
      </c>
      <c r="G94" s="555">
        <f>HLOOKUP($H102,Supplementary!$C$44:$AF$46,3,FALSE)*G102</f>
        <v>5.70455574056</v>
      </c>
      <c r="H94" s="555">
        <f t="shared" si="0"/>
        <v>2015</v>
      </c>
      <c r="I94" s="555"/>
      <c r="J94" s="965"/>
      <c r="N94" s="991"/>
      <c r="O94" s="991"/>
      <c r="P94" s="991"/>
      <c r="Q94" s="991"/>
    </row>
    <row r="95" spans="1:17" s="530" customFormat="1">
      <c r="A95" s="469"/>
      <c r="B95" s="995" t="s">
        <v>164</v>
      </c>
      <c r="C95" s="976" t="s">
        <v>464</v>
      </c>
      <c r="D95" s="992">
        <f>HLOOKUP($H103,Supplementary!$C$44:$AF$46,3,FALSE)*D103</f>
        <v>0</v>
      </c>
      <c r="E95" s="555">
        <f>HLOOKUP($H103,Supplementary!$C$44:$AF$46,3,FALSE)*E103</f>
        <v>0</v>
      </c>
      <c r="F95" s="555">
        <f>HLOOKUP($H103,Supplementary!$C$44:$AF$46,3,FALSE)*F103</f>
        <v>0</v>
      </c>
      <c r="G95" s="555">
        <f>HLOOKUP($H103,Supplementary!$C$44:$AF$46,3,FALSE)*G103</f>
        <v>0</v>
      </c>
      <c r="H95" s="555">
        <f t="shared" si="0"/>
        <v>2015</v>
      </c>
      <c r="I95" s="555"/>
      <c r="J95" s="965"/>
      <c r="N95" s="991"/>
      <c r="O95" s="991"/>
      <c r="P95" s="991"/>
      <c r="Q95" s="991"/>
    </row>
    <row r="96" spans="1:17" s="530" customFormat="1">
      <c r="A96" s="469"/>
      <c r="B96" s="995" t="s">
        <v>264</v>
      </c>
      <c r="C96" s="976" t="s">
        <v>464</v>
      </c>
      <c r="D96" s="992">
        <f>HLOOKUP($H104,Supplementary!$C$44:$AF$46,3,FALSE)*D104</f>
        <v>0</v>
      </c>
      <c r="E96" s="555">
        <f>HLOOKUP($H104,Supplementary!$C$44:$AF$46,3,FALSE)*E104</f>
        <v>0</v>
      </c>
      <c r="F96" s="555">
        <f>HLOOKUP($H104,Supplementary!$C$44:$AF$46,3,FALSE)*F104</f>
        <v>0</v>
      </c>
      <c r="G96" s="555">
        <f>HLOOKUP($H104,Supplementary!$C$44:$AF$46,3,FALSE)*G104</f>
        <v>0</v>
      </c>
      <c r="H96" s="555">
        <f t="shared" si="0"/>
        <v>2015</v>
      </c>
      <c r="I96" s="555"/>
      <c r="J96" s="965"/>
      <c r="N96" s="991"/>
      <c r="O96" s="991"/>
      <c r="P96" s="991"/>
      <c r="Q96" s="991"/>
    </row>
    <row r="97" spans="1:17" s="530" customFormat="1">
      <c r="A97" s="469"/>
      <c r="B97" s="995" t="s">
        <v>165</v>
      </c>
      <c r="C97" s="976" t="s">
        <v>464</v>
      </c>
      <c r="D97" s="992">
        <f>HLOOKUP($H105,Supplementary!$C$44:$AF$46,3,FALSE)*D105</f>
        <v>0</v>
      </c>
      <c r="E97" s="555">
        <f>HLOOKUP($H105,Supplementary!$C$44:$AF$46,3,FALSE)*E105</f>
        <v>0</v>
      </c>
      <c r="F97" s="555">
        <f>HLOOKUP($H105,Supplementary!$C$44:$AF$46,3,FALSE)*F105</f>
        <v>0</v>
      </c>
      <c r="G97" s="555">
        <f>HLOOKUP($H105,Supplementary!$C$44:$AF$46,3,FALSE)*G105</f>
        <v>0</v>
      </c>
      <c r="H97" s="555">
        <f t="shared" si="0"/>
        <v>2015</v>
      </c>
      <c r="I97" s="555"/>
      <c r="J97" s="965"/>
      <c r="N97" s="991"/>
      <c r="O97" s="991"/>
      <c r="P97" s="991"/>
      <c r="Q97" s="991"/>
    </row>
    <row r="98" spans="1:17" s="530" customFormat="1">
      <c r="B98" s="975"/>
      <c r="C98" s="976"/>
      <c r="D98" s="992"/>
      <c r="E98" s="983"/>
      <c r="F98" s="983"/>
      <c r="G98" s="983"/>
      <c r="H98" s="983"/>
      <c r="I98" s="555"/>
      <c r="J98" s="965"/>
      <c r="N98" s="991"/>
      <c r="O98" s="991"/>
      <c r="P98" s="991"/>
      <c r="Q98" s="991"/>
    </row>
    <row r="99" spans="1:17" ht="12.75" customHeight="1">
      <c r="B99" s="475" t="s">
        <v>157</v>
      </c>
      <c r="C99" s="564" t="s">
        <v>61</v>
      </c>
      <c r="D99" s="581">
        <f>350*1000*7.5*Prices!$K$28</f>
        <v>2068772.3911756952</v>
      </c>
      <c r="E99" s="581">
        <f>385*1000*7.5*Prices!$K$28</f>
        <v>2275649.6302932645</v>
      </c>
      <c r="F99" s="581">
        <f>385*1000*7.5*Prices!$K$28</f>
        <v>2275649.6302932645</v>
      </c>
      <c r="G99" s="581">
        <f>385*1000*7.5*Prices!$K$28</f>
        <v>2275649.6302932645</v>
      </c>
      <c r="H99" s="1668">
        <v>2006</v>
      </c>
      <c r="I99" s="476" t="str">
        <f>CONCATENATE(Referencer!$B$52)</f>
        <v>46, Concawe (2006): Well-to-wheels analysis of future automotive fuels and power-trains in the European Context. May 2006.</v>
      </c>
      <c r="J99" s="477" t="s">
        <v>371</v>
      </c>
      <c r="N99" s="582"/>
      <c r="O99" s="582"/>
      <c r="P99" s="582"/>
      <c r="Q99" s="582"/>
    </row>
    <row r="100" spans="1:17" ht="12.75" customHeight="1">
      <c r="B100" s="475" t="s">
        <v>160</v>
      </c>
      <c r="C100" s="564" t="s">
        <v>188</v>
      </c>
      <c r="D100" s="635">
        <f ca="1">+SUM(D101:D105)</f>
        <v>8.8330532791360277</v>
      </c>
      <c r="E100" s="636">
        <f ca="1">+SUM(E101:E105)</f>
        <v>9.2537416951943428</v>
      </c>
      <c r="F100" s="636">
        <f ca="1">+SUM(F101:F105)</f>
        <v>9.2537416951943428</v>
      </c>
      <c r="G100" s="636">
        <f ca="1">+SUM(G101:G105)</f>
        <v>9.2537416951943428</v>
      </c>
      <c r="H100" s="1668">
        <v>2006</v>
      </c>
      <c r="I100" s="584"/>
      <c r="J100" s="477"/>
      <c r="N100" s="582"/>
      <c r="O100" s="582"/>
      <c r="P100" s="582"/>
      <c r="Q100" s="582" t="s">
        <v>161</v>
      </c>
    </row>
    <row r="101" spans="1:17" ht="12.75" customHeight="1">
      <c r="B101" s="585" t="s">
        <v>162</v>
      </c>
      <c r="C101" s="564" t="s">
        <v>188</v>
      </c>
      <c r="D101" s="636">
        <f ca="1">PMT(rSØK,D34,-D99)/(D32*D33)</f>
        <v>4.2068841605831393</v>
      </c>
      <c r="E101" s="636">
        <f ca="1">PMT(rSØK,E34,-E99)/(E32*E33)</f>
        <v>4.6275725766414535</v>
      </c>
      <c r="F101" s="636">
        <f ca="1">PMT(rSØK,F34,-F99)/(F32*F33)</f>
        <v>4.6275725766414535</v>
      </c>
      <c r="G101" s="636">
        <f ca="1">PMT(rSØK,G34,-G99)/(G32*G33)</f>
        <v>4.6275725766414535</v>
      </c>
      <c r="H101" s="1668">
        <v>2006</v>
      </c>
      <c r="I101" s="584"/>
      <c r="J101" s="477"/>
      <c r="N101" s="582"/>
      <c r="O101" s="582"/>
      <c r="P101" s="582"/>
      <c r="Q101" s="582"/>
    </row>
    <row r="102" spans="1:17" ht="12.75" customHeight="1">
      <c r="B102" s="585" t="s">
        <v>163</v>
      </c>
      <c r="C102" s="564" t="s">
        <v>188</v>
      </c>
      <c r="D102" s="637">
        <f>5.87*Prices!$K$28</f>
        <v>4.6261691185528884</v>
      </c>
      <c r="E102" s="637">
        <f>5.87*Prices!$K$28</f>
        <v>4.6261691185528884</v>
      </c>
      <c r="F102" s="637">
        <f>5.87*Prices!$K$28</f>
        <v>4.6261691185528884</v>
      </c>
      <c r="G102" s="637">
        <f>5.87*Prices!$K$28</f>
        <v>4.6261691185528884</v>
      </c>
      <c r="H102" s="1668">
        <v>2006</v>
      </c>
      <c r="I102" s="476" t="str">
        <f>CONCATENATE(Referencer!$B$52)</f>
        <v>46, Concawe (2006): Well-to-wheels analysis of future automotive fuels and power-trains in the European Context. May 2006.</v>
      </c>
      <c r="J102" s="477" t="s">
        <v>371</v>
      </c>
      <c r="N102" s="582"/>
      <c r="O102" s="582"/>
      <c r="P102" s="582"/>
      <c r="Q102" s="582"/>
    </row>
    <row r="103" spans="1:17" ht="12.75" customHeight="1">
      <c r="B103" s="585" t="s">
        <v>164</v>
      </c>
      <c r="C103" s="564" t="s">
        <v>188</v>
      </c>
      <c r="D103" s="637"/>
      <c r="E103" s="637"/>
      <c r="F103" s="637"/>
      <c r="G103" s="637"/>
      <c r="H103" s="1668">
        <v>2006</v>
      </c>
      <c r="I103" s="476" t="s">
        <v>366</v>
      </c>
      <c r="J103" s="477"/>
      <c r="N103" s="582"/>
      <c r="O103" s="582"/>
      <c r="P103" s="582"/>
      <c r="Q103" s="582" t="s">
        <v>161</v>
      </c>
    </row>
    <row r="104" spans="1:17" ht="12.75" customHeight="1">
      <c r="B104" s="585" t="s">
        <v>264</v>
      </c>
      <c r="C104" s="564" t="s">
        <v>188</v>
      </c>
      <c r="D104" s="637">
        <v>0</v>
      </c>
      <c r="E104" s="637">
        <v>0</v>
      </c>
      <c r="F104" s="637">
        <v>0</v>
      </c>
      <c r="G104" s="637">
        <v>0</v>
      </c>
      <c r="H104" s="1668">
        <v>2006</v>
      </c>
      <c r="I104" s="476" t="str">
        <f>CONCATENATE(Referencer!$B$52)</f>
        <v>46, Concawe (2006): Well-to-wheels analysis of future automotive fuels and power-trains in the European Context. May 2006.</v>
      </c>
      <c r="J104" s="477" t="s">
        <v>372</v>
      </c>
      <c r="N104" s="582"/>
      <c r="O104" s="582"/>
      <c r="P104" s="582"/>
      <c r="Q104" s="582"/>
    </row>
    <row r="105" spans="1:17" ht="12.75" customHeight="1">
      <c r="B105" s="585" t="s">
        <v>165</v>
      </c>
      <c r="C105" s="564" t="s">
        <v>188</v>
      </c>
      <c r="D105" s="637">
        <v>0</v>
      </c>
      <c r="E105" s="637">
        <v>0</v>
      </c>
      <c r="F105" s="637">
        <v>0</v>
      </c>
      <c r="G105" s="637">
        <v>0</v>
      </c>
      <c r="H105" s="1668">
        <v>2006</v>
      </c>
      <c r="I105" s="476"/>
      <c r="J105" s="477"/>
      <c r="N105" s="582"/>
      <c r="O105" s="582"/>
      <c r="P105" s="582"/>
      <c r="Q105" s="582"/>
    </row>
    <row r="106" spans="1:17" ht="12.75" customHeight="1">
      <c r="B106" s="585"/>
      <c r="C106" s="564"/>
      <c r="D106" s="573"/>
      <c r="E106" s="573"/>
      <c r="F106" s="573"/>
      <c r="G106" s="573"/>
      <c r="I106" s="584"/>
      <c r="J106" s="477"/>
      <c r="N106" s="582"/>
      <c r="O106" s="582"/>
      <c r="P106" s="582"/>
      <c r="Q106" s="582"/>
    </row>
    <row r="107" spans="1:17" ht="12.75" customHeight="1">
      <c r="B107" s="585"/>
      <c r="C107" s="564"/>
      <c r="D107" s="573"/>
      <c r="E107" s="573"/>
      <c r="F107" s="573"/>
      <c r="G107" s="573"/>
      <c r="I107" s="584"/>
      <c r="J107" s="477"/>
      <c r="N107" s="582"/>
      <c r="O107" s="582"/>
      <c r="P107" s="582"/>
      <c r="Q107" s="582"/>
    </row>
    <row r="108" spans="1:17" ht="12.75" customHeight="1">
      <c r="B108" s="585"/>
      <c r="C108" s="564"/>
      <c r="D108" s="573"/>
      <c r="E108" s="573"/>
      <c r="F108" s="573"/>
      <c r="G108" s="573"/>
      <c r="I108" s="584"/>
      <c r="J108" s="477"/>
      <c r="N108" s="582"/>
      <c r="O108" s="582"/>
      <c r="P108" s="582"/>
      <c r="Q108" s="582"/>
    </row>
    <row r="109" spans="1:17" ht="12.75" customHeight="1">
      <c r="B109" s="585"/>
      <c r="C109" s="564"/>
      <c r="D109" s="573"/>
      <c r="E109" s="573"/>
      <c r="F109" s="573"/>
      <c r="G109" s="573"/>
      <c r="I109" s="584"/>
      <c r="J109" s="477"/>
      <c r="N109" s="582"/>
      <c r="O109" s="582"/>
      <c r="P109" s="582"/>
      <c r="Q109" s="582"/>
    </row>
    <row r="110" spans="1:17" ht="12.75" customHeight="1">
      <c r="B110" s="585"/>
      <c r="C110" s="564"/>
      <c r="D110" s="573"/>
      <c r="E110" s="573"/>
      <c r="F110" s="573"/>
      <c r="G110" s="573"/>
      <c r="I110" s="584"/>
      <c r="J110" s="477"/>
      <c r="N110" s="582"/>
      <c r="O110" s="582"/>
      <c r="P110" s="582"/>
      <c r="Q110" s="582"/>
    </row>
    <row r="111" spans="1:17" ht="12.75" customHeight="1">
      <c r="B111" s="585"/>
      <c r="C111" s="564"/>
      <c r="D111" s="573"/>
      <c r="E111" s="573"/>
      <c r="F111" s="573"/>
      <c r="G111" s="573"/>
      <c r="I111" s="584"/>
      <c r="J111" s="477"/>
      <c r="N111" s="582"/>
      <c r="O111" s="582"/>
      <c r="P111" s="582"/>
      <c r="Q111" s="582"/>
    </row>
    <row r="112" spans="1:17" ht="12.75" customHeight="1">
      <c r="B112" s="585"/>
      <c r="C112" s="564"/>
      <c r="D112" s="573"/>
      <c r="E112" s="573"/>
      <c r="F112" s="573"/>
      <c r="G112" s="573"/>
      <c r="I112" s="584"/>
      <c r="J112" s="477"/>
      <c r="N112" s="582"/>
      <c r="O112" s="582"/>
      <c r="P112" s="582"/>
      <c r="Q112" s="582"/>
    </row>
    <row r="113" spans="2:17" ht="12.75" customHeight="1">
      <c r="B113" s="585"/>
      <c r="C113" s="564"/>
      <c r="D113" s="573"/>
      <c r="E113" s="573"/>
      <c r="F113" s="573"/>
      <c r="G113" s="573"/>
      <c r="I113" s="584"/>
      <c r="J113" s="477"/>
      <c r="N113" s="582"/>
      <c r="O113" s="582"/>
      <c r="P113" s="582"/>
      <c r="Q113" s="582"/>
    </row>
    <row r="114" spans="2:17" ht="12.75" customHeight="1">
      <c r="B114" s="585"/>
      <c r="C114" s="564"/>
      <c r="D114" s="573"/>
      <c r="E114" s="573"/>
      <c r="F114" s="573"/>
      <c r="G114" s="573"/>
      <c r="I114" s="584"/>
      <c r="J114" s="477"/>
      <c r="N114" s="582"/>
      <c r="O114" s="582"/>
      <c r="P114" s="582"/>
      <c r="Q114" s="582"/>
    </row>
    <row r="115" spans="2:17" ht="12.75" customHeight="1">
      <c r="B115" s="570" t="s">
        <v>166</v>
      </c>
      <c r="C115" s="564"/>
      <c r="D115" s="573"/>
      <c r="E115" s="573"/>
      <c r="F115" s="573"/>
      <c r="G115" s="573"/>
      <c r="I115" s="584"/>
      <c r="J115" s="477"/>
      <c r="N115" s="589"/>
      <c r="O115" s="589"/>
      <c r="P115" s="589"/>
      <c r="Q115" s="582"/>
    </row>
    <row r="116" spans="2:17" ht="12.75" customHeight="1">
      <c r="B116" s="475" t="s">
        <v>24</v>
      </c>
      <c r="C116" s="564" t="s">
        <v>189</v>
      </c>
      <c r="D116" s="590"/>
      <c r="E116" s="590"/>
      <c r="F116" s="590"/>
      <c r="G116" s="590"/>
      <c r="H116" s="452"/>
      <c r="I116" s="476"/>
      <c r="J116" s="477"/>
      <c r="N116" s="582"/>
      <c r="O116" s="582"/>
      <c r="P116" s="582"/>
      <c r="Q116" s="582"/>
    </row>
    <row r="117" spans="2:17" ht="12.75" customHeight="1">
      <c r="B117" s="475" t="s">
        <v>27</v>
      </c>
      <c r="C117" s="564" t="s">
        <v>189</v>
      </c>
      <c r="D117" s="590"/>
      <c r="E117" s="590"/>
      <c r="F117" s="590"/>
      <c r="G117" s="590"/>
      <c r="H117" s="452"/>
      <c r="I117" s="476"/>
      <c r="J117" s="477"/>
      <c r="N117" s="582"/>
      <c r="O117" s="582"/>
      <c r="P117" s="582"/>
      <c r="Q117" s="582" t="s">
        <v>161</v>
      </c>
    </row>
    <row r="118" spans="2:17" ht="12.75" customHeight="1">
      <c r="B118" s="475" t="s">
        <v>28</v>
      </c>
      <c r="C118" s="564" t="s">
        <v>189</v>
      </c>
      <c r="D118" s="590"/>
      <c r="E118" s="590"/>
      <c r="F118" s="590"/>
      <c r="G118" s="590"/>
      <c r="H118" s="452"/>
      <c r="I118" s="476"/>
      <c r="J118" s="477"/>
      <c r="N118" s="582"/>
      <c r="O118" s="582"/>
      <c r="P118" s="582"/>
      <c r="Q118" s="582" t="s">
        <v>161</v>
      </c>
    </row>
    <row r="119" spans="2:17" ht="12.75" customHeight="1">
      <c r="B119" s="475" t="s">
        <v>26</v>
      </c>
      <c r="C119" s="564" t="s">
        <v>189</v>
      </c>
      <c r="D119" s="590"/>
      <c r="E119" s="590"/>
      <c r="F119" s="590"/>
      <c r="G119" s="590"/>
      <c r="H119" s="452"/>
      <c r="I119" s="476"/>
      <c r="J119" s="477"/>
      <c r="N119" s="582"/>
      <c r="O119" s="582"/>
      <c r="P119" s="582"/>
      <c r="Q119" s="582" t="s">
        <v>161</v>
      </c>
    </row>
    <row r="120" spans="2:17" ht="12.75" customHeight="1">
      <c r="B120" s="475" t="s">
        <v>167</v>
      </c>
      <c r="C120" s="564" t="s">
        <v>189</v>
      </c>
      <c r="D120" s="590"/>
      <c r="E120" s="590"/>
      <c r="F120" s="590"/>
      <c r="G120" s="590"/>
      <c r="H120" s="452"/>
      <c r="I120" s="476"/>
      <c r="J120" s="477"/>
      <c r="N120" s="589"/>
      <c r="O120" s="589"/>
      <c r="P120" s="589"/>
      <c r="Q120" s="589" t="s">
        <v>161</v>
      </c>
    </row>
    <row r="121" spans="2:17" ht="12.75" customHeight="1">
      <c r="B121" s="475" t="s">
        <v>45</v>
      </c>
      <c r="C121" s="564" t="s">
        <v>189</v>
      </c>
      <c r="D121" s="590"/>
      <c r="E121" s="590"/>
      <c r="F121" s="590"/>
      <c r="G121" s="590"/>
      <c r="H121" s="451"/>
      <c r="I121" s="476"/>
      <c r="J121" s="477"/>
    </row>
    <row r="122" spans="2:17" ht="12.75" customHeight="1" thickBot="1">
      <c r="B122" s="591"/>
      <c r="C122" s="592"/>
      <c r="D122" s="593"/>
      <c r="E122" s="482"/>
      <c r="F122" s="482"/>
      <c r="G122" s="482"/>
      <c r="H122" s="244"/>
      <c r="I122" s="594"/>
      <c r="J122" s="483"/>
    </row>
    <row r="123" spans="2:17" ht="12.75" customHeight="1"/>
    <row r="124" spans="2:17" ht="12.75" customHeight="1" thickBot="1">
      <c r="B124" s="617" t="s">
        <v>168</v>
      </c>
    </row>
    <row r="125" spans="2:17" ht="12.75" customHeight="1">
      <c r="B125" s="472"/>
      <c r="C125" s="561" t="s">
        <v>70</v>
      </c>
      <c r="D125" s="473"/>
      <c r="E125" s="473"/>
      <c r="F125" s="473"/>
      <c r="G125" s="473"/>
      <c r="I125" s="473"/>
      <c r="J125" s="474"/>
    </row>
    <row r="126" spans="2:17" ht="12.75" customHeight="1">
      <c r="B126" s="484"/>
      <c r="C126" s="655"/>
      <c r="D126" s="485">
        <v>2015</v>
      </c>
      <c r="E126" s="485">
        <v>2020</v>
      </c>
      <c r="F126" s="485">
        <v>2035</v>
      </c>
      <c r="G126" s="485">
        <v>2050</v>
      </c>
      <c r="I126" s="485" t="s">
        <v>145</v>
      </c>
      <c r="J126" s="487" t="s">
        <v>146</v>
      </c>
    </row>
    <row r="127" spans="2:17" ht="12.75" customHeight="1">
      <c r="B127" s="1625"/>
      <c r="C127" s="657"/>
      <c r="D127" s="658"/>
      <c r="E127" s="658"/>
      <c r="F127" s="658"/>
      <c r="G127" s="658"/>
      <c r="I127" s="497"/>
      <c r="J127" s="659"/>
    </row>
    <row r="128" spans="2:17" ht="12.75" customHeight="1">
      <c r="B128" s="475" t="s">
        <v>153</v>
      </c>
      <c r="C128" s="564" t="s">
        <v>187</v>
      </c>
      <c r="D128" s="574">
        <f>6.1*D$32/1000*(Supplementary!$C$50*1000)</f>
        <v>0.86654159999999991</v>
      </c>
      <c r="E128" s="574">
        <f>6.1*E$32/1000*(Supplementary!$C$50*1000)</f>
        <v>0.86654159999999991</v>
      </c>
      <c r="F128" s="574">
        <f>6.1*F$32/1000*(Supplementary!$C$50*1000)</f>
        <v>0.86654159999999991</v>
      </c>
      <c r="G128" s="574">
        <f>6.1*G$32/1000*(Supplementary!$C$50*1000)</f>
        <v>0.86654159999999991</v>
      </c>
      <c r="H128" s="1173"/>
      <c r="I128" s="476" t="str">
        <f>CONCATENATE(Referencer!$B$52)</f>
        <v>46, Concawe (2006): Well-to-wheels analysis of future automotive fuels and power-trains in the European Context. May 2006.</v>
      </c>
      <c r="J128" s="477" t="s">
        <v>370</v>
      </c>
    </row>
    <row r="129" spans="3:8" ht="12.75" customHeight="1">
      <c r="C129" s="469" t="s">
        <v>725</v>
      </c>
      <c r="D129" s="621">
        <f>D128/D32</f>
        <v>2.1959999999999997E-2</v>
      </c>
      <c r="E129" s="621">
        <f>E128/E32</f>
        <v>2.1959999999999997E-2</v>
      </c>
      <c r="F129" s="621">
        <f>F128/F32</f>
        <v>2.1959999999999997E-2</v>
      </c>
      <c r="G129" s="621">
        <f>G128/G32</f>
        <v>2.1959999999999997E-2</v>
      </c>
      <c r="H129" s="1173"/>
    </row>
    <row r="130" spans="3:8" ht="12.75" customHeight="1">
      <c r="H130" s="1173"/>
    </row>
    <row r="131" spans="3:8" ht="12.75" customHeight="1">
      <c r="H131" s="1399"/>
    </row>
    <row r="132" spans="3:8" ht="12.75" customHeight="1">
      <c r="H132" s="393"/>
    </row>
    <row r="133" spans="3:8" ht="12.75" customHeight="1"/>
    <row r="134" spans="3:8" ht="12.75" customHeight="1"/>
    <row r="135" spans="3:8" ht="12.75" customHeight="1"/>
    <row r="136" spans="3:8" ht="12.75" customHeight="1"/>
    <row r="137" spans="3:8" ht="12.75" customHeight="1"/>
    <row r="138" spans="3:8" ht="12.75" customHeight="1"/>
    <row r="139" spans="3:8" ht="12.75" customHeight="1"/>
    <row r="140" spans="3:8" ht="12.75" customHeight="1"/>
    <row r="141" spans="3:8" ht="12.75" customHeight="1"/>
    <row r="142" spans="3:8" ht="12.75" customHeight="1"/>
    <row r="143" spans="3:8" ht="12.75" customHeight="1"/>
    <row r="144" spans="3:8"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sheetData>
  <pageMargins left="0.15748031496062992" right="0.15748031496062992" top="1.25" bottom="0.19685039370078741" header="0.51181102362204722" footer="0.51181102362204722"/>
  <pageSetup paperSize="9" scale="38" orientation="landscape" r:id="rId1"/>
  <headerFooter alignWithMargins="0">
    <oddHeader>&amp;L&amp;"Arial"&amp;14&amp;BBeregningsmodel
&amp;"Arial"&amp;08&amp;B64329, Teknologivurdering af alternative drivmidler til transportsektoren&amp;R&amp;"Arial"&amp;08Page &amp;P of &amp;N</oddHeader>
    <oddFooter>&amp;L&amp;"Arial"&amp;08&amp;Z&amp;F
Sheet: &amp;A&amp;C&amp;"Arial"&amp;08Printed &amp;D &amp;T&amp;R&amp;G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6083" r:id="rId5" name="Button 3">
              <controlPr defaultSize="0" print="0" autoFill="0" autoPict="0" macro="[0]!GtOver">
                <anchor>
                  <from>
                    <xdr:col>7</xdr:col>
                    <xdr:colOff>133350</xdr:colOff>
                    <xdr:row>0</xdr:row>
                    <xdr:rowOff>38100</xdr:rowOff>
                  </from>
                  <to>
                    <xdr:col>8</xdr:col>
                    <xdr:colOff>152400</xdr:colOff>
                    <xdr:row>0</xdr:row>
                    <xdr:rowOff>238125</xdr:rowOff>
                  </to>
                </anchor>
              </controlPr>
            </control>
          </mc:Choice>
        </mc:AlternateContent>
        <mc:AlternateContent xmlns:mc="http://schemas.openxmlformats.org/markup-compatibility/2006">
          <mc:Choice Requires="x14">
            <control shapeId="46084" r:id="rId6" name="Button 4">
              <controlPr defaultSize="0" print="0" autoFill="0" autoPict="0" macro="[0]!GtRes">
                <anchor>
                  <from>
                    <xdr:col>8</xdr:col>
                    <xdr:colOff>323850</xdr:colOff>
                    <xdr:row>0</xdr:row>
                    <xdr:rowOff>38100</xdr:rowOff>
                  </from>
                  <to>
                    <xdr:col>10</xdr:col>
                    <xdr:colOff>66675</xdr:colOff>
                    <xdr:row>0</xdr:row>
                    <xdr:rowOff>238125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tabColor rgb="FF0070C0"/>
    <pageSetUpPr fitToPage="1"/>
  </sheetPr>
  <dimension ref="B1:T333"/>
  <sheetViews>
    <sheetView topLeftCell="A97" zoomScale="80" zoomScaleNormal="80" workbookViewId="0">
      <selection activeCell="D29" sqref="D29"/>
    </sheetView>
  </sheetViews>
  <sheetFormatPr defaultColWidth="8.85546875" defaultRowHeight="12.75"/>
  <cols>
    <col min="1" max="1" width="3.28515625" style="469" customWidth="1"/>
    <col min="2" max="2" width="36" style="469" customWidth="1"/>
    <col min="3" max="3" width="16.5703125" style="469" customWidth="1"/>
    <col min="4" max="7" width="15.7109375" style="469" customWidth="1"/>
    <col min="8" max="8" width="15.7109375" style="523" customWidth="1"/>
    <col min="9" max="9" width="7.28515625" style="469" customWidth="1"/>
    <col min="10" max="10" width="12.7109375" style="469" customWidth="1"/>
    <col min="11" max="12" width="13.28515625" style="469" customWidth="1"/>
    <col min="13" max="13" width="8.85546875" style="469"/>
    <col min="14" max="14" width="37.85546875" style="469" customWidth="1"/>
    <col min="15" max="16" width="8.85546875" style="469"/>
    <col min="17" max="18" width="12" style="469" customWidth="1"/>
    <col min="19" max="16384" width="8.85546875" style="469"/>
  </cols>
  <sheetData>
    <row r="1" spans="2:18" s="465" customFormat="1" ht="21">
      <c r="B1" s="465" t="s">
        <v>756</v>
      </c>
      <c r="C1" s="466"/>
      <c r="Q1" s="467">
        <f ca="1">'Log2015'!M1</f>
        <v>-8.0112614142160741</v>
      </c>
      <c r="R1" s="468">
        <f ca="1">'Log2015'!N1</f>
        <v>-160807.124977848</v>
      </c>
    </row>
    <row r="2" spans="2:18" ht="12.75" customHeight="1">
      <c r="Q2" s="624">
        <f ca="1">Q1</f>
        <v>-8.0112614142160741</v>
      </c>
      <c r="R2" s="624">
        <f ca="1">R1</f>
        <v>-160807.124977848</v>
      </c>
    </row>
    <row r="3" spans="2:18" ht="12.75" customHeight="1"/>
    <row r="4" spans="2:18" ht="12.75" customHeight="1" thickBot="1">
      <c r="B4" s="470" t="s">
        <v>81</v>
      </c>
      <c r="H4" s="215"/>
    </row>
    <row r="5" spans="2:18" ht="12.75" customHeight="1" thickBot="1">
      <c r="B5" s="472" t="s">
        <v>137</v>
      </c>
      <c r="C5" s="473"/>
      <c r="D5" s="473"/>
      <c r="E5" s="473"/>
      <c r="F5" s="473"/>
      <c r="G5" s="473"/>
      <c r="I5" s="473"/>
      <c r="J5" s="474"/>
      <c r="K5" s="476"/>
      <c r="L5" s="476"/>
      <c r="M5" s="476"/>
      <c r="N5" s="476"/>
      <c r="O5" s="476"/>
      <c r="P5" s="476"/>
    </row>
    <row r="6" spans="2:18" ht="12.75" customHeight="1">
      <c r="B6" s="475"/>
      <c r="C6" s="476"/>
      <c r="D6" s="476"/>
      <c r="E6" s="476"/>
      <c r="F6" s="476"/>
      <c r="G6" s="476"/>
      <c r="H6" s="245"/>
      <c r="I6" s="476"/>
      <c r="J6" s="477"/>
      <c r="K6" s="476"/>
      <c r="L6" s="476"/>
      <c r="M6" s="476"/>
      <c r="N6" s="476"/>
      <c r="O6" s="476"/>
      <c r="P6" s="476"/>
    </row>
    <row r="7" spans="2:18" ht="12.75" customHeight="1">
      <c r="B7" s="475"/>
      <c r="C7" s="476"/>
      <c r="D7" s="476"/>
      <c r="E7" s="476"/>
      <c r="F7" s="476"/>
      <c r="G7" s="476"/>
      <c r="H7" s="248"/>
      <c r="I7" s="476"/>
      <c r="J7" s="477"/>
      <c r="K7" s="476"/>
      <c r="L7" s="476"/>
      <c r="M7" s="476"/>
      <c r="N7" s="476"/>
      <c r="O7" s="476"/>
      <c r="P7" s="476"/>
    </row>
    <row r="8" spans="2:18" ht="12.75" customHeight="1">
      <c r="B8" s="475"/>
      <c r="C8" s="476"/>
      <c r="D8" s="476"/>
      <c r="E8" s="476"/>
      <c r="F8" s="476"/>
      <c r="G8" s="476"/>
      <c r="H8" s="248"/>
      <c r="I8" s="476"/>
      <c r="J8" s="477"/>
      <c r="K8" s="476"/>
      <c r="L8" s="476"/>
      <c r="M8" s="476"/>
      <c r="N8" s="476"/>
      <c r="O8" s="476"/>
      <c r="P8" s="476"/>
    </row>
    <row r="9" spans="2:18" ht="12.75" customHeight="1">
      <c r="B9" s="475"/>
      <c r="C9" s="476"/>
      <c r="D9" s="476"/>
      <c r="E9" s="476"/>
      <c r="F9" s="476"/>
      <c r="G9" s="476"/>
      <c r="H9" s="248"/>
      <c r="I9" s="476"/>
      <c r="J9" s="477"/>
      <c r="K9" s="476"/>
      <c r="L9" s="476"/>
      <c r="M9" s="476"/>
      <c r="N9" s="476"/>
      <c r="O9" s="476"/>
      <c r="P9" s="476"/>
    </row>
    <row r="10" spans="2:18" ht="12.75" customHeight="1">
      <c r="B10" s="475" t="s">
        <v>138</v>
      </c>
      <c r="C10" s="476"/>
      <c r="D10" s="476"/>
      <c r="E10" s="476"/>
      <c r="F10" s="476"/>
      <c r="G10" s="476"/>
      <c r="H10" s="248"/>
      <c r="I10" s="476"/>
      <c r="J10" s="477"/>
      <c r="K10" s="476"/>
      <c r="L10" s="476"/>
      <c r="M10" s="476"/>
      <c r="N10" s="476"/>
      <c r="O10" s="476"/>
      <c r="P10" s="476"/>
    </row>
    <row r="11" spans="2:18" ht="12.75" customHeight="1">
      <c r="B11" s="475"/>
      <c r="C11" s="476"/>
      <c r="D11" s="476"/>
      <c r="E11" s="476"/>
      <c r="F11" s="476"/>
      <c r="G11" s="476"/>
      <c r="H11" s="248"/>
      <c r="I11" s="476"/>
      <c r="J11" s="477"/>
      <c r="K11" s="476"/>
      <c r="L11" s="476"/>
      <c r="M11" s="476"/>
      <c r="N11" s="476"/>
      <c r="O11" s="476"/>
      <c r="P11" s="476"/>
    </row>
    <row r="12" spans="2:18" ht="12.75" customHeight="1">
      <c r="B12" s="475" t="s">
        <v>140</v>
      </c>
      <c r="C12" s="476"/>
      <c r="D12" s="476"/>
      <c r="E12" s="476"/>
      <c r="F12" s="476"/>
      <c r="G12" s="476"/>
      <c r="H12" s="248"/>
      <c r="I12" s="476"/>
      <c r="J12" s="477"/>
      <c r="K12" s="476"/>
      <c r="L12" s="476"/>
      <c r="M12" s="476"/>
      <c r="N12" s="476"/>
      <c r="O12" s="476"/>
      <c r="P12" s="476"/>
    </row>
    <row r="13" spans="2:18" ht="12.75" customHeight="1">
      <c r="B13" s="475"/>
      <c r="C13" s="476"/>
      <c r="D13" s="476"/>
      <c r="E13" s="476"/>
      <c r="F13" s="476"/>
      <c r="G13" s="476"/>
      <c r="H13" s="248"/>
      <c r="I13" s="476"/>
      <c r="J13" s="477"/>
      <c r="K13" s="476"/>
      <c r="L13" s="476"/>
      <c r="M13" s="476"/>
      <c r="N13" s="476"/>
      <c r="O13" s="476"/>
      <c r="P13" s="476"/>
    </row>
    <row r="14" spans="2:18" ht="12.75" customHeight="1">
      <c r="B14" s="475" t="s">
        <v>141</v>
      </c>
      <c r="C14" s="476"/>
      <c r="D14" s="476"/>
      <c r="E14" s="476"/>
      <c r="F14" s="476"/>
      <c r="G14" s="476"/>
      <c r="H14" s="248"/>
      <c r="I14" s="476"/>
      <c r="J14" s="477"/>
      <c r="K14" s="476"/>
      <c r="L14" s="476"/>
      <c r="M14" s="476"/>
      <c r="N14" s="476"/>
      <c r="O14" s="476"/>
      <c r="P14" s="476"/>
    </row>
    <row r="15" spans="2:18" ht="12.75" customHeight="1">
      <c r="B15" s="475"/>
      <c r="C15" s="476"/>
      <c r="D15" s="476"/>
      <c r="E15" s="476"/>
      <c r="F15" s="476"/>
      <c r="G15" s="476"/>
      <c r="H15" s="248"/>
      <c r="I15" s="476"/>
      <c r="J15" s="477"/>
      <c r="K15" s="476"/>
      <c r="L15" s="476"/>
      <c r="M15" s="476"/>
      <c r="N15" s="476"/>
      <c r="O15" s="476"/>
      <c r="P15" s="476"/>
    </row>
    <row r="16" spans="2:18" ht="12.75" customHeight="1">
      <c r="B16" s="475" t="s">
        <v>142</v>
      </c>
      <c r="C16" s="476"/>
      <c r="D16" s="476"/>
      <c r="E16" s="476"/>
      <c r="F16" s="476"/>
      <c r="G16" s="476"/>
      <c r="H16" s="248"/>
      <c r="I16" s="476"/>
      <c r="J16" s="477"/>
      <c r="K16" s="476"/>
      <c r="L16" s="476"/>
      <c r="M16" s="476"/>
      <c r="N16" s="476"/>
      <c r="O16" s="476"/>
      <c r="P16" s="476"/>
    </row>
    <row r="17" spans="2:20" ht="12.75" customHeight="1">
      <c r="B17" s="475"/>
      <c r="C17" s="476"/>
      <c r="D17" s="476"/>
      <c r="E17" s="476"/>
      <c r="F17" s="476"/>
      <c r="G17" s="476"/>
      <c r="H17" s="248"/>
      <c r="I17" s="476"/>
      <c r="J17" s="477"/>
      <c r="K17" s="476"/>
      <c r="L17" s="476"/>
      <c r="M17" s="476"/>
      <c r="N17" s="476"/>
      <c r="O17" s="476"/>
      <c r="P17" s="476"/>
    </row>
    <row r="18" spans="2:20" ht="12.75" customHeight="1">
      <c r="B18" s="475"/>
      <c r="C18" s="476"/>
      <c r="D18" s="476"/>
      <c r="E18" s="476"/>
      <c r="F18" s="476"/>
      <c r="G18" s="476"/>
      <c r="H18" s="248"/>
      <c r="I18" s="476"/>
      <c r="J18" s="477"/>
      <c r="K18" s="476"/>
      <c r="L18" s="476"/>
      <c r="M18" s="476"/>
      <c r="N18" s="476"/>
      <c r="O18" s="476"/>
      <c r="P18" s="476"/>
    </row>
    <row r="19" spans="2:20" ht="12.75" customHeight="1">
      <c r="B19" s="475"/>
      <c r="C19" s="476"/>
      <c r="D19" s="476"/>
      <c r="E19" s="476"/>
      <c r="F19" s="476"/>
      <c r="G19" s="476"/>
      <c r="H19" s="248"/>
      <c r="I19" s="476"/>
      <c r="J19" s="477"/>
      <c r="K19" s="476"/>
      <c r="L19" s="476"/>
      <c r="M19" s="476"/>
      <c r="N19" s="476"/>
      <c r="O19" s="476"/>
      <c r="P19" s="476"/>
    </row>
    <row r="20" spans="2:20" ht="12.75" customHeight="1">
      <c r="B20" s="475"/>
      <c r="C20" s="476"/>
      <c r="D20" s="476"/>
      <c r="E20" s="476"/>
      <c r="F20" s="476"/>
      <c r="G20" s="476"/>
      <c r="H20" s="248"/>
      <c r="I20" s="476"/>
      <c r="J20" s="477"/>
      <c r="K20" s="476"/>
      <c r="L20" s="476"/>
      <c r="M20" s="476"/>
      <c r="N20" s="476"/>
      <c r="O20" s="476"/>
      <c r="P20" s="476"/>
    </row>
    <row r="21" spans="2:20" ht="12.75" customHeight="1">
      <c r="B21" s="475" t="s">
        <v>143</v>
      </c>
      <c r="C21" s="476"/>
      <c r="D21" s="476"/>
      <c r="E21" s="476"/>
      <c r="F21" s="476"/>
      <c r="G21" s="476"/>
      <c r="H21" s="248"/>
      <c r="I21" s="476"/>
      <c r="J21" s="477"/>
      <c r="K21" s="476"/>
      <c r="L21" s="476"/>
      <c r="M21" s="476"/>
      <c r="N21" s="476"/>
      <c r="O21" s="476"/>
      <c r="P21" s="476"/>
    </row>
    <row r="22" spans="2:20" ht="12.75" customHeight="1">
      <c r="B22" s="475"/>
      <c r="C22" s="476"/>
      <c r="D22" s="476"/>
      <c r="E22" s="476"/>
      <c r="F22" s="476"/>
      <c r="G22" s="476"/>
      <c r="H22" s="248"/>
      <c r="I22" s="476"/>
      <c r="J22" s="477"/>
      <c r="K22" s="476"/>
      <c r="L22" s="476"/>
      <c r="M22" s="476"/>
      <c r="N22" s="476"/>
      <c r="O22" s="476"/>
      <c r="P22" s="476"/>
    </row>
    <row r="23" spans="2:20" ht="12.75" customHeight="1">
      <c r="B23" s="475"/>
      <c r="C23" s="476"/>
      <c r="D23" s="476"/>
      <c r="E23" s="476"/>
      <c r="F23" s="476"/>
      <c r="G23" s="476"/>
      <c r="H23" s="248"/>
      <c r="I23" s="476"/>
      <c r="J23" s="477"/>
      <c r="K23" s="476"/>
      <c r="L23" s="476"/>
      <c r="M23" s="476"/>
      <c r="N23" s="476"/>
      <c r="O23" s="476"/>
      <c r="P23" s="476"/>
    </row>
    <row r="24" spans="2:20" ht="12.75" customHeight="1" thickBot="1">
      <c r="B24" s="481"/>
      <c r="C24" s="482"/>
      <c r="D24" s="482"/>
      <c r="E24" s="482"/>
      <c r="F24" s="482"/>
      <c r="G24" s="482"/>
      <c r="H24" s="250"/>
      <c r="I24" s="482"/>
      <c r="J24" s="483"/>
      <c r="K24" s="476"/>
      <c r="L24" s="476"/>
      <c r="M24" s="476"/>
      <c r="N24" s="476"/>
      <c r="O24" s="476"/>
      <c r="P24" s="476"/>
    </row>
    <row r="25" spans="2:20" ht="12.75" customHeight="1">
      <c r="K25" s="476"/>
      <c r="L25" s="476"/>
      <c r="M25" s="476"/>
      <c r="N25" s="476"/>
      <c r="O25" s="476"/>
      <c r="P25" s="476"/>
      <c r="S25" s="476"/>
    </row>
    <row r="26" spans="2:20" ht="12.75" customHeight="1">
      <c r="B26" s="470" t="s">
        <v>144</v>
      </c>
      <c r="E26" s="596"/>
      <c r="H26" s="215"/>
      <c r="K26" s="476"/>
      <c r="L26" s="476"/>
      <c r="M26" s="476"/>
      <c r="N26" s="476"/>
      <c r="O26" s="476"/>
      <c r="P26" s="476"/>
      <c r="S26" s="476"/>
    </row>
    <row r="27" spans="2:20" ht="12.75" customHeight="1" thickBot="1">
      <c r="E27" s="596"/>
      <c r="H27" s="215"/>
      <c r="S27" s="476"/>
    </row>
    <row r="28" spans="2:20" ht="12.75" customHeight="1">
      <c r="B28" s="472"/>
      <c r="C28" s="561"/>
      <c r="D28" s="473"/>
      <c r="E28" s="473"/>
      <c r="F28" s="473"/>
      <c r="G28" s="473"/>
      <c r="H28" s="221"/>
      <c r="I28" s="473"/>
      <c r="J28" s="474"/>
      <c r="T28" s="476"/>
    </row>
    <row r="29" spans="2:20" ht="12.75" customHeight="1">
      <c r="B29" s="484"/>
      <c r="C29" s="563" t="s">
        <v>70</v>
      </c>
      <c r="D29" s="486">
        <v>2015</v>
      </c>
      <c r="E29" s="486">
        <v>2020</v>
      </c>
      <c r="F29" s="486">
        <v>2035</v>
      </c>
      <c r="G29" s="486">
        <v>2050</v>
      </c>
      <c r="H29" s="225" t="s">
        <v>978</v>
      </c>
      <c r="I29" s="485" t="s">
        <v>145</v>
      </c>
      <c r="J29" s="487" t="s">
        <v>146</v>
      </c>
      <c r="T29" s="476"/>
    </row>
    <row r="30" spans="2:20" ht="12.75" customHeight="1">
      <c r="B30" s="656" t="s">
        <v>147</v>
      </c>
      <c r="C30" s="657"/>
      <c r="D30" s="658"/>
      <c r="E30" s="658"/>
      <c r="F30" s="658"/>
      <c r="G30" s="658"/>
      <c r="H30" s="209"/>
      <c r="I30" s="497"/>
      <c r="J30" s="659"/>
      <c r="T30" s="476"/>
    </row>
    <row r="31" spans="2:20" ht="12.75" customHeight="1">
      <c r="B31" s="475" t="s">
        <v>148</v>
      </c>
      <c r="C31" s="564"/>
      <c r="D31" s="574">
        <v>1</v>
      </c>
      <c r="E31" s="574">
        <v>1</v>
      </c>
      <c r="F31" s="574">
        <v>1</v>
      </c>
      <c r="G31" s="574">
        <v>1</v>
      </c>
      <c r="H31" s="1422"/>
      <c r="I31" s="476"/>
      <c r="J31" s="476"/>
      <c r="T31" s="476"/>
    </row>
    <row r="32" spans="2:20" ht="12.75" customHeight="1">
      <c r="B32" s="475" t="s">
        <v>67</v>
      </c>
      <c r="C32" s="564"/>
      <c r="D32" s="630">
        <v>1</v>
      </c>
      <c r="E32" s="630">
        <v>1</v>
      </c>
      <c r="F32" s="630">
        <v>1</v>
      </c>
      <c r="G32" s="630">
        <v>1</v>
      </c>
      <c r="H32" s="1422"/>
      <c r="I32" s="476"/>
      <c r="J32" s="477"/>
      <c r="T32" s="476"/>
    </row>
    <row r="33" spans="2:20" ht="12.75" customHeight="1">
      <c r="B33" s="475" t="s">
        <v>149</v>
      </c>
      <c r="C33" s="564" t="s">
        <v>441</v>
      </c>
      <c r="D33" s="601"/>
      <c r="E33" s="601"/>
      <c r="F33" s="601"/>
      <c r="G33" s="601"/>
      <c r="H33" s="1590"/>
      <c r="I33" s="476"/>
      <c r="J33" s="477"/>
      <c r="T33" s="476"/>
    </row>
    <row r="34" spans="2:20" ht="12.75" customHeight="1">
      <c r="B34" s="475" t="s">
        <v>150</v>
      </c>
      <c r="C34" s="564" t="s">
        <v>34</v>
      </c>
      <c r="D34" s="569"/>
      <c r="E34" s="569"/>
      <c r="F34" s="569"/>
      <c r="G34" s="569"/>
      <c r="H34" s="212"/>
      <c r="I34" s="476"/>
      <c r="J34" s="477"/>
      <c r="T34" s="476"/>
    </row>
    <row r="35" spans="2:20" ht="12.75" customHeight="1">
      <c r="B35" s="475"/>
      <c r="C35" s="571"/>
      <c r="D35" s="573"/>
      <c r="E35" s="572"/>
      <c r="F35" s="572"/>
      <c r="G35" s="572"/>
      <c r="H35" s="213"/>
      <c r="I35" s="476"/>
      <c r="J35" s="477"/>
      <c r="T35" s="476"/>
    </row>
    <row r="36" spans="2:20" ht="12.75" customHeight="1">
      <c r="B36" s="570" t="s">
        <v>151</v>
      </c>
      <c r="C36" s="571"/>
      <c r="D36" s="573"/>
      <c r="E36" s="572"/>
      <c r="F36" s="572"/>
      <c r="G36" s="572"/>
      <c r="H36" s="213"/>
      <c r="I36" s="476"/>
      <c r="J36" s="477"/>
      <c r="T36" s="476"/>
    </row>
    <row r="37" spans="2:20" ht="12.75" customHeight="1">
      <c r="B37" s="475" t="str">
        <f>ProcessEnergy!B35</f>
        <v xml:space="preserve">Green diesel </v>
      </c>
      <c r="C37" s="564" t="s">
        <v>463</v>
      </c>
      <c r="D37" s="573"/>
      <c r="E37" s="573"/>
      <c r="F37" s="573"/>
      <c r="G37" s="573"/>
      <c r="H37" s="105"/>
      <c r="I37" s="476"/>
      <c r="J37" s="477"/>
      <c r="T37" s="476"/>
    </row>
    <row r="38" spans="2:20" ht="12.75" customHeight="1">
      <c r="B38" s="575" t="str">
        <f>ProcessEnergy!B36</f>
        <v>Green gasoline</v>
      </c>
      <c r="C38" s="564"/>
      <c r="D38" s="573"/>
      <c r="E38" s="573"/>
      <c r="F38" s="573"/>
      <c r="G38" s="573"/>
      <c r="H38" s="105"/>
      <c r="I38" s="476"/>
      <c r="J38" s="477"/>
      <c r="T38" s="476"/>
    </row>
    <row r="39" spans="2:20" ht="12.75" customHeight="1">
      <c r="B39" s="575" t="str">
        <f>ProcessEnergy!B37</f>
        <v>Electricity - balancing</v>
      </c>
      <c r="C39" s="564"/>
      <c r="D39" s="573"/>
      <c r="E39" s="573"/>
      <c r="F39" s="573"/>
      <c r="G39" s="573"/>
      <c r="H39" s="105"/>
      <c r="I39" s="476"/>
      <c r="J39" s="477"/>
      <c r="T39" s="476"/>
    </row>
    <row r="40" spans="2:20" ht="12.75" customHeight="1">
      <c r="B40" s="575" t="str">
        <f>ProcessEnergy!B38</f>
        <v>Electricity  - continous</v>
      </c>
      <c r="C40" s="564"/>
      <c r="D40" s="573"/>
      <c r="E40" s="573"/>
      <c r="F40" s="573"/>
      <c r="G40" s="573"/>
      <c r="H40" s="105"/>
      <c r="I40" s="476"/>
      <c r="J40" s="477"/>
      <c r="T40" s="476"/>
    </row>
    <row r="41" spans="2:20" ht="12.75" customHeight="1">
      <c r="B41" s="575" t="str">
        <f>ProcessEnergy!B39</f>
        <v>Elec/heat fuel</v>
      </c>
      <c r="C41" s="564"/>
      <c r="D41" s="573"/>
      <c r="E41" s="573"/>
      <c r="F41" s="573"/>
      <c r="G41" s="573"/>
      <c r="H41" s="105"/>
      <c r="I41" s="476"/>
      <c r="J41" s="477"/>
      <c r="T41" s="476"/>
    </row>
    <row r="42" spans="2:20" ht="12.75" customHeight="1">
      <c r="B42" s="575" t="str">
        <f>ProcessEnergy!B40</f>
        <v>Biogas (100% CH4)</v>
      </c>
      <c r="C42" s="564"/>
      <c r="D42" s="573"/>
      <c r="E42" s="573"/>
      <c r="F42" s="573"/>
      <c r="G42" s="573"/>
      <c r="H42" s="105"/>
      <c r="I42" s="476"/>
      <c r="J42" s="477"/>
      <c r="T42" s="476"/>
    </row>
    <row r="43" spans="2:20" ht="12.75" customHeight="1">
      <c r="B43" s="575" t="str">
        <f>ProcessEnergy!B41</f>
        <v>District heating</v>
      </c>
      <c r="C43" s="564"/>
      <c r="D43" s="573"/>
      <c r="E43" s="573"/>
      <c r="F43" s="573"/>
      <c r="G43" s="573"/>
      <c r="H43" s="105"/>
      <c r="I43" s="476"/>
      <c r="J43" s="477"/>
      <c r="T43" s="476"/>
    </row>
    <row r="44" spans="2:20" ht="12.75" customHeight="1">
      <c r="B44" s="575" t="str">
        <f>ProcessEnergy!B42</f>
        <v>&lt;empty&gt;</v>
      </c>
      <c r="C44" s="564"/>
      <c r="D44" s="573"/>
      <c r="E44" s="573"/>
      <c r="F44" s="573"/>
      <c r="G44" s="573"/>
      <c r="H44" s="105"/>
      <c r="I44" s="476"/>
      <c r="J44" s="477"/>
      <c r="T44" s="476"/>
    </row>
    <row r="45" spans="2:20" ht="12.75" customHeight="1">
      <c r="B45" s="575" t="str">
        <f>ProcessEnergy!B43</f>
        <v>&lt;empty&gt;</v>
      </c>
      <c r="C45" s="564"/>
      <c r="D45" s="573"/>
      <c r="E45" s="573"/>
      <c r="F45" s="573"/>
      <c r="G45" s="573"/>
      <c r="H45" s="105"/>
      <c r="I45" s="476"/>
      <c r="J45" s="477"/>
      <c r="T45" s="476"/>
    </row>
    <row r="46" spans="2:20" ht="12.75" customHeight="1">
      <c r="B46" s="575" t="str">
        <f>ProcessEnergy!B44</f>
        <v>&lt;empty&gt;</v>
      </c>
      <c r="C46" s="564"/>
      <c r="D46" s="573"/>
      <c r="E46" s="573"/>
      <c r="F46" s="573"/>
      <c r="G46" s="573"/>
      <c r="H46" s="105"/>
      <c r="I46" s="476"/>
      <c r="J46" s="477"/>
      <c r="T46" s="476"/>
    </row>
    <row r="47" spans="2:20" ht="12.75" customHeight="1">
      <c r="B47" s="575" t="str">
        <f>ProcessEnergy!B45</f>
        <v>&lt;empty&gt;</v>
      </c>
      <c r="C47" s="564"/>
      <c r="D47" s="573"/>
      <c r="E47" s="573"/>
      <c r="F47" s="573"/>
      <c r="G47" s="573"/>
      <c r="H47" s="105"/>
      <c r="I47" s="476"/>
      <c r="J47" s="477"/>
      <c r="T47" s="476"/>
    </row>
    <row r="48" spans="2:20" ht="12.75" customHeight="1">
      <c r="B48" s="575" t="str">
        <f>ProcessEnergy!B46</f>
        <v>&lt;empty&gt;</v>
      </c>
      <c r="C48" s="564"/>
      <c r="D48" s="573"/>
      <c r="E48" s="573"/>
      <c r="F48" s="573"/>
      <c r="G48" s="573"/>
      <c r="H48" s="105"/>
      <c r="I48" s="476"/>
      <c r="J48" s="477"/>
      <c r="T48" s="476"/>
    </row>
    <row r="49" spans="2:20" ht="12.75" customHeight="1">
      <c r="B49" s="575" t="str">
        <f>ProcessEnergy!B47</f>
        <v>&lt;empty&gt;</v>
      </c>
      <c r="C49" s="564"/>
      <c r="D49" s="573"/>
      <c r="E49" s="573"/>
      <c r="F49" s="573"/>
      <c r="G49" s="573"/>
      <c r="H49" s="105"/>
      <c r="I49" s="476"/>
      <c r="J49" s="477"/>
      <c r="T49" s="476"/>
    </row>
    <row r="50" spans="2:20" ht="12.75" customHeight="1">
      <c r="B50" s="575" t="str">
        <f>ProcessEnergy!B48</f>
        <v>Glycerol</v>
      </c>
      <c r="C50" s="564"/>
      <c r="D50" s="573"/>
      <c r="E50" s="573"/>
      <c r="F50" s="573"/>
      <c r="G50" s="573"/>
      <c r="H50" s="105"/>
      <c r="I50" s="476"/>
      <c r="J50" s="477"/>
      <c r="T50" s="476"/>
    </row>
    <row r="51" spans="2:20" ht="12.75" customHeight="1">
      <c r="B51" s="575" t="str">
        <f>ProcessEnergy!B49</f>
        <v>&lt;empty&gt;</v>
      </c>
      <c r="C51" s="564"/>
      <c r="D51" s="573"/>
      <c r="E51" s="573"/>
      <c r="F51" s="573"/>
      <c r="G51" s="573"/>
      <c r="H51" s="105"/>
      <c r="I51" s="476"/>
      <c r="J51" s="477"/>
      <c r="T51" s="476"/>
    </row>
    <row r="52" spans="2:20" ht="12.75" customHeight="1">
      <c r="B52" s="575" t="str">
        <f>ProcessEnergy!B50</f>
        <v>&lt;empty&gt;</v>
      </c>
      <c r="C52" s="564"/>
      <c r="D52" s="573"/>
      <c r="E52" s="573"/>
      <c r="F52" s="573"/>
      <c r="G52" s="573"/>
      <c r="H52" s="105"/>
      <c r="I52" s="476"/>
      <c r="J52" s="477"/>
      <c r="T52" s="476"/>
    </row>
    <row r="53" spans="2:20" ht="12.75" customHeight="1">
      <c r="B53" s="575" t="str">
        <f>ProcessEnergy!B51</f>
        <v>Fodder (wheat like)</v>
      </c>
      <c r="C53" s="564"/>
      <c r="D53" s="573"/>
      <c r="E53" s="573"/>
      <c r="F53" s="573"/>
      <c r="G53" s="573"/>
      <c r="H53" s="105"/>
      <c r="I53" s="476"/>
      <c r="J53" s="477"/>
      <c r="T53" s="476"/>
    </row>
    <row r="54" spans="2:20" ht="12.75" customHeight="1">
      <c r="B54" s="575" t="str">
        <f>ProcessEnergy!B52</f>
        <v>Rape seed cake</v>
      </c>
      <c r="C54" s="564"/>
      <c r="D54" s="573"/>
      <c r="E54" s="573"/>
      <c r="F54" s="573"/>
      <c r="G54" s="573"/>
      <c r="H54" s="105"/>
      <c r="I54" s="476"/>
      <c r="J54" s="477"/>
      <c r="T54" s="476"/>
    </row>
    <row r="55" spans="2:20" ht="12.75" customHeight="1">
      <c r="B55" s="575" t="str">
        <f>ProcessEnergy!B53</f>
        <v>&lt;empty&gt;</v>
      </c>
      <c r="C55" s="564"/>
      <c r="D55" s="573"/>
      <c r="E55" s="573"/>
      <c r="F55" s="573"/>
      <c r="G55" s="573"/>
      <c r="H55" s="105"/>
      <c r="I55" s="476"/>
      <c r="J55" s="477"/>
      <c r="T55" s="476"/>
    </row>
    <row r="56" spans="2:20" ht="12.75" customHeight="1">
      <c r="B56" s="575" t="str">
        <f>ProcessEnergy!B54</f>
        <v>DDGS</v>
      </c>
      <c r="C56" s="564"/>
      <c r="D56" s="573"/>
      <c r="E56" s="573"/>
      <c r="F56" s="573"/>
      <c r="G56" s="573"/>
      <c r="H56" s="105"/>
      <c r="I56" s="476"/>
      <c r="J56" s="477"/>
      <c r="T56" s="476"/>
    </row>
    <row r="57" spans="2:20" ht="12.75" customHeight="1">
      <c r="B57" s="475"/>
      <c r="C57" s="564"/>
      <c r="D57" s="573"/>
      <c r="E57" s="573"/>
      <c r="F57" s="573"/>
      <c r="G57" s="573"/>
      <c r="H57" s="105"/>
      <c r="I57" s="476"/>
      <c r="J57" s="477"/>
      <c r="T57" s="476"/>
    </row>
    <row r="58" spans="2:20" ht="12.75" customHeight="1">
      <c r="B58" s="570" t="s">
        <v>873</v>
      </c>
      <c r="C58" s="564"/>
      <c r="D58" s="573"/>
      <c r="E58" s="573"/>
      <c r="F58" s="573"/>
      <c r="G58" s="573"/>
      <c r="H58" s="105"/>
      <c r="I58" s="476"/>
      <c r="J58" s="477"/>
      <c r="T58" s="476"/>
    </row>
    <row r="59" spans="2:20" ht="12.75" customHeight="1">
      <c r="B59" s="475" t="str">
        <f>ProcessEnergy!B5</f>
        <v>EL - peakload</v>
      </c>
      <c r="C59" s="564" t="s">
        <v>897</v>
      </c>
      <c r="D59" s="631">
        <v>0</v>
      </c>
      <c r="E59" s="631">
        <v>0</v>
      </c>
      <c r="F59" s="631">
        <v>0</v>
      </c>
      <c r="G59" s="631">
        <v>0</v>
      </c>
      <c r="H59" s="105"/>
      <c r="I59" s="476"/>
      <c r="J59" s="477"/>
      <c r="T59" s="476"/>
    </row>
    <row r="60" spans="2:20" ht="12.75" customHeight="1">
      <c r="B60" s="475" t="str">
        <f>ProcessEnergy!B6</f>
        <v>El - baseload</v>
      </c>
      <c r="C60" s="564" t="s">
        <v>897</v>
      </c>
      <c r="D60" s="631">
        <v>0</v>
      </c>
      <c r="E60" s="631">
        <v>0</v>
      </c>
      <c r="F60" s="631">
        <v>0</v>
      </c>
      <c r="G60" s="631">
        <v>0</v>
      </c>
      <c r="H60" s="105"/>
      <c r="I60" s="476"/>
      <c r="J60" s="477"/>
      <c r="T60" s="476"/>
    </row>
    <row r="61" spans="2:20" ht="12.75" customHeight="1">
      <c r="B61" s="475" t="str">
        <f>ProcessEnergy!B7</f>
        <v xml:space="preserve">Varme </v>
      </c>
      <c r="C61" s="564" t="s">
        <v>897</v>
      </c>
      <c r="D61" s="631">
        <v>0</v>
      </c>
      <c r="E61" s="631">
        <v>0</v>
      </c>
      <c r="F61" s="631">
        <v>0</v>
      </c>
      <c r="G61" s="631">
        <v>0</v>
      </c>
      <c r="H61" s="105"/>
      <c r="I61" s="476"/>
      <c r="J61" s="477"/>
      <c r="T61" s="476"/>
    </row>
    <row r="62" spans="2:20" ht="12.75" customHeight="1">
      <c r="B62" s="475" t="str">
        <f>ProcessEnergy!B8</f>
        <v>Damp</v>
      </c>
      <c r="C62" s="564" t="s">
        <v>897</v>
      </c>
      <c r="D62" s="631">
        <v>0</v>
      </c>
      <c r="E62" s="631">
        <v>0</v>
      </c>
      <c r="F62" s="631">
        <v>0</v>
      </c>
      <c r="G62" s="631">
        <v>0</v>
      </c>
      <c r="H62" s="105"/>
      <c r="I62" s="476"/>
      <c r="J62" s="477"/>
      <c r="T62" s="476"/>
    </row>
    <row r="63" spans="2:20" ht="12.75" customHeight="1">
      <c r="B63" s="475" t="str">
        <f>ProcessEnergy!B9</f>
        <v xml:space="preserve">Olie </v>
      </c>
      <c r="C63" s="564" t="s">
        <v>897</v>
      </c>
      <c r="D63" s="631">
        <v>0</v>
      </c>
      <c r="E63" s="631">
        <v>0</v>
      </c>
      <c r="F63" s="631">
        <v>0</v>
      </c>
      <c r="G63" s="631">
        <v>0</v>
      </c>
      <c r="H63" s="105"/>
      <c r="I63" s="476"/>
      <c r="J63" s="477"/>
      <c r="T63" s="476"/>
    </row>
    <row r="64" spans="2:20" ht="12.75" customHeight="1">
      <c r="B64" s="475" t="str">
        <f>ProcessEnergy!B10</f>
        <v>Kul</v>
      </c>
      <c r="C64" s="564" t="s">
        <v>897</v>
      </c>
      <c r="D64" s="631">
        <v>0</v>
      </c>
      <c r="E64" s="631">
        <v>0</v>
      </c>
      <c r="F64" s="631">
        <v>0</v>
      </c>
      <c r="G64" s="631">
        <v>0</v>
      </c>
      <c r="H64" s="105"/>
      <c r="I64" s="476"/>
      <c r="J64" s="477"/>
      <c r="T64" s="476"/>
    </row>
    <row r="65" spans="2:20" ht="12.75" customHeight="1">
      <c r="B65" s="475" t="str">
        <f>ProcessEnergy!B11</f>
        <v>Naturgas kedel</v>
      </c>
      <c r="C65" s="564" t="s">
        <v>897</v>
      </c>
      <c r="D65" s="631">
        <v>0</v>
      </c>
      <c r="E65" s="631">
        <v>0</v>
      </c>
      <c r="F65" s="631">
        <v>0</v>
      </c>
      <c r="G65" s="631">
        <v>0</v>
      </c>
      <c r="H65" s="105"/>
      <c r="I65" s="476"/>
      <c r="J65" s="477"/>
      <c r="T65" s="476"/>
    </row>
    <row r="66" spans="2:20" ht="12.75" customHeight="1">
      <c r="B66" s="475" t="str">
        <f>ProcessEnergy!B12</f>
        <v>Gylle</v>
      </c>
      <c r="C66" s="564" t="s">
        <v>897</v>
      </c>
      <c r="D66" s="631">
        <v>0</v>
      </c>
      <c r="E66" s="631">
        <v>0</v>
      </c>
      <c r="F66" s="631">
        <v>0</v>
      </c>
      <c r="G66" s="631">
        <v>0</v>
      </c>
      <c r="H66" s="105"/>
      <c r="I66" s="476"/>
      <c r="J66" s="477"/>
      <c r="T66" s="476"/>
    </row>
    <row r="67" spans="2:20" ht="12.75" customHeight="1">
      <c r="B67" s="475" t="str">
        <f>ProcessEnergy!B13</f>
        <v>Affald</v>
      </c>
      <c r="C67" s="564" t="s">
        <v>897</v>
      </c>
      <c r="D67" s="631">
        <v>0</v>
      </c>
      <c r="E67" s="631">
        <v>0</v>
      </c>
      <c r="F67" s="631">
        <v>0</v>
      </c>
      <c r="G67" s="631">
        <v>0</v>
      </c>
      <c r="H67" s="105"/>
      <c r="I67" s="476"/>
      <c r="J67" s="477"/>
      <c r="T67" s="476"/>
    </row>
    <row r="68" spans="2:20" ht="12.75" customHeight="1">
      <c r="B68" s="475" t="str">
        <f>ProcessEnergy!B14</f>
        <v>Hydrogen</v>
      </c>
      <c r="C68" s="564" t="s">
        <v>897</v>
      </c>
      <c r="D68" s="631">
        <v>0</v>
      </c>
      <c r="E68" s="631">
        <v>0</v>
      </c>
      <c r="F68" s="631">
        <v>0</v>
      </c>
      <c r="G68" s="631">
        <v>0</v>
      </c>
      <c r="H68" s="105"/>
      <c r="I68" s="476"/>
      <c r="J68" s="477"/>
      <c r="T68" s="476"/>
    </row>
    <row r="69" spans="2:20" ht="12.75" customHeight="1">
      <c r="B69" s="475" t="str">
        <f>ProcessEnergy!B15</f>
        <v>Biomasse</v>
      </c>
      <c r="C69" s="564" t="s">
        <v>897</v>
      </c>
      <c r="D69" s="631">
        <v>0</v>
      </c>
      <c r="E69" s="631">
        <v>0</v>
      </c>
      <c r="F69" s="631">
        <v>0</v>
      </c>
      <c r="G69" s="631">
        <v>0</v>
      </c>
      <c r="H69" s="105"/>
      <c r="I69" s="476"/>
      <c r="J69" s="477"/>
      <c r="T69" s="476"/>
    </row>
    <row r="70" spans="2:20" ht="12.75" customHeight="1">
      <c r="B70" s="475" t="str">
        <f>ProcessEnergy!B16</f>
        <v>Methanol</v>
      </c>
      <c r="C70" s="564"/>
      <c r="D70" s="631"/>
      <c r="E70" s="631"/>
      <c r="F70" s="631"/>
      <c r="G70" s="631"/>
      <c r="H70" s="105"/>
      <c r="I70" s="476"/>
      <c r="J70" s="477"/>
      <c r="T70" s="476"/>
    </row>
    <row r="71" spans="2:20" ht="12.75" customHeight="1">
      <c r="B71" s="475" t="str">
        <f>ProcessEnergy!B17</f>
        <v>&lt;empty&gt;</v>
      </c>
      <c r="C71" s="564"/>
      <c r="D71" s="631"/>
      <c r="E71" s="631"/>
      <c r="F71" s="631"/>
      <c r="G71" s="631"/>
      <c r="H71" s="105"/>
      <c r="I71" s="476"/>
      <c r="J71" s="477"/>
      <c r="T71" s="476"/>
    </row>
    <row r="72" spans="2:20" ht="12.75" customHeight="1">
      <c r="B72" s="475" t="str">
        <f>ProcessEnergy!B18</f>
        <v>&lt;empty&gt;</v>
      </c>
      <c r="C72" s="564"/>
      <c r="D72" s="631"/>
      <c r="E72" s="631"/>
      <c r="F72" s="631"/>
      <c r="G72" s="631"/>
      <c r="H72" s="105"/>
      <c r="I72" s="476"/>
      <c r="J72" s="477"/>
      <c r="T72" s="476"/>
    </row>
    <row r="73" spans="2:20" ht="12.75" customHeight="1">
      <c r="B73" s="475" t="str">
        <f>ProcessEnergy!B19</f>
        <v>&lt;empty&gt;</v>
      </c>
      <c r="C73" s="564"/>
      <c r="D73" s="631"/>
      <c r="E73" s="631"/>
      <c r="F73" s="631"/>
      <c r="G73" s="631"/>
      <c r="H73" s="105"/>
      <c r="I73" s="476"/>
      <c r="J73" s="477"/>
      <c r="T73" s="476"/>
    </row>
    <row r="74" spans="2:20" ht="12.75" customHeight="1">
      <c r="B74" s="475" t="str">
        <f>ProcessEnergy!B20</f>
        <v>&lt;empty&gt;</v>
      </c>
      <c r="C74" s="564"/>
      <c r="D74" s="631"/>
      <c r="E74" s="631"/>
      <c r="F74" s="631"/>
      <c r="G74" s="631"/>
      <c r="H74" s="105"/>
      <c r="I74" s="476"/>
      <c r="J74" s="477"/>
      <c r="T74" s="476"/>
    </row>
    <row r="75" spans="2:20" ht="12.75" customHeight="1">
      <c r="B75" s="475" t="str">
        <f>ProcessEnergy!B21</f>
        <v>&lt;empty&gt;</v>
      </c>
      <c r="C75" s="564"/>
      <c r="D75" s="631"/>
      <c r="E75" s="631"/>
      <c r="F75" s="631"/>
      <c r="G75" s="631"/>
      <c r="H75" s="105"/>
      <c r="I75" s="476"/>
      <c r="J75" s="477"/>
      <c r="T75" s="476"/>
    </row>
    <row r="76" spans="2:20" ht="12.75" customHeight="1">
      <c r="B76" s="475" t="str">
        <f>ProcessEnergy!B22</f>
        <v>&lt;empty&gt;</v>
      </c>
      <c r="C76" s="564"/>
      <c r="D76" s="631"/>
      <c r="E76" s="631"/>
      <c r="F76" s="631"/>
      <c r="G76" s="631"/>
      <c r="H76" s="105"/>
      <c r="I76" s="476"/>
      <c r="J76" s="477"/>
      <c r="T76" s="476"/>
    </row>
    <row r="77" spans="2:20" ht="12.75" customHeight="1">
      <c r="B77" s="475" t="str">
        <f>ProcessEnergy!B23</f>
        <v>&lt;empty&gt;</v>
      </c>
      <c r="C77" s="564"/>
      <c r="D77" s="631"/>
      <c r="E77" s="631"/>
      <c r="F77" s="631"/>
      <c r="G77" s="631"/>
      <c r="H77" s="105"/>
      <c r="I77" s="476"/>
      <c r="J77" s="477"/>
      <c r="T77" s="476"/>
    </row>
    <row r="78" spans="2:20" ht="12.75" customHeight="1">
      <c r="B78" s="475" t="str">
        <f>ProcessEnergy!B24</f>
        <v>&lt;empty&gt;</v>
      </c>
      <c r="C78" s="564"/>
      <c r="D78" s="573"/>
      <c r="E78" s="573"/>
      <c r="F78" s="573"/>
      <c r="G78" s="573"/>
      <c r="H78" s="105"/>
      <c r="I78" s="476"/>
      <c r="J78" s="477"/>
      <c r="T78" s="476"/>
    </row>
    <row r="79" spans="2:20" ht="12.75" customHeight="1">
      <c r="B79" s="475"/>
      <c r="C79" s="564"/>
      <c r="D79" s="573"/>
      <c r="E79" s="573"/>
      <c r="F79" s="573"/>
      <c r="G79" s="573"/>
      <c r="H79" s="106"/>
      <c r="I79" s="476"/>
      <c r="J79" s="477"/>
      <c r="T79" s="476"/>
    </row>
    <row r="80" spans="2:20" ht="12.75" customHeight="1">
      <c r="B80" s="475"/>
      <c r="C80" s="564"/>
      <c r="D80" s="573"/>
      <c r="E80" s="573"/>
      <c r="F80" s="573"/>
      <c r="G80" s="573"/>
      <c r="H80" s="106"/>
      <c r="I80" s="476"/>
      <c r="J80" s="477"/>
      <c r="T80" s="476"/>
    </row>
    <row r="81" spans="2:20" ht="12.75" customHeight="1">
      <c r="B81" s="475"/>
      <c r="C81" s="564"/>
      <c r="D81" s="573"/>
      <c r="E81" s="573"/>
      <c r="F81" s="573"/>
      <c r="G81" s="573"/>
      <c r="H81" s="106"/>
      <c r="I81" s="476"/>
      <c r="J81" s="477"/>
      <c r="T81" s="476"/>
    </row>
    <row r="82" spans="2:20" ht="12.75" customHeight="1">
      <c r="B82" s="570" t="s">
        <v>152</v>
      </c>
      <c r="C82" s="564"/>
      <c r="D82" s="573"/>
      <c r="E82" s="573"/>
      <c r="F82" s="573"/>
      <c r="G82" s="573"/>
      <c r="H82" s="106"/>
      <c r="I82" s="476"/>
      <c r="J82" s="477"/>
      <c r="T82" s="476"/>
    </row>
    <row r="83" spans="2:20" ht="12.75" customHeight="1">
      <c r="B83" s="475" t="s">
        <v>397</v>
      </c>
      <c r="C83" s="976" t="s">
        <v>725</v>
      </c>
      <c r="D83" s="628">
        <v>1</v>
      </c>
      <c r="E83" s="628">
        <v>1</v>
      </c>
      <c r="F83" s="628">
        <v>1</v>
      </c>
      <c r="G83" s="628">
        <v>1</v>
      </c>
      <c r="H83" s="295"/>
      <c r="I83" s="476"/>
      <c r="J83" s="477"/>
      <c r="T83" s="476"/>
    </row>
    <row r="84" spans="2:20" ht="12.75" customHeight="1">
      <c r="B84" s="475" t="s">
        <v>153</v>
      </c>
      <c r="C84" s="976" t="s">
        <v>725</v>
      </c>
      <c r="D84" s="628"/>
      <c r="E84" s="628"/>
      <c r="F84" s="628"/>
      <c r="G84" s="628"/>
      <c r="H84" s="105"/>
      <c r="I84" s="476"/>
      <c r="J84" s="477"/>
      <c r="T84" s="476"/>
    </row>
    <row r="85" spans="2:20" ht="12.75" customHeight="1">
      <c r="B85" s="475" t="s">
        <v>154</v>
      </c>
      <c r="C85" s="976" t="s">
        <v>725</v>
      </c>
      <c r="D85" s="630"/>
      <c r="E85" s="630"/>
      <c r="F85" s="630"/>
      <c r="G85" s="630"/>
      <c r="H85" s="105"/>
      <c r="I85" s="476"/>
      <c r="J85" s="477"/>
      <c r="T85" s="476"/>
    </row>
    <row r="86" spans="2:20" ht="12.75" customHeight="1">
      <c r="B86" s="475" t="s">
        <v>398</v>
      </c>
      <c r="C86" s="976" t="s">
        <v>725</v>
      </c>
      <c r="D86" s="607"/>
      <c r="E86" s="607"/>
      <c r="F86" s="607"/>
      <c r="G86" s="607"/>
      <c r="H86" s="237"/>
      <c r="I86" s="476"/>
      <c r="J86" s="477"/>
      <c r="T86" s="476"/>
    </row>
    <row r="87" spans="2:20" ht="12.75" customHeight="1">
      <c r="B87" s="575" t="s">
        <v>155</v>
      </c>
      <c r="C87" s="976" t="s">
        <v>725</v>
      </c>
      <c r="D87" s="610"/>
      <c r="E87" s="610"/>
      <c r="F87" s="610"/>
      <c r="G87" s="610"/>
      <c r="H87" s="109"/>
      <c r="I87" s="476"/>
      <c r="J87" s="477"/>
      <c r="T87" s="476"/>
    </row>
    <row r="88" spans="2:20" ht="12.75" customHeight="1">
      <c r="B88" s="575" t="s">
        <v>156</v>
      </c>
      <c r="C88" s="988" t="s">
        <v>726</v>
      </c>
      <c r="D88" s="632">
        <v>1</v>
      </c>
      <c r="E88" s="632">
        <v>1</v>
      </c>
      <c r="F88" s="632">
        <v>1</v>
      </c>
      <c r="G88" s="632">
        <v>1</v>
      </c>
      <c r="H88" s="462"/>
      <c r="I88" s="476"/>
      <c r="J88" s="477"/>
      <c r="T88" s="476"/>
    </row>
    <row r="89" spans="2:20" ht="12.75" customHeight="1">
      <c r="B89" s="475"/>
      <c r="C89" s="564"/>
      <c r="D89" s="573"/>
      <c r="E89" s="573"/>
      <c r="F89" s="573"/>
      <c r="G89" s="573"/>
      <c r="H89" s="213"/>
      <c r="I89" s="476"/>
      <c r="J89" s="477"/>
      <c r="T89" s="599"/>
    </row>
    <row r="90" spans="2:20" ht="12.75" customHeight="1">
      <c r="B90" s="570" t="s">
        <v>33</v>
      </c>
      <c r="C90" s="564"/>
      <c r="D90" s="573"/>
      <c r="E90" s="573"/>
      <c r="F90" s="573"/>
      <c r="G90" s="573"/>
      <c r="H90" s="213"/>
      <c r="I90" s="476"/>
      <c r="J90" s="477"/>
      <c r="T90" s="476"/>
    </row>
    <row r="91" spans="2:20" s="530" customFormat="1">
      <c r="B91" s="964" t="s">
        <v>157</v>
      </c>
      <c r="C91" s="976" t="s">
        <v>61</v>
      </c>
      <c r="D91" s="992">
        <f>HLOOKUP($H99,Supplementary!$C$44:$AF$46,3,FALSE)*D99</f>
        <v>0</v>
      </c>
      <c r="E91" s="555">
        <f>HLOOKUP($H99,Supplementary!$C$44:$AF$46,3,FALSE)*E99</f>
        <v>0</v>
      </c>
      <c r="F91" s="555">
        <f>HLOOKUP($H99,Supplementary!$C$44:$AF$46,3,FALSE)*F99</f>
        <v>0</v>
      </c>
      <c r="G91" s="555">
        <f>HLOOKUP($H99,Supplementary!$C$44:$AF$46,3,FALSE)*G99</f>
        <v>0</v>
      </c>
      <c r="H91" s="555">
        <f t="shared" ref="H91:H97" si="0">priceYear</f>
        <v>2015</v>
      </c>
      <c r="I91" s="555"/>
      <c r="J91" s="965"/>
      <c r="N91" s="991"/>
      <c r="O91" s="991"/>
      <c r="P91" s="991"/>
      <c r="Q91" s="991"/>
    </row>
    <row r="92" spans="2:20" s="530" customFormat="1">
      <c r="B92" s="964" t="s">
        <v>160</v>
      </c>
      <c r="C92" s="976" t="s">
        <v>464</v>
      </c>
      <c r="D92" s="992">
        <f>HLOOKUP($H100,Supplementary!$C$44:$AF$46,3,FALSE)*D100</f>
        <v>1.0644619289167017</v>
      </c>
      <c r="E92" s="555">
        <f>HLOOKUP($H100,Supplementary!$C$44:$AF$46,3,FALSE)*E100</f>
        <v>1.0644619289167017</v>
      </c>
      <c r="F92" s="555">
        <f>HLOOKUP($H100,Supplementary!$C$44:$AF$46,3,FALSE)*F100</f>
        <v>1.0644619289167017</v>
      </c>
      <c r="G92" s="555">
        <f>HLOOKUP($H100,Supplementary!$C$44:$AF$46,3,FALSE)*G100</f>
        <v>1.0644619289167017</v>
      </c>
      <c r="H92" s="555">
        <f t="shared" si="0"/>
        <v>2015</v>
      </c>
      <c r="I92" s="555"/>
      <c r="J92" s="965"/>
      <c r="N92" s="991"/>
      <c r="O92" s="991"/>
      <c r="P92" s="991"/>
      <c r="Q92" s="991"/>
    </row>
    <row r="93" spans="2:20" s="530" customFormat="1">
      <c r="B93" s="995" t="s">
        <v>162</v>
      </c>
      <c r="C93" s="976" t="s">
        <v>464</v>
      </c>
      <c r="D93" s="992">
        <f>HLOOKUP($H101,Supplementary!$C$44:$AF$46,3,FALSE)*D101</f>
        <v>0</v>
      </c>
      <c r="E93" s="555">
        <f>HLOOKUP($H101,Supplementary!$C$44:$AF$46,3,FALSE)*E101</f>
        <v>0</v>
      </c>
      <c r="F93" s="555">
        <f>HLOOKUP($H101,Supplementary!$C$44:$AF$46,3,FALSE)*F101</f>
        <v>0</v>
      </c>
      <c r="G93" s="555">
        <f>HLOOKUP($H101,Supplementary!$C$44:$AF$46,3,FALSE)*G101</f>
        <v>0</v>
      </c>
      <c r="H93" s="555">
        <f t="shared" si="0"/>
        <v>2015</v>
      </c>
      <c r="I93" s="555"/>
      <c r="J93" s="965"/>
      <c r="N93" s="991"/>
      <c r="O93" s="991"/>
      <c r="P93" s="991"/>
      <c r="Q93" s="991"/>
    </row>
    <row r="94" spans="2:20" s="530" customFormat="1">
      <c r="B94" s="995" t="s">
        <v>163</v>
      </c>
      <c r="C94" s="976" t="s">
        <v>464</v>
      </c>
      <c r="D94" s="992">
        <f>HLOOKUP($H102,Supplementary!$C$44:$AF$46,3,FALSE)*D102</f>
        <v>0</v>
      </c>
      <c r="E94" s="555">
        <f>HLOOKUP($H102,Supplementary!$C$44:$AF$46,3,FALSE)*E102</f>
        <v>0</v>
      </c>
      <c r="F94" s="555">
        <f>HLOOKUP($H102,Supplementary!$C$44:$AF$46,3,FALSE)*F102</f>
        <v>0</v>
      </c>
      <c r="G94" s="555">
        <f>HLOOKUP($H102,Supplementary!$C$44:$AF$46,3,FALSE)*G102</f>
        <v>0</v>
      </c>
      <c r="H94" s="555">
        <f t="shared" si="0"/>
        <v>2015</v>
      </c>
      <c r="I94" s="555"/>
      <c r="J94" s="965"/>
      <c r="N94" s="991"/>
      <c r="O94" s="991"/>
      <c r="P94" s="991"/>
      <c r="Q94" s="991"/>
    </row>
    <row r="95" spans="2:20" s="530" customFormat="1">
      <c r="B95" s="995" t="s">
        <v>164</v>
      </c>
      <c r="C95" s="976" t="s">
        <v>464</v>
      </c>
      <c r="D95" s="992">
        <f>HLOOKUP($H103,Supplementary!$C$44:$AF$46,3,FALSE)*D103</f>
        <v>0</v>
      </c>
      <c r="E95" s="555">
        <f>HLOOKUP($H103,Supplementary!$C$44:$AF$46,3,FALSE)*E103</f>
        <v>0</v>
      </c>
      <c r="F95" s="555">
        <f>HLOOKUP($H103,Supplementary!$C$44:$AF$46,3,FALSE)*F103</f>
        <v>0</v>
      </c>
      <c r="G95" s="555">
        <f>HLOOKUP($H103,Supplementary!$C$44:$AF$46,3,FALSE)*G103</f>
        <v>0</v>
      </c>
      <c r="H95" s="555">
        <f t="shared" si="0"/>
        <v>2015</v>
      </c>
      <c r="I95" s="555"/>
      <c r="J95" s="965"/>
      <c r="N95" s="991"/>
      <c r="O95" s="991"/>
      <c r="P95" s="991"/>
      <c r="Q95" s="991"/>
    </row>
    <row r="96" spans="2:20" s="530" customFormat="1">
      <c r="B96" s="995" t="s">
        <v>264</v>
      </c>
      <c r="C96" s="976" t="s">
        <v>464</v>
      </c>
      <c r="D96" s="992">
        <f>HLOOKUP($H104,Supplementary!$C$44:$AF$46,3,FALSE)*D104</f>
        <v>0</v>
      </c>
      <c r="E96" s="555">
        <f>HLOOKUP($H104,Supplementary!$C$44:$AF$46,3,FALSE)*E104</f>
        <v>0</v>
      </c>
      <c r="F96" s="555">
        <f>HLOOKUP($H104,Supplementary!$C$44:$AF$46,3,FALSE)*F104</f>
        <v>0</v>
      </c>
      <c r="G96" s="555">
        <f>HLOOKUP($H104,Supplementary!$C$44:$AF$46,3,FALSE)*G104</f>
        <v>0</v>
      </c>
      <c r="H96" s="555">
        <f t="shared" si="0"/>
        <v>2015</v>
      </c>
      <c r="I96" s="555"/>
      <c r="J96" s="965"/>
      <c r="N96" s="991"/>
      <c r="O96" s="991"/>
      <c r="P96" s="991"/>
      <c r="Q96" s="991"/>
    </row>
    <row r="97" spans="2:20" s="530" customFormat="1">
      <c r="B97" s="995" t="s">
        <v>165</v>
      </c>
      <c r="C97" s="976" t="s">
        <v>464</v>
      </c>
      <c r="D97" s="992">
        <f>HLOOKUP($H105,Supplementary!$C$44:$AF$46,3,FALSE)*D105</f>
        <v>0</v>
      </c>
      <c r="E97" s="555">
        <f>HLOOKUP($H105,Supplementary!$C$44:$AF$46,3,FALSE)*E105</f>
        <v>0</v>
      </c>
      <c r="F97" s="555">
        <f>HLOOKUP($H105,Supplementary!$C$44:$AF$46,3,FALSE)*F105</f>
        <v>0</v>
      </c>
      <c r="G97" s="555">
        <f>HLOOKUP($H105,Supplementary!$C$44:$AF$46,3,FALSE)*G105</f>
        <v>0</v>
      </c>
      <c r="H97" s="555">
        <f t="shared" si="0"/>
        <v>2015</v>
      </c>
      <c r="I97" s="555"/>
      <c r="J97" s="965"/>
      <c r="N97" s="991"/>
      <c r="O97" s="991"/>
      <c r="P97" s="991"/>
      <c r="Q97" s="991"/>
    </row>
    <row r="98" spans="2:20" s="530" customFormat="1">
      <c r="B98" s="975"/>
      <c r="C98" s="976"/>
      <c r="D98" s="992"/>
      <c r="E98" s="983"/>
      <c r="F98" s="983"/>
      <c r="G98" s="983"/>
      <c r="H98" s="983"/>
      <c r="I98" s="555"/>
      <c r="J98" s="965"/>
      <c r="N98" s="991"/>
      <c r="O98" s="991"/>
      <c r="P98" s="991"/>
      <c r="Q98" s="991"/>
    </row>
    <row r="99" spans="2:20" ht="12.75" customHeight="1">
      <c r="B99" s="475" t="s">
        <v>157</v>
      </c>
      <c r="C99" s="564" t="s">
        <v>61</v>
      </c>
      <c r="D99" s="568"/>
      <c r="E99" s="568"/>
      <c r="F99" s="568"/>
      <c r="G99" s="568"/>
      <c r="H99" s="1668">
        <v>2011</v>
      </c>
      <c r="I99" s="476"/>
      <c r="J99" s="477"/>
      <c r="T99" s="476"/>
    </row>
    <row r="100" spans="2:20" ht="12.75" customHeight="1">
      <c r="B100" s="475" t="s">
        <v>160</v>
      </c>
      <c r="C100" s="564" t="s">
        <v>246</v>
      </c>
      <c r="D100" s="611">
        <v>1</v>
      </c>
      <c r="E100" s="611">
        <v>1</v>
      </c>
      <c r="F100" s="611">
        <v>1</v>
      </c>
      <c r="G100" s="611">
        <v>1</v>
      </c>
      <c r="H100" s="1668">
        <v>2011</v>
      </c>
      <c r="I100" s="584"/>
      <c r="J100" s="477"/>
      <c r="T100" s="476"/>
    </row>
    <row r="101" spans="2:20" ht="12.75" customHeight="1">
      <c r="B101" s="585" t="s">
        <v>162</v>
      </c>
      <c r="C101" s="564" t="s">
        <v>246</v>
      </c>
      <c r="D101" s="612"/>
      <c r="E101" s="612"/>
      <c r="F101" s="612"/>
      <c r="G101" s="612"/>
      <c r="H101" s="1668">
        <v>2011</v>
      </c>
      <c r="I101" s="476"/>
      <c r="J101" s="477"/>
      <c r="T101" s="476"/>
    </row>
    <row r="102" spans="2:20" ht="12.75" customHeight="1">
      <c r="B102" s="585" t="s">
        <v>163</v>
      </c>
      <c r="C102" s="564" t="s">
        <v>246</v>
      </c>
      <c r="D102" s="572"/>
      <c r="E102" s="572"/>
      <c r="F102" s="572"/>
      <c r="G102" s="572"/>
      <c r="H102" s="1668">
        <v>2011</v>
      </c>
      <c r="I102" s="476"/>
      <c r="J102" s="477"/>
      <c r="T102" s="476"/>
    </row>
    <row r="103" spans="2:20" ht="12.75" customHeight="1">
      <c r="B103" s="585" t="s">
        <v>164</v>
      </c>
      <c r="C103" s="564" t="s">
        <v>246</v>
      </c>
      <c r="D103" s="610"/>
      <c r="E103" s="610"/>
      <c r="F103" s="610"/>
      <c r="G103" s="610"/>
      <c r="H103" s="1668">
        <v>2011</v>
      </c>
      <c r="I103" s="476"/>
      <c r="J103" s="477"/>
      <c r="T103" s="476"/>
    </row>
    <row r="104" spans="2:20" ht="12.75" customHeight="1">
      <c r="B104" s="585" t="s">
        <v>264</v>
      </c>
      <c r="C104" s="564" t="s">
        <v>246</v>
      </c>
      <c r="D104" s="572"/>
      <c r="E104" s="572"/>
      <c r="F104" s="572"/>
      <c r="G104" s="572"/>
      <c r="H104" s="1668">
        <v>2011</v>
      </c>
      <c r="I104" s="476"/>
      <c r="J104" s="477"/>
      <c r="T104" s="476"/>
    </row>
    <row r="105" spans="2:20" ht="12.75" customHeight="1">
      <c r="B105" s="585" t="s">
        <v>165</v>
      </c>
      <c r="C105" s="564" t="s">
        <v>246</v>
      </c>
      <c r="D105" s="628"/>
      <c r="E105" s="628"/>
      <c r="F105" s="628"/>
      <c r="G105" s="628"/>
      <c r="H105" s="1668">
        <v>2011</v>
      </c>
      <c r="I105" s="476"/>
      <c r="J105" s="477"/>
      <c r="T105" s="476"/>
    </row>
    <row r="106" spans="2:20" ht="12.75" customHeight="1">
      <c r="B106" s="585"/>
      <c r="C106" s="564"/>
      <c r="D106" s="573"/>
      <c r="E106" s="573"/>
      <c r="F106" s="573"/>
      <c r="G106" s="573"/>
      <c r="I106" s="584"/>
      <c r="J106" s="477"/>
      <c r="T106" s="476"/>
    </row>
    <row r="107" spans="2:20" ht="12.75" customHeight="1">
      <c r="B107" s="585"/>
      <c r="C107" s="564"/>
      <c r="D107" s="573"/>
      <c r="E107" s="573"/>
      <c r="F107" s="573"/>
      <c r="G107" s="573"/>
      <c r="I107" s="584"/>
      <c r="J107" s="477"/>
      <c r="T107" s="476"/>
    </row>
    <row r="108" spans="2:20" ht="12.75" customHeight="1">
      <c r="B108" s="585"/>
      <c r="C108" s="564"/>
      <c r="D108" s="573"/>
      <c r="E108" s="573"/>
      <c r="F108" s="573"/>
      <c r="G108" s="573"/>
      <c r="I108" s="584"/>
      <c r="J108" s="477"/>
      <c r="T108" s="476"/>
    </row>
    <row r="109" spans="2:20" ht="12.75" customHeight="1">
      <c r="B109" s="585"/>
      <c r="C109" s="564"/>
      <c r="D109" s="573"/>
      <c r="E109" s="573"/>
      <c r="F109" s="573"/>
      <c r="G109" s="573"/>
      <c r="I109" s="584"/>
      <c r="J109" s="477"/>
      <c r="T109" s="476"/>
    </row>
    <row r="110" spans="2:20" ht="12.75" customHeight="1">
      <c r="B110" s="585"/>
      <c r="C110" s="564"/>
      <c r="D110" s="573"/>
      <c r="E110" s="573"/>
      <c r="F110" s="573"/>
      <c r="G110" s="573"/>
      <c r="I110" s="584"/>
      <c r="J110" s="477"/>
      <c r="T110" s="476"/>
    </row>
    <row r="111" spans="2:20" ht="12.75" customHeight="1">
      <c r="B111" s="585"/>
      <c r="C111" s="564"/>
      <c r="D111" s="573"/>
      <c r="E111" s="573"/>
      <c r="F111" s="573"/>
      <c r="G111" s="573"/>
      <c r="I111" s="584"/>
      <c r="J111" s="477"/>
      <c r="T111" s="476"/>
    </row>
    <row r="112" spans="2:20" ht="12.75" customHeight="1">
      <c r="B112" s="585"/>
      <c r="C112" s="564"/>
      <c r="D112" s="573"/>
      <c r="E112" s="573"/>
      <c r="F112" s="573"/>
      <c r="G112" s="573"/>
      <c r="I112" s="584"/>
      <c r="J112" s="477"/>
      <c r="T112" s="476"/>
    </row>
    <row r="113" spans="2:20" ht="12.75" customHeight="1">
      <c r="B113" s="585"/>
      <c r="C113" s="564"/>
      <c r="D113" s="573"/>
      <c r="E113" s="573"/>
      <c r="F113" s="573"/>
      <c r="G113" s="573"/>
      <c r="I113" s="584"/>
      <c r="J113" s="477"/>
      <c r="T113" s="476"/>
    </row>
    <row r="114" spans="2:20" ht="12.75" customHeight="1">
      <c r="B114" s="585"/>
      <c r="C114" s="564"/>
      <c r="D114" s="573"/>
      <c r="E114" s="573"/>
      <c r="F114" s="573"/>
      <c r="G114" s="573"/>
      <c r="I114" s="584"/>
      <c r="J114" s="477"/>
      <c r="T114" s="476"/>
    </row>
    <row r="115" spans="2:20" ht="12.75" customHeight="1">
      <c r="B115" s="570" t="s">
        <v>166</v>
      </c>
      <c r="C115" s="564"/>
      <c r="D115" s="573"/>
      <c r="E115" s="573"/>
      <c r="F115" s="573"/>
      <c r="G115" s="573"/>
      <c r="I115" s="584"/>
      <c r="J115" s="477"/>
      <c r="T115" s="599"/>
    </row>
    <row r="116" spans="2:20" ht="12.75" customHeight="1">
      <c r="B116" s="475" t="s">
        <v>24</v>
      </c>
      <c r="C116" s="564" t="s">
        <v>399</v>
      </c>
      <c r="D116" s="614"/>
      <c r="E116" s="633"/>
      <c r="F116" s="633"/>
      <c r="G116" s="633"/>
      <c r="H116" s="452"/>
      <c r="I116" s="476"/>
      <c r="J116" s="477"/>
      <c r="T116" s="476"/>
    </row>
    <row r="117" spans="2:20" ht="12.75" customHeight="1">
      <c r="B117" s="475" t="s">
        <v>27</v>
      </c>
      <c r="C117" s="564" t="s">
        <v>399</v>
      </c>
      <c r="D117" s="614"/>
      <c r="E117" s="633"/>
      <c r="F117" s="633"/>
      <c r="G117" s="633"/>
      <c r="H117" s="452"/>
      <c r="I117" s="476"/>
      <c r="J117" s="477"/>
      <c r="T117" s="476"/>
    </row>
    <row r="118" spans="2:20" ht="12.75" customHeight="1">
      <c r="B118" s="475" t="s">
        <v>28</v>
      </c>
      <c r="C118" s="564" t="s">
        <v>399</v>
      </c>
      <c r="D118" s="614"/>
      <c r="E118" s="633"/>
      <c r="F118" s="633"/>
      <c r="G118" s="633"/>
      <c r="H118" s="452"/>
      <c r="I118" s="476"/>
      <c r="J118" s="477"/>
      <c r="T118" s="476"/>
    </row>
    <row r="119" spans="2:20" ht="12.75" customHeight="1">
      <c r="B119" s="475" t="s">
        <v>26</v>
      </c>
      <c r="C119" s="564" t="s">
        <v>399</v>
      </c>
      <c r="D119" s="614"/>
      <c r="E119" s="633"/>
      <c r="F119" s="633"/>
      <c r="G119" s="633"/>
      <c r="H119" s="452"/>
      <c r="I119" s="476"/>
      <c r="J119" s="477"/>
      <c r="T119" s="476"/>
    </row>
    <row r="120" spans="2:20" ht="12.75" customHeight="1">
      <c r="B120" s="475" t="s">
        <v>167</v>
      </c>
      <c r="C120" s="564" t="s">
        <v>399</v>
      </c>
      <c r="D120" s="614"/>
      <c r="E120" s="633"/>
      <c r="F120" s="633"/>
      <c r="G120" s="633"/>
      <c r="H120" s="452"/>
      <c r="I120" s="476"/>
      <c r="J120" s="477"/>
      <c r="T120" s="599"/>
    </row>
    <row r="121" spans="2:20" ht="12.75" customHeight="1">
      <c r="B121" s="475" t="s">
        <v>45</v>
      </c>
      <c r="C121" s="564" t="s">
        <v>399</v>
      </c>
      <c r="D121" s="614"/>
      <c r="E121" s="633"/>
      <c r="F121" s="633"/>
      <c r="G121" s="633"/>
      <c r="H121" s="451"/>
      <c r="I121" s="476"/>
      <c r="J121" s="477"/>
      <c r="T121" s="476"/>
    </row>
    <row r="122" spans="2:20" ht="12.75" customHeight="1" thickBot="1">
      <c r="B122" s="591"/>
      <c r="C122" s="592"/>
      <c r="D122" s="593"/>
      <c r="E122" s="593"/>
      <c r="F122" s="593"/>
      <c r="G122" s="593"/>
      <c r="H122" s="244"/>
      <c r="I122" s="594"/>
      <c r="J122" s="483"/>
      <c r="T122" s="476"/>
    </row>
    <row r="123" spans="2:20" ht="12.75" customHeight="1">
      <c r="T123" s="476"/>
    </row>
    <row r="124" spans="2:20" ht="12.75" customHeight="1">
      <c r="T124" s="476"/>
    </row>
    <row r="125" spans="2:20" ht="12.75" customHeight="1">
      <c r="T125" s="476"/>
    </row>
    <row r="126" spans="2:20" ht="12.75" customHeight="1">
      <c r="B126" s="617"/>
      <c r="T126" s="476"/>
    </row>
    <row r="127" spans="2:20" ht="12.75" customHeight="1"/>
    <row r="128" spans="2:20" ht="12.75" customHeight="1">
      <c r="H128" s="1173"/>
    </row>
    <row r="129" spans="8:8" ht="12.75" customHeight="1">
      <c r="H129" s="1173"/>
    </row>
    <row r="130" spans="8:8" ht="12.75" customHeight="1">
      <c r="H130" s="1173"/>
    </row>
    <row r="131" spans="8:8" ht="12.75" customHeight="1">
      <c r="H131" s="1399"/>
    </row>
    <row r="132" spans="8:8" ht="12.75" customHeight="1">
      <c r="H132" s="393"/>
    </row>
    <row r="133" spans="8:8" ht="12.75" customHeight="1"/>
    <row r="134" spans="8:8" ht="12.75" customHeight="1"/>
    <row r="135" spans="8:8" ht="12.75" customHeight="1"/>
    <row r="136" spans="8:8" ht="12.75" customHeight="1"/>
    <row r="137" spans="8:8" ht="12.75" customHeight="1"/>
    <row r="138" spans="8:8" ht="12.75" customHeight="1"/>
    <row r="139" spans="8:8" ht="12.75" customHeight="1"/>
    <row r="140" spans="8:8" ht="12.75" customHeight="1"/>
    <row r="141" spans="8:8" ht="12.75" customHeight="1"/>
    <row r="142" spans="8:8" ht="12.75" customHeight="1"/>
    <row r="143" spans="8:8" ht="12.75" customHeight="1"/>
    <row r="144" spans="8:8"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sheetData>
  <pageMargins left="0.15748031496062992" right="0.15748031496062992" top="1.25" bottom="0.19685039370078741" header="0.51181102362204722" footer="0.51181102362204722"/>
  <pageSetup paperSize="9" scale="26" orientation="landscape" r:id="rId1"/>
  <headerFooter alignWithMargins="0">
    <oddHeader>&amp;L&amp;"Arial"&amp;14&amp;BBeregningsmodel
&amp;"Arial"&amp;08&amp;B64329, Teknologivurdering af alternative drivmidler til transportsektoren&amp;R&amp;"Arial"&amp;08Page &amp;P of &amp;N</oddHeader>
    <oddFooter>&amp;L&amp;"Arial"&amp;08&amp;Z&amp;F
Sheet: &amp;A&amp;C&amp;"Arial"&amp;08Printed &amp;D &amp;T&amp;R&amp;G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59105" r:id="rId5" name="Button 1">
              <controlPr defaultSize="0" print="0" autoFill="0" autoPict="0" macro="[0]!GtOver">
                <anchor>
                  <from>
                    <xdr:col>6</xdr:col>
                    <xdr:colOff>962025</xdr:colOff>
                    <xdr:row>0</xdr:row>
                    <xdr:rowOff>38100</xdr:rowOff>
                  </from>
                  <to>
                    <xdr:col>7</xdr:col>
                    <xdr:colOff>971550</xdr:colOff>
                    <xdr:row>0</xdr:row>
                    <xdr:rowOff>238125</xdr:rowOff>
                  </to>
                </anchor>
              </controlPr>
            </control>
          </mc:Choice>
        </mc:AlternateContent>
        <mc:AlternateContent xmlns:mc="http://schemas.openxmlformats.org/markup-compatibility/2006">
          <mc:Choice Requires="x14">
            <control shapeId="559106" r:id="rId6" name="Button 2">
              <controlPr defaultSize="0" print="0" autoFill="0" autoPict="0" macro="[0]!GtRes">
                <anchor>
                  <from>
                    <xdr:col>8</xdr:col>
                    <xdr:colOff>95250</xdr:colOff>
                    <xdr:row>0</xdr:row>
                    <xdr:rowOff>38100</xdr:rowOff>
                  </from>
                  <to>
                    <xdr:col>9</xdr:col>
                    <xdr:colOff>676275</xdr:colOff>
                    <xdr:row>0</xdr:row>
                    <xdr:rowOff>238125</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002060"/>
    <pageSetUpPr fitToPage="1"/>
  </sheetPr>
  <dimension ref="B1:S94"/>
  <sheetViews>
    <sheetView topLeftCell="A40" zoomScale="80" zoomScaleNormal="80" workbookViewId="0">
      <selection activeCell="Q1" sqref="Q1"/>
    </sheetView>
  </sheetViews>
  <sheetFormatPr defaultColWidth="8.85546875" defaultRowHeight="12.75"/>
  <cols>
    <col min="1" max="1" width="2.85546875" style="172" customWidth="1"/>
    <col min="2" max="2" width="35" style="172" customWidth="1"/>
    <col min="3" max="3" width="18" style="172" customWidth="1"/>
    <col min="4" max="8" width="15.85546875" style="172" customWidth="1"/>
    <col min="9" max="9" width="7.140625" style="172" customWidth="1"/>
    <col min="10" max="10" width="37.42578125" style="172" customWidth="1"/>
    <col min="11" max="14" width="8.85546875" style="172"/>
    <col min="15" max="15" width="37.85546875" style="172" customWidth="1"/>
    <col min="16" max="17" width="8.85546875" style="172"/>
    <col min="18" max="19" width="12" style="172" customWidth="1"/>
    <col min="20" max="16384" width="8.85546875" style="172"/>
  </cols>
  <sheetData>
    <row r="1" spans="2:19" s="2403" customFormat="1" ht="21">
      <c r="B1" s="2403" t="s">
        <v>290</v>
      </c>
      <c r="Q1" s="2403">
        <f ca="1">'Log2015'!M1</f>
        <v>-8.0112614142160741</v>
      </c>
      <c r="R1" s="2405">
        <f ca="1">'Log2015'!N1</f>
        <v>-160807.124977848</v>
      </c>
      <c r="S1" s="2406"/>
    </row>
    <row r="2" spans="2:19">
      <c r="R2" s="622">
        <f ca="1">R1</f>
        <v>-160807.124977848</v>
      </c>
      <c r="S2" s="622">
        <f>S1</f>
        <v>0</v>
      </c>
    </row>
    <row r="4" spans="2:19" ht="13.5" thickBot="1">
      <c r="B4" s="171" t="s">
        <v>81</v>
      </c>
    </row>
    <row r="5" spans="2:19">
      <c r="B5" s="100" t="s">
        <v>137</v>
      </c>
      <c r="C5" s="221"/>
      <c r="D5" s="221"/>
      <c r="E5" s="221"/>
      <c r="F5" s="221"/>
      <c r="G5" s="221"/>
      <c r="H5" s="221"/>
      <c r="I5" s="221"/>
      <c r="J5" s="221"/>
      <c r="K5" s="221"/>
      <c r="L5" s="221"/>
      <c r="M5" s="221"/>
      <c r="N5" s="222"/>
    </row>
    <row r="6" spans="2:19">
      <c r="B6" s="310" t="s">
        <v>291</v>
      </c>
      <c r="C6" s="455"/>
      <c r="D6" s="455"/>
      <c r="E6" s="455"/>
      <c r="F6" s="455"/>
      <c r="G6" s="455"/>
      <c r="H6" s="455"/>
      <c r="I6" s="455"/>
      <c r="J6" s="455"/>
      <c r="K6" s="455"/>
      <c r="L6" s="455"/>
      <c r="M6" s="455"/>
      <c r="N6" s="178"/>
    </row>
    <row r="7" spans="2:19">
      <c r="B7" s="310" t="s">
        <v>1051</v>
      </c>
      <c r="C7" s="455"/>
      <c r="D7" s="455"/>
      <c r="E7" s="455"/>
      <c r="F7" s="455"/>
      <c r="G7" s="455"/>
      <c r="H7" s="455"/>
      <c r="I7" s="455"/>
      <c r="J7" s="455"/>
      <c r="K7" s="455"/>
      <c r="L7" s="455"/>
      <c r="M7" s="455"/>
      <c r="N7" s="178"/>
    </row>
    <row r="8" spans="2:19">
      <c r="B8" s="216"/>
      <c r="C8" s="455"/>
      <c r="D8" s="455"/>
      <c r="E8" s="455"/>
      <c r="F8" s="455"/>
      <c r="G8" s="455"/>
      <c r="H8" s="455"/>
      <c r="I8" s="455"/>
      <c r="J8" s="455"/>
      <c r="K8" s="455"/>
      <c r="L8" s="455"/>
      <c r="M8" s="455"/>
      <c r="N8" s="178"/>
    </row>
    <row r="9" spans="2:19">
      <c r="B9" s="216"/>
      <c r="C9" s="455"/>
      <c r="D9" s="455"/>
      <c r="E9" s="455"/>
      <c r="F9" s="455"/>
      <c r="G9" s="455"/>
      <c r="H9" s="455"/>
      <c r="I9" s="455"/>
      <c r="J9" s="455"/>
      <c r="K9" s="455"/>
      <c r="L9" s="455"/>
      <c r="M9" s="455"/>
      <c r="N9" s="178"/>
    </row>
    <row r="10" spans="2:19">
      <c r="B10" s="216"/>
      <c r="C10" s="455"/>
      <c r="D10" s="455"/>
      <c r="E10" s="455"/>
      <c r="F10" s="455"/>
      <c r="G10" s="455"/>
      <c r="H10" s="455"/>
      <c r="I10" s="455"/>
      <c r="J10" s="455"/>
      <c r="K10" s="455"/>
      <c r="L10" s="455"/>
      <c r="M10" s="455"/>
      <c r="N10" s="178"/>
    </row>
    <row r="11" spans="2:19">
      <c r="B11" s="102" t="s">
        <v>256</v>
      </c>
      <c r="C11" s="455"/>
      <c r="D11" s="455"/>
      <c r="E11" s="455"/>
      <c r="F11" s="455"/>
      <c r="G11" s="455"/>
      <c r="H11" s="455"/>
      <c r="I11" s="455"/>
      <c r="J11" s="455"/>
      <c r="K11" s="455"/>
      <c r="L11" s="455"/>
      <c r="M11" s="455"/>
      <c r="N11" s="178"/>
    </row>
    <row r="12" spans="2:19">
      <c r="B12" s="216"/>
      <c r="C12" s="455"/>
      <c r="D12" s="455"/>
      <c r="E12" s="455"/>
      <c r="F12" s="455"/>
      <c r="G12" s="455"/>
      <c r="H12" s="455"/>
      <c r="I12" s="455"/>
      <c r="J12" s="455"/>
      <c r="K12" s="455"/>
      <c r="L12" s="455"/>
      <c r="M12" s="455"/>
      <c r="N12" s="178"/>
    </row>
    <row r="13" spans="2:19">
      <c r="B13" s="216"/>
      <c r="C13" s="455"/>
      <c r="D13" s="455"/>
      <c r="E13" s="455"/>
      <c r="F13" s="455"/>
      <c r="G13" s="455"/>
      <c r="H13" s="455"/>
      <c r="I13" s="455"/>
      <c r="J13" s="455"/>
      <c r="K13" s="455"/>
      <c r="L13" s="455"/>
      <c r="M13" s="455"/>
      <c r="N13" s="178"/>
    </row>
    <row r="14" spans="2:19">
      <c r="B14" s="102" t="s">
        <v>143</v>
      </c>
      <c r="C14" s="455"/>
      <c r="D14" s="455"/>
      <c r="E14" s="455"/>
      <c r="F14" s="455"/>
      <c r="G14" s="455"/>
      <c r="H14" s="455"/>
      <c r="I14" s="455"/>
      <c r="J14" s="455"/>
      <c r="K14" s="455"/>
      <c r="L14" s="455"/>
      <c r="M14" s="455"/>
      <c r="N14" s="178"/>
    </row>
    <row r="15" spans="2:19">
      <c r="B15" s="216"/>
      <c r="C15" s="455"/>
      <c r="D15" s="455"/>
      <c r="E15" s="455"/>
      <c r="F15" s="455"/>
      <c r="G15" s="455"/>
      <c r="H15" s="455"/>
      <c r="I15" s="455"/>
      <c r="J15" s="455"/>
      <c r="K15" s="455"/>
      <c r="L15" s="455"/>
      <c r="M15" s="455"/>
      <c r="N15" s="178"/>
    </row>
    <row r="16" spans="2:19">
      <c r="B16" s="216"/>
      <c r="C16" s="455"/>
      <c r="D16" s="455"/>
      <c r="E16" s="455"/>
      <c r="F16" s="455"/>
      <c r="G16" s="455"/>
      <c r="H16" s="455"/>
      <c r="I16" s="455"/>
      <c r="J16" s="455"/>
      <c r="K16" s="455"/>
      <c r="L16" s="455"/>
      <c r="M16" s="455"/>
      <c r="N16" s="178"/>
    </row>
    <row r="17" spans="2:14" ht="13.5" thickBot="1">
      <c r="B17" s="181"/>
      <c r="C17" s="244"/>
      <c r="D17" s="244"/>
      <c r="E17" s="244"/>
      <c r="F17" s="244"/>
      <c r="G17" s="244"/>
      <c r="H17" s="244"/>
      <c r="I17" s="244"/>
      <c r="J17" s="244"/>
      <c r="K17" s="244"/>
      <c r="L17" s="244"/>
      <c r="M17" s="244"/>
      <c r="N17" s="183"/>
    </row>
    <row r="19" spans="2:14" ht="13.5" thickBot="1">
      <c r="B19" s="171" t="s">
        <v>144</v>
      </c>
      <c r="E19" s="142"/>
    </row>
    <row r="20" spans="2:14">
      <c r="B20" s="219"/>
      <c r="C20" s="220"/>
      <c r="D20" s="151"/>
      <c r="E20" s="221"/>
      <c r="F20" s="221"/>
      <c r="G20" s="221"/>
      <c r="H20" s="221"/>
      <c r="I20" s="221" t="s">
        <v>145</v>
      </c>
      <c r="J20" s="222" t="s">
        <v>146</v>
      </c>
    </row>
    <row r="21" spans="2:14">
      <c r="B21" s="223"/>
      <c r="C21" s="224" t="s">
        <v>70</v>
      </c>
      <c r="D21" s="152">
        <v>2015</v>
      </c>
      <c r="E21" s="225">
        <v>2020</v>
      </c>
      <c r="F21" s="225">
        <v>2035</v>
      </c>
      <c r="G21" s="225">
        <v>2050</v>
      </c>
      <c r="H21" s="225" t="s">
        <v>978</v>
      </c>
      <c r="I21" s="226"/>
      <c r="J21" s="227"/>
    </row>
    <row r="22" spans="2:14">
      <c r="B22" s="216" t="s">
        <v>257</v>
      </c>
      <c r="C22" s="210"/>
      <c r="D22" s="153"/>
      <c r="E22" s="209"/>
      <c r="F22" s="209"/>
      <c r="G22" s="209"/>
      <c r="H22" s="209"/>
      <c r="I22" s="455"/>
      <c r="J22" s="178"/>
    </row>
    <row r="23" spans="2:14">
      <c r="B23" s="122" t="s">
        <v>848</v>
      </c>
      <c r="C23" s="210" t="s">
        <v>292</v>
      </c>
      <c r="D23" s="908">
        <v>0.18</v>
      </c>
      <c r="E23" s="909">
        <f>E67/E25</f>
        <v>0.2323596135909394</v>
      </c>
      <c r="F23" s="909">
        <f>D23*(1+F76)</f>
        <v>0.23039999999999999</v>
      </c>
      <c r="G23" s="909">
        <f>D23*(1+G76)</f>
        <v>0.23039999999999999</v>
      </c>
      <c r="H23" s="1657"/>
      <c r="I23" s="323" t="str">
        <f>CONCATENATE(Referencer!$B$11)</f>
        <v>5, Concawe (2011): Well-to-wheels analysis of future automotive fuels and power-trains in the European Context. November 2011.</v>
      </c>
      <c r="J23" s="91" t="s">
        <v>508</v>
      </c>
    </row>
    <row r="24" spans="2:14">
      <c r="B24" s="122" t="s">
        <v>849</v>
      </c>
      <c r="C24" s="210" t="s">
        <v>292</v>
      </c>
      <c r="D24" s="910">
        <f>D23</f>
        <v>0.18</v>
      </c>
      <c r="E24" s="909">
        <f>E23</f>
        <v>0.2323596135909394</v>
      </c>
      <c r="F24" s="909">
        <f>F23</f>
        <v>0.23039999999999999</v>
      </c>
      <c r="G24" s="909">
        <f>G23</f>
        <v>0.23039999999999999</v>
      </c>
      <c r="H24" s="1657"/>
      <c r="I24" s="283"/>
      <c r="J24" s="280"/>
    </row>
    <row r="25" spans="2:14">
      <c r="B25" s="122" t="s">
        <v>1025</v>
      </c>
      <c r="C25" s="210" t="s">
        <v>1024</v>
      </c>
      <c r="D25" s="2424">
        <v>2.113</v>
      </c>
      <c r="E25" s="884">
        <v>1.5009999999999999</v>
      </c>
      <c r="F25" s="866">
        <f>$E25*$E23/F23</f>
        <v>1.5137664062500003</v>
      </c>
      <c r="G25" s="866">
        <f>$E25*$E23/G23</f>
        <v>1.5137664062500003</v>
      </c>
      <c r="H25" s="1658"/>
      <c r="I25" s="283" t="str">
        <f>CONCATENATE(Referencer!$B$40)</f>
        <v>34, JEC - Joint Research Centre-EUCAR-CONCAWE collaboration, Tank to Wheels Report, version 4.0, July 2013</v>
      </c>
      <c r="J25" s="178" t="s">
        <v>2667</v>
      </c>
    </row>
    <row r="26" spans="2:14">
      <c r="B26" s="122" t="s">
        <v>1026</v>
      </c>
      <c r="C26" s="210" t="s">
        <v>1024</v>
      </c>
      <c r="D26" s="2425"/>
      <c r="E26" s="866"/>
      <c r="F26" s="866"/>
      <c r="G26" s="866"/>
      <c r="H26" s="1658"/>
      <c r="I26" s="283"/>
      <c r="J26" s="280"/>
    </row>
    <row r="27" spans="2:14">
      <c r="B27" s="310" t="s">
        <v>98</v>
      </c>
      <c r="C27" s="210" t="s">
        <v>259</v>
      </c>
      <c r="D27" s="154">
        <v>16.3</v>
      </c>
      <c r="E27" s="212">
        <v>16.3</v>
      </c>
      <c r="F27" s="212">
        <v>16.3</v>
      </c>
      <c r="G27" s="212">
        <v>16.3</v>
      </c>
      <c r="H27" s="212"/>
      <c r="I27" s="1442" t="str">
        <f>+Referencer!B12</f>
        <v>6, Nyt fra Danmarks Statistik, Motorparken 2010.</v>
      </c>
      <c r="J27" s="178"/>
    </row>
    <row r="28" spans="2:14">
      <c r="B28" s="310" t="s">
        <v>260</v>
      </c>
      <c r="C28" s="210" t="s">
        <v>261</v>
      </c>
      <c r="D28" s="155">
        <f>+D73</f>
        <v>6.84612</v>
      </c>
      <c r="E28" s="124">
        <f>+E73</f>
        <v>6.2778920400000002</v>
      </c>
      <c r="F28" s="124">
        <f>+F73</f>
        <v>6.2778920400000002</v>
      </c>
      <c r="G28" s="124">
        <f>+G73</f>
        <v>6.2778920400000002</v>
      </c>
      <c r="H28" s="1659"/>
      <c r="I28" s="283"/>
      <c r="J28" s="178"/>
    </row>
    <row r="29" spans="2:14">
      <c r="B29" s="192"/>
      <c r="C29" s="231"/>
      <c r="D29" s="156"/>
      <c r="E29" s="90"/>
      <c r="F29" s="90"/>
      <c r="G29" s="90"/>
      <c r="H29" s="90"/>
      <c r="I29" s="555"/>
      <c r="J29" s="178"/>
    </row>
    <row r="30" spans="2:14">
      <c r="B30" s="216" t="s">
        <v>33</v>
      </c>
      <c r="C30" s="210"/>
      <c r="D30" s="156"/>
      <c r="E30" s="90"/>
      <c r="F30" s="90"/>
      <c r="G30" s="90"/>
      <c r="H30" s="90"/>
      <c r="I30" s="555"/>
      <c r="J30" s="178"/>
    </row>
    <row r="31" spans="2:14">
      <c r="B31" s="310" t="s">
        <v>157</v>
      </c>
      <c r="C31" s="210" t="s">
        <v>61</v>
      </c>
      <c r="D31" s="992">
        <f>HLOOKUP($H38,Supplementary!$C$44:$AF$46,3,FALSE)*D38</f>
        <v>155115.52120559959</v>
      </c>
      <c r="E31" s="992">
        <f>HLOOKUP($H38,Supplementary!$C$44:$AF$46,3,FALSE)*E38</f>
        <v>155115.52120559959</v>
      </c>
      <c r="F31" s="992">
        <f>HLOOKUP($H38,Supplementary!$C$44:$AF$46,3,FALSE)*F38</f>
        <v>155115.52120559959</v>
      </c>
      <c r="G31" s="992">
        <f>HLOOKUP($H38,Supplementary!$C$44:$AF$46,3,FALSE)*G38</f>
        <v>155115.52120559959</v>
      </c>
      <c r="H31" s="323">
        <f>priceYear</f>
        <v>2015</v>
      </c>
      <c r="I31" s="555"/>
      <c r="J31" s="178"/>
    </row>
    <row r="32" spans="2:14">
      <c r="B32" s="192" t="s">
        <v>262</v>
      </c>
      <c r="C32" s="210" t="s">
        <v>263</v>
      </c>
      <c r="D32" s="992">
        <f ca="1">HLOOKUP($H39,Supplementary!$C$44:$AF$46,3,FALSE)*D39</f>
        <v>3044.7791789235148</v>
      </c>
      <c r="E32" s="992">
        <f ca="1">HLOOKUP($H39,Supplementary!$C$44:$AF$46,3,FALSE)*E39</f>
        <v>3320.3698788696993</v>
      </c>
      <c r="F32" s="992">
        <f ca="1">HLOOKUP($H39,Supplementary!$C$44:$AF$46,3,FALSE)*F39</f>
        <v>3320.3698788696993</v>
      </c>
      <c r="G32" s="992">
        <f ca="1">HLOOKUP($H39,Supplementary!$C$44:$AF$46,3,FALSE)*G39</f>
        <v>3320.3698788696993</v>
      </c>
      <c r="H32" s="323">
        <f>priceYear</f>
        <v>2015</v>
      </c>
      <c r="I32" s="555"/>
      <c r="J32" s="178"/>
    </row>
    <row r="33" spans="2:11">
      <c r="B33" s="236" t="s">
        <v>162</v>
      </c>
      <c r="C33" s="210" t="s">
        <v>263</v>
      </c>
      <c r="D33" s="992">
        <f ca="1">HLOOKUP($H40,Supplementary!$C$44:$AF$46,3,FALSE)*D40</f>
        <v>2065.2301566780357</v>
      </c>
      <c r="E33" s="992">
        <f ca="1">HLOOKUP($H40,Supplementary!$C$44:$AF$46,3,FALSE)*E40</f>
        <v>2252.1593856903328</v>
      </c>
      <c r="F33" s="992">
        <f ca="1">HLOOKUP($H40,Supplementary!$C$44:$AF$46,3,FALSE)*F40</f>
        <v>2252.1593856903328</v>
      </c>
      <c r="G33" s="992">
        <f ca="1">HLOOKUP($H40,Supplementary!$C$44:$AF$46,3,FALSE)*G40</f>
        <v>2252.1593856903328</v>
      </c>
      <c r="H33" s="323">
        <f>priceYear</f>
        <v>2015</v>
      </c>
      <c r="I33" s="555"/>
      <c r="J33" s="178"/>
    </row>
    <row r="34" spans="2:11">
      <c r="B34" s="236" t="s">
        <v>163</v>
      </c>
      <c r="C34" s="210" t="s">
        <v>263</v>
      </c>
      <c r="D34" s="992">
        <f>HLOOKUP($H41,Supplementary!$C$44:$AF$46,3,FALSE)*D41</f>
        <v>979.54902224547925</v>
      </c>
      <c r="E34" s="992">
        <f>HLOOKUP($H41,Supplementary!$C$44:$AF$46,3,FALSE)*E41</f>
        <v>1068.2104931793665</v>
      </c>
      <c r="F34" s="992">
        <f>HLOOKUP($H41,Supplementary!$C$44:$AF$46,3,FALSE)*F41</f>
        <v>1068.2104931793665</v>
      </c>
      <c r="G34" s="992">
        <f>HLOOKUP($H41,Supplementary!$C$44:$AF$46,3,FALSE)*G41</f>
        <v>1068.2104931793665</v>
      </c>
      <c r="H34" s="323">
        <f>priceYear</f>
        <v>2015</v>
      </c>
      <c r="I34" s="555"/>
      <c r="J34" s="178"/>
    </row>
    <row r="35" spans="2:11">
      <c r="B35" s="236"/>
      <c r="C35" s="210"/>
      <c r="D35" s="992"/>
      <c r="E35" s="992"/>
      <c r="F35" s="992"/>
      <c r="G35" s="992"/>
      <c r="H35" s="323"/>
      <c r="I35" s="555"/>
      <c r="J35" s="178"/>
    </row>
    <row r="36" spans="2:11">
      <c r="B36" s="236" t="s">
        <v>264</v>
      </c>
      <c r="C36" s="210" t="s">
        <v>263</v>
      </c>
      <c r="D36" s="992">
        <f>HLOOKUP($H43,Supplementary!$C$44:$AF$46,3,FALSE)*D43</f>
        <v>0</v>
      </c>
      <c r="E36" s="992">
        <f>HLOOKUP($H43,Supplementary!$C$44:$AF$46,3,FALSE)*E43</f>
        <v>0</v>
      </c>
      <c r="F36" s="992">
        <f>HLOOKUP($H43,Supplementary!$C$44:$AF$46,3,FALSE)*F43</f>
        <v>0</v>
      </c>
      <c r="G36" s="992">
        <f>HLOOKUP($H43,Supplementary!$C$44:$AF$46,3,FALSE)*G43</f>
        <v>0</v>
      </c>
      <c r="H36" s="323">
        <f>priceYear</f>
        <v>2015</v>
      </c>
      <c r="I36" s="555"/>
      <c r="J36" s="178"/>
    </row>
    <row r="37" spans="2:11">
      <c r="B37" s="216"/>
      <c r="C37" s="210"/>
      <c r="D37" s="156"/>
      <c r="E37" s="90"/>
      <c r="F37" s="90"/>
      <c r="G37" s="90"/>
      <c r="H37" s="90"/>
      <c r="I37" s="555"/>
      <c r="J37" s="178"/>
    </row>
    <row r="38" spans="2:11">
      <c r="B38" s="310" t="s">
        <v>157</v>
      </c>
      <c r="C38" s="210" t="s">
        <v>61</v>
      </c>
      <c r="D38" s="157">
        <v>145722</v>
      </c>
      <c r="E38" s="285">
        <v>145722</v>
      </c>
      <c r="F38" s="285">
        <v>145722</v>
      </c>
      <c r="G38" s="285">
        <v>145722</v>
      </c>
      <c r="H38" s="407">
        <v>2011</v>
      </c>
      <c r="I38" s="283" t="str">
        <f>CONCATENATE(Referencer!$B$11)</f>
        <v>5, Concawe (2011): Well-to-wheels analysis of future automotive fuels and power-trains in the European Context. November 2011.</v>
      </c>
      <c r="J38" s="178"/>
    </row>
    <row r="39" spans="2:11">
      <c r="B39" s="192" t="s">
        <v>262</v>
      </c>
      <c r="C39" s="210" t="s">
        <v>263</v>
      </c>
      <c r="D39" s="158">
        <f ca="1">+SUM(D40:D43)</f>
        <v>2860.3927451141194</v>
      </c>
      <c r="E39" s="214">
        <f ca="1">+SUM(E40:E43)</f>
        <v>3119.2941604297916</v>
      </c>
      <c r="F39" s="214">
        <f ca="1">+SUM(F40:F43)</f>
        <v>3119.2941604297916</v>
      </c>
      <c r="G39" s="214">
        <f ca="1">+SUM(G40:G43)</f>
        <v>3119.2941604297916</v>
      </c>
      <c r="H39" s="407">
        <v>2011</v>
      </c>
      <c r="I39" s="309"/>
      <c r="J39" s="178"/>
    </row>
    <row r="40" spans="2:11">
      <c r="B40" s="236" t="s">
        <v>162</v>
      </c>
      <c r="C40" s="210" t="s">
        <v>263</v>
      </c>
      <c r="D40" s="158">
        <f ca="1">PMT(rSØK,D27,-D38)/D28</f>
        <v>1940.1634765649264</v>
      </c>
      <c r="E40" s="214">
        <f ca="1">PMT(rSØK,E27,-E38)/E28</f>
        <v>2115.7726025789816</v>
      </c>
      <c r="F40" s="214">
        <f ca="1">PMT(rSØK,F27,-F38)/F28</f>
        <v>2115.7726025789816</v>
      </c>
      <c r="G40" s="214">
        <f ca="1">PMT(rSØK,G27,-G38)/G28</f>
        <v>2115.7726025789816</v>
      </c>
      <c r="H40" s="407">
        <v>2011</v>
      </c>
      <c r="I40" s="309"/>
      <c r="J40" s="178"/>
    </row>
    <row r="41" spans="2:11">
      <c r="B41" s="236" t="s">
        <v>163</v>
      </c>
      <c r="C41" s="210" t="s">
        <v>263</v>
      </c>
      <c r="D41" s="159">
        <f>+D74</f>
        <v>920.22926854919285</v>
      </c>
      <c r="E41" s="195">
        <f>+E74</f>
        <v>1003.5215578508099</v>
      </c>
      <c r="F41" s="195">
        <f>+F74</f>
        <v>1003.5215578508099</v>
      </c>
      <c r="G41" s="195">
        <f>+G74</f>
        <v>1003.5215578508099</v>
      </c>
      <c r="H41" s="407">
        <v>2011</v>
      </c>
      <c r="I41" s="874"/>
      <c r="J41" s="178"/>
      <c r="K41" s="164"/>
    </row>
    <row r="42" spans="2:11">
      <c r="B42" s="236"/>
      <c r="C42" s="210"/>
      <c r="D42" s="156"/>
      <c r="E42" s="90"/>
      <c r="F42" s="90"/>
      <c r="G42" s="90"/>
      <c r="H42" s="407"/>
      <c r="I42" s="309"/>
      <c r="J42" s="178"/>
    </row>
    <row r="43" spans="2:11">
      <c r="B43" s="236" t="s">
        <v>264</v>
      </c>
      <c r="C43" s="210" t="s">
        <v>263</v>
      </c>
      <c r="D43" s="154">
        <v>0</v>
      </c>
      <c r="E43" s="212">
        <v>0</v>
      </c>
      <c r="F43" s="212">
        <v>0</v>
      </c>
      <c r="G43" s="212">
        <v>0</v>
      </c>
      <c r="H43" s="407">
        <v>2011</v>
      </c>
      <c r="I43" s="309"/>
      <c r="J43" s="178"/>
    </row>
    <row r="44" spans="2:11">
      <c r="B44" s="236"/>
      <c r="C44" s="210"/>
      <c r="D44" s="156"/>
      <c r="E44" s="90"/>
      <c r="F44" s="90"/>
      <c r="G44" s="90"/>
      <c r="H44" s="90"/>
      <c r="I44" s="309"/>
      <c r="J44" s="178"/>
    </row>
    <row r="45" spans="2:11">
      <c r="B45" s="216" t="s">
        <v>166</v>
      </c>
      <c r="C45" s="210"/>
      <c r="D45" s="156"/>
      <c r="E45" s="90"/>
      <c r="F45" s="90"/>
      <c r="G45" s="90"/>
      <c r="H45" s="90"/>
      <c r="I45" s="309"/>
      <c r="J45" s="178"/>
    </row>
    <row r="46" spans="2:11">
      <c r="B46" s="418" t="s">
        <v>0</v>
      </c>
      <c r="C46" s="210"/>
      <c r="D46" s="156"/>
      <c r="E46" s="90"/>
      <c r="F46" s="90"/>
      <c r="G46" s="90"/>
      <c r="H46" s="90"/>
      <c r="I46" s="309"/>
      <c r="J46" s="178"/>
    </row>
    <row r="47" spans="2:11">
      <c r="B47" s="192" t="s">
        <v>24</v>
      </c>
      <c r="C47" s="210" t="s">
        <v>293</v>
      </c>
      <c r="D47" s="425"/>
      <c r="E47" s="426"/>
      <c r="F47" s="426"/>
      <c r="G47" s="426"/>
      <c r="H47" s="1660"/>
      <c r="I47" s="309"/>
      <c r="J47" s="278" t="s">
        <v>850</v>
      </c>
    </row>
    <row r="48" spans="2:11">
      <c r="B48" s="192" t="s">
        <v>27</v>
      </c>
      <c r="C48" s="210" t="s">
        <v>293</v>
      </c>
      <c r="D48" s="160">
        <f t="shared" ref="D48:G52" si="0">D83/D$25</f>
        <v>1.5144344533838144E-2</v>
      </c>
      <c r="E48" s="127">
        <f t="shared" si="0"/>
        <v>2.1319120586275817E-2</v>
      </c>
      <c r="F48" s="127">
        <f t="shared" si="0"/>
        <v>2.113932497634986E-2</v>
      </c>
      <c r="G48" s="127">
        <f t="shared" si="0"/>
        <v>2.113932497634986E-2</v>
      </c>
      <c r="H48" s="1169"/>
      <c r="I48" s="309"/>
      <c r="J48" s="178"/>
    </row>
    <row r="49" spans="2:10">
      <c r="B49" s="192" t="s">
        <v>28</v>
      </c>
      <c r="C49" s="210" t="s">
        <v>293</v>
      </c>
      <c r="D49" s="160">
        <f t="shared" si="0"/>
        <v>0</v>
      </c>
      <c r="E49" s="127">
        <f t="shared" si="0"/>
        <v>0</v>
      </c>
      <c r="F49" s="127">
        <f t="shared" si="0"/>
        <v>0</v>
      </c>
      <c r="G49" s="127">
        <f t="shared" si="0"/>
        <v>0</v>
      </c>
      <c r="H49" s="1169"/>
      <c r="I49" s="309"/>
      <c r="J49" s="178"/>
    </row>
    <row r="50" spans="2:10">
      <c r="B50" s="192" t="s">
        <v>26</v>
      </c>
      <c r="C50" s="210" t="s">
        <v>293</v>
      </c>
      <c r="D50" s="160">
        <f t="shared" si="0"/>
        <v>0</v>
      </c>
      <c r="E50" s="127">
        <f t="shared" si="0"/>
        <v>0</v>
      </c>
      <c r="F50" s="127">
        <f t="shared" si="0"/>
        <v>0</v>
      </c>
      <c r="G50" s="127">
        <f t="shared" si="0"/>
        <v>0</v>
      </c>
      <c r="H50" s="1169"/>
      <c r="I50" s="309"/>
      <c r="J50" s="178"/>
    </row>
    <row r="51" spans="2:10">
      <c r="B51" s="192" t="s">
        <v>167</v>
      </c>
      <c r="C51" s="210" t="s">
        <v>293</v>
      </c>
      <c r="D51" s="160">
        <f t="shared" si="0"/>
        <v>2.8395646000946521E-2</v>
      </c>
      <c r="E51" s="127">
        <f t="shared" si="0"/>
        <v>3.9973351099267154E-2</v>
      </c>
      <c r="F51" s="127">
        <f t="shared" si="0"/>
        <v>3.9636234330655988E-2</v>
      </c>
      <c r="G51" s="127">
        <f t="shared" si="0"/>
        <v>3.9636234330655988E-2</v>
      </c>
      <c r="H51" s="1169"/>
      <c r="I51" s="309"/>
      <c r="J51" s="178"/>
    </row>
    <row r="52" spans="2:10">
      <c r="B52" s="192" t="s">
        <v>45</v>
      </c>
      <c r="C52" s="210" t="s">
        <v>293</v>
      </c>
      <c r="D52" s="160">
        <f t="shared" si="0"/>
        <v>2.3663038334122101E-3</v>
      </c>
      <c r="E52" s="127">
        <f t="shared" si="0"/>
        <v>3.3311125916055968E-3</v>
      </c>
      <c r="F52" s="127">
        <f t="shared" si="0"/>
        <v>3.3030195275546657E-3</v>
      </c>
      <c r="G52" s="127">
        <f t="shared" si="0"/>
        <v>3.3030195275546657E-3</v>
      </c>
      <c r="H52" s="1169"/>
      <c r="I52" s="309"/>
      <c r="J52" s="178"/>
    </row>
    <row r="53" spans="2:10">
      <c r="B53" s="192"/>
      <c r="C53" s="210"/>
      <c r="D53" s="867"/>
      <c r="E53" s="323"/>
      <c r="F53" s="323"/>
      <c r="G53" s="323"/>
      <c r="H53" s="323"/>
      <c r="I53" s="309"/>
      <c r="J53" s="178"/>
    </row>
    <row r="54" spans="2:10">
      <c r="B54" s="418" t="s">
        <v>20</v>
      </c>
      <c r="C54" s="210"/>
      <c r="D54" s="156"/>
      <c r="E54" s="90"/>
      <c r="F54" s="90"/>
      <c r="G54" s="90"/>
      <c r="H54" s="90"/>
      <c r="I54" s="309"/>
      <c r="J54" s="178"/>
    </row>
    <row r="55" spans="2:10">
      <c r="B55" s="192" t="s">
        <v>24</v>
      </c>
      <c r="C55" s="210" t="s">
        <v>293</v>
      </c>
      <c r="D55" s="425"/>
      <c r="E55" s="426"/>
      <c r="F55" s="426"/>
      <c r="G55" s="426"/>
      <c r="H55" s="1660"/>
      <c r="I55" s="309"/>
      <c r="J55" s="278" t="s">
        <v>850</v>
      </c>
    </row>
    <row r="56" spans="2:10">
      <c r="B56" s="192" t="s">
        <v>27</v>
      </c>
      <c r="C56" s="210" t="s">
        <v>293</v>
      </c>
      <c r="D56" s="868">
        <f t="shared" ref="D56:G60" si="1">D48</f>
        <v>1.5144344533838144E-2</v>
      </c>
      <c r="E56" s="869">
        <f t="shared" si="1"/>
        <v>2.1319120586275817E-2</v>
      </c>
      <c r="F56" s="869">
        <f t="shared" si="1"/>
        <v>2.113932497634986E-2</v>
      </c>
      <c r="G56" s="869">
        <f t="shared" si="1"/>
        <v>2.113932497634986E-2</v>
      </c>
      <c r="H56" s="1661"/>
      <c r="I56" s="309"/>
      <c r="J56" s="178"/>
    </row>
    <row r="57" spans="2:10">
      <c r="B57" s="192" t="s">
        <v>28</v>
      </c>
      <c r="C57" s="210" t="s">
        <v>293</v>
      </c>
      <c r="D57" s="868">
        <f t="shared" si="1"/>
        <v>0</v>
      </c>
      <c r="E57" s="869">
        <f t="shared" si="1"/>
        <v>0</v>
      </c>
      <c r="F57" s="869">
        <f t="shared" si="1"/>
        <v>0</v>
      </c>
      <c r="G57" s="869">
        <f t="shared" si="1"/>
        <v>0</v>
      </c>
      <c r="H57" s="1661"/>
      <c r="I57" s="309"/>
      <c r="J57" s="178"/>
    </row>
    <row r="58" spans="2:10">
      <c r="B58" s="192" t="s">
        <v>26</v>
      </c>
      <c r="C58" s="210" t="s">
        <v>293</v>
      </c>
      <c r="D58" s="868">
        <f t="shared" si="1"/>
        <v>0</v>
      </c>
      <c r="E58" s="869">
        <f t="shared" si="1"/>
        <v>0</v>
      </c>
      <c r="F58" s="869">
        <f t="shared" si="1"/>
        <v>0</v>
      </c>
      <c r="G58" s="869">
        <f t="shared" si="1"/>
        <v>0</v>
      </c>
      <c r="H58" s="1661"/>
      <c r="I58" s="309"/>
      <c r="J58" s="178"/>
    </row>
    <row r="59" spans="2:10">
      <c r="B59" s="192" t="s">
        <v>167</v>
      </c>
      <c r="C59" s="210" t="s">
        <v>293</v>
      </c>
      <c r="D59" s="868">
        <f t="shared" si="1"/>
        <v>2.8395646000946521E-2</v>
      </c>
      <c r="E59" s="869">
        <f t="shared" si="1"/>
        <v>3.9973351099267154E-2</v>
      </c>
      <c r="F59" s="869">
        <f t="shared" si="1"/>
        <v>3.9636234330655988E-2</v>
      </c>
      <c r="G59" s="869">
        <f t="shared" si="1"/>
        <v>3.9636234330655988E-2</v>
      </c>
      <c r="H59" s="1661"/>
      <c r="I59" s="309"/>
      <c r="J59" s="178"/>
    </row>
    <row r="60" spans="2:10">
      <c r="B60" s="192" t="s">
        <v>45</v>
      </c>
      <c r="C60" s="210" t="s">
        <v>293</v>
      </c>
      <c r="D60" s="868">
        <f t="shared" si="1"/>
        <v>2.3663038334122101E-3</v>
      </c>
      <c r="E60" s="869">
        <f t="shared" si="1"/>
        <v>3.3311125916055968E-3</v>
      </c>
      <c r="F60" s="869">
        <f t="shared" si="1"/>
        <v>3.3030195275546657E-3</v>
      </c>
      <c r="G60" s="869">
        <f t="shared" si="1"/>
        <v>3.3030195275546657E-3</v>
      </c>
      <c r="H60" s="1661"/>
      <c r="I60" s="309"/>
      <c r="J60" s="178"/>
    </row>
    <row r="61" spans="2:10" ht="13.5" thickBot="1">
      <c r="B61" s="313"/>
      <c r="C61" s="238"/>
      <c r="D61" s="873"/>
      <c r="E61" s="218"/>
      <c r="F61" s="218"/>
      <c r="G61" s="218"/>
      <c r="H61" s="218"/>
      <c r="I61" s="315"/>
      <c r="J61" s="183"/>
    </row>
    <row r="64" spans="2:10" ht="16.5" thickBot="1">
      <c r="B64" s="193" t="s">
        <v>168</v>
      </c>
    </row>
    <row r="65" spans="2:10">
      <c r="B65" s="219"/>
      <c r="C65" s="220"/>
      <c r="D65" s="151"/>
      <c r="E65" s="221"/>
      <c r="F65" s="221"/>
      <c r="G65" s="221"/>
      <c r="H65" s="221"/>
      <c r="I65" s="221" t="s">
        <v>145</v>
      </c>
      <c r="J65" s="222" t="s">
        <v>146</v>
      </c>
    </row>
    <row r="66" spans="2:10">
      <c r="B66" s="223"/>
      <c r="C66" s="224" t="s">
        <v>70</v>
      </c>
      <c r="D66" s="152">
        <v>2015</v>
      </c>
      <c r="E66" s="225">
        <v>2020</v>
      </c>
      <c r="F66" s="225">
        <v>2035</v>
      </c>
      <c r="G66" s="225">
        <v>2050</v>
      </c>
      <c r="H66" s="225"/>
      <c r="I66" s="226"/>
      <c r="J66" s="227"/>
    </row>
    <row r="67" spans="2:10">
      <c r="B67" s="192" t="s">
        <v>266</v>
      </c>
      <c r="C67" s="241" t="s">
        <v>6</v>
      </c>
      <c r="D67" s="911">
        <f>D23*D25</f>
        <v>0.38034000000000001</v>
      </c>
      <c r="E67" s="947">
        <f>D67*(1-E69)</f>
        <v>0.34877178000000003</v>
      </c>
      <c r="F67" s="912">
        <f>E67</f>
        <v>0.34877178000000003</v>
      </c>
      <c r="G67" s="912">
        <f>F67</f>
        <v>0.34877178000000003</v>
      </c>
      <c r="H67" s="1662"/>
      <c r="I67" s="455"/>
      <c r="J67" s="178"/>
    </row>
    <row r="68" spans="2:10">
      <c r="B68" s="192" t="s">
        <v>1049</v>
      </c>
      <c r="C68" s="241" t="s">
        <v>59</v>
      </c>
      <c r="D68" s="875">
        <v>1310</v>
      </c>
      <c r="E68" s="875"/>
      <c r="F68" s="875"/>
      <c r="G68" s="875"/>
      <c r="H68" s="955"/>
      <c r="I68" s="283" t="str">
        <f>CONCATENATE(Referencer!$B$40)</f>
        <v>34, JEC - Joint Research Centre-EUCAR-CONCAWE collaboration, Tank to Wheels Report, version 4.0, July 2013</v>
      </c>
      <c r="J68" s="178" t="s">
        <v>1037</v>
      </c>
    </row>
    <row r="69" spans="2:10">
      <c r="B69" s="192" t="s">
        <v>1067</v>
      </c>
      <c r="C69" s="241" t="s">
        <v>29</v>
      </c>
      <c r="D69" s="905"/>
      <c r="E69" s="954">
        <v>8.3000000000000004E-2</v>
      </c>
      <c r="F69" s="876"/>
      <c r="G69" s="876"/>
      <c r="H69" s="956"/>
      <c r="I69" s="283" t="str">
        <f>CONCATENATE(Referencer!$B$40)</f>
        <v>34, JEC - Joint Research Centre-EUCAR-CONCAWE collaboration, Tank to Wheels Report, version 4.0, July 2013</v>
      </c>
      <c r="J69" s="178" t="s">
        <v>1072</v>
      </c>
    </row>
    <row r="70" spans="2:10">
      <c r="B70" s="192"/>
      <c r="C70" s="241"/>
      <c r="D70" s="870"/>
      <c r="E70" s="871"/>
      <c r="F70" s="871"/>
      <c r="G70" s="871"/>
      <c r="H70" s="1662"/>
      <c r="I70" s="555"/>
      <c r="J70" s="178"/>
    </row>
    <row r="71" spans="2:10">
      <c r="B71" s="192"/>
      <c r="C71" s="241"/>
      <c r="D71" s="870"/>
      <c r="E71" s="871"/>
      <c r="F71" s="871"/>
      <c r="G71" s="871"/>
      <c r="H71" s="1662"/>
      <c r="I71" s="555"/>
      <c r="J71" s="178"/>
    </row>
    <row r="72" spans="2:10">
      <c r="B72" s="192" t="s">
        <v>268</v>
      </c>
      <c r="C72" s="241" t="s">
        <v>269</v>
      </c>
      <c r="D72" s="929">
        <v>18000</v>
      </c>
      <c r="E72" s="930">
        <v>18000</v>
      </c>
      <c r="F72" s="930">
        <v>18000</v>
      </c>
      <c r="G72" s="930">
        <v>18000</v>
      </c>
      <c r="H72" s="90"/>
      <c r="I72" s="555"/>
      <c r="J72" s="178"/>
    </row>
    <row r="73" spans="2:10">
      <c r="B73" s="192" t="s">
        <v>260</v>
      </c>
      <c r="C73" s="241" t="s">
        <v>261</v>
      </c>
      <c r="D73" s="95">
        <f>+D67*D72/1000</f>
        <v>6.84612</v>
      </c>
      <c r="E73" s="455">
        <f>+E67*E72/1000</f>
        <v>6.2778920400000002</v>
      </c>
      <c r="F73" s="455">
        <f>+F67*F72/1000</f>
        <v>6.2778920400000002</v>
      </c>
      <c r="G73" s="455">
        <f>+G67*G72/1000</f>
        <v>6.2778920400000002</v>
      </c>
      <c r="H73" s="455"/>
      <c r="I73" s="555"/>
      <c r="J73" s="178" t="s">
        <v>270</v>
      </c>
    </row>
    <row r="74" spans="2:10">
      <c r="B74" s="192" t="s">
        <v>271</v>
      </c>
      <c r="C74" s="241" t="s">
        <v>263</v>
      </c>
      <c r="D74" s="94">
        <f>D75*1000/D67</f>
        <v>920.22926854919285</v>
      </c>
      <c r="E74" s="405">
        <f>E75*1000/E67</f>
        <v>1003.5215578508099</v>
      </c>
      <c r="F74" s="405">
        <f>F75*1000/F67</f>
        <v>1003.5215578508099</v>
      </c>
      <c r="G74" s="405">
        <f>G75*1000/G67</f>
        <v>1003.5215578508099</v>
      </c>
      <c r="H74" s="405"/>
      <c r="I74" s="555"/>
      <c r="J74" s="178"/>
    </row>
    <row r="75" spans="2:10">
      <c r="B75" s="192" t="s">
        <v>271</v>
      </c>
      <c r="C75" s="241" t="s">
        <v>55</v>
      </c>
      <c r="D75" s="927">
        <v>0.35</v>
      </c>
      <c r="E75" s="928">
        <v>0.35</v>
      </c>
      <c r="F75" s="928">
        <v>0.35</v>
      </c>
      <c r="G75" s="928">
        <v>0.35</v>
      </c>
      <c r="H75" s="352"/>
      <c r="I75" s="1442" t="str">
        <f>+Referencer!B9</f>
        <v>3, Transportøkonomiske enhedspriser 2010, DTU , Institut for transport</v>
      </c>
      <c r="J75" s="178"/>
    </row>
    <row r="76" spans="2:10">
      <c r="B76" s="192" t="s">
        <v>510</v>
      </c>
      <c r="C76" s="241" t="s">
        <v>29</v>
      </c>
      <c r="D76" s="95"/>
      <c r="E76" s="352"/>
      <c r="F76" s="928">
        <v>0.28000000000000003</v>
      </c>
      <c r="G76" s="928">
        <v>0.28000000000000003</v>
      </c>
      <c r="H76" s="352"/>
      <c r="I76" s="1442" t="str">
        <f>+Referencer!B14</f>
        <v>8, IEA, Energy Technology Perspectives 2008.</v>
      </c>
      <c r="J76" s="178"/>
    </row>
    <row r="77" spans="2:10" ht="13.5" thickBot="1">
      <c r="B77" s="181"/>
      <c r="C77" s="243"/>
      <c r="D77" s="163"/>
      <c r="E77" s="244"/>
      <c r="F77" s="244"/>
      <c r="G77" s="244"/>
      <c r="H77" s="244"/>
      <c r="I77" s="968"/>
      <c r="J77" s="183"/>
    </row>
    <row r="78" spans="2:10">
      <c r="I78" s="142"/>
    </row>
    <row r="79" spans="2:10" ht="16.5" thickBot="1">
      <c r="B79" s="193" t="s">
        <v>172</v>
      </c>
      <c r="I79" s="142"/>
    </row>
    <row r="80" spans="2:10">
      <c r="B80" s="219"/>
      <c r="C80" s="220"/>
      <c r="D80" s="151"/>
      <c r="E80" s="221"/>
      <c r="F80" s="221"/>
      <c r="G80" s="221"/>
      <c r="H80" s="221"/>
      <c r="I80" s="962"/>
      <c r="J80" s="222"/>
    </row>
    <row r="81" spans="2:10">
      <c r="B81" s="192"/>
      <c r="C81" s="241"/>
      <c r="D81" s="455"/>
      <c r="E81" s="455"/>
      <c r="F81" s="455"/>
      <c r="G81" s="455"/>
      <c r="H81" s="455"/>
      <c r="I81" s="555"/>
      <c r="J81" s="178"/>
    </row>
    <row r="82" spans="2:10">
      <c r="B82" s="192" t="s">
        <v>24</v>
      </c>
      <c r="C82" s="241" t="s">
        <v>7</v>
      </c>
      <c r="D82" s="885"/>
      <c r="E82" s="885"/>
      <c r="F82" s="885"/>
      <c r="G82" s="885"/>
      <c r="H82" s="885"/>
      <c r="I82" s="555"/>
      <c r="J82" s="178" t="s">
        <v>2668</v>
      </c>
    </row>
    <row r="83" spans="2:10">
      <c r="B83" s="192" t="s">
        <v>27</v>
      </c>
      <c r="C83" s="241" t="s">
        <v>7</v>
      </c>
      <c r="D83" s="886">
        <v>3.2000000000000001E-2</v>
      </c>
      <c r="E83" s="886">
        <v>3.2000000000000001E-2</v>
      </c>
      <c r="F83" s="886">
        <v>3.2000000000000001E-2</v>
      </c>
      <c r="G83" s="886">
        <v>3.2000000000000001E-2</v>
      </c>
      <c r="H83" s="886"/>
      <c r="I83" s="1442" t="str">
        <f>CONCATENATE(Referencer!$B$13)</f>
        <v>7, EU kommisionens forordning nr. 692/2008 om EURO V og VI normer</v>
      </c>
      <c r="J83" s="178" t="s">
        <v>2317</v>
      </c>
    </row>
    <row r="84" spans="2:10">
      <c r="B84" s="192" t="s">
        <v>28</v>
      </c>
      <c r="C84" s="241" t="s">
        <v>7</v>
      </c>
      <c r="D84" s="886"/>
      <c r="E84" s="886"/>
      <c r="F84" s="886"/>
      <c r="G84" s="886"/>
      <c r="H84" s="886"/>
      <c r="I84" s="1442" t="str">
        <f>CONCATENATE(Referencer!$B$13)</f>
        <v>7, EU kommisionens forordning nr. 692/2008 om EURO V og VI normer</v>
      </c>
      <c r="J84" s="178" t="s">
        <v>274</v>
      </c>
    </row>
    <row r="85" spans="2:10">
      <c r="B85" s="192" t="s">
        <v>26</v>
      </c>
      <c r="C85" s="241" t="s">
        <v>7</v>
      </c>
      <c r="D85" s="886"/>
      <c r="E85" s="886"/>
      <c r="F85" s="886"/>
      <c r="G85" s="886"/>
      <c r="H85" s="886"/>
      <c r="I85" s="1442" t="str">
        <f>CONCATENATE(Referencer!$B$13)</f>
        <v>7, EU kommisionens forordning nr. 692/2008 om EURO V og VI normer</v>
      </c>
      <c r="J85" s="178" t="s">
        <v>275</v>
      </c>
    </row>
    <row r="86" spans="2:10">
      <c r="B86" s="192" t="s">
        <v>167</v>
      </c>
      <c r="C86" s="241" t="s">
        <v>7</v>
      </c>
      <c r="D86" s="886">
        <v>0.06</v>
      </c>
      <c r="E86" s="886">
        <v>0.06</v>
      </c>
      <c r="F86" s="886">
        <v>0.06</v>
      </c>
      <c r="G86" s="886">
        <v>0.06</v>
      </c>
      <c r="H86" s="886"/>
      <c r="I86" s="1442" t="str">
        <f>CONCATENATE(Referencer!$B$13)</f>
        <v>7, EU kommisionens forordning nr. 692/2008 om EURO V og VI normer</v>
      </c>
      <c r="J86" s="178"/>
    </row>
    <row r="87" spans="2:10">
      <c r="B87" s="192" t="s">
        <v>45</v>
      </c>
      <c r="C87" s="241" t="s">
        <v>7</v>
      </c>
      <c r="D87" s="886">
        <v>5.0000000000000001E-3</v>
      </c>
      <c r="E87" s="886">
        <v>5.0000000000000001E-3</v>
      </c>
      <c r="F87" s="886">
        <v>5.0000000000000001E-3</v>
      </c>
      <c r="G87" s="886">
        <v>5.0000000000000001E-3</v>
      </c>
      <c r="H87" s="886"/>
      <c r="I87" s="1442" t="str">
        <f>CONCATENATE(Referencer!$B$13)</f>
        <v>7, EU kommisionens forordning nr. 692/2008 om EURO V og VI normer</v>
      </c>
      <c r="J87" s="178"/>
    </row>
    <row r="88" spans="2:10" ht="13.5" thickBot="1">
      <c r="B88" s="181"/>
      <c r="C88" s="243"/>
      <c r="D88" s="244"/>
      <c r="E88" s="244"/>
      <c r="F88" s="244"/>
      <c r="G88" s="244"/>
      <c r="H88" s="244"/>
      <c r="I88" s="244"/>
      <c r="J88" s="183"/>
    </row>
    <row r="90" spans="2:10">
      <c r="F90" s="134"/>
      <c r="G90" s="134"/>
      <c r="H90" s="134"/>
    </row>
    <row r="91" spans="2:10">
      <c r="F91" s="134"/>
      <c r="G91" s="134"/>
      <c r="H91" s="134"/>
    </row>
    <row r="92" spans="2:10">
      <c r="F92" s="134"/>
      <c r="G92" s="134"/>
      <c r="H92" s="134"/>
      <c r="J92" s="134"/>
    </row>
    <row r="93" spans="2:10">
      <c r="F93" s="134"/>
      <c r="G93" s="134"/>
      <c r="H93" s="134"/>
    </row>
    <row r="94" spans="2:10">
      <c r="F94" s="134"/>
      <c r="G94" s="134"/>
      <c r="H94" s="134"/>
    </row>
  </sheetData>
  <pageMargins left="0.15748031496062992" right="0.15748031496062992" top="1.25" bottom="0.19685039370078741" header="0.51181102362204722" footer="0.51181102362204722"/>
  <pageSetup paperSize="9" scale="60" orientation="landscape" r:id="rId1"/>
  <headerFooter alignWithMargins="0">
    <oddHeader>&amp;L&amp;"Arial"&amp;14&amp;BBeregningsmodel
&amp;"Arial"&amp;08&amp;B64329, Teknologivurdering af alternative drivmidler til transportsektoren&amp;R&amp;"Arial"&amp;08Page &amp;P of &amp;N</oddHeader>
    <oddFooter>&amp;L&amp;"Arial"&amp;08&amp;Z&amp;F
Sheet: &amp;A&amp;C&amp;"Arial"&amp;08Printed &amp;D &amp;T&amp;R&amp;G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2771" r:id="rId5" name="Button 3">
              <controlPr defaultSize="0" print="0" autoFill="0" autoPict="0" macro="[0]!GtOver">
                <anchor>
                  <from>
                    <xdr:col>7</xdr:col>
                    <xdr:colOff>800100</xdr:colOff>
                    <xdr:row>0</xdr:row>
                    <xdr:rowOff>38100</xdr:rowOff>
                  </from>
                  <to>
                    <xdr:col>9</xdr:col>
                    <xdr:colOff>342900</xdr:colOff>
                    <xdr:row>0</xdr:row>
                    <xdr:rowOff>238125</xdr:rowOff>
                  </to>
                </anchor>
              </controlPr>
            </control>
          </mc:Choice>
        </mc:AlternateContent>
        <mc:AlternateContent xmlns:mc="http://schemas.openxmlformats.org/markup-compatibility/2006">
          <mc:Choice Requires="x14">
            <control shapeId="32772" r:id="rId6" name="Button 4">
              <controlPr defaultSize="0" print="0" autoFill="0" autoPict="0" macro="[0]!GtRes">
                <anchor>
                  <from>
                    <xdr:col>9</xdr:col>
                    <xdr:colOff>504825</xdr:colOff>
                    <xdr:row>0</xdr:row>
                    <xdr:rowOff>38100</xdr:rowOff>
                  </from>
                  <to>
                    <xdr:col>9</xdr:col>
                    <xdr:colOff>1581150</xdr:colOff>
                    <xdr:row>0</xdr:row>
                    <xdr:rowOff>238125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002060"/>
    <pageSetUpPr fitToPage="1"/>
  </sheetPr>
  <dimension ref="B1:S102"/>
  <sheetViews>
    <sheetView topLeftCell="A59" zoomScale="80" zoomScaleNormal="80" workbookViewId="0">
      <selection activeCell="H55" sqref="H55:H88"/>
    </sheetView>
  </sheetViews>
  <sheetFormatPr defaultColWidth="8.85546875" defaultRowHeight="12.75"/>
  <cols>
    <col min="1" max="1" width="2.85546875" style="120" customWidth="1"/>
    <col min="2" max="2" width="35" style="120" customWidth="1"/>
    <col min="3" max="3" width="18" style="120" customWidth="1"/>
    <col min="4" max="6" width="15.85546875" style="120" customWidth="1"/>
    <col min="7" max="8" width="15.85546875" style="172" customWidth="1"/>
    <col min="9" max="9" width="7.140625" style="120" customWidth="1"/>
    <col min="10" max="10" width="37.42578125" style="120" customWidth="1"/>
    <col min="11" max="12" width="10" style="120" customWidth="1"/>
    <col min="13" max="14" width="9" style="120" customWidth="1"/>
    <col min="15" max="15" width="37.85546875" style="120" customWidth="1"/>
    <col min="16" max="18" width="8.85546875" style="120"/>
    <col min="19" max="19" width="9.140625" style="120" customWidth="1"/>
    <col min="20" max="16384" width="8.85546875" style="120"/>
  </cols>
  <sheetData>
    <row r="1" spans="2:19" s="2403" customFormat="1" ht="21">
      <c r="B1" s="2403" t="s">
        <v>86</v>
      </c>
      <c r="Q1" s="2403">
        <f ca="1">'Log2015'!M1</f>
        <v>-8.0112614142160741</v>
      </c>
      <c r="R1" s="2405">
        <f ca="1">'Log2015'!N1</f>
        <v>-160807.124977848</v>
      </c>
      <c r="S1" s="2406"/>
    </row>
    <row r="2" spans="2:19">
      <c r="R2" s="626">
        <f ca="1">R1</f>
        <v>-160807.124977848</v>
      </c>
      <c r="S2" s="626">
        <f>S1</f>
        <v>0</v>
      </c>
    </row>
    <row r="4" spans="2:19" ht="13.5" thickBot="1">
      <c r="B4" s="119" t="s">
        <v>81</v>
      </c>
    </row>
    <row r="5" spans="2:19">
      <c r="B5" s="100" t="s">
        <v>137</v>
      </c>
      <c r="C5" s="64"/>
      <c r="D5" s="64"/>
      <c r="E5" s="64"/>
      <c r="F5" s="64"/>
      <c r="G5" s="221"/>
      <c r="H5" s="221"/>
      <c r="I5" s="64"/>
      <c r="J5" s="64"/>
      <c r="K5" s="64"/>
      <c r="L5" s="64"/>
      <c r="M5" s="64"/>
      <c r="N5" s="72"/>
    </row>
    <row r="6" spans="2:19">
      <c r="B6" s="82" t="s">
        <v>254</v>
      </c>
      <c r="C6" s="65"/>
      <c r="D6" s="65"/>
      <c r="E6" s="65"/>
      <c r="F6" s="65"/>
      <c r="G6" s="455"/>
      <c r="H6" s="455"/>
      <c r="I6" s="65"/>
      <c r="J6" s="65"/>
      <c r="K6" s="65"/>
      <c r="L6" s="65"/>
      <c r="M6" s="65"/>
      <c r="N6" s="59"/>
    </row>
    <row r="7" spans="2:19">
      <c r="B7" s="82" t="s">
        <v>255</v>
      </c>
      <c r="C7" s="65"/>
      <c r="D7" s="65"/>
      <c r="E7" s="65"/>
      <c r="F7" s="65"/>
      <c r="G7" s="455"/>
      <c r="H7" s="455"/>
      <c r="I7" s="65"/>
      <c r="J7" s="65"/>
      <c r="K7" s="65"/>
      <c r="L7" s="65"/>
      <c r="M7" s="65"/>
      <c r="N7" s="59"/>
    </row>
    <row r="8" spans="2:19">
      <c r="B8" s="82"/>
      <c r="C8" s="65"/>
      <c r="D8" s="65"/>
      <c r="E8" s="65"/>
      <c r="F8" s="65"/>
      <c r="G8" s="455"/>
      <c r="H8" s="455"/>
      <c r="I8" s="65"/>
      <c r="J8" s="65"/>
      <c r="K8" s="65"/>
      <c r="L8" s="65"/>
      <c r="M8" s="65"/>
      <c r="N8" s="59"/>
    </row>
    <row r="9" spans="2:19">
      <c r="B9" s="101"/>
      <c r="C9" s="65"/>
      <c r="D9" s="65"/>
      <c r="E9" s="65"/>
      <c r="F9" s="65"/>
      <c r="G9" s="455"/>
      <c r="H9" s="455"/>
      <c r="I9" s="65"/>
      <c r="J9" s="65"/>
      <c r="K9" s="65"/>
      <c r="L9" s="65"/>
      <c r="M9" s="65"/>
      <c r="N9" s="59"/>
    </row>
    <row r="10" spans="2:19">
      <c r="B10" s="101"/>
      <c r="C10" s="65"/>
      <c r="D10" s="65"/>
      <c r="E10" s="65"/>
      <c r="F10" s="65"/>
      <c r="G10" s="455"/>
      <c r="H10" s="455"/>
      <c r="I10" s="65"/>
      <c r="J10" s="65"/>
      <c r="K10" s="65"/>
      <c r="L10" s="65"/>
      <c r="M10" s="65"/>
      <c r="N10" s="59"/>
    </row>
    <row r="11" spans="2:19">
      <c r="B11" s="102" t="s">
        <v>256</v>
      </c>
      <c r="C11" s="65"/>
      <c r="D11" s="65"/>
      <c r="E11" s="65"/>
      <c r="F11" s="65"/>
      <c r="G11" s="455"/>
      <c r="H11" s="455"/>
      <c r="I11" s="65"/>
      <c r="J11" s="65"/>
      <c r="K11" s="65"/>
      <c r="L11" s="65"/>
      <c r="M11" s="65"/>
      <c r="N11" s="59"/>
    </row>
    <row r="12" spans="2:19">
      <c r="B12" s="82"/>
      <c r="C12" s="65"/>
      <c r="D12" s="65"/>
      <c r="E12" s="65"/>
      <c r="F12" s="65"/>
      <c r="G12" s="455"/>
      <c r="H12" s="455"/>
      <c r="I12" s="65"/>
      <c r="J12" s="65"/>
      <c r="K12" s="65"/>
      <c r="L12" s="65"/>
      <c r="M12" s="65"/>
      <c r="N12" s="59"/>
    </row>
    <row r="13" spans="2:19">
      <c r="B13" s="82"/>
      <c r="C13" s="65"/>
      <c r="D13" s="65"/>
      <c r="E13" s="65"/>
      <c r="F13" s="65"/>
      <c r="G13" s="455"/>
      <c r="H13" s="455"/>
      <c r="I13" s="65"/>
      <c r="J13" s="65"/>
      <c r="K13" s="65"/>
      <c r="L13" s="65"/>
      <c r="M13" s="65"/>
      <c r="N13" s="59"/>
    </row>
    <row r="14" spans="2:19">
      <c r="B14" s="102" t="s">
        <v>143</v>
      </c>
      <c r="C14" s="65"/>
      <c r="D14" s="65"/>
      <c r="E14" s="65"/>
      <c r="F14" s="65"/>
      <c r="G14" s="455"/>
      <c r="H14" s="455"/>
      <c r="I14" s="65"/>
      <c r="J14" s="65"/>
      <c r="K14" s="65"/>
      <c r="L14" s="65"/>
      <c r="M14" s="65"/>
      <c r="N14" s="59"/>
    </row>
    <row r="15" spans="2:19">
      <c r="B15" s="101"/>
      <c r="C15" s="65"/>
      <c r="D15" s="65"/>
      <c r="E15" s="65"/>
      <c r="F15" s="65"/>
      <c r="G15" s="455"/>
      <c r="H15" s="455"/>
      <c r="I15" s="65"/>
      <c r="J15" s="65"/>
      <c r="K15" s="65"/>
      <c r="L15" s="65"/>
      <c r="M15" s="65"/>
      <c r="N15" s="59"/>
    </row>
    <row r="16" spans="2:19">
      <c r="B16" s="101"/>
      <c r="C16" s="65"/>
      <c r="D16" s="65"/>
      <c r="E16" s="65"/>
      <c r="F16" s="65"/>
      <c r="G16" s="455"/>
      <c r="H16" s="455"/>
      <c r="I16" s="65"/>
      <c r="J16" s="65"/>
      <c r="K16" s="65"/>
      <c r="L16" s="65"/>
      <c r="M16" s="65"/>
      <c r="N16" s="59"/>
    </row>
    <row r="17" spans="2:14" ht="13.5" thickBot="1">
      <c r="B17" s="62"/>
      <c r="C17" s="69"/>
      <c r="D17" s="69"/>
      <c r="E17" s="69"/>
      <c r="F17" s="69"/>
      <c r="G17" s="244"/>
      <c r="H17" s="244"/>
      <c r="I17" s="69"/>
      <c r="J17" s="69"/>
      <c r="K17" s="69"/>
      <c r="L17" s="69"/>
      <c r="M17" s="69"/>
      <c r="N17" s="61"/>
    </row>
    <row r="19" spans="2:14" ht="13.5" thickBot="1">
      <c r="B19" s="119" t="s">
        <v>144</v>
      </c>
      <c r="E19" s="121"/>
    </row>
    <row r="20" spans="2:14">
      <c r="B20" s="63"/>
      <c r="C20" s="71"/>
      <c r="D20" s="64"/>
      <c r="E20" s="64"/>
      <c r="F20" s="64"/>
      <c r="G20" s="221"/>
      <c r="H20" s="221"/>
      <c r="I20" s="64" t="s">
        <v>145</v>
      </c>
      <c r="J20" s="72" t="s">
        <v>146</v>
      </c>
    </row>
    <row r="21" spans="2:14">
      <c r="B21" s="66"/>
      <c r="C21" s="73" t="s">
        <v>70</v>
      </c>
      <c r="D21" s="74">
        <v>2015</v>
      </c>
      <c r="E21" s="74">
        <v>2020</v>
      </c>
      <c r="F21" s="74">
        <v>2035</v>
      </c>
      <c r="G21" s="225">
        <v>2050</v>
      </c>
      <c r="H21" s="225" t="s">
        <v>978</v>
      </c>
      <c r="I21" s="67"/>
      <c r="J21" s="68"/>
    </row>
    <row r="22" spans="2:14">
      <c r="B22" s="101" t="s">
        <v>257</v>
      </c>
      <c r="C22" s="75"/>
      <c r="D22" s="97"/>
      <c r="E22" s="97"/>
      <c r="F22" s="97"/>
      <c r="G22" s="209"/>
      <c r="H22" s="209"/>
      <c r="I22" s="65"/>
      <c r="J22" s="59"/>
    </row>
    <row r="23" spans="2:14">
      <c r="B23" s="122" t="s">
        <v>848</v>
      </c>
      <c r="C23" s="75" t="s">
        <v>258</v>
      </c>
      <c r="D23" s="918">
        <v>0.255</v>
      </c>
      <c r="E23" s="909">
        <f>D23*(1+E76)</f>
        <v>0.30982500000000002</v>
      </c>
      <c r="F23" s="909">
        <f>D23*(1+F76)</f>
        <v>0.33150000000000002</v>
      </c>
      <c r="G23" s="909">
        <f>D23*(1+G76)</f>
        <v>0.33150000000000002</v>
      </c>
      <c r="H23" s="1657"/>
      <c r="I23" s="283" t="str">
        <f>CONCATENATE(Referencer!$B$35)</f>
        <v>29, Oplysninger per mail fra ENS, Henrik Duer, 06/12 2012</v>
      </c>
      <c r="J23" s="280"/>
    </row>
    <row r="24" spans="2:14">
      <c r="B24" s="122" t="s">
        <v>849</v>
      </c>
      <c r="C24" s="75" t="s">
        <v>258</v>
      </c>
      <c r="D24" s="919">
        <f>D23</f>
        <v>0.255</v>
      </c>
      <c r="E24" s="920">
        <f>E23</f>
        <v>0.30982500000000002</v>
      </c>
      <c r="F24" s="920">
        <f>F23</f>
        <v>0.33150000000000002</v>
      </c>
      <c r="G24" s="920">
        <f>G23</f>
        <v>0.33150000000000002</v>
      </c>
      <c r="H24" s="1657"/>
      <c r="I24" s="283"/>
      <c r="J24" s="280"/>
    </row>
    <row r="25" spans="2:14" s="172" customFormat="1">
      <c r="B25" s="122" t="s">
        <v>1025</v>
      </c>
      <c r="C25" s="210" t="s">
        <v>1024</v>
      </c>
      <c r="D25" s="913">
        <v>1.625</v>
      </c>
      <c r="E25" s="914">
        <v>1.1850000000000001</v>
      </c>
      <c r="F25" s="936">
        <f>E25</f>
        <v>1.1850000000000001</v>
      </c>
      <c r="G25" s="936">
        <f>F25</f>
        <v>1.1850000000000001</v>
      </c>
      <c r="H25" s="1658"/>
      <c r="I25" s="283" t="str">
        <f>CONCATENATE(Referencer!$B$40)</f>
        <v>34, JEC - Joint Research Centre-EUCAR-CONCAWE collaboration, Tank to Wheels Report, version 4.0, July 2013</v>
      </c>
      <c r="J25" s="280" t="s">
        <v>1050</v>
      </c>
    </row>
    <row r="26" spans="2:14" s="172" customFormat="1">
      <c r="B26" s="122" t="s">
        <v>1026</v>
      </c>
      <c r="C26" s="210" t="s">
        <v>1024</v>
      </c>
      <c r="D26" s="416"/>
      <c r="E26" s="417"/>
      <c r="F26" s="417"/>
      <c r="G26" s="417"/>
      <c r="H26" s="1658"/>
      <c r="I26" s="283"/>
      <c r="J26" s="280"/>
    </row>
    <row r="27" spans="2:14">
      <c r="B27" s="82" t="s">
        <v>98</v>
      </c>
      <c r="C27" s="75" t="s">
        <v>259</v>
      </c>
      <c r="D27" s="154">
        <v>16.3</v>
      </c>
      <c r="E27" s="76">
        <v>16.3</v>
      </c>
      <c r="F27" s="76">
        <v>16.3</v>
      </c>
      <c r="G27" s="212">
        <v>16.3</v>
      </c>
      <c r="H27" s="212"/>
      <c r="I27" s="1442" t="str">
        <f>+Referencer!B12</f>
        <v>6, Nyt fra Danmarks Statistik, Motorparken 2010.</v>
      </c>
      <c r="J27" s="59"/>
    </row>
    <row r="28" spans="2:14">
      <c r="B28" s="82" t="s">
        <v>260</v>
      </c>
      <c r="C28" s="75" t="s">
        <v>261</v>
      </c>
      <c r="D28" s="124">
        <f>+D73</f>
        <v>7.159682748091603</v>
      </c>
      <c r="E28" s="124">
        <f>+E73</f>
        <v>6.5654290799999995</v>
      </c>
      <c r="F28" s="124">
        <f>+F73</f>
        <v>6.5654290799999995</v>
      </c>
      <c r="G28" s="124">
        <f>+G73</f>
        <v>6.5654290799999995</v>
      </c>
      <c r="H28" s="1659"/>
      <c r="I28" s="283"/>
      <c r="J28" s="59"/>
    </row>
    <row r="29" spans="2:14">
      <c r="B29" s="60"/>
      <c r="C29" s="103"/>
      <c r="D29" s="90"/>
      <c r="E29" s="90"/>
      <c r="F29" s="90"/>
      <c r="G29" s="90"/>
      <c r="H29" s="90"/>
      <c r="I29" s="555"/>
      <c r="J29" s="59"/>
    </row>
    <row r="30" spans="2:14">
      <c r="B30" s="101" t="s">
        <v>33</v>
      </c>
      <c r="C30" s="75"/>
      <c r="D30" s="90"/>
      <c r="E30" s="90"/>
      <c r="F30" s="90"/>
      <c r="G30" s="90"/>
      <c r="H30" s="90"/>
      <c r="I30" s="555"/>
      <c r="J30" s="59"/>
    </row>
    <row r="31" spans="2:14" s="172" customFormat="1">
      <c r="B31" s="310" t="s">
        <v>157</v>
      </c>
      <c r="C31" s="210" t="s">
        <v>61</v>
      </c>
      <c r="D31" s="992">
        <f>HLOOKUP($H38,Supplementary!$C$44:$AF$46,3,FALSE)*D38</f>
        <v>170976.00394645846</v>
      </c>
      <c r="E31" s="992">
        <f>HLOOKUP($H38,Supplementary!$C$44:$AF$46,3,FALSE)*E38</f>
        <v>170976.00394645846</v>
      </c>
      <c r="F31" s="992">
        <f>HLOOKUP($H38,Supplementary!$C$44:$AF$46,3,FALSE)*F38</f>
        <v>170976.00394645846</v>
      </c>
      <c r="G31" s="992">
        <f>HLOOKUP($H38,Supplementary!$C$44:$AF$46,3,FALSE)*G38</f>
        <v>170976.00394645846</v>
      </c>
      <c r="H31" s="323">
        <f>priceYear</f>
        <v>2015</v>
      </c>
      <c r="I31" s="555"/>
      <c r="J31" s="178"/>
    </row>
    <row r="32" spans="2:14" s="172" customFormat="1">
      <c r="B32" s="192" t="s">
        <v>262</v>
      </c>
      <c r="C32" s="210" t="s">
        <v>263</v>
      </c>
      <c r="D32" s="992">
        <f ca="1">HLOOKUP($H39,Supplementary!$C$44:$AF$46,3,FALSE)*D39</f>
        <v>3113.3516479169853</v>
      </c>
      <c r="E32" s="992">
        <f ca="1">HLOOKUP($H39,Supplementary!$C$44:$AF$46,3,FALSE)*E39</f>
        <v>3380.6449106674736</v>
      </c>
      <c r="F32" s="992">
        <f ca="1">HLOOKUP($H39,Supplementary!$C$44:$AF$46,3,FALSE)*F39</f>
        <v>3380.6449106674736</v>
      </c>
      <c r="G32" s="992">
        <f ca="1">HLOOKUP($H39,Supplementary!$C$44:$AF$46,3,FALSE)*G39</f>
        <v>3380.6449106674736</v>
      </c>
      <c r="H32" s="323">
        <f>priceYear</f>
        <v>2015</v>
      </c>
      <c r="I32" s="555"/>
      <c r="J32" s="178"/>
    </row>
    <row r="33" spans="2:11" s="172" customFormat="1">
      <c r="B33" s="236" t="s">
        <v>162</v>
      </c>
      <c r="C33" s="210" t="s">
        <v>263</v>
      </c>
      <c r="D33" s="992">
        <f ca="1">HLOOKUP($H40,Supplementary!$C$44:$AF$46,3,FALSE)*D40</f>
        <v>2176.7025828501401</v>
      </c>
      <c r="E33" s="992">
        <f ca="1">HLOOKUP($H40,Supplementary!$C$44:$AF$46,3,FALSE)*E40</f>
        <v>2373.7214643949183</v>
      </c>
      <c r="F33" s="992">
        <f ca="1">HLOOKUP($H40,Supplementary!$C$44:$AF$46,3,FALSE)*F40</f>
        <v>2373.7214643949183</v>
      </c>
      <c r="G33" s="992">
        <f ca="1">HLOOKUP($H40,Supplementary!$C$44:$AF$46,3,FALSE)*G40</f>
        <v>2373.7214643949183</v>
      </c>
      <c r="H33" s="323">
        <f>priceYear</f>
        <v>2015</v>
      </c>
      <c r="I33" s="555"/>
      <c r="J33" s="178"/>
    </row>
    <row r="34" spans="2:11" s="172" customFormat="1">
      <c r="B34" s="236" t="s">
        <v>163</v>
      </c>
      <c r="C34" s="210" t="s">
        <v>263</v>
      </c>
      <c r="D34" s="992">
        <f>HLOOKUP($H41,Supplementary!$C$44:$AF$46,3,FALSE)*D41</f>
        <v>936.6490650668452</v>
      </c>
      <c r="E34" s="992">
        <f>HLOOKUP($H41,Supplementary!$C$44:$AF$46,3,FALSE)*E41</f>
        <v>1006.9234462725556</v>
      </c>
      <c r="F34" s="992">
        <f>HLOOKUP($H41,Supplementary!$C$44:$AF$46,3,FALSE)*F41</f>
        <v>1006.9234462725556</v>
      </c>
      <c r="G34" s="992">
        <f>HLOOKUP($H41,Supplementary!$C$44:$AF$46,3,FALSE)*G41</f>
        <v>1006.9234462725556</v>
      </c>
      <c r="H34" s="323">
        <f>priceYear</f>
        <v>2015</v>
      </c>
      <c r="I34" s="555"/>
      <c r="J34" s="178"/>
    </row>
    <row r="35" spans="2:11" s="172" customFormat="1">
      <c r="B35" s="236"/>
      <c r="C35" s="210"/>
      <c r="D35" s="992"/>
      <c r="E35" s="992"/>
      <c r="F35" s="992"/>
      <c r="G35" s="992"/>
      <c r="H35" s="323"/>
      <c r="I35" s="555"/>
      <c r="J35" s="178"/>
    </row>
    <row r="36" spans="2:11" s="172" customFormat="1">
      <c r="B36" s="236" t="s">
        <v>264</v>
      </c>
      <c r="C36" s="210" t="s">
        <v>263</v>
      </c>
      <c r="D36" s="992">
        <f>HLOOKUP($H43,Supplementary!$C$44:$AF$46,3,FALSE)*D43</f>
        <v>0</v>
      </c>
      <c r="E36" s="992">
        <f>HLOOKUP($H43,Supplementary!$C$44:$AF$46,3,FALSE)*E43</f>
        <v>0</v>
      </c>
      <c r="F36" s="992">
        <f>HLOOKUP($H43,Supplementary!$C$44:$AF$46,3,FALSE)*F43</f>
        <v>0</v>
      </c>
      <c r="G36" s="992">
        <f>HLOOKUP($H43,Supplementary!$C$44:$AF$46,3,FALSE)*G43</f>
        <v>0</v>
      </c>
      <c r="H36" s="323">
        <f>priceYear</f>
        <v>2015</v>
      </c>
      <c r="I36" s="555"/>
      <c r="J36" s="178"/>
    </row>
    <row r="37" spans="2:11" s="172" customFormat="1">
      <c r="B37" s="216"/>
      <c r="C37" s="210"/>
      <c r="D37" s="156"/>
      <c r="E37" s="90"/>
      <c r="F37" s="90"/>
      <c r="G37" s="90"/>
      <c r="H37" s="90"/>
      <c r="I37" s="555"/>
      <c r="J37" s="178"/>
    </row>
    <row r="38" spans="2:11">
      <c r="B38" s="82" t="s">
        <v>157</v>
      </c>
      <c r="C38" s="75" t="s">
        <v>61</v>
      </c>
      <c r="D38" s="125">
        <v>160622</v>
      </c>
      <c r="E38" s="921">
        <v>160622</v>
      </c>
      <c r="F38" s="921">
        <v>160622</v>
      </c>
      <c r="G38" s="921">
        <v>160622</v>
      </c>
      <c r="H38" s="407">
        <v>2011</v>
      </c>
      <c r="I38" s="283" t="str">
        <f>CONCATENATE(Referencer!$B$11)</f>
        <v>5, Concawe (2011): Well-to-wheels analysis of future automotive fuels and power-trains in the European Context. November 2011.</v>
      </c>
      <c r="J38" s="59"/>
    </row>
    <row r="39" spans="2:11">
      <c r="B39" s="60" t="s">
        <v>262</v>
      </c>
      <c r="C39" s="75" t="s">
        <v>263</v>
      </c>
      <c r="D39" s="107">
        <f ca="1">+SUM(D40:D43)</f>
        <v>2924.8125868488596</v>
      </c>
      <c r="E39" s="107">
        <f ca="1">+SUM(E40:E43)</f>
        <v>3175.9190430680237</v>
      </c>
      <c r="F39" s="107">
        <f ca="1">+SUM(F40:F43)</f>
        <v>3175.9190430680237</v>
      </c>
      <c r="G39" s="214">
        <f ca="1">+SUM(G40:G43)</f>
        <v>3175.9190430680237</v>
      </c>
      <c r="H39" s="407">
        <v>2011</v>
      </c>
      <c r="I39" s="283"/>
      <c r="J39" s="59"/>
    </row>
    <row r="40" spans="2:11">
      <c r="B40" s="111" t="s">
        <v>162</v>
      </c>
      <c r="C40" s="75" t="s">
        <v>263</v>
      </c>
      <c r="D40" s="107">
        <f ca="1">PMT(rSØK,D27,-D38)/D28</f>
        <v>2044.8853300609453</v>
      </c>
      <c r="E40" s="107">
        <f ca="1">PMT(rSØK,E27,-E38)/E28</f>
        <v>2229.9730971220779</v>
      </c>
      <c r="F40" s="107">
        <f ca="1">PMT(rSØK,F27,-F38)/F28</f>
        <v>2229.9730971220779</v>
      </c>
      <c r="G40" s="214">
        <f ca="1">PMT(rSØK,G27,-G38)/G28</f>
        <v>2229.9730971220779</v>
      </c>
      <c r="H40" s="407">
        <v>2011</v>
      </c>
      <c r="I40" s="283"/>
      <c r="J40" s="59"/>
    </row>
    <row r="41" spans="2:11">
      <c r="B41" s="111" t="s">
        <v>163</v>
      </c>
      <c r="C41" s="75" t="s">
        <v>263</v>
      </c>
      <c r="D41" s="126">
        <f>+D74</f>
        <v>879.92725678791442</v>
      </c>
      <c r="E41" s="126">
        <v>945.94594594594594</v>
      </c>
      <c r="F41" s="126">
        <v>945.94594594594594</v>
      </c>
      <c r="G41" s="195">
        <v>945.94594594594594</v>
      </c>
      <c r="H41" s="407">
        <v>2011</v>
      </c>
      <c r="I41" s="283"/>
      <c r="J41" s="59"/>
    </row>
    <row r="42" spans="2:11">
      <c r="B42" s="111"/>
      <c r="C42" s="75"/>
      <c r="D42" s="90"/>
      <c r="E42" s="90"/>
      <c r="F42" s="90"/>
      <c r="G42" s="90"/>
      <c r="H42" s="407"/>
      <c r="I42" s="283"/>
      <c r="J42" s="59"/>
    </row>
    <row r="43" spans="2:11">
      <c r="B43" s="111" t="s">
        <v>264</v>
      </c>
      <c r="C43" s="75" t="s">
        <v>263</v>
      </c>
      <c r="D43" s="76">
        <v>0</v>
      </c>
      <c r="E43" s="76">
        <v>0</v>
      </c>
      <c r="F43" s="76">
        <v>0</v>
      </c>
      <c r="G43" s="212">
        <v>0</v>
      </c>
      <c r="H43" s="407">
        <v>2011</v>
      </c>
      <c r="I43" s="283"/>
      <c r="J43" s="59"/>
    </row>
    <row r="44" spans="2:11">
      <c r="B44" s="111"/>
      <c r="C44" s="75"/>
      <c r="D44" s="90"/>
      <c r="E44" s="104"/>
      <c r="F44" s="104"/>
      <c r="G44" s="213"/>
      <c r="H44" s="90"/>
      <c r="I44" s="283"/>
      <c r="J44" s="59"/>
    </row>
    <row r="45" spans="2:11">
      <c r="B45" s="101" t="s">
        <v>166</v>
      </c>
      <c r="C45" s="75"/>
      <c r="D45" s="90"/>
      <c r="E45" s="104"/>
      <c r="F45" s="104"/>
      <c r="G45" s="213"/>
      <c r="H45" s="252"/>
      <c r="I45" s="283"/>
      <c r="J45" s="59"/>
    </row>
    <row r="46" spans="2:11">
      <c r="B46" s="418" t="s">
        <v>0</v>
      </c>
      <c r="C46" s="75"/>
      <c r="D46" s="90"/>
      <c r="E46" s="104"/>
      <c r="F46" s="104"/>
      <c r="G46" s="213"/>
      <c r="H46" s="214"/>
      <c r="I46" s="283"/>
      <c r="J46" s="59"/>
    </row>
    <row r="47" spans="2:11">
      <c r="B47" s="60" t="s">
        <v>24</v>
      </c>
      <c r="C47" s="75" t="s">
        <v>265</v>
      </c>
      <c r="D47" s="422"/>
      <c r="E47" s="422"/>
      <c r="F47" s="422"/>
      <c r="G47" s="422"/>
      <c r="H47" s="214"/>
      <c r="I47" s="283"/>
      <c r="J47" s="278" t="s">
        <v>850</v>
      </c>
      <c r="K47" s="172"/>
    </row>
    <row r="48" spans="2:11">
      <c r="B48" s="60" t="s">
        <v>27</v>
      </c>
      <c r="C48" s="75" t="s">
        <v>265</v>
      </c>
      <c r="D48" s="127">
        <f t="shared" ref="D48:G52" si="0">D83/D$25</f>
        <v>3.0769230769230771E-2</v>
      </c>
      <c r="E48" s="127">
        <f t="shared" si="0"/>
        <v>7.5949367088607583E-2</v>
      </c>
      <c r="F48" s="127">
        <f t="shared" si="0"/>
        <v>7.5949367088607583E-2</v>
      </c>
      <c r="G48" s="127">
        <f t="shared" si="0"/>
        <v>7.5949367088607583E-2</v>
      </c>
      <c r="H48" s="1660"/>
      <c r="I48" s="283"/>
      <c r="J48" s="59"/>
    </row>
    <row r="49" spans="2:10">
      <c r="B49" s="60" t="s">
        <v>28</v>
      </c>
      <c r="C49" s="75" t="s">
        <v>265</v>
      </c>
      <c r="D49" s="127">
        <f t="shared" si="0"/>
        <v>0</v>
      </c>
      <c r="E49" s="127">
        <f t="shared" si="0"/>
        <v>0</v>
      </c>
      <c r="F49" s="127">
        <f t="shared" si="0"/>
        <v>0</v>
      </c>
      <c r="G49" s="127">
        <f t="shared" si="0"/>
        <v>0</v>
      </c>
      <c r="H49" s="90"/>
      <c r="I49" s="283"/>
      <c r="J49" s="59"/>
    </row>
    <row r="50" spans="2:10">
      <c r="B50" s="60" t="s">
        <v>26</v>
      </c>
      <c r="C50" s="75" t="s">
        <v>265</v>
      </c>
      <c r="D50" s="127">
        <f t="shared" si="0"/>
        <v>0</v>
      </c>
      <c r="E50" s="127">
        <f t="shared" si="0"/>
        <v>0</v>
      </c>
      <c r="F50" s="127">
        <f t="shared" si="0"/>
        <v>0</v>
      </c>
      <c r="G50" s="127">
        <f t="shared" si="0"/>
        <v>0</v>
      </c>
      <c r="H50" s="212"/>
      <c r="I50" s="283"/>
      <c r="J50" s="59"/>
    </row>
    <row r="51" spans="2:10">
      <c r="B51" s="60" t="s">
        <v>167</v>
      </c>
      <c r="C51" s="75" t="s">
        <v>265</v>
      </c>
      <c r="D51" s="127">
        <f t="shared" si="0"/>
        <v>0.11076923076923076</v>
      </c>
      <c r="E51" s="127">
        <f t="shared" si="0"/>
        <v>6.7510548523206745E-2</v>
      </c>
      <c r="F51" s="127">
        <f t="shared" si="0"/>
        <v>6.7510548523206745E-2</v>
      </c>
      <c r="G51" s="127">
        <f t="shared" si="0"/>
        <v>6.7510548523206745E-2</v>
      </c>
      <c r="H51" s="90"/>
      <c r="I51" s="283"/>
      <c r="J51" s="59"/>
    </row>
    <row r="52" spans="2:10">
      <c r="B52" s="60" t="s">
        <v>45</v>
      </c>
      <c r="C52" s="75" t="s">
        <v>265</v>
      </c>
      <c r="D52" s="127">
        <f t="shared" si="0"/>
        <v>3.0769230769230769E-3</v>
      </c>
      <c r="E52" s="127">
        <f t="shared" si="0"/>
        <v>4.2194092827004216E-3</v>
      </c>
      <c r="F52" s="127">
        <f t="shared" si="0"/>
        <v>4.2194092827004216E-3</v>
      </c>
      <c r="G52" s="127">
        <f t="shared" si="0"/>
        <v>4.2194092827004216E-3</v>
      </c>
      <c r="H52" s="90"/>
      <c r="I52" s="283"/>
      <c r="J52" s="59"/>
    </row>
    <row r="53" spans="2:10">
      <c r="B53" s="60"/>
      <c r="C53" s="75"/>
      <c r="D53" s="104"/>
      <c r="E53" s="65"/>
      <c r="F53" s="65"/>
      <c r="G53" s="455"/>
      <c r="H53" s="90"/>
      <c r="I53" s="283"/>
      <c r="J53" s="59"/>
    </row>
    <row r="54" spans="2:10">
      <c r="B54" s="418" t="s">
        <v>20</v>
      </c>
      <c r="C54" s="75"/>
      <c r="D54" s="90"/>
      <c r="E54" s="104"/>
      <c r="F54" s="104"/>
      <c r="G54" s="213"/>
      <c r="H54" s="1660"/>
      <c r="I54" s="283"/>
      <c r="J54" s="59"/>
    </row>
    <row r="55" spans="2:10">
      <c r="B55" s="60" t="s">
        <v>24</v>
      </c>
      <c r="C55" s="75" t="s">
        <v>265</v>
      </c>
      <c r="D55" s="422"/>
      <c r="E55" s="422"/>
      <c r="F55" s="422"/>
      <c r="G55" s="422"/>
      <c r="H55" s="1660"/>
      <c r="I55" s="283"/>
      <c r="J55" s="278" t="s">
        <v>850</v>
      </c>
    </row>
    <row r="56" spans="2:10">
      <c r="B56" s="60" t="s">
        <v>27</v>
      </c>
      <c r="C56" s="75" t="s">
        <v>265</v>
      </c>
      <c r="D56" s="419">
        <f t="shared" ref="D56:F60" si="1">D48</f>
        <v>3.0769230769230771E-2</v>
      </c>
      <c r="E56" s="419">
        <f t="shared" si="1"/>
        <v>7.5949367088607583E-2</v>
      </c>
      <c r="F56" s="419">
        <f t="shared" si="1"/>
        <v>7.5949367088607583E-2</v>
      </c>
      <c r="G56" s="419">
        <f>G48</f>
        <v>7.5949367088607583E-2</v>
      </c>
      <c r="H56" s="1661"/>
      <c r="I56" s="283"/>
      <c r="J56" s="59"/>
    </row>
    <row r="57" spans="2:10">
      <c r="B57" s="60" t="s">
        <v>28</v>
      </c>
      <c r="C57" s="75" t="s">
        <v>265</v>
      </c>
      <c r="D57" s="419">
        <f t="shared" si="1"/>
        <v>0</v>
      </c>
      <c r="E57" s="419">
        <f t="shared" si="1"/>
        <v>0</v>
      </c>
      <c r="F57" s="419">
        <f t="shared" si="1"/>
        <v>0</v>
      </c>
      <c r="G57" s="419">
        <f>G49</f>
        <v>0</v>
      </c>
      <c r="H57" s="1661"/>
      <c r="I57" s="283"/>
      <c r="J57" s="59"/>
    </row>
    <row r="58" spans="2:10">
      <c r="B58" s="60" t="s">
        <v>26</v>
      </c>
      <c r="C58" s="75" t="s">
        <v>265</v>
      </c>
      <c r="D58" s="419">
        <f t="shared" si="1"/>
        <v>0</v>
      </c>
      <c r="E58" s="419">
        <f t="shared" si="1"/>
        <v>0</v>
      </c>
      <c r="F58" s="419">
        <f t="shared" si="1"/>
        <v>0</v>
      </c>
      <c r="G58" s="419">
        <f>G50</f>
        <v>0</v>
      </c>
      <c r="H58" s="1661"/>
      <c r="I58" s="283"/>
      <c r="J58" s="59"/>
    </row>
    <row r="59" spans="2:10">
      <c r="B59" s="60" t="s">
        <v>167</v>
      </c>
      <c r="C59" s="75" t="s">
        <v>265</v>
      </c>
      <c r="D59" s="419">
        <f t="shared" si="1"/>
        <v>0.11076923076923076</v>
      </c>
      <c r="E59" s="419">
        <f t="shared" si="1"/>
        <v>6.7510548523206745E-2</v>
      </c>
      <c r="F59" s="419">
        <f t="shared" si="1"/>
        <v>6.7510548523206745E-2</v>
      </c>
      <c r="G59" s="419">
        <f>G51</f>
        <v>6.7510548523206745E-2</v>
      </c>
      <c r="H59" s="1661"/>
      <c r="I59" s="283"/>
      <c r="J59" s="59"/>
    </row>
    <row r="60" spans="2:10">
      <c r="B60" s="60" t="s">
        <v>45</v>
      </c>
      <c r="C60" s="75" t="s">
        <v>265</v>
      </c>
      <c r="D60" s="419">
        <f t="shared" si="1"/>
        <v>3.0769230769230769E-3</v>
      </c>
      <c r="E60" s="419">
        <f t="shared" si="1"/>
        <v>4.2194092827004216E-3</v>
      </c>
      <c r="F60" s="419">
        <f t="shared" si="1"/>
        <v>4.2194092827004216E-3</v>
      </c>
      <c r="G60" s="419">
        <f>G52</f>
        <v>4.2194092827004216E-3</v>
      </c>
      <c r="H60" s="1661"/>
      <c r="I60" s="283"/>
      <c r="J60" s="59"/>
    </row>
    <row r="61" spans="2:10" ht="13.5" thickBot="1">
      <c r="B61" s="128"/>
      <c r="C61" s="114"/>
      <c r="D61" s="129"/>
      <c r="E61" s="69"/>
      <c r="F61" s="69"/>
      <c r="G61" s="244"/>
      <c r="H61" s="218"/>
      <c r="I61" s="1443"/>
      <c r="J61" s="61"/>
    </row>
    <row r="62" spans="2:10">
      <c r="H62" s="1447"/>
      <c r="I62" s="142"/>
    </row>
    <row r="63" spans="2:10">
      <c r="H63" s="1447"/>
      <c r="I63" s="142"/>
    </row>
    <row r="64" spans="2:10" ht="16.5" thickBot="1">
      <c r="B64" s="130" t="s">
        <v>168</v>
      </c>
      <c r="H64" s="1447"/>
      <c r="I64" s="142"/>
    </row>
    <row r="65" spans="2:10">
      <c r="B65" s="63"/>
      <c r="C65" s="71"/>
      <c r="D65" s="64"/>
      <c r="E65" s="64"/>
      <c r="F65" s="64"/>
      <c r="G65" s="221"/>
      <c r="H65" s="1449"/>
      <c r="I65" s="962" t="s">
        <v>145</v>
      </c>
      <c r="J65" s="72" t="s">
        <v>146</v>
      </c>
    </row>
    <row r="66" spans="2:10">
      <c r="B66" s="66"/>
      <c r="C66" s="73" t="s">
        <v>70</v>
      </c>
      <c r="D66" s="152">
        <v>2015</v>
      </c>
      <c r="E66" s="74">
        <v>2020</v>
      </c>
      <c r="F66" s="74">
        <v>2035</v>
      </c>
      <c r="G66" s="225">
        <v>2050</v>
      </c>
      <c r="H66" s="1507"/>
      <c r="I66" s="556"/>
      <c r="J66" s="68"/>
    </row>
    <row r="67" spans="2:10">
      <c r="B67" s="192" t="s">
        <v>266</v>
      </c>
      <c r="C67" s="241" t="s">
        <v>1027</v>
      </c>
      <c r="D67" s="947">
        <f>D68/D70*D69</f>
        <v>0.39776015267175568</v>
      </c>
      <c r="E67" s="947">
        <f>D67*(1-E71)</f>
        <v>0.36474605999999998</v>
      </c>
      <c r="F67" s="947">
        <f>E67</f>
        <v>0.36474605999999998</v>
      </c>
      <c r="G67" s="947">
        <f>F67</f>
        <v>0.36474605999999998</v>
      </c>
      <c r="H67" s="1662"/>
      <c r="I67" s="555"/>
      <c r="J67" s="178"/>
    </row>
    <row r="68" spans="2:10" s="172" customFormat="1">
      <c r="B68" s="192" t="s">
        <v>1028</v>
      </c>
      <c r="C68" s="241" t="s">
        <v>1027</v>
      </c>
      <c r="D68" s="957">
        <f>'Std benzin motor'!D67</f>
        <v>0.38034000000000001</v>
      </c>
      <c r="E68" s="957"/>
      <c r="F68" s="957"/>
      <c r="G68" s="957"/>
      <c r="H68" s="955"/>
      <c r="I68" s="283"/>
      <c r="J68" s="178"/>
    </row>
    <row r="69" spans="2:10" s="172" customFormat="1">
      <c r="B69" s="192" t="s">
        <v>1071</v>
      </c>
      <c r="C69" s="241" t="s">
        <v>59</v>
      </c>
      <c r="D69" s="955">
        <v>1370</v>
      </c>
      <c r="E69" s="955"/>
      <c r="F69" s="955"/>
      <c r="G69" s="955"/>
      <c r="H69" s="956"/>
      <c r="I69" s="283" t="str">
        <f>CONCATENATE(Referencer!$B$40)</f>
        <v>34, JEC - Joint Research Centre-EUCAR-CONCAWE collaboration, Tank to Wheels Report, version 4.0, July 2013</v>
      </c>
      <c r="J69" s="178" t="s">
        <v>2669</v>
      </c>
    </row>
    <row r="70" spans="2:10" s="172" customFormat="1">
      <c r="B70" s="192" t="s">
        <v>1031</v>
      </c>
      <c r="C70" s="241" t="s">
        <v>59</v>
      </c>
      <c r="D70" s="956">
        <f>'Std benzin motor'!D68</f>
        <v>1310</v>
      </c>
      <c r="E70" s="956"/>
      <c r="F70" s="956"/>
      <c r="G70" s="956"/>
      <c r="H70" s="1662"/>
      <c r="I70" s="555"/>
      <c r="J70" s="178"/>
    </row>
    <row r="71" spans="2:10" s="172" customFormat="1">
      <c r="B71" s="192" t="s">
        <v>1067</v>
      </c>
      <c r="C71" s="241" t="s">
        <v>29</v>
      </c>
      <c r="D71" s="905"/>
      <c r="E71" s="954">
        <v>8.3000000000000004E-2</v>
      </c>
      <c r="F71" s="876"/>
      <c r="G71" s="876"/>
      <c r="H71" s="1662"/>
      <c r="I71" s="283" t="str">
        <f>CONCATENATE(Referencer!$B$40)</f>
        <v>34, JEC - Joint Research Centre-EUCAR-CONCAWE collaboration, Tank to Wheels Report, version 4.0, July 2013</v>
      </c>
      <c r="J71" s="178" t="s">
        <v>1072</v>
      </c>
    </row>
    <row r="72" spans="2:10">
      <c r="B72" s="60" t="s">
        <v>268</v>
      </c>
      <c r="C72" s="83" t="s">
        <v>269</v>
      </c>
      <c r="D72" s="922">
        <v>18000</v>
      </c>
      <c r="E72" s="922">
        <v>18000</v>
      </c>
      <c r="F72" s="922">
        <v>18000</v>
      </c>
      <c r="G72" s="922">
        <v>18000</v>
      </c>
      <c r="H72" s="1486"/>
      <c r="I72" s="555"/>
      <c r="J72" s="59"/>
    </row>
    <row r="73" spans="2:10">
      <c r="B73" s="60" t="s">
        <v>260</v>
      </c>
      <c r="C73" s="83" t="s">
        <v>261</v>
      </c>
      <c r="D73" s="65">
        <f>+D67*D72/1000</f>
        <v>7.159682748091603</v>
      </c>
      <c r="E73" s="65">
        <f>+E67*E72/1000</f>
        <v>6.5654290799999995</v>
      </c>
      <c r="F73" s="65">
        <f>+F67*F72/1000</f>
        <v>6.5654290799999995</v>
      </c>
      <c r="G73" s="455">
        <f>+G67*G72/1000</f>
        <v>6.5654290799999995</v>
      </c>
      <c r="H73" s="1471"/>
      <c r="I73" s="555"/>
      <c r="J73" s="59" t="s">
        <v>270</v>
      </c>
    </row>
    <row r="74" spans="2:10">
      <c r="B74" s="60" t="s">
        <v>271</v>
      </c>
      <c r="C74" s="83" t="s">
        <v>263</v>
      </c>
      <c r="D74" s="93">
        <f>D75*1000/D67</f>
        <v>879.92725678791442</v>
      </c>
      <c r="E74" s="93">
        <f>E75*1000/E67</f>
        <v>959.57170860186955</v>
      </c>
      <c r="F74" s="93">
        <f>F75*1000/F67</f>
        <v>959.57170860186955</v>
      </c>
      <c r="G74" s="405">
        <f>G75*1000/G67</f>
        <v>959.57170860186955</v>
      </c>
      <c r="H74" s="1577"/>
      <c r="I74" s="555"/>
      <c r="J74" s="59" t="s">
        <v>272</v>
      </c>
    </row>
    <row r="75" spans="2:10">
      <c r="B75" s="60" t="s">
        <v>271</v>
      </c>
      <c r="C75" s="83" t="s">
        <v>55</v>
      </c>
      <c r="D75" s="927">
        <v>0.35</v>
      </c>
      <c r="E75" s="928">
        <v>0.35</v>
      </c>
      <c r="F75" s="928">
        <v>0.35</v>
      </c>
      <c r="G75" s="928">
        <v>0.35</v>
      </c>
      <c r="H75" s="352"/>
      <c r="I75" s="1442" t="str">
        <f>+Referencer!B9</f>
        <v>3, Transportøkonomiske enhedspriser 2010, DTU , Institut for transport</v>
      </c>
      <c r="J75" s="59"/>
    </row>
    <row r="76" spans="2:10">
      <c r="B76" s="60" t="s">
        <v>510</v>
      </c>
      <c r="C76" s="83" t="s">
        <v>29</v>
      </c>
      <c r="D76" s="95"/>
      <c r="E76" s="925">
        <v>0.215</v>
      </c>
      <c r="F76" s="926">
        <v>0.3</v>
      </c>
      <c r="G76" s="926">
        <v>0.3</v>
      </c>
      <c r="H76" s="352"/>
      <c r="I76" s="1442" t="str">
        <f>+Referencer!B13</f>
        <v>7, EU kommisionens forordning nr. 692/2008 om EURO V og VI normer</v>
      </c>
      <c r="J76" s="59"/>
    </row>
    <row r="77" spans="2:10" ht="13.5" thickBot="1">
      <c r="B77" s="62"/>
      <c r="C77" s="84"/>
      <c r="D77" s="69"/>
      <c r="E77" s="69"/>
      <c r="F77" s="69"/>
      <c r="G77" s="244"/>
      <c r="H77" s="1501"/>
      <c r="I77" s="968"/>
      <c r="J77" s="61"/>
    </row>
    <row r="78" spans="2:10">
      <c r="H78" s="1447"/>
      <c r="I78" s="142"/>
    </row>
    <row r="79" spans="2:10" ht="16.5" thickBot="1">
      <c r="B79" s="130" t="s">
        <v>172</v>
      </c>
      <c r="H79" s="1447"/>
      <c r="I79" s="142"/>
    </row>
    <row r="80" spans="2:10">
      <c r="B80" s="63"/>
      <c r="C80" s="64"/>
      <c r="D80" s="883"/>
      <c r="E80" s="883"/>
      <c r="F80" s="883"/>
      <c r="G80" s="882"/>
      <c r="H80" s="1449"/>
      <c r="I80" s="962"/>
      <c r="J80" s="72"/>
    </row>
    <row r="81" spans="2:11">
      <c r="B81" s="60"/>
      <c r="C81" s="65"/>
      <c r="D81" s="65"/>
      <c r="E81" s="65"/>
      <c r="F81" s="65"/>
      <c r="G81" s="455"/>
      <c r="H81" s="1471"/>
      <c r="I81" s="555"/>
      <c r="J81" s="59"/>
    </row>
    <row r="82" spans="2:11">
      <c r="B82" s="60" t="s">
        <v>24</v>
      </c>
      <c r="C82" s="65" t="s">
        <v>7</v>
      </c>
      <c r="D82" s="923"/>
      <c r="E82" s="924"/>
      <c r="F82" s="924"/>
      <c r="G82" s="924"/>
      <c r="H82" s="885"/>
      <c r="I82" s="555"/>
      <c r="J82" s="59" t="s">
        <v>2668</v>
      </c>
      <c r="K82" s="413" t="s">
        <v>817</v>
      </c>
    </row>
    <row r="83" spans="2:11">
      <c r="B83" s="60" t="s">
        <v>27</v>
      </c>
      <c r="C83" s="65" t="s">
        <v>7</v>
      </c>
      <c r="D83" s="133">
        <v>0.05</v>
      </c>
      <c r="E83" s="133">
        <v>0.09</v>
      </c>
      <c r="F83" s="133">
        <v>0.09</v>
      </c>
      <c r="G83" s="133">
        <v>0.09</v>
      </c>
      <c r="H83" s="886"/>
      <c r="I83" s="1442" t="str">
        <f>CONCATENATE(Referencer!$B$13)</f>
        <v>7, EU kommisionens forordning nr. 692/2008 om EURO V og VI normer</v>
      </c>
      <c r="J83" s="59" t="s">
        <v>2317</v>
      </c>
    </row>
    <row r="84" spans="2:11">
      <c r="B84" s="60" t="s">
        <v>28</v>
      </c>
      <c r="C84" s="65" t="s">
        <v>7</v>
      </c>
      <c r="D84" s="133"/>
      <c r="E84" s="133"/>
      <c r="F84" s="133"/>
      <c r="G84" s="133"/>
      <c r="H84" s="886"/>
      <c r="I84" s="1442" t="str">
        <f>CONCATENATE(Referencer!$B$13)</f>
        <v>7, EU kommisionens forordning nr. 692/2008 om EURO V og VI normer</v>
      </c>
      <c r="J84" s="59" t="s">
        <v>274</v>
      </c>
    </row>
    <row r="85" spans="2:11">
      <c r="B85" s="60" t="s">
        <v>26</v>
      </c>
      <c r="C85" s="65" t="s">
        <v>7</v>
      </c>
      <c r="D85" s="133"/>
      <c r="E85" s="133"/>
      <c r="F85" s="133"/>
      <c r="G85" s="133"/>
      <c r="H85" s="886"/>
      <c r="I85" s="1442" t="str">
        <f>CONCATENATE(Referencer!$B$13)</f>
        <v>7, EU kommisionens forordning nr. 692/2008 om EURO V og VI normer</v>
      </c>
      <c r="J85" s="59" t="s">
        <v>275</v>
      </c>
    </row>
    <row r="86" spans="2:11">
      <c r="B86" s="60" t="s">
        <v>167</v>
      </c>
      <c r="C86" s="65" t="s">
        <v>7</v>
      </c>
      <c r="D86" s="133">
        <v>0.18</v>
      </c>
      <c r="E86" s="133">
        <v>0.08</v>
      </c>
      <c r="F86" s="133">
        <v>0.08</v>
      </c>
      <c r="G86" s="133">
        <v>0.08</v>
      </c>
      <c r="H86" s="886"/>
      <c r="I86" s="1442" t="str">
        <f>CONCATENATE(Referencer!$B$13)</f>
        <v>7, EU kommisionens forordning nr. 692/2008 om EURO V og VI normer</v>
      </c>
      <c r="J86" s="59"/>
    </row>
    <row r="87" spans="2:11">
      <c r="B87" s="60" t="s">
        <v>45</v>
      </c>
      <c r="C87" s="65" t="s">
        <v>7</v>
      </c>
      <c r="D87" s="133">
        <v>5.0000000000000001E-3</v>
      </c>
      <c r="E87" s="133">
        <v>5.0000000000000001E-3</v>
      </c>
      <c r="F87" s="133">
        <v>5.0000000000000001E-3</v>
      </c>
      <c r="G87" s="133">
        <v>5.0000000000000001E-3</v>
      </c>
      <c r="H87" s="886"/>
      <c r="I87" s="1442" t="str">
        <f>CONCATENATE(Referencer!$B$13)</f>
        <v>7, EU kommisionens forordning nr. 692/2008 om EURO V og VI normer</v>
      </c>
      <c r="J87" s="59"/>
    </row>
    <row r="88" spans="2:11" ht="13.5" thickBot="1">
      <c r="B88" s="62"/>
      <c r="C88" s="69"/>
      <c r="D88" s="69"/>
      <c r="E88" s="69"/>
      <c r="F88" s="69"/>
      <c r="G88" s="244"/>
      <c r="H88" s="1501"/>
      <c r="I88" s="968"/>
      <c r="J88" s="266"/>
    </row>
    <row r="89" spans="2:11">
      <c r="F89" s="134"/>
      <c r="G89" s="134"/>
      <c r="I89" s="142"/>
    </row>
    <row r="90" spans="2:11">
      <c r="F90" s="134"/>
      <c r="G90" s="134"/>
      <c r="H90" s="134"/>
    </row>
    <row r="91" spans="2:11">
      <c r="F91" s="134"/>
      <c r="G91" s="134"/>
      <c r="H91" s="134"/>
    </row>
    <row r="92" spans="2:11">
      <c r="F92" s="134"/>
      <c r="G92" s="134"/>
      <c r="H92" s="134"/>
      <c r="I92" s="135"/>
    </row>
    <row r="93" spans="2:11">
      <c r="F93" s="134"/>
      <c r="G93" s="134"/>
      <c r="H93" s="134"/>
    </row>
    <row r="94" spans="2:11">
      <c r="F94" s="134"/>
      <c r="G94" s="134"/>
      <c r="H94" s="134"/>
    </row>
    <row r="95" spans="2:11">
      <c r="D95" s="333"/>
      <c r="I95" s="135"/>
    </row>
    <row r="98" spans="9:9">
      <c r="I98" s="135"/>
    </row>
    <row r="101" spans="9:9">
      <c r="I101" s="135"/>
    </row>
    <row r="102" spans="9:9">
      <c r="I102" s="135"/>
    </row>
  </sheetData>
  <pageMargins left="0.15748031496062992" right="0.15748031496062992" top="1.25" bottom="0.19685039370078741" header="0.51181102362204722" footer="0.51181102362204722"/>
  <pageSetup paperSize="9" scale="60" orientation="landscape" r:id="rId1"/>
  <headerFooter alignWithMargins="0">
    <oddHeader>&amp;L&amp;"Arial"&amp;14&amp;BBeregningsmodel
&amp;"Arial"&amp;08&amp;B64329, Teknologivurdering af alternative drivmidler til transportsektoren&amp;R&amp;"Arial"&amp;08Page &amp;P of &amp;N</oddHeader>
    <oddFooter>&amp;L&amp;"Arial"&amp;08&amp;Z&amp;F
Sheet: &amp;A&amp;C&amp;"Arial"&amp;08Printed &amp;D &amp;T&amp;R&amp;G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0723" r:id="rId5" name="Button 3">
              <controlPr defaultSize="0" print="0" autoFill="0" autoPict="0" macro="[0]!GtOver">
                <anchor>
                  <from>
                    <xdr:col>7</xdr:col>
                    <xdr:colOff>76200</xdr:colOff>
                    <xdr:row>0</xdr:row>
                    <xdr:rowOff>38100</xdr:rowOff>
                  </from>
                  <to>
                    <xdr:col>8</xdr:col>
                    <xdr:colOff>76200</xdr:colOff>
                    <xdr:row>0</xdr:row>
                    <xdr:rowOff>238125</xdr:rowOff>
                  </to>
                </anchor>
              </controlPr>
            </control>
          </mc:Choice>
        </mc:AlternateContent>
        <mc:AlternateContent xmlns:mc="http://schemas.openxmlformats.org/markup-compatibility/2006">
          <mc:Choice Requires="x14">
            <control shapeId="30724" r:id="rId6" name="Button 4">
              <controlPr defaultSize="0" print="0" autoFill="0" autoPict="0" macro="[0]!GtRes">
                <anchor>
                  <from>
                    <xdr:col>8</xdr:col>
                    <xdr:colOff>247650</xdr:colOff>
                    <xdr:row>0</xdr:row>
                    <xdr:rowOff>38100</xdr:rowOff>
                  </from>
                  <to>
                    <xdr:col>9</xdr:col>
                    <xdr:colOff>838200</xdr:colOff>
                    <xdr:row>0</xdr:row>
                    <xdr:rowOff>238125</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rgb="FF002060"/>
    <pageSetUpPr fitToPage="1"/>
  </sheetPr>
  <dimension ref="B1:S94"/>
  <sheetViews>
    <sheetView topLeftCell="A34" zoomScale="80" zoomScaleNormal="80" workbookViewId="0">
      <selection activeCell="C55" sqref="C55:C60"/>
    </sheetView>
  </sheetViews>
  <sheetFormatPr defaultColWidth="8.85546875" defaultRowHeight="12.75"/>
  <cols>
    <col min="1" max="1" width="2.85546875" style="172" customWidth="1"/>
    <col min="2" max="2" width="35" style="172" customWidth="1"/>
    <col min="3" max="3" width="18" style="172" customWidth="1"/>
    <col min="4" max="8" width="15.85546875" style="172" customWidth="1"/>
    <col min="9" max="9" width="7.140625" style="172" customWidth="1"/>
    <col min="10" max="10" width="37.42578125" style="172" customWidth="1"/>
    <col min="11" max="13" width="9.140625" style="172" customWidth="1"/>
    <col min="14" max="14" width="9" style="172" customWidth="1"/>
    <col min="15" max="15" width="37.85546875" style="172" customWidth="1"/>
    <col min="16" max="18" width="8.85546875" style="172"/>
    <col min="19" max="19" width="9.140625" style="172" customWidth="1"/>
    <col min="20" max="16384" width="8.85546875" style="172"/>
  </cols>
  <sheetData>
    <row r="1" spans="2:19" s="2403" customFormat="1" ht="21">
      <c r="B1" s="2403" t="s">
        <v>294</v>
      </c>
      <c r="Q1" s="2403">
        <f ca="1">'Log2015'!M1</f>
        <v>-8.0112614142160741</v>
      </c>
      <c r="R1" s="2405">
        <f ca="1">'Log2015'!N1</f>
        <v>-160807.124977848</v>
      </c>
      <c r="S1" s="2406"/>
    </row>
    <row r="2" spans="2:19">
      <c r="R2" s="626">
        <f ca="1">R1</f>
        <v>-160807.124977848</v>
      </c>
      <c r="S2" s="626">
        <f>S1</f>
        <v>0</v>
      </c>
    </row>
    <row r="4" spans="2:19" ht="13.5" thickBot="1">
      <c r="B4" s="171" t="s">
        <v>81</v>
      </c>
    </row>
    <row r="5" spans="2:19">
      <c r="B5" s="173" t="s">
        <v>137</v>
      </c>
      <c r="C5" s="174"/>
      <c r="D5" s="174"/>
      <c r="E5" s="174"/>
      <c r="F5" s="174"/>
      <c r="G5" s="174"/>
      <c r="H5" s="221"/>
      <c r="I5" s="174"/>
      <c r="J5" s="174"/>
      <c r="K5" s="174"/>
      <c r="L5" s="174"/>
      <c r="M5" s="174"/>
      <c r="N5" s="175"/>
    </row>
    <row r="6" spans="2:19">
      <c r="B6" s="176" t="s">
        <v>395</v>
      </c>
      <c r="C6" s="177"/>
      <c r="D6" s="177"/>
      <c r="E6" s="177"/>
      <c r="F6" s="177"/>
      <c r="G6" s="386"/>
      <c r="H6" s="455"/>
      <c r="I6" s="177"/>
      <c r="J6" s="177"/>
      <c r="K6" s="177"/>
      <c r="L6" s="177"/>
      <c r="M6" s="177"/>
      <c r="N6" s="178"/>
    </row>
    <row r="7" spans="2:19">
      <c r="B7" s="176" t="s">
        <v>396</v>
      </c>
      <c r="C7" s="177"/>
      <c r="D7" s="177"/>
      <c r="E7" s="177"/>
      <c r="F7" s="177"/>
      <c r="G7" s="386"/>
      <c r="H7" s="455"/>
      <c r="I7" s="177"/>
      <c r="J7" s="177"/>
      <c r="K7" s="177"/>
      <c r="L7" s="177"/>
      <c r="M7" s="177"/>
      <c r="N7" s="178"/>
    </row>
    <row r="8" spans="2:19">
      <c r="B8" s="176"/>
      <c r="C8" s="177"/>
      <c r="D8" s="177"/>
      <c r="E8" s="177"/>
      <c r="F8" s="177"/>
      <c r="G8" s="386"/>
      <c r="H8" s="455"/>
      <c r="I8" s="177"/>
      <c r="J8" s="177"/>
      <c r="K8" s="177"/>
      <c r="L8" s="177"/>
      <c r="M8" s="177"/>
      <c r="N8" s="178"/>
    </row>
    <row r="9" spans="2:19">
      <c r="B9" s="179"/>
      <c r="C9" s="177"/>
      <c r="D9" s="177"/>
      <c r="E9" s="177"/>
      <c r="F9" s="177"/>
      <c r="G9" s="386"/>
      <c r="H9" s="455"/>
      <c r="I9" s="177"/>
      <c r="J9" s="177"/>
      <c r="K9" s="177"/>
      <c r="L9" s="177"/>
      <c r="M9" s="177"/>
      <c r="N9" s="178"/>
    </row>
    <row r="10" spans="2:19">
      <c r="B10" s="179"/>
      <c r="C10" s="177"/>
      <c r="D10" s="177"/>
      <c r="E10" s="177"/>
      <c r="F10" s="177"/>
      <c r="G10" s="386"/>
      <c r="H10" s="455"/>
      <c r="I10" s="177"/>
      <c r="J10" s="177"/>
      <c r="K10" s="177"/>
      <c r="L10" s="177"/>
      <c r="M10" s="177"/>
      <c r="N10" s="178"/>
    </row>
    <row r="11" spans="2:19">
      <c r="B11" s="180" t="s">
        <v>256</v>
      </c>
      <c r="C11" s="177"/>
      <c r="D11" s="177"/>
      <c r="E11" s="177"/>
      <c r="F11" s="177"/>
      <c r="G11" s="386"/>
      <c r="H11" s="455"/>
      <c r="I11" s="177"/>
      <c r="J11" s="177"/>
      <c r="K11" s="177"/>
      <c r="L11" s="177"/>
      <c r="M11" s="177"/>
      <c r="N11" s="178"/>
    </row>
    <row r="12" spans="2:19">
      <c r="B12" s="176"/>
      <c r="C12" s="177"/>
      <c r="D12" s="177"/>
      <c r="E12" s="177"/>
      <c r="F12" s="177"/>
      <c r="G12" s="386"/>
      <c r="H12" s="455"/>
      <c r="I12" s="177"/>
      <c r="J12" s="177"/>
      <c r="K12" s="177"/>
      <c r="L12" s="177"/>
      <c r="M12" s="177"/>
      <c r="N12" s="178"/>
    </row>
    <row r="13" spans="2:19">
      <c r="B13" s="176"/>
      <c r="C13" s="177"/>
      <c r="D13" s="177"/>
      <c r="E13" s="177"/>
      <c r="F13" s="177"/>
      <c r="G13" s="386"/>
      <c r="H13" s="455"/>
      <c r="I13" s="177"/>
      <c r="J13" s="177"/>
      <c r="K13" s="177"/>
      <c r="L13" s="177"/>
      <c r="M13" s="177"/>
      <c r="N13" s="178"/>
    </row>
    <row r="14" spans="2:19">
      <c r="B14" s="180" t="s">
        <v>143</v>
      </c>
      <c r="C14" s="177"/>
      <c r="D14" s="177"/>
      <c r="E14" s="177"/>
      <c r="F14" s="177"/>
      <c r="G14" s="386"/>
      <c r="H14" s="455"/>
      <c r="I14" s="177"/>
      <c r="J14" s="177"/>
      <c r="K14" s="177"/>
      <c r="L14" s="177"/>
      <c r="M14" s="177"/>
      <c r="N14" s="178"/>
    </row>
    <row r="15" spans="2:19">
      <c r="B15" s="179"/>
      <c r="C15" s="177"/>
      <c r="D15" s="177"/>
      <c r="E15" s="177"/>
      <c r="F15" s="177"/>
      <c r="G15" s="386"/>
      <c r="H15" s="455"/>
      <c r="I15" s="177"/>
      <c r="J15" s="177"/>
      <c r="K15" s="177"/>
      <c r="L15" s="177"/>
      <c r="M15" s="177"/>
      <c r="N15" s="178"/>
    </row>
    <row r="16" spans="2:19">
      <c r="B16" s="179"/>
      <c r="C16" s="177"/>
      <c r="D16" s="177"/>
      <c r="E16" s="177"/>
      <c r="F16" s="177"/>
      <c r="G16" s="386"/>
      <c r="H16" s="455"/>
      <c r="I16" s="177"/>
      <c r="J16" s="177"/>
      <c r="K16" s="177"/>
      <c r="L16" s="177"/>
      <c r="M16" s="177"/>
      <c r="N16" s="178"/>
    </row>
    <row r="17" spans="2:14" ht="13.5" thickBot="1">
      <c r="B17" s="181"/>
      <c r="C17" s="182"/>
      <c r="D17" s="182"/>
      <c r="E17" s="182"/>
      <c r="F17" s="182"/>
      <c r="G17" s="182"/>
      <c r="H17" s="244"/>
      <c r="I17" s="182"/>
      <c r="J17" s="182"/>
      <c r="K17" s="182"/>
      <c r="L17" s="182"/>
      <c r="M17" s="182"/>
      <c r="N17" s="183"/>
    </row>
    <row r="19" spans="2:14" ht="13.5" thickBot="1">
      <c r="B19" s="171" t="s">
        <v>144</v>
      </c>
      <c r="E19" s="184"/>
    </row>
    <row r="20" spans="2:14">
      <c r="B20" s="185"/>
      <c r="C20" s="186"/>
      <c r="D20" s="174"/>
      <c r="E20" s="174"/>
      <c r="F20" s="174"/>
      <c r="G20" s="174"/>
      <c r="H20" s="221"/>
      <c r="I20" s="174" t="s">
        <v>145</v>
      </c>
      <c r="J20" s="175" t="s">
        <v>146</v>
      </c>
    </row>
    <row r="21" spans="2:14">
      <c r="B21" s="187"/>
      <c r="C21" s="188" t="s">
        <v>70</v>
      </c>
      <c r="D21" s="189">
        <v>2015</v>
      </c>
      <c r="E21" s="189">
        <v>2020</v>
      </c>
      <c r="F21" s="189">
        <v>2035</v>
      </c>
      <c r="G21" s="189">
        <v>2050</v>
      </c>
      <c r="H21" s="225" t="s">
        <v>978</v>
      </c>
      <c r="I21" s="190"/>
      <c r="J21" s="191"/>
    </row>
    <row r="22" spans="2:14">
      <c r="B22" s="101" t="s">
        <v>257</v>
      </c>
      <c r="C22" s="75"/>
      <c r="D22" s="97"/>
      <c r="E22" s="97"/>
      <c r="F22" s="97"/>
      <c r="G22" s="209"/>
      <c r="H22" s="209"/>
      <c r="I22" s="65"/>
      <c r="J22" s="59"/>
    </row>
    <row r="23" spans="2:14">
      <c r="B23" s="122" t="s">
        <v>848</v>
      </c>
      <c r="C23" s="1469" t="s">
        <v>2643</v>
      </c>
      <c r="D23" s="916">
        <f>'Std diesel motor'!$D$23</f>
        <v>0.255</v>
      </c>
      <c r="E23" s="915">
        <f>D23*(1+E76)</f>
        <v>0.30982500000000002</v>
      </c>
      <c r="F23" s="915">
        <f>D23*(1+F76)</f>
        <v>0.33150000000000002</v>
      </c>
      <c r="G23" s="915">
        <f>D23*(1+G76)</f>
        <v>0.33150000000000002</v>
      </c>
      <c r="H23" s="1657"/>
      <c r="I23" s="283"/>
      <c r="J23" s="59"/>
    </row>
    <row r="24" spans="2:14">
      <c r="B24" s="122" t="s">
        <v>849</v>
      </c>
      <c r="C24" s="1469" t="s">
        <v>2643</v>
      </c>
      <c r="D24" s="916">
        <f>D23</f>
        <v>0.255</v>
      </c>
      <c r="E24" s="917">
        <f>E23</f>
        <v>0.30982500000000002</v>
      </c>
      <c r="F24" s="917">
        <f>F23</f>
        <v>0.33150000000000002</v>
      </c>
      <c r="G24" s="917">
        <f>G23</f>
        <v>0.33150000000000002</v>
      </c>
      <c r="H24" s="1657"/>
      <c r="I24" s="283"/>
      <c r="J24" s="59"/>
    </row>
    <row r="25" spans="2:14">
      <c r="B25" s="122" t="s">
        <v>1025</v>
      </c>
      <c r="C25" s="210" t="s">
        <v>1024</v>
      </c>
      <c r="D25" s="913">
        <v>1.718</v>
      </c>
      <c r="E25" s="914">
        <v>1.2230000000000001</v>
      </c>
      <c r="F25" s="936">
        <f>E25</f>
        <v>1.2230000000000001</v>
      </c>
      <c r="G25" s="936">
        <f>F25</f>
        <v>1.2230000000000001</v>
      </c>
      <c r="H25" s="1658"/>
      <c r="I25" s="283" t="str">
        <f>CONCATENATE(Referencer!$B$40)</f>
        <v>34, JEC - Joint Research Centre-EUCAR-CONCAWE collaboration, Tank to Wheels Report, version 4.0, July 2013</v>
      </c>
      <c r="J25" s="280" t="s">
        <v>1050</v>
      </c>
    </row>
    <row r="26" spans="2:14">
      <c r="B26" s="122" t="s">
        <v>1026</v>
      </c>
      <c r="C26" s="210" t="s">
        <v>1024</v>
      </c>
      <c r="D26" s="416"/>
      <c r="E26" s="417"/>
      <c r="F26" s="417"/>
      <c r="G26" s="417"/>
      <c r="H26" s="1658"/>
      <c r="I26" s="283"/>
      <c r="J26" s="178"/>
    </row>
    <row r="27" spans="2:14">
      <c r="B27" s="82" t="s">
        <v>98</v>
      </c>
      <c r="C27" s="75" t="s">
        <v>259</v>
      </c>
      <c r="D27" s="154">
        <v>16.3</v>
      </c>
      <c r="E27" s="76">
        <v>16.3</v>
      </c>
      <c r="F27" s="76">
        <v>16.3</v>
      </c>
      <c r="G27" s="212">
        <v>16.3</v>
      </c>
      <c r="H27" s="212"/>
      <c r="I27" s="1442" t="str">
        <f>+Referencer!B12</f>
        <v>6, Nyt fra Danmarks Statistik, Motorparken 2010.</v>
      </c>
      <c r="J27" s="59"/>
    </row>
    <row r="28" spans="2:14">
      <c r="B28" s="82" t="s">
        <v>260</v>
      </c>
      <c r="C28" s="75" t="s">
        <v>261</v>
      </c>
      <c r="D28" s="124">
        <f>+D73</f>
        <v>7.567314320610687</v>
      </c>
      <c r="E28" s="124">
        <f>+E73</f>
        <v>6.9392272320000004</v>
      </c>
      <c r="F28" s="124">
        <f>+F73</f>
        <v>6.9392272320000004</v>
      </c>
      <c r="G28" s="124">
        <f>+G73</f>
        <v>6.9392272320000004</v>
      </c>
      <c r="H28" s="1659"/>
      <c r="I28" s="283"/>
      <c r="J28" s="59"/>
    </row>
    <row r="29" spans="2:14">
      <c r="B29" s="60"/>
      <c r="C29" s="103"/>
      <c r="D29" s="90"/>
      <c r="E29" s="90"/>
      <c r="F29" s="90"/>
      <c r="G29" s="90"/>
      <c r="H29" s="90"/>
      <c r="I29" s="555"/>
      <c r="J29" s="59"/>
    </row>
    <row r="30" spans="2:14">
      <c r="B30" s="101" t="s">
        <v>33</v>
      </c>
      <c r="C30" s="75"/>
      <c r="D30" s="90"/>
      <c r="E30" s="90"/>
      <c r="F30" s="90"/>
      <c r="G30" s="90"/>
      <c r="H30" s="90"/>
      <c r="I30" s="555"/>
      <c r="J30" s="59"/>
    </row>
    <row r="31" spans="2:14">
      <c r="B31" s="310" t="s">
        <v>157</v>
      </c>
      <c r="C31" s="210" t="s">
        <v>61</v>
      </c>
      <c r="D31" s="992">
        <f>HLOOKUP($H38,Supplementary!$C$44:$AF$46,3,FALSE)*D38</f>
        <v>178708.25539810938</v>
      </c>
      <c r="E31" s="992">
        <f>HLOOKUP($H38,Supplementary!$C$44:$AF$46,3,FALSE)*E38</f>
        <v>178708.25539810938</v>
      </c>
      <c r="F31" s="992">
        <f>HLOOKUP($H38,Supplementary!$C$44:$AF$46,3,FALSE)*F38</f>
        <v>178708.25539810938</v>
      </c>
      <c r="G31" s="992">
        <f>HLOOKUP($H38,Supplementary!$C$44:$AF$46,3,FALSE)*G38</f>
        <v>178708.25539810938</v>
      </c>
      <c r="H31" s="323">
        <f>priceYear</f>
        <v>2015</v>
      </c>
      <c r="I31" s="555"/>
      <c r="J31" s="178"/>
    </row>
    <row r="32" spans="2:14">
      <c r="B32" s="192" t="s">
        <v>262</v>
      </c>
      <c r="C32" s="210" t="s">
        <v>263</v>
      </c>
      <c r="D32" s="992">
        <f ca="1">HLOOKUP($H39,Supplementary!$C$44:$AF$46,3,FALSE)*D39</f>
        <v>3038.7804059524074</v>
      </c>
      <c r="E32" s="992">
        <f ca="1">HLOOKUP($H39,Supplementary!$C$44:$AF$46,3,FALSE)*E39</f>
        <v>3354.3456860087144</v>
      </c>
      <c r="F32" s="992">
        <f ca="1">HLOOKUP($H39,Supplementary!$C$44:$AF$46,3,FALSE)*F39</f>
        <v>3354.3456860087144</v>
      </c>
      <c r="G32" s="992">
        <f ca="1">HLOOKUP($H39,Supplementary!$C$44:$AF$46,3,FALSE)*G39</f>
        <v>3354.3456860087144</v>
      </c>
      <c r="H32" s="323">
        <f>priceYear</f>
        <v>2015</v>
      </c>
      <c r="I32" s="555"/>
      <c r="J32" s="178"/>
    </row>
    <row r="33" spans="2:10">
      <c r="B33" s="236" t="s">
        <v>162</v>
      </c>
      <c r="C33" s="210" t="s">
        <v>263</v>
      </c>
      <c r="D33" s="992">
        <f ca="1">HLOOKUP($H40,Supplementary!$C$44:$AF$46,3,FALSE)*D40</f>
        <v>2152.5861938380581</v>
      </c>
      <c r="E33" s="992">
        <f ca="1">HLOOKUP($H40,Supplementary!$C$44:$AF$46,3,FALSE)*E40</f>
        <v>2347.4222397361591</v>
      </c>
      <c r="F33" s="992">
        <f ca="1">HLOOKUP($H40,Supplementary!$C$44:$AF$46,3,FALSE)*F40</f>
        <v>2347.4222397361591</v>
      </c>
      <c r="G33" s="992">
        <f ca="1">HLOOKUP($H40,Supplementary!$C$44:$AF$46,3,FALSE)*G40</f>
        <v>2347.4222397361591</v>
      </c>
      <c r="H33" s="323">
        <f>priceYear</f>
        <v>2015</v>
      </c>
      <c r="I33" s="555"/>
      <c r="J33" s="178"/>
    </row>
    <row r="34" spans="2:10">
      <c r="B34" s="236" t="s">
        <v>163</v>
      </c>
      <c r="C34" s="210" t="s">
        <v>263</v>
      </c>
      <c r="D34" s="992">
        <f>HLOOKUP($H41,Supplementary!$C$44:$AF$46,3,FALSE)*D41</f>
        <v>886.1942121143494</v>
      </c>
      <c r="E34" s="992">
        <f>HLOOKUP($H41,Supplementary!$C$44:$AF$46,3,FALSE)*E41</f>
        <v>1006.9234462725556</v>
      </c>
      <c r="F34" s="992">
        <f>HLOOKUP($H41,Supplementary!$C$44:$AF$46,3,FALSE)*F41</f>
        <v>1006.9234462725556</v>
      </c>
      <c r="G34" s="992">
        <f>HLOOKUP($H41,Supplementary!$C$44:$AF$46,3,FALSE)*G41</f>
        <v>1006.9234462725556</v>
      </c>
      <c r="H34" s="323">
        <f>priceYear</f>
        <v>2015</v>
      </c>
      <c r="I34" s="555"/>
      <c r="J34" s="178"/>
    </row>
    <row r="35" spans="2:10">
      <c r="B35" s="236"/>
      <c r="C35" s="210"/>
      <c r="D35" s="992"/>
      <c r="E35" s="992"/>
      <c r="F35" s="992"/>
      <c r="G35" s="992"/>
      <c r="H35" s="323"/>
      <c r="I35" s="555"/>
      <c r="J35" s="178"/>
    </row>
    <row r="36" spans="2:10">
      <c r="B36" s="236" t="s">
        <v>264</v>
      </c>
      <c r="C36" s="210" t="s">
        <v>263</v>
      </c>
      <c r="D36" s="992">
        <f>HLOOKUP($H43,Supplementary!$C$44:$AF$46,3,FALSE)*D43</f>
        <v>0</v>
      </c>
      <c r="E36" s="992">
        <f>HLOOKUP($H43,Supplementary!$C$44:$AF$46,3,FALSE)*E43</f>
        <v>0</v>
      </c>
      <c r="F36" s="992">
        <f>HLOOKUP($H43,Supplementary!$C$44:$AF$46,3,FALSE)*F43</f>
        <v>0</v>
      </c>
      <c r="G36" s="992">
        <f>HLOOKUP($H43,Supplementary!$C$44:$AF$46,3,FALSE)*G43</f>
        <v>0</v>
      </c>
      <c r="H36" s="323">
        <f>priceYear</f>
        <v>2015</v>
      </c>
      <c r="I36" s="555"/>
      <c r="J36" s="178"/>
    </row>
    <row r="37" spans="2:10">
      <c r="B37" s="216"/>
      <c r="C37" s="210"/>
      <c r="D37" s="156"/>
      <c r="E37" s="90"/>
      <c r="F37" s="90"/>
      <c r="G37" s="90"/>
      <c r="H37" s="90"/>
      <c r="I37" s="555"/>
      <c r="J37" s="178"/>
    </row>
    <row r="38" spans="2:10">
      <c r="B38" s="82" t="s">
        <v>157</v>
      </c>
      <c r="C38" s="75" t="s">
        <v>61</v>
      </c>
      <c r="D38" s="125">
        <v>167886</v>
      </c>
      <c r="E38" s="921">
        <v>167886</v>
      </c>
      <c r="F38" s="921">
        <v>167886</v>
      </c>
      <c r="G38" s="921">
        <v>167886</v>
      </c>
      <c r="H38" s="407">
        <v>2011</v>
      </c>
      <c r="I38" s="283" t="str">
        <f>CONCATENATE(Referencer!$B$11)</f>
        <v>5, Concawe (2011): Well-to-wheels analysis of future automotive fuels and power-trains in the European Context. November 2011.</v>
      </c>
      <c r="J38" s="59"/>
    </row>
    <row r="39" spans="2:10">
      <c r="B39" s="60" t="s">
        <v>262</v>
      </c>
      <c r="C39" s="75" t="s">
        <v>263</v>
      </c>
      <c r="D39" s="107">
        <f ca="1">+SUM(D40:D43)</f>
        <v>2854.7572472084194</v>
      </c>
      <c r="E39" s="107">
        <f ca="1">+SUM(E40:E43)</f>
        <v>3151.2124528703603</v>
      </c>
      <c r="F39" s="107">
        <f ca="1">+SUM(F40:F43)</f>
        <v>3151.2124528703603</v>
      </c>
      <c r="G39" s="214">
        <f ca="1">+SUM(G40:G43)</f>
        <v>3151.2124528703603</v>
      </c>
      <c r="H39" s="407">
        <v>2011</v>
      </c>
      <c r="I39" s="283"/>
      <c r="J39" s="59"/>
    </row>
    <row r="40" spans="2:10">
      <c r="B40" s="111" t="s">
        <v>162</v>
      </c>
      <c r="C40" s="75" t="s">
        <v>263</v>
      </c>
      <c r="D40" s="107">
        <f ca="1">PMT(rSØK,D27,-D38)/D28</f>
        <v>2022.2293868496881</v>
      </c>
      <c r="E40" s="107">
        <f ca="1">PMT(rSØK,E27,-E38)/E28</f>
        <v>2205.2665069244144</v>
      </c>
      <c r="F40" s="107">
        <f ca="1">PMT(rSØK,F27,-F38)/F28</f>
        <v>2205.2665069244144</v>
      </c>
      <c r="G40" s="214">
        <f ca="1">PMT(rSØK,G27,-G38)/G28</f>
        <v>2205.2665069244144</v>
      </c>
      <c r="H40" s="407">
        <v>2011</v>
      </c>
      <c r="I40" s="283"/>
      <c r="J40" s="59"/>
    </row>
    <row r="41" spans="2:10">
      <c r="B41" s="111" t="s">
        <v>163</v>
      </c>
      <c r="C41" s="75" t="s">
        <v>263</v>
      </c>
      <c r="D41" s="126">
        <f>+D74</f>
        <v>832.52786035873112</v>
      </c>
      <c r="E41" s="126">
        <v>945.94594594594594</v>
      </c>
      <c r="F41" s="126">
        <v>945.94594594594594</v>
      </c>
      <c r="G41" s="195">
        <v>945.94594594594594</v>
      </c>
      <c r="H41" s="407">
        <v>2011</v>
      </c>
      <c r="I41" s="283"/>
      <c r="J41" s="59"/>
    </row>
    <row r="42" spans="2:10">
      <c r="B42" s="111"/>
      <c r="C42" s="75"/>
      <c r="D42" s="90"/>
      <c r="E42" s="90"/>
      <c r="F42" s="90"/>
      <c r="G42" s="90"/>
      <c r="H42" s="407"/>
      <c r="I42" s="283"/>
      <c r="J42" s="59"/>
    </row>
    <row r="43" spans="2:10">
      <c r="B43" s="111" t="s">
        <v>264</v>
      </c>
      <c r="C43" s="75" t="s">
        <v>263</v>
      </c>
      <c r="D43" s="76">
        <v>0</v>
      </c>
      <c r="E43" s="76">
        <v>0</v>
      </c>
      <c r="F43" s="76">
        <v>0</v>
      </c>
      <c r="G43" s="212">
        <v>0</v>
      </c>
      <c r="H43" s="407">
        <v>2011</v>
      </c>
      <c r="I43" s="283"/>
      <c r="J43" s="59"/>
    </row>
    <row r="44" spans="2:10">
      <c r="B44" s="111"/>
      <c r="C44" s="75"/>
      <c r="D44" s="90"/>
      <c r="E44" s="104"/>
      <c r="F44" s="104"/>
      <c r="G44" s="213"/>
      <c r="H44" s="90"/>
      <c r="I44" s="283"/>
      <c r="J44" s="59"/>
    </row>
    <row r="45" spans="2:10">
      <c r="B45" s="101" t="s">
        <v>166</v>
      </c>
      <c r="C45" s="75"/>
      <c r="D45" s="90"/>
      <c r="E45" s="104"/>
      <c r="F45" s="104"/>
      <c r="G45" s="213"/>
      <c r="H45" s="252"/>
      <c r="I45" s="283"/>
      <c r="J45" s="59"/>
    </row>
    <row r="46" spans="2:10">
      <c r="B46" s="418" t="s">
        <v>0</v>
      </c>
      <c r="C46" s="75"/>
      <c r="D46" s="90"/>
      <c r="E46" s="104"/>
      <c r="F46" s="104"/>
      <c r="G46" s="213"/>
      <c r="H46" s="214"/>
      <c r="I46" s="283"/>
      <c r="J46" s="59"/>
    </row>
    <row r="47" spans="2:10">
      <c r="B47" s="60" t="s">
        <v>24</v>
      </c>
      <c r="C47" s="1469" t="s">
        <v>2644</v>
      </c>
      <c r="D47" s="424"/>
      <c r="E47" s="424"/>
      <c r="F47" s="424"/>
      <c r="G47" s="424"/>
      <c r="H47" s="214"/>
      <c r="I47" s="283"/>
      <c r="J47" s="278" t="s">
        <v>850</v>
      </c>
    </row>
    <row r="48" spans="2:10">
      <c r="B48" s="60" t="s">
        <v>27</v>
      </c>
      <c r="C48" s="1469" t="s">
        <v>2644</v>
      </c>
      <c r="D48" s="127">
        <f t="shared" ref="D48:G52" si="0">D83/D$25</f>
        <v>2.9103608847497093E-2</v>
      </c>
      <c r="E48" s="127">
        <f t="shared" si="0"/>
        <v>7.3589533932951756E-2</v>
      </c>
      <c r="F48" s="127">
        <f t="shared" si="0"/>
        <v>7.3589533932951756E-2</v>
      </c>
      <c r="G48" s="127">
        <f t="shared" si="0"/>
        <v>7.3589533932951756E-2</v>
      </c>
      <c r="H48" s="1660"/>
      <c r="I48" s="283"/>
      <c r="J48" s="59"/>
    </row>
    <row r="49" spans="2:10">
      <c r="B49" s="60" t="s">
        <v>28</v>
      </c>
      <c r="C49" s="1469" t="s">
        <v>2644</v>
      </c>
      <c r="D49" s="127">
        <f t="shared" si="0"/>
        <v>0</v>
      </c>
      <c r="E49" s="127">
        <f t="shared" si="0"/>
        <v>0</v>
      </c>
      <c r="F49" s="127">
        <f t="shared" si="0"/>
        <v>0</v>
      </c>
      <c r="G49" s="127">
        <f t="shared" si="0"/>
        <v>0</v>
      </c>
      <c r="H49" s="90"/>
      <c r="I49" s="283"/>
      <c r="J49" s="59"/>
    </row>
    <row r="50" spans="2:10">
      <c r="B50" s="60" t="s">
        <v>26</v>
      </c>
      <c r="C50" s="1469" t="s">
        <v>2644</v>
      </c>
      <c r="D50" s="127">
        <f t="shared" si="0"/>
        <v>0</v>
      </c>
      <c r="E50" s="127">
        <f t="shared" si="0"/>
        <v>0</v>
      </c>
      <c r="F50" s="127">
        <f t="shared" si="0"/>
        <v>0</v>
      </c>
      <c r="G50" s="127">
        <f t="shared" si="0"/>
        <v>0</v>
      </c>
      <c r="H50" s="212"/>
      <c r="I50" s="283"/>
      <c r="J50" s="59"/>
    </row>
    <row r="51" spans="2:10">
      <c r="B51" s="60" t="s">
        <v>167</v>
      </c>
      <c r="C51" s="1469" t="s">
        <v>2644</v>
      </c>
      <c r="D51" s="127">
        <f t="shared" si="0"/>
        <v>0.10477299185098952</v>
      </c>
      <c r="E51" s="127">
        <f t="shared" si="0"/>
        <v>6.5412919051512669E-2</v>
      </c>
      <c r="F51" s="127">
        <f t="shared" si="0"/>
        <v>6.5412919051512669E-2</v>
      </c>
      <c r="G51" s="127">
        <f t="shared" si="0"/>
        <v>6.5412919051512669E-2</v>
      </c>
      <c r="H51" s="90"/>
      <c r="I51" s="283"/>
      <c r="J51" s="59"/>
    </row>
    <row r="52" spans="2:10">
      <c r="B52" s="60" t="s">
        <v>45</v>
      </c>
      <c r="C52" s="1469" t="s">
        <v>2644</v>
      </c>
      <c r="D52" s="127">
        <f t="shared" si="0"/>
        <v>2.9103608847497091E-3</v>
      </c>
      <c r="E52" s="127">
        <f t="shared" si="0"/>
        <v>4.0883074407195418E-3</v>
      </c>
      <c r="F52" s="127">
        <f t="shared" si="0"/>
        <v>4.0883074407195418E-3</v>
      </c>
      <c r="G52" s="127">
        <f t="shared" si="0"/>
        <v>4.0883074407195418E-3</v>
      </c>
      <c r="H52" s="90"/>
      <c r="I52" s="283"/>
      <c r="J52" s="59"/>
    </row>
    <row r="53" spans="2:10">
      <c r="B53" s="60"/>
      <c r="C53" s="75"/>
      <c r="D53" s="104"/>
      <c r="E53" s="65"/>
      <c r="F53" s="65"/>
      <c r="G53" s="455"/>
      <c r="H53" s="90"/>
      <c r="I53" s="283"/>
      <c r="J53" s="59"/>
    </row>
    <row r="54" spans="2:10">
      <c r="B54" s="418" t="s">
        <v>20</v>
      </c>
      <c r="C54" s="75"/>
      <c r="D54" s="90"/>
      <c r="E54" s="104"/>
      <c r="F54" s="104"/>
      <c r="G54" s="213"/>
      <c r="H54" s="1660"/>
      <c r="I54" s="283"/>
      <c r="J54" s="59"/>
    </row>
    <row r="55" spans="2:10">
      <c r="B55" s="60" t="s">
        <v>24</v>
      </c>
      <c r="C55" s="1469" t="s">
        <v>2644</v>
      </c>
      <c r="D55" s="424"/>
      <c r="E55" s="424"/>
      <c r="F55" s="424"/>
      <c r="G55" s="424"/>
      <c r="H55" s="1660"/>
      <c r="I55" s="283"/>
      <c r="J55" s="278" t="s">
        <v>850</v>
      </c>
    </row>
    <row r="56" spans="2:10">
      <c r="B56" s="60" t="s">
        <v>27</v>
      </c>
      <c r="C56" s="1469" t="s">
        <v>2644</v>
      </c>
      <c r="D56" s="419">
        <f t="shared" ref="D56:F60" si="1">D48</f>
        <v>2.9103608847497093E-2</v>
      </c>
      <c r="E56" s="419">
        <f t="shared" si="1"/>
        <v>7.3589533932951756E-2</v>
      </c>
      <c r="F56" s="419">
        <f t="shared" si="1"/>
        <v>7.3589533932951756E-2</v>
      </c>
      <c r="G56" s="419">
        <f>G48</f>
        <v>7.3589533932951756E-2</v>
      </c>
      <c r="H56" s="1661"/>
      <c r="I56" s="283"/>
      <c r="J56" s="59"/>
    </row>
    <row r="57" spans="2:10">
      <c r="B57" s="60" t="s">
        <v>28</v>
      </c>
      <c r="C57" s="1469" t="s">
        <v>2644</v>
      </c>
      <c r="D57" s="419">
        <f t="shared" si="1"/>
        <v>0</v>
      </c>
      <c r="E57" s="419">
        <f t="shared" si="1"/>
        <v>0</v>
      </c>
      <c r="F57" s="419">
        <f t="shared" si="1"/>
        <v>0</v>
      </c>
      <c r="G57" s="419">
        <f>G49</f>
        <v>0</v>
      </c>
      <c r="H57" s="1661"/>
      <c r="I57" s="283"/>
      <c r="J57" s="59"/>
    </row>
    <row r="58" spans="2:10">
      <c r="B58" s="60" t="s">
        <v>26</v>
      </c>
      <c r="C58" s="1469" t="s">
        <v>2644</v>
      </c>
      <c r="D58" s="419">
        <f t="shared" si="1"/>
        <v>0</v>
      </c>
      <c r="E58" s="419">
        <f t="shared" si="1"/>
        <v>0</v>
      </c>
      <c r="F58" s="419">
        <f t="shared" si="1"/>
        <v>0</v>
      </c>
      <c r="G58" s="419">
        <f>G50</f>
        <v>0</v>
      </c>
      <c r="H58" s="1661"/>
      <c r="I58" s="283"/>
      <c r="J58" s="59"/>
    </row>
    <row r="59" spans="2:10">
      <c r="B59" s="60" t="s">
        <v>167</v>
      </c>
      <c r="C59" s="1469" t="s">
        <v>2644</v>
      </c>
      <c r="D59" s="419">
        <f t="shared" si="1"/>
        <v>0.10477299185098952</v>
      </c>
      <c r="E59" s="419">
        <f t="shared" si="1"/>
        <v>6.5412919051512669E-2</v>
      </c>
      <c r="F59" s="419">
        <f t="shared" si="1"/>
        <v>6.5412919051512669E-2</v>
      </c>
      <c r="G59" s="419">
        <f>G51</f>
        <v>6.5412919051512669E-2</v>
      </c>
      <c r="H59" s="1661"/>
      <c r="I59" s="283"/>
      <c r="J59" s="59"/>
    </row>
    <row r="60" spans="2:10">
      <c r="B60" s="60" t="s">
        <v>45</v>
      </c>
      <c r="C60" s="1469" t="s">
        <v>2644</v>
      </c>
      <c r="D60" s="419">
        <f t="shared" si="1"/>
        <v>2.9103608847497091E-3</v>
      </c>
      <c r="E60" s="419">
        <f t="shared" si="1"/>
        <v>4.0883074407195418E-3</v>
      </c>
      <c r="F60" s="419">
        <f t="shared" si="1"/>
        <v>4.0883074407195418E-3</v>
      </c>
      <c r="G60" s="419">
        <f>G52</f>
        <v>4.0883074407195418E-3</v>
      </c>
      <c r="H60" s="1661"/>
      <c r="I60" s="283"/>
      <c r="J60" s="59"/>
    </row>
    <row r="61" spans="2:10" ht="13.5" thickBot="1">
      <c r="B61" s="128"/>
      <c r="C61" s="114"/>
      <c r="D61" s="129"/>
      <c r="E61" s="69"/>
      <c r="F61" s="69"/>
      <c r="G61" s="244"/>
      <c r="H61" s="218"/>
      <c r="I61" s="1443"/>
      <c r="J61" s="61"/>
    </row>
    <row r="62" spans="2:10">
      <c r="B62" s="120"/>
      <c r="C62" s="120"/>
      <c r="D62" s="120"/>
      <c r="E62" s="120"/>
      <c r="F62" s="120"/>
      <c r="H62" s="1447"/>
      <c r="I62" s="142"/>
      <c r="J62" s="120"/>
    </row>
    <row r="63" spans="2:10">
      <c r="B63" s="120"/>
      <c r="C63" s="120"/>
      <c r="D63" s="120"/>
      <c r="E63" s="120"/>
      <c r="F63" s="120"/>
      <c r="H63" s="1447"/>
      <c r="I63" s="142"/>
      <c r="J63" s="120"/>
    </row>
    <row r="64" spans="2:10" ht="16.5" thickBot="1">
      <c r="B64" s="130" t="s">
        <v>168</v>
      </c>
      <c r="C64" s="120"/>
      <c r="D64" s="120"/>
      <c r="E64" s="120"/>
      <c r="F64" s="120"/>
      <c r="H64" s="1447"/>
      <c r="I64" s="142"/>
      <c r="J64" s="120"/>
    </row>
    <row r="65" spans="2:10">
      <c r="B65" s="63"/>
      <c r="C65" s="71"/>
      <c r="D65" s="64"/>
      <c r="E65" s="64"/>
      <c r="F65" s="64"/>
      <c r="G65" s="221"/>
      <c r="H65" s="1449"/>
      <c r="I65" s="962" t="s">
        <v>145</v>
      </c>
      <c r="J65" s="72" t="s">
        <v>146</v>
      </c>
    </row>
    <row r="66" spans="2:10">
      <c r="B66" s="66"/>
      <c r="C66" s="73" t="s">
        <v>70</v>
      </c>
      <c r="D66" s="189">
        <v>2015</v>
      </c>
      <c r="E66" s="189">
        <v>2020</v>
      </c>
      <c r="F66" s="189">
        <v>2035</v>
      </c>
      <c r="G66" s="189">
        <v>2050</v>
      </c>
      <c r="H66" s="1507"/>
      <c r="I66" s="556"/>
      <c r="J66" s="68"/>
    </row>
    <row r="67" spans="2:10">
      <c r="B67" s="192" t="s">
        <v>266</v>
      </c>
      <c r="C67" s="241" t="s">
        <v>1027</v>
      </c>
      <c r="D67" s="947">
        <f>D68/D70*D69</f>
        <v>0.42040635114503816</v>
      </c>
      <c r="E67" s="947">
        <f>D67*(1-E71)</f>
        <v>0.38551262400000003</v>
      </c>
      <c r="F67" s="947">
        <f>E67</f>
        <v>0.38551262400000003</v>
      </c>
      <c r="G67" s="947">
        <f>F67</f>
        <v>0.38551262400000003</v>
      </c>
      <c r="H67" s="1662"/>
      <c r="I67" s="555"/>
      <c r="J67" s="178"/>
    </row>
    <row r="68" spans="2:10">
      <c r="B68" s="192" t="s">
        <v>1028</v>
      </c>
      <c r="C68" s="241" t="s">
        <v>1027</v>
      </c>
      <c r="D68" s="957">
        <f>'Std benzin motor'!D67</f>
        <v>0.38034000000000001</v>
      </c>
      <c r="E68" s="957"/>
      <c r="F68" s="957"/>
      <c r="G68" s="957"/>
      <c r="H68" s="955"/>
      <c r="I68" s="283"/>
      <c r="J68" s="178"/>
    </row>
    <row r="69" spans="2:10">
      <c r="B69" s="192" t="s">
        <v>1071</v>
      </c>
      <c r="C69" s="241" t="s">
        <v>59</v>
      </c>
      <c r="D69" s="955">
        <v>1448</v>
      </c>
      <c r="E69" s="955"/>
      <c r="F69" s="955"/>
      <c r="G69" s="955"/>
      <c r="H69" s="956"/>
      <c r="I69" s="283" t="str">
        <f>CONCATENATE(Referencer!$B$40)</f>
        <v>34, JEC - Joint Research Centre-EUCAR-CONCAWE collaboration, Tank to Wheels Report, version 4.0, July 2013</v>
      </c>
      <c r="J69" s="178" t="s">
        <v>2669</v>
      </c>
    </row>
    <row r="70" spans="2:10">
      <c r="B70" s="192" t="s">
        <v>1031</v>
      </c>
      <c r="C70" s="241" t="s">
        <v>59</v>
      </c>
      <c r="D70" s="956">
        <f>'Std benzin motor'!D68</f>
        <v>1310</v>
      </c>
      <c r="E70" s="956"/>
      <c r="F70" s="956"/>
      <c r="G70" s="956"/>
      <c r="H70" s="1662"/>
      <c r="I70" s="555"/>
      <c r="J70" s="178"/>
    </row>
    <row r="71" spans="2:10">
      <c r="B71" s="192" t="s">
        <v>1067</v>
      </c>
      <c r="C71" s="241" t="s">
        <v>29</v>
      </c>
      <c r="D71" s="905"/>
      <c r="E71" s="954">
        <v>8.3000000000000004E-2</v>
      </c>
      <c r="F71" s="876"/>
      <c r="G71" s="876"/>
      <c r="H71" s="1662"/>
      <c r="I71" s="283" t="str">
        <f>CONCATENATE(Referencer!$B$40)</f>
        <v>34, JEC - Joint Research Centre-EUCAR-CONCAWE collaboration, Tank to Wheels Report, version 4.0, July 2013</v>
      </c>
      <c r="J71" s="178" t="s">
        <v>1072</v>
      </c>
    </row>
    <row r="72" spans="2:10">
      <c r="B72" s="60" t="s">
        <v>268</v>
      </c>
      <c r="C72" s="83" t="s">
        <v>269</v>
      </c>
      <c r="D72" s="922">
        <v>18000</v>
      </c>
      <c r="E72" s="922">
        <v>18000</v>
      </c>
      <c r="F72" s="922">
        <v>18000</v>
      </c>
      <c r="G72" s="922">
        <v>18000</v>
      </c>
      <c r="H72" s="1486"/>
      <c r="I72" s="555"/>
      <c r="J72" s="59"/>
    </row>
    <row r="73" spans="2:10">
      <c r="B73" s="60" t="s">
        <v>260</v>
      </c>
      <c r="C73" s="83" t="s">
        <v>261</v>
      </c>
      <c r="D73" s="65">
        <f>+D67*D72/1000</f>
        <v>7.567314320610687</v>
      </c>
      <c r="E73" s="65">
        <f>+E67*E72/1000</f>
        <v>6.9392272320000004</v>
      </c>
      <c r="F73" s="65">
        <f>+F67*F72/1000</f>
        <v>6.9392272320000004</v>
      </c>
      <c r="G73" s="455">
        <f>+G67*G72/1000</f>
        <v>6.9392272320000004</v>
      </c>
      <c r="H73" s="1471"/>
      <c r="I73" s="555"/>
      <c r="J73" s="59" t="s">
        <v>270</v>
      </c>
    </row>
    <row r="74" spans="2:10">
      <c r="B74" s="60" t="s">
        <v>271</v>
      </c>
      <c r="C74" s="83" t="s">
        <v>263</v>
      </c>
      <c r="D74" s="93">
        <f>D75*1000/D67</f>
        <v>832.52786035873112</v>
      </c>
      <c r="E74" s="93">
        <f>E75*1000/E67</f>
        <v>907.88207236502842</v>
      </c>
      <c r="F74" s="93">
        <f>F75*1000/F67</f>
        <v>907.88207236502842</v>
      </c>
      <c r="G74" s="405">
        <f>G75*1000/G67</f>
        <v>907.88207236502842</v>
      </c>
      <c r="H74" s="1577"/>
      <c r="I74" s="555"/>
      <c r="J74" s="59" t="s">
        <v>272</v>
      </c>
    </row>
    <row r="75" spans="2:10">
      <c r="B75" s="60" t="s">
        <v>271</v>
      </c>
      <c r="C75" s="83" t="s">
        <v>55</v>
      </c>
      <c r="D75" s="927">
        <v>0.35</v>
      </c>
      <c r="E75" s="928">
        <v>0.35</v>
      </c>
      <c r="F75" s="928">
        <v>0.35</v>
      </c>
      <c r="G75" s="928">
        <v>0.35</v>
      </c>
      <c r="H75" s="352"/>
      <c r="I75" s="1442" t="str">
        <f>+Referencer!B9</f>
        <v>3, Transportøkonomiske enhedspriser 2010, DTU , Institut for transport</v>
      </c>
      <c r="J75" s="59"/>
    </row>
    <row r="76" spans="2:10">
      <c r="B76" s="60" t="s">
        <v>510</v>
      </c>
      <c r="C76" s="83" t="s">
        <v>29</v>
      </c>
      <c r="D76" s="95"/>
      <c r="E76" s="925">
        <v>0.215</v>
      </c>
      <c r="F76" s="926">
        <v>0.3</v>
      </c>
      <c r="G76" s="926">
        <v>0.3</v>
      </c>
      <c r="H76" s="352"/>
      <c r="I76" s="1442" t="str">
        <f>+Referencer!B13</f>
        <v>7, EU kommisionens forordning nr. 692/2008 om EURO V og VI normer</v>
      </c>
      <c r="J76" s="59" t="s">
        <v>519</v>
      </c>
    </row>
    <row r="77" spans="2:10" ht="13.5" thickBot="1">
      <c r="B77" s="62"/>
      <c r="C77" s="84"/>
      <c r="D77" s="69"/>
      <c r="E77" s="69"/>
      <c r="F77" s="69"/>
      <c r="G77" s="244"/>
      <c r="H77" s="1501"/>
      <c r="I77" s="968"/>
      <c r="J77" s="61"/>
    </row>
    <row r="78" spans="2:10">
      <c r="B78" s="120"/>
      <c r="C78" s="120"/>
      <c r="D78" s="120"/>
      <c r="E78" s="120"/>
      <c r="F78" s="120"/>
      <c r="H78" s="1447"/>
      <c r="I78" s="142"/>
      <c r="J78" s="120"/>
    </row>
    <row r="79" spans="2:10" ht="16.5" thickBot="1">
      <c r="B79" s="130" t="s">
        <v>172</v>
      </c>
      <c r="C79" s="120"/>
      <c r="D79" s="120"/>
      <c r="E79" s="120"/>
      <c r="F79" s="120"/>
      <c r="H79" s="1447"/>
      <c r="I79" s="142"/>
      <c r="J79" s="120"/>
    </row>
    <row r="80" spans="2:10">
      <c r="B80" s="63"/>
      <c r="C80" s="64"/>
      <c r="D80" s="435"/>
      <c r="E80" s="435"/>
      <c r="F80" s="435"/>
      <c r="G80" s="435"/>
      <c r="H80" s="1449"/>
      <c r="I80" s="962"/>
      <c r="J80" s="72"/>
    </row>
    <row r="81" spans="2:10">
      <c r="B81" s="60"/>
      <c r="C81" s="65"/>
      <c r="D81" s="65"/>
      <c r="E81" s="65"/>
      <c r="F81" s="65"/>
      <c r="G81" s="455"/>
      <c r="H81" s="1471"/>
      <c r="I81" s="555"/>
      <c r="J81" s="59"/>
    </row>
    <row r="82" spans="2:10">
      <c r="B82" s="60" t="s">
        <v>24</v>
      </c>
      <c r="C82" s="65" t="s">
        <v>7</v>
      </c>
      <c r="D82" s="132"/>
      <c r="E82" s="144"/>
      <c r="F82" s="144"/>
      <c r="G82" s="144"/>
      <c r="H82" s="885"/>
      <c r="I82" s="555"/>
      <c r="J82" s="59" t="s">
        <v>2668</v>
      </c>
    </row>
    <row r="83" spans="2:10">
      <c r="B83" s="60" t="s">
        <v>27</v>
      </c>
      <c r="C83" s="65" t="s">
        <v>7</v>
      </c>
      <c r="D83" s="133">
        <v>0.05</v>
      </c>
      <c r="E83" s="133">
        <v>0.09</v>
      </c>
      <c r="F83" s="133">
        <v>0.09</v>
      </c>
      <c r="G83" s="133">
        <v>0.09</v>
      </c>
      <c r="H83" s="886"/>
      <c r="I83" s="1442" t="str">
        <f>CONCATENATE(Referencer!$B$13)</f>
        <v>7, EU kommisionens forordning nr. 692/2008 om EURO V og VI normer</v>
      </c>
      <c r="J83" s="59" t="s">
        <v>2317</v>
      </c>
    </row>
    <row r="84" spans="2:10">
      <c r="B84" s="60" t="s">
        <v>28</v>
      </c>
      <c r="C84" s="65" t="s">
        <v>7</v>
      </c>
      <c r="D84" s="133"/>
      <c r="E84" s="133"/>
      <c r="F84" s="133"/>
      <c r="G84" s="133"/>
      <c r="H84" s="886"/>
      <c r="I84" s="1442" t="str">
        <f>CONCATENATE(Referencer!$B$13)</f>
        <v>7, EU kommisionens forordning nr. 692/2008 om EURO V og VI normer</v>
      </c>
      <c r="J84" s="59" t="s">
        <v>274</v>
      </c>
    </row>
    <row r="85" spans="2:10">
      <c r="B85" s="60" t="s">
        <v>26</v>
      </c>
      <c r="C85" s="65" t="s">
        <v>7</v>
      </c>
      <c r="D85" s="133"/>
      <c r="E85" s="133"/>
      <c r="F85" s="133"/>
      <c r="G85" s="133"/>
      <c r="H85" s="886"/>
      <c r="I85" s="1442" t="str">
        <f>CONCATENATE(Referencer!$B$13)</f>
        <v>7, EU kommisionens forordning nr. 692/2008 om EURO V og VI normer</v>
      </c>
      <c r="J85" s="59" t="s">
        <v>275</v>
      </c>
    </row>
    <row r="86" spans="2:10">
      <c r="B86" s="60" t="s">
        <v>167</v>
      </c>
      <c r="C86" s="65" t="s">
        <v>7</v>
      </c>
      <c r="D86" s="133">
        <v>0.18</v>
      </c>
      <c r="E86" s="133">
        <v>0.08</v>
      </c>
      <c r="F86" s="133">
        <v>0.08</v>
      </c>
      <c r="G86" s="133">
        <v>0.08</v>
      </c>
      <c r="H86" s="886"/>
      <c r="I86" s="1442" t="str">
        <f>CONCATENATE(Referencer!$B$13)</f>
        <v>7, EU kommisionens forordning nr. 692/2008 om EURO V og VI normer</v>
      </c>
      <c r="J86" s="59"/>
    </row>
    <row r="87" spans="2:10">
      <c r="B87" s="60" t="s">
        <v>45</v>
      </c>
      <c r="C87" s="65" t="s">
        <v>7</v>
      </c>
      <c r="D87" s="133">
        <v>5.0000000000000001E-3</v>
      </c>
      <c r="E87" s="133">
        <v>5.0000000000000001E-3</v>
      </c>
      <c r="F87" s="133">
        <v>5.0000000000000001E-3</v>
      </c>
      <c r="G87" s="133">
        <v>5.0000000000000001E-3</v>
      </c>
      <c r="H87" s="886"/>
      <c r="I87" s="1442" t="str">
        <f>CONCATENATE(Referencer!$B$13)</f>
        <v>7, EU kommisionens forordning nr. 692/2008 om EURO V og VI normer</v>
      </c>
      <c r="J87" s="59"/>
    </row>
    <row r="88" spans="2:10" ht="13.5" thickBot="1">
      <c r="B88" s="62"/>
      <c r="C88" s="69"/>
      <c r="D88" s="69"/>
      <c r="E88" s="69"/>
      <c r="F88" s="69"/>
      <c r="G88" s="244"/>
      <c r="H88" s="1501"/>
      <c r="I88" s="69"/>
      <c r="J88" s="266"/>
    </row>
    <row r="90" spans="2:10">
      <c r="H90" s="134"/>
    </row>
    <row r="91" spans="2:10">
      <c r="H91" s="134"/>
    </row>
    <row r="92" spans="2:10">
      <c r="H92" s="134"/>
    </row>
    <row r="93" spans="2:10">
      <c r="H93" s="134"/>
    </row>
    <row r="94" spans="2:10">
      <c r="H94" s="134"/>
    </row>
  </sheetData>
  <pageMargins left="0.15748031496062992" right="0.15748031496062992" top="1.25" bottom="0.19685039370078741" header="0.51181102362204722" footer="0.51181102362204722"/>
  <pageSetup paperSize="9" scale="60" orientation="landscape" r:id="rId1"/>
  <headerFooter alignWithMargins="0">
    <oddHeader>&amp;L&amp;"Arial"&amp;14&amp;BBeregningsmodel
&amp;"Arial"&amp;08&amp;B64329, Teknologivurdering af alternative drivmidler til transportsektoren&amp;R&amp;"Arial"&amp;08Page &amp;P of &amp;N</oddHeader>
    <oddFooter>&amp;L&amp;"Arial"&amp;08&amp;Z&amp;F
Sheet: &amp;A&amp;C&amp;"Arial"&amp;08Printed &amp;D &amp;T&amp;R&amp;G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3251" r:id="rId5" name="Button 3">
              <controlPr defaultSize="0" print="0" autoFill="0" autoPict="0" macro="[0]!GtOver">
                <anchor>
                  <from>
                    <xdr:col>7</xdr:col>
                    <xdr:colOff>180975</xdr:colOff>
                    <xdr:row>0</xdr:row>
                    <xdr:rowOff>38100</xdr:rowOff>
                  </from>
                  <to>
                    <xdr:col>8</xdr:col>
                    <xdr:colOff>200025</xdr:colOff>
                    <xdr:row>0</xdr:row>
                    <xdr:rowOff>238125</xdr:rowOff>
                  </to>
                </anchor>
              </controlPr>
            </control>
          </mc:Choice>
        </mc:AlternateContent>
        <mc:AlternateContent xmlns:mc="http://schemas.openxmlformats.org/markup-compatibility/2006">
          <mc:Choice Requires="x14">
            <control shapeId="53252" r:id="rId6" name="Button 4">
              <controlPr defaultSize="0" print="0" autoFill="0" autoPict="0" macro="[0]!GtRes">
                <anchor>
                  <from>
                    <xdr:col>8</xdr:col>
                    <xdr:colOff>371475</xdr:colOff>
                    <xdr:row>0</xdr:row>
                    <xdr:rowOff>38100</xdr:rowOff>
                  </from>
                  <to>
                    <xdr:col>9</xdr:col>
                    <xdr:colOff>942975</xdr:colOff>
                    <xdr:row>0</xdr:row>
                    <xdr:rowOff>238125</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rgb="FF002060"/>
    <pageSetUpPr fitToPage="1"/>
  </sheetPr>
  <dimension ref="B1:S94"/>
  <sheetViews>
    <sheetView topLeftCell="A16" zoomScale="80" zoomScaleNormal="80" workbookViewId="0">
      <selection activeCell="H55" sqref="H55:H88"/>
    </sheetView>
  </sheetViews>
  <sheetFormatPr defaultColWidth="8.85546875" defaultRowHeight="12.75"/>
  <cols>
    <col min="1" max="1" width="2.85546875" style="172" customWidth="1"/>
    <col min="2" max="2" width="35" style="172" customWidth="1"/>
    <col min="3" max="3" width="18" style="172" customWidth="1"/>
    <col min="4" max="8" width="15.85546875" style="172" customWidth="1"/>
    <col min="9" max="9" width="7.140625" style="172" customWidth="1"/>
    <col min="10" max="10" width="37.42578125" style="172" customWidth="1"/>
    <col min="11" max="14" width="9" style="172" customWidth="1"/>
    <col min="15" max="15" width="37.85546875" style="172" customWidth="1"/>
    <col min="16" max="18" width="8.85546875" style="172"/>
    <col min="19" max="19" width="9.140625" style="172" customWidth="1"/>
    <col min="20" max="16384" width="8.85546875" style="172"/>
  </cols>
  <sheetData>
    <row r="1" spans="2:19" s="2403" customFormat="1" ht="21">
      <c r="B1" s="2403" t="s">
        <v>295</v>
      </c>
      <c r="Q1" s="2403">
        <f ca="1">'Log2015'!M1</f>
        <v>-8.0112614142160741</v>
      </c>
      <c r="R1" s="2405">
        <f ca="1">'Log2015'!N1</f>
        <v>-160807.124977848</v>
      </c>
      <c r="S1" s="2406"/>
    </row>
    <row r="2" spans="2:19">
      <c r="R2" s="626">
        <f ca="1">R1</f>
        <v>-160807.124977848</v>
      </c>
      <c r="S2" s="626">
        <f>S1</f>
        <v>0</v>
      </c>
    </row>
    <row r="4" spans="2:19" ht="13.5" thickBot="1">
      <c r="B4" s="171" t="s">
        <v>81</v>
      </c>
    </row>
    <row r="5" spans="2:19">
      <c r="B5" s="173" t="s">
        <v>137</v>
      </c>
      <c r="C5" s="174"/>
      <c r="D5" s="174"/>
      <c r="E5" s="174"/>
      <c r="F5" s="174"/>
      <c r="G5" s="174"/>
      <c r="H5" s="221"/>
      <c r="I5" s="174"/>
      <c r="J5" s="174"/>
      <c r="K5" s="174"/>
      <c r="L5" s="174"/>
      <c r="M5" s="174"/>
      <c r="N5" s="175"/>
    </row>
    <row r="6" spans="2:19">
      <c r="B6" s="176" t="s">
        <v>373</v>
      </c>
      <c r="C6" s="177"/>
      <c r="D6" s="177"/>
      <c r="E6" s="177"/>
      <c r="F6" s="177"/>
      <c r="G6" s="386"/>
      <c r="H6" s="455"/>
      <c r="I6" s="177"/>
      <c r="J6" s="177"/>
      <c r="K6" s="177"/>
      <c r="L6" s="177"/>
      <c r="M6" s="177"/>
      <c r="N6" s="178"/>
    </row>
    <row r="7" spans="2:19">
      <c r="B7" s="176" t="s">
        <v>374</v>
      </c>
      <c r="C7" s="177"/>
      <c r="D7" s="177"/>
      <c r="E7" s="177"/>
      <c r="F7" s="177"/>
      <c r="G7" s="386"/>
      <c r="H7" s="455"/>
      <c r="I7" s="177"/>
      <c r="J7" s="177"/>
      <c r="K7" s="177"/>
      <c r="L7" s="177"/>
      <c r="M7" s="177"/>
      <c r="N7" s="178"/>
    </row>
    <row r="8" spans="2:19">
      <c r="B8" s="317" t="s">
        <v>1051</v>
      </c>
      <c r="C8" s="177"/>
      <c r="D8" s="177"/>
      <c r="E8" s="177"/>
      <c r="F8" s="177"/>
      <c r="G8" s="386"/>
      <c r="H8" s="455"/>
      <c r="I8" s="177"/>
      <c r="J8" s="177"/>
      <c r="K8" s="177"/>
      <c r="L8" s="177"/>
      <c r="M8" s="177"/>
      <c r="N8" s="178"/>
    </row>
    <row r="9" spans="2:19">
      <c r="B9" s="179"/>
      <c r="C9" s="177"/>
      <c r="D9" s="177"/>
      <c r="E9" s="177"/>
      <c r="F9" s="177"/>
      <c r="G9" s="386"/>
      <c r="H9" s="455"/>
      <c r="I9" s="177"/>
      <c r="J9" s="177"/>
      <c r="K9" s="177"/>
      <c r="L9" s="177"/>
      <c r="M9" s="177"/>
      <c r="N9" s="178"/>
    </row>
    <row r="10" spans="2:19">
      <c r="B10" s="179"/>
      <c r="C10" s="177"/>
      <c r="D10" s="177"/>
      <c r="E10" s="177"/>
      <c r="F10" s="177"/>
      <c r="G10" s="386"/>
      <c r="H10" s="455"/>
      <c r="I10" s="177"/>
      <c r="J10" s="177"/>
      <c r="K10" s="177"/>
      <c r="L10" s="177"/>
      <c r="M10" s="177"/>
      <c r="N10" s="178"/>
    </row>
    <row r="11" spans="2:19">
      <c r="B11" s="180" t="s">
        <v>256</v>
      </c>
      <c r="C11" s="177"/>
      <c r="D11" s="177"/>
      <c r="E11" s="177"/>
      <c r="F11" s="177"/>
      <c r="G11" s="386"/>
      <c r="H11" s="455"/>
      <c r="I11" s="177"/>
      <c r="J11" s="177"/>
      <c r="K11" s="177"/>
      <c r="L11" s="177"/>
      <c r="M11" s="177"/>
      <c r="N11" s="178"/>
    </row>
    <row r="12" spans="2:19">
      <c r="B12" s="176" t="s">
        <v>375</v>
      </c>
      <c r="C12" s="177"/>
      <c r="D12" s="177"/>
      <c r="E12" s="177"/>
      <c r="F12" s="177"/>
      <c r="G12" s="386"/>
      <c r="H12" s="455"/>
      <c r="I12" s="177"/>
      <c r="J12" s="177"/>
      <c r="K12" s="177"/>
      <c r="L12" s="177"/>
      <c r="M12" s="177"/>
      <c r="N12" s="178"/>
    </row>
    <row r="13" spans="2:19">
      <c r="B13" s="176" t="s">
        <v>376</v>
      </c>
      <c r="C13" s="177"/>
      <c r="D13" s="177"/>
      <c r="E13" s="177"/>
      <c r="F13" s="177"/>
      <c r="G13" s="386"/>
      <c r="H13" s="455"/>
      <c r="I13" s="177"/>
      <c r="J13" s="177"/>
      <c r="K13" s="177"/>
      <c r="L13" s="177"/>
      <c r="M13" s="177"/>
      <c r="N13" s="178"/>
    </row>
    <row r="14" spans="2:19">
      <c r="B14" s="180" t="s">
        <v>143</v>
      </c>
      <c r="C14" s="177"/>
      <c r="D14" s="177"/>
      <c r="E14" s="177"/>
      <c r="F14" s="177"/>
      <c r="G14" s="386"/>
      <c r="H14" s="455"/>
      <c r="I14" s="177"/>
      <c r="J14" s="177"/>
      <c r="K14" s="177"/>
      <c r="L14" s="177"/>
      <c r="M14" s="177"/>
      <c r="N14" s="178"/>
    </row>
    <row r="15" spans="2:19">
      <c r="B15" s="179"/>
      <c r="C15" s="177"/>
      <c r="D15" s="177"/>
      <c r="E15" s="177"/>
      <c r="F15" s="177"/>
      <c r="G15" s="386"/>
      <c r="H15" s="455"/>
      <c r="I15" s="177"/>
      <c r="J15" s="177"/>
      <c r="K15" s="177"/>
      <c r="L15" s="177"/>
      <c r="M15" s="177"/>
      <c r="N15" s="178"/>
    </row>
    <row r="16" spans="2:19">
      <c r="B16" s="179"/>
      <c r="C16" s="177"/>
      <c r="D16" s="177"/>
      <c r="E16" s="177"/>
      <c r="F16" s="177"/>
      <c r="G16" s="386"/>
      <c r="H16" s="455"/>
      <c r="I16" s="177"/>
      <c r="J16" s="177"/>
      <c r="K16" s="177"/>
      <c r="L16" s="177"/>
      <c r="M16" s="177"/>
      <c r="N16" s="178"/>
    </row>
    <row r="17" spans="2:14" ht="13.5" thickBot="1">
      <c r="B17" s="181"/>
      <c r="C17" s="182"/>
      <c r="D17" s="182"/>
      <c r="E17" s="182"/>
      <c r="F17" s="182"/>
      <c r="G17" s="182"/>
      <c r="H17" s="244"/>
      <c r="I17" s="182"/>
      <c r="J17" s="182"/>
      <c r="K17" s="182"/>
      <c r="L17" s="182"/>
      <c r="M17" s="182"/>
      <c r="N17" s="183"/>
    </row>
    <row r="19" spans="2:14" ht="13.5" thickBot="1">
      <c r="B19" s="171" t="s">
        <v>144</v>
      </c>
      <c r="E19" s="184"/>
    </row>
    <row r="20" spans="2:14">
      <c r="B20" s="63"/>
      <c r="C20" s="71"/>
      <c r="D20" s="151"/>
      <c r="E20" s="64"/>
      <c r="F20" s="64"/>
      <c r="G20" s="221"/>
      <c r="H20" s="221"/>
      <c r="I20" s="64" t="s">
        <v>145</v>
      </c>
      <c r="J20" s="72" t="s">
        <v>146</v>
      </c>
    </row>
    <row r="21" spans="2:14">
      <c r="B21" s="66"/>
      <c r="C21" s="73" t="s">
        <v>70</v>
      </c>
      <c r="D21" s="152">
        <v>2015</v>
      </c>
      <c r="E21" s="74">
        <v>2020</v>
      </c>
      <c r="F21" s="74">
        <v>2035</v>
      </c>
      <c r="G21" s="225">
        <v>2050</v>
      </c>
      <c r="H21" s="225" t="s">
        <v>978</v>
      </c>
      <c r="I21" s="67"/>
      <c r="J21" s="68"/>
    </row>
    <row r="22" spans="2:14">
      <c r="B22" s="101" t="s">
        <v>257</v>
      </c>
      <c r="C22" s="75"/>
      <c r="D22" s="153"/>
      <c r="E22" s="97"/>
      <c r="F22" s="97"/>
      <c r="G22" s="209"/>
      <c r="H22" s="209"/>
      <c r="I22" s="555"/>
      <c r="J22" s="59"/>
    </row>
    <row r="23" spans="2:14">
      <c r="B23" s="122" t="s">
        <v>848</v>
      </c>
      <c r="C23" s="75" t="s">
        <v>292</v>
      </c>
      <c r="D23" s="872">
        <f>D67/D25</f>
        <v>0.17997574865352448</v>
      </c>
      <c r="E23" s="281">
        <f>D23*(1+E76)</f>
        <v>0.21327126215442652</v>
      </c>
      <c r="F23" s="281">
        <f>D23*(1+F76)</f>
        <v>0.23036895827651133</v>
      </c>
      <c r="G23" s="281">
        <f>D23*(1+G76)</f>
        <v>0.23036895827651133</v>
      </c>
      <c r="H23" s="1657"/>
      <c r="I23" s="283"/>
      <c r="J23" s="280"/>
    </row>
    <row r="24" spans="2:14">
      <c r="B24" s="122" t="s">
        <v>849</v>
      </c>
      <c r="C24" s="75" t="s">
        <v>292</v>
      </c>
      <c r="D24" s="416">
        <f>D23</f>
        <v>0.17997574865352448</v>
      </c>
      <c r="E24" s="417">
        <f>E23</f>
        <v>0.21327126215442652</v>
      </c>
      <c r="F24" s="417">
        <f>F23</f>
        <v>0.23036895827651133</v>
      </c>
      <c r="G24" s="417">
        <f>G23</f>
        <v>0.23036895827651133</v>
      </c>
      <c r="H24" s="1657"/>
      <c r="I24" s="283"/>
      <c r="J24" s="280"/>
    </row>
    <row r="25" spans="2:14">
      <c r="B25" s="122" t="s">
        <v>1025</v>
      </c>
      <c r="C25" s="210" t="s">
        <v>1024</v>
      </c>
      <c r="D25" s="913">
        <v>2.323</v>
      </c>
      <c r="E25" s="914">
        <v>1.5249999999999999</v>
      </c>
      <c r="F25" s="936">
        <f>E25</f>
        <v>1.5249999999999999</v>
      </c>
      <c r="G25" s="936">
        <f>F25</f>
        <v>1.5249999999999999</v>
      </c>
      <c r="H25" s="1658"/>
      <c r="I25" s="283" t="str">
        <f>CONCATENATE(Referencer!$B$40)</f>
        <v>34, JEC - Joint Research Centre-EUCAR-CONCAWE collaboration, Tank to Wheels Report, version 4.0, July 2013</v>
      </c>
      <c r="J25" s="280" t="s">
        <v>1050</v>
      </c>
    </row>
    <row r="26" spans="2:14">
      <c r="B26" s="122" t="s">
        <v>1026</v>
      </c>
      <c r="C26" s="210" t="s">
        <v>1024</v>
      </c>
      <c r="D26" s="416"/>
      <c r="E26" s="417"/>
      <c r="F26" s="417"/>
      <c r="G26" s="417"/>
      <c r="H26" s="1658"/>
      <c r="I26" s="283"/>
      <c r="J26" s="280"/>
    </row>
    <row r="27" spans="2:14">
      <c r="B27" s="82" t="s">
        <v>98</v>
      </c>
      <c r="C27" s="75" t="s">
        <v>259</v>
      </c>
      <c r="D27" s="154">
        <v>16.3</v>
      </c>
      <c r="E27" s="76">
        <v>16.3</v>
      </c>
      <c r="F27" s="76">
        <v>16.3</v>
      </c>
      <c r="G27" s="212">
        <v>16.3</v>
      </c>
      <c r="H27" s="212"/>
      <c r="I27" s="1442" t="str">
        <f>+Referencer!B12</f>
        <v>6, Nyt fra Danmarks Statistik, Motorparken 2010.</v>
      </c>
      <c r="J27" s="59"/>
    </row>
    <row r="28" spans="2:14">
      <c r="B28" s="82" t="s">
        <v>260</v>
      </c>
      <c r="C28" s="75" t="s">
        <v>261</v>
      </c>
      <c r="D28" s="155">
        <f>+D73</f>
        <v>7.525505954198473</v>
      </c>
      <c r="E28" s="124">
        <f>+E73</f>
        <v>6.9385164897709926</v>
      </c>
      <c r="F28" s="124">
        <f>+F73</f>
        <v>6.9385164897709926</v>
      </c>
      <c r="G28" s="124">
        <f>+G73</f>
        <v>6.9385164897709926</v>
      </c>
      <c r="H28" s="1659"/>
      <c r="I28" s="283"/>
      <c r="J28" s="59"/>
    </row>
    <row r="29" spans="2:14">
      <c r="B29" s="60"/>
      <c r="C29" s="103"/>
      <c r="D29" s="156"/>
      <c r="E29" s="90"/>
      <c r="F29" s="90"/>
      <c r="G29" s="90"/>
      <c r="H29" s="90"/>
      <c r="I29" s="555"/>
      <c r="J29" s="59"/>
    </row>
    <row r="30" spans="2:14">
      <c r="B30" s="101" t="s">
        <v>33</v>
      </c>
      <c r="C30" s="75"/>
      <c r="D30" s="156"/>
      <c r="E30" s="90"/>
      <c r="F30" s="90"/>
      <c r="G30" s="90"/>
      <c r="H30" s="90"/>
      <c r="I30" s="555"/>
      <c r="J30" s="59"/>
    </row>
    <row r="31" spans="2:14">
      <c r="B31" s="310" t="s">
        <v>157</v>
      </c>
      <c r="C31" s="210" t="s">
        <v>61</v>
      </c>
      <c r="D31" s="992">
        <f>HLOOKUP($H38,Supplementary!$C$44:$AF$46,3,FALSE)*D38</f>
        <v>170603.44227133761</v>
      </c>
      <c r="E31" s="992">
        <f>HLOOKUP($H38,Supplementary!$C$44:$AF$46,3,FALSE)*E38</f>
        <v>170603.44227133761</v>
      </c>
      <c r="F31" s="992">
        <f>HLOOKUP($H38,Supplementary!$C$44:$AF$46,3,FALSE)*F38</f>
        <v>170603.44227133761</v>
      </c>
      <c r="G31" s="992">
        <f>HLOOKUP($H38,Supplementary!$C$44:$AF$46,3,FALSE)*G38</f>
        <v>170603.44227133761</v>
      </c>
      <c r="H31" s="323">
        <f>priceYear</f>
        <v>2015</v>
      </c>
      <c r="I31" s="555"/>
      <c r="J31" s="178"/>
    </row>
    <row r="32" spans="2:14">
      <c r="B32" s="192" t="s">
        <v>262</v>
      </c>
      <c r="C32" s="210" t="s">
        <v>263</v>
      </c>
      <c r="D32" s="992">
        <f ca="1">HLOOKUP($H39,Supplementary!$C$44:$AF$46,3,FALSE)*D39</f>
        <v>2957.495634195081</v>
      </c>
      <c r="E32" s="992">
        <f ca="1">HLOOKUP($H39,Supplementary!$C$44:$AF$46,3,FALSE)*E39</f>
        <v>3207.695915612886</v>
      </c>
      <c r="F32" s="992">
        <f ca="1">HLOOKUP($H39,Supplementary!$C$44:$AF$46,3,FALSE)*F39</f>
        <v>3207.695915612886</v>
      </c>
      <c r="G32" s="992">
        <f ca="1">HLOOKUP($H39,Supplementary!$C$44:$AF$46,3,FALSE)*G39</f>
        <v>3207.695915612886</v>
      </c>
      <c r="H32" s="323">
        <f>priceYear</f>
        <v>2015</v>
      </c>
      <c r="I32" s="555"/>
      <c r="J32" s="178"/>
    </row>
    <row r="33" spans="2:10">
      <c r="B33" s="236" t="s">
        <v>162</v>
      </c>
      <c r="C33" s="210" t="s">
        <v>263</v>
      </c>
      <c r="D33" s="992">
        <f ca="1">HLOOKUP($H40,Supplementary!$C$44:$AF$46,3,FALSE)*D40</f>
        <v>2066.3781209023186</v>
      </c>
      <c r="E33" s="992">
        <f ca="1">HLOOKUP($H40,Supplementary!$C$44:$AF$46,3,FALSE)*E40</f>
        <v>2241.1910205014301</v>
      </c>
      <c r="F33" s="992">
        <f ca="1">HLOOKUP($H40,Supplementary!$C$44:$AF$46,3,FALSE)*F40</f>
        <v>2241.1910205014301</v>
      </c>
      <c r="G33" s="992">
        <f ca="1">HLOOKUP($H40,Supplementary!$C$44:$AF$46,3,FALSE)*G40</f>
        <v>2241.1910205014301</v>
      </c>
      <c r="H33" s="323">
        <f>priceYear</f>
        <v>2015</v>
      </c>
      <c r="I33" s="555"/>
      <c r="J33" s="178"/>
    </row>
    <row r="34" spans="2:10">
      <c r="B34" s="236" t="s">
        <v>163</v>
      </c>
      <c r="C34" s="210" t="s">
        <v>263</v>
      </c>
      <c r="D34" s="992">
        <f>HLOOKUP($H41,Supplementary!$C$44:$AF$46,3,FALSE)*D41</f>
        <v>891.1175132927624</v>
      </c>
      <c r="E34" s="992">
        <f>HLOOKUP($H41,Supplementary!$C$44:$AF$46,3,FALSE)*E41</f>
        <v>966.50489511145599</v>
      </c>
      <c r="F34" s="992">
        <f>HLOOKUP($H41,Supplementary!$C$44:$AF$46,3,FALSE)*F41</f>
        <v>966.50489511145599</v>
      </c>
      <c r="G34" s="992">
        <f>HLOOKUP($H41,Supplementary!$C$44:$AF$46,3,FALSE)*G41</f>
        <v>966.50489511145599</v>
      </c>
      <c r="H34" s="323">
        <f>priceYear</f>
        <v>2015</v>
      </c>
      <c r="I34" s="555"/>
      <c r="J34" s="178"/>
    </row>
    <row r="35" spans="2:10">
      <c r="B35" s="236"/>
      <c r="C35" s="210"/>
      <c r="D35" s="992"/>
      <c r="E35" s="992"/>
      <c r="F35" s="992"/>
      <c r="G35" s="992"/>
      <c r="H35" s="323"/>
      <c r="I35" s="555"/>
      <c r="J35" s="178"/>
    </row>
    <row r="36" spans="2:10">
      <c r="B36" s="236" t="s">
        <v>264</v>
      </c>
      <c r="C36" s="210" t="s">
        <v>263</v>
      </c>
      <c r="D36" s="992">
        <f>HLOOKUP($H43,Supplementary!$C$44:$AF$46,3,FALSE)*D43</f>
        <v>0</v>
      </c>
      <c r="E36" s="992">
        <f>HLOOKUP($H43,Supplementary!$C$44:$AF$46,3,FALSE)*E43</f>
        <v>0</v>
      </c>
      <c r="F36" s="992">
        <f>HLOOKUP($H43,Supplementary!$C$44:$AF$46,3,FALSE)*F43</f>
        <v>0</v>
      </c>
      <c r="G36" s="992">
        <f>HLOOKUP($H43,Supplementary!$C$44:$AF$46,3,FALSE)*G43</f>
        <v>0</v>
      </c>
      <c r="H36" s="323">
        <f>priceYear</f>
        <v>2015</v>
      </c>
      <c r="I36" s="555"/>
      <c r="J36" s="178"/>
    </row>
    <row r="37" spans="2:10">
      <c r="B37" s="216"/>
      <c r="C37" s="210"/>
      <c r="D37" s="156"/>
      <c r="E37" s="90"/>
      <c r="F37" s="90"/>
      <c r="G37" s="90"/>
      <c r="H37" s="90"/>
      <c r="I37" s="555"/>
      <c r="J37" s="178"/>
    </row>
    <row r="38" spans="2:10">
      <c r="B38" s="82" t="s">
        <v>157</v>
      </c>
      <c r="C38" s="75" t="s">
        <v>61</v>
      </c>
      <c r="D38" s="157">
        <v>160272</v>
      </c>
      <c r="E38" s="921">
        <v>160272</v>
      </c>
      <c r="F38" s="921">
        <v>160272</v>
      </c>
      <c r="G38" s="921">
        <v>160272</v>
      </c>
      <c r="H38" s="407">
        <v>2011</v>
      </c>
      <c r="I38" s="283" t="str">
        <f>CONCATENATE(Referencer!$B$11)</f>
        <v>5, Concawe (2011): Well-to-wheels analysis of future automotive fuels and power-trains in the European Context. November 2011.</v>
      </c>
      <c r="J38" s="59"/>
    </row>
    <row r="39" spans="2:10">
      <c r="B39" s="60" t="s">
        <v>262</v>
      </c>
      <c r="C39" s="75" t="s">
        <v>263</v>
      </c>
      <c r="D39" s="158">
        <f ca="1">+SUM(D40:D43)</f>
        <v>2778.3949372476964</v>
      </c>
      <c r="E39" s="107">
        <f ca="1">+SUM(E40:E43)</f>
        <v>3013.443532806612</v>
      </c>
      <c r="F39" s="107">
        <f ca="1">+SUM(F40:F43)</f>
        <v>3013.443532806612</v>
      </c>
      <c r="G39" s="214">
        <f ca="1">+SUM(G40:G43)</f>
        <v>3013.443532806612</v>
      </c>
      <c r="H39" s="407">
        <v>2011</v>
      </c>
      <c r="I39" s="283"/>
      <c r="J39" s="59"/>
    </row>
    <row r="40" spans="2:10">
      <c r="B40" s="111" t="s">
        <v>162</v>
      </c>
      <c r="C40" s="75" t="s">
        <v>263</v>
      </c>
      <c r="D40" s="158">
        <f ca="1">PMT(rSØK,D27,-D38)/D28</f>
        <v>1941.2419221091945</v>
      </c>
      <c r="E40" s="107">
        <f ca="1">PMT(rSØK,E27,-E38)/E28</f>
        <v>2105.4684621574775</v>
      </c>
      <c r="F40" s="107">
        <f ca="1">PMT(rSØK,F27,-F38)/F28</f>
        <v>2105.4684621574775</v>
      </c>
      <c r="G40" s="214">
        <f ca="1">PMT(rSØK,G27,-G38)/G28</f>
        <v>2105.4684621574775</v>
      </c>
      <c r="H40" s="407">
        <v>2011</v>
      </c>
      <c r="I40" s="283"/>
      <c r="J40" s="59"/>
    </row>
    <row r="41" spans="2:10">
      <c r="B41" s="111" t="s">
        <v>163</v>
      </c>
      <c r="C41" s="75" t="s">
        <v>263</v>
      </c>
      <c r="D41" s="159">
        <f>+D74</f>
        <v>837.15301513850181</v>
      </c>
      <c r="E41" s="126">
        <f>+E74</f>
        <v>907.9750706491343</v>
      </c>
      <c r="F41" s="126">
        <f>+F74</f>
        <v>907.9750706491343</v>
      </c>
      <c r="G41" s="195">
        <f>+G74</f>
        <v>907.9750706491343</v>
      </c>
      <c r="H41" s="407">
        <v>2011</v>
      </c>
      <c r="I41" s="1442"/>
      <c r="J41" s="59"/>
    </row>
    <row r="42" spans="2:10">
      <c r="B42" s="111"/>
      <c r="C42" s="75"/>
      <c r="D42" s="156"/>
      <c r="E42" s="90"/>
      <c r="F42" s="90"/>
      <c r="G42" s="90"/>
      <c r="H42" s="407"/>
      <c r="I42" s="283"/>
      <c r="J42" s="59"/>
    </row>
    <row r="43" spans="2:10">
      <c r="B43" s="111" t="s">
        <v>264</v>
      </c>
      <c r="C43" s="75" t="s">
        <v>263</v>
      </c>
      <c r="D43" s="154">
        <v>0</v>
      </c>
      <c r="E43" s="76">
        <v>0</v>
      </c>
      <c r="F43" s="76">
        <v>0</v>
      </c>
      <c r="G43" s="212">
        <v>0</v>
      </c>
      <c r="H43" s="407">
        <v>2011</v>
      </c>
      <c r="I43" s="283"/>
      <c r="J43" s="59"/>
    </row>
    <row r="44" spans="2:10">
      <c r="B44" s="111"/>
      <c r="C44" s="75"/>
      <c r="D44" s="156"/>
      <c r="E44" s="90"/>
      <c r="F44" s="90"/>
      <c r="G44" s="90"/>
      <c r="H44" s="90"/>
      <c r="I44" s="283"/>
      <c r="J44" s="59"/>
    </row>
    <row r="45" spans="2:10">
      <c r="B45" s="101" t="s">
        <v>166</v>
      </c>
      <c r="C45" s="75"/>
      <c r="D45" s="156"/>
      <c r="E45" s="90"/>
      <c r="F45" s="90"/>
      <c r="G45" s="90"/>
      <c r="H45" s="252"/>
      <c r="I45" s="283"/>
      <c r="J45" s="59"/>
    </row>
    <row r="46" spans="2:10">
      <c r="B46" s="418" t="s">
        <v>0</v>
      </c>
      <c r="C46" s="75"/>
      <c r="D46" s="156"/>
      <c r="E46" s="90"/>
      <c r="F46" s="90"/>
      <c r="G46" s="90"/>
      <c r="H46" s="214"/>
      <c r="I46" s="283"/>
      <c r="J46" s="59"/>
    </row>
    <row r="47" spans="2:10">
      <c r="B47" s="60" t="s">
        <v>24</v>
      </c>
      <c r="C47" s="75" t="s">
        <v>293</v>
      </c>
      <c r="D47" s="423"/>
      <c r="E47" s="424"/>
      <c r="F47" s="424"/>
      <c r="G47" s="424"/>
      <c r="H47" s="214"/>
      <c r="I47" s="283"/>
      <c r="J47" s="278" t="s">
        <v>850</v>
      </c>
    </row>
    <row r="48" spans="2:10">
      <c r="B48" s="60" t="s">
        <v>27</v>
      </c>
      <c r="C48" s="75" t="s">
        <v>293</v>
      </c>
      <c r="D48" s="160">
        <f t="shared" ref="D48:G52" si="0">D83/D$25</f>
        <v>3.6898099747862984E-2</v>
      </c>
      <c r="E48" s="127">
        <f t="shared" si="0"/>
        <v>5.6206088992974246E-2</v>
      </c>
      <c r="F48" s="127">
        <f t="shared" si="0"/>
        <v>5.6206088992974246E-2</v>
      </c>
      <c r="G48" s="127">
        <f t="shared" si="0"/>
        <v>5.6206088992974246E-2</v>
      </c>
      <c r="H48" s="1660"/>
      <c r="I48" s="283"/>
      <c r="J48" s="59"/>
    </row>
    <row r="49" spans="2:10">
      <c r="B49" s="60" t="s">
        <v>28</v>
      </c>
      <c r="C49" s="75" t="s">
        <v>293</v>
      </c>
      <c r="D49" s="160">
        <f t="shared" si="0"/>
        <v>0</v>
      </c>
      <c r="E49" s="127">
        <f t="shared" si="0"/>
        <v>0</v>
      </c>
      <c r="F49" s="127">
        <f t="shared" si="0"/>
        <v>0</v>
      </c>
      <c r="G49" s="127">
        <f t="shared" si="0"/>
        <v>0</v>
      </c>
      <c r="H49" s="90"/>
      <c r="I49" s="283"/>
      <c r="J49" s="59"/>
    </row>
    <row r="50" spans="2:10">
      <c r="B50" s="60" t="s">
        <v>26</v>
      </c>
      <c r="C50" s="75" t="s">
        <v>293</v>
      </c>
      <c r="D50" s="160">
        <f t="shared" si="0"/>
        <v>0</v>
      </c>
      <c r="E50" s="127">
        <f t="shared" si="0"/>
        <v>0</v>
      </c>
      <c r="F50" s="127">
        <f t="shared" si="0"/>
        <v>0</v>
      </c>
      <c r="G50" s="127">
        <f t="shared" si="0"/>
        <v>0</v>
      </c>
      <c r="H50" s="212"/>
      <c r="I50" s="283"/>
      <c r="J50" s="59"/>
    </row>
    <row r="51" spans="2:10">
      <c r="B51" s="60" t="s">
        <v>167</v>
      </c>
      <c r="C51" s="75" t="s">
        <v>293</v>
      </c>
      <c r="D51" s="160">
        <f t="shared" si="0"/>
        <v>2.582866982350409E-2</v>
      </c>
      <c r="E51" s="127">
        <f t="shared" si="0"/>
        <v>3.9344262295081971E-2</v>
      </c>
      <c r="F51" s="127">
        <f t="shared" si="0"/>
        <v>3.9344262295081971E-2</v>
      </c>
      <c r="G51" s="127">
        <f t="shared" si="0"/>
        <v>3.9344262295081971E-2</v>
      </c>
      <c r="H51" s="90"/>
      <c r="I51" s="283"/>
      <c r="J51" s="59"/>
    </row>
    <row r="52" spans="2:10">
      <c r="B52" s="60" t="s">
        <v>45</v>
      </c>
      <c r="C52" s="75" t="s">
        <v>293</v>
      </c>
      <c r="D52" s="160">
        <f t="shared" si="0"/>
        <v>2.1523891519586742E-3</v>
      </c>
      <c r="E52" s="127">
        <f t="shared" si="0"/>
        <v>3.2786885245901644E-3</v>
      </c>
      <c r="F52" s="127">
        <f t="shared" si="0"/>
        <v>3.2786885245901644E-3</v>
      </c>
      <c r="G52" s="127">
        <f t="shared" si="0"/>
        <v>3.2786885245901644E-3</v>
      </c>
      <c r="H52" s="90"/>
      <c r="I52" s="283"/>
      <c r="J52" s="59"/>
    </row>
    <row r="53" spans="2:10">
      <c r="B53" s="60"/>
      <c r="C53" s="75"/>
      <c r="D53" s="161"/>
      <c r="E53" s="65"/>
      <c r="F53" s="65"/>
      <c r="G53" s="455"/>
      <c r="H53" s="90"/>
      <c r="I53" s="283"/>
      <c r="J53" s="59"/>
    </row>
    <row r="54" spans="2:10">
      <c r="B54" s="418" t="s">
        <v>20</v>
      </c>
      <c r="C54" s="75"/>
      <c r="D54" s="156"/>
      <c r="E54" s="90"/>
      <c r="F54" s="90"/>
      <c r="G54" s="90"/>
      <c r="H54" s="1660"/>
      <c r="I54" s="283"/>
      <c r="J54" s="59"/>
    </row>
    <row r="55" spans="2:10">
      <c r="B55" s="60" t="s">
        <v>24</v>
      </c>
      <c r="C55" s="75" t="s">
        <v>293</v>
      </c>
      <c r="D55" s="423"/>
      <c r="E55" s="424"/>
      <c r="F55" s="424"/>
      <c r="G55" s="424"/>
      <c r="H55" s="1660"/>
      <c r="I55" s="283"/>
      <c r="J55" s="278" t="s">
        <v>850</v>
      </c>
    </row>
    <row r="56" spans="2:10">
      <c r="B56" s="60" t="s">
        <v>27</v>
      </c>
      <c r="C56" s="75" t="s">
        <v>293</v>
      </c>
      <c r="D56" s="420">
        <f t="shared" ref="D56:F60" si="1">D48</f>
        <v>3.6898099747862984E-2</v>
      </c>
      <c r="E56" s="419">
        <f t="shared" si="1"/>
        <v>5.6206088992974246E-2</v>
      </c>
      <c r="F56" s="419">
        <f t="shared" si="1"/>
        <v>5.6206088992974246E-2</v>
      </c>
      <c r="G56" s="419">
        <f>G48</f>
        <v>5.6206088992974246E-2</v>
      </c>
      <c r="H56" s="1661"/>
      <c r="I56" s="283"/>
      <c r="J56" s="59"/>
    </row>
    <row r="57" spans="2:10">
      <c r="B57" s="60" t="s">
        <v>28</v>
      </c>
      <c r="C57" s="75" t="s">
        <v>293</v>
      </c>
      <c r="D57" s="420">
        <f t="shared" si="1"/>
        <v>0</v>
      </c>
      <c r="E57" s="419">
        <f t="shared" si="1"/>
        <v>0</v>
      </c>
      <c r="F57" s="419">
        <f t="shared" si="1"/>
        <v>0</v>
      </c>
      <c r="G57" s="419">
        <f>G49</f>
        <v>0</v>
      </c>
      <c r="H57" s="1661"/>
      <c r="I57" s="283"/>
      <c r="J57" s="59"/>
    </row>
    <row r="58" spans="2:10">
      <c r="B58" s="60" t="s">
        <v>26</v>
      </c>
      <c r="C58" s="75" t="s">
        <v>293</v>
      </c>
      <c r="D58" s="420">
        <f t="shared" si="1"/>
        <v>0</v>
      </c>
      <c r="E58" s="419">
        <f t="shared" si="1"/>
        <v>0</v>
      </c>
      <c r="F58" s="419">
        <f t="shared" si="1"/>
        <v>0</v>
      </c>
      <c r="G58" s="419">
        <f>G50</f>
        <v>0</v>
      </c>
      <c r="H58" s="1661"/>
      <c r="I58" s="283"/>
      <c r="J58" s="59"/>
    </row>
    <row r="59" spans="2:10">
      <c r="B59" s="60" t="s">
        <v>167</v>
      </c>
      <c r="C59" s="75" t="s">
        <v>293</v>
      </c>
      <c r="D59" s="420">
        <f t="shared" si="1"/>
        <v>2.582866982350409E-2</v>
      </c>
      <c r="E59" s="419">
        <f t="shared" si="1"/>
        <v>3.9344262295081971E-2</v>
      </c>
      <c r="F59" s="419">
        <f t="shared" si="1"/>
        <v>3.9344262295081971E-2</v>
      </c>
      <c r="G59" s="419">
        <f>G51</f>
        <v>3.9344262295081971E-2</v>
      </c>
      <c r="H59" s="1661"/>
      <c r="I59" s="283"/>
      <c r="J59" s="59"/>
    </row>
    <row r="60" spans="2:10">
      <c r="B60" s="60" t="s">
        <v>45</v>
      </c>
      <c r="C60" s="75" t="s">
        <v>293</v>
      </c>
      <c r="D60" s="420">
        <f t="shared" si="1"/>
        <v>2.1523891519586742E-3</v>
      </c>
      <c r="E60" s="419">
        <f t="shared" si="1"/>
        <v>3.2786885245901644E-3</v>
      </c>
      <c r="F60" s="419">
        <f t="shared" si="1"/>
        <v>3.2786885245901644E-3</v>
      </c>
      <c r="G60" s="419">
        <f>G52</f>
        <v>3.2786885245901644E-3</v>
      </c>
      <c r="H60" s="1661"/>
      <c r="I60" s="283"/>
      <c r="J60" s="59"/>
    </row>
    <row r="61" spans="2:10" ht="13.5" thickBot="1">
      <c r="B61" s="128"/>
      <c r="C61" s="114"/>
      <c r="D61" s="162"/>
      <c r="E61" s="69"/>
      <c r="F61" s="69"/>
      <c r="G61" s="244"/>
      <c r="H61" s="218"/>
      <c r="I61" s="1443"/>
      <c r="J61" s="61"/>
    </row>
    <row r="62" spans="2:10">
      <c r="B62" s="120"/>
      <c r="C62" s="120"/>
      <c r="D62" s="120"/>
      <c r="E62" s="120"/>
      <c r="F62" s="120"/>
      <c r="H62" s="1447"/>
      <c r="I62" s="142"/>
      <c r="J62" s="120"/>
    </row>
    <row r="63" spans="2:10">
      <c r="B63" s="120"/>
      <c r="C63" s="120"/>
      <c r="D63" s="120"/>
      <c r="E63" s="120"/>
      <c r="F63" s="120"/>
      <c r="H63" s="1447"/>
      <c r="I63" s="142"/>
      <c r="J63" s="120"/>
    </row>
    <row r="64" spans="2:10" ht="16.5" thickBot="1">
      <c r="B64" s="130" t="s">
        <v>168</v>
      </c>
      <c r="C64" s="120"/>
      <c r="D64" s="120"/>
      <c r="E64" s="120"/>
      <c r="F64" s="120"/>
      <c r="H64" s="1447"/>
      <c r="I64" s="142"/>
      <c r="J64" s="120"/>
    </row>
    <row r="65" spans="2:10">
      <c r="B65" s="63"/>
      <c r="C65" s="71"/>
      <c r="D65" s="151"/>
      <c r="E65" s="64"/>
      <c r="F65" s="64"/>
      <c r="G65" s="221"/>
      <c r="H65" s="1449"/>
      <c r="I65" s="962" t="s">
        <v>145</v>
      </c>
      <c r="J65" s="72" t="s">
        <v>146</v>
      </c>
    </row>
    <row r="66" spans="2:10">
      <c r="B66" s="66"/>
      <c r="C66" s="73" t="s">
        <v>70</v>
      </c>
      <c r="D66" s="152">
        <v>2015</v>
      </c>
      <c r="E66" s="74">
        <v>2020</v>
      </c>
      <c r="F66" s="74">
        <v>2035</v>
      </c>
      <c r="G66" s="225">
        <v>2050</v>
      </c>
      <c r="H66" s="1507"/>
      <c r="I66" s="556"/>
      <c r="J66" s="68"/>
    </row>
    <row r="67" spans="2:10">
      <c r="B67" s="192" t="s">
        <v>266</v>
      </c>
      <c r="C67" s="241" t="s">
        <v>1027</v>
      </c>
      <c r="D67" s="947">
        <f>D68/D70*D69</f>
        <v>0.41808366412213738</v>
      </c>
      <c r="E67" s="947">
        <f>D67*(1-E71)</f>
        <v>0.3854731383206107</v>
      </c>
      <c r="F67" s="947">
        <f>E67</f>
        <v>0.3854731383206107</v>
      </c>
      <c r="G67" s="947">
        <f>F67</f>
        <v>0.3854731383206107</v>
      </c>
      <c r="H67" s="1662"/>
      <c r="I67" s="555"/>
      <c r="J67" s="178"/>
    </row>
    <row r="68" spans="2:10">
      <c r="B68" s="192" t="s">
        <v>1028</v>
      </c>
      <c r="C68" s="241" t="s">
        <v>1027</v>
      </c>
      <c r="D68" s="957">
        <f>'Std benzin motor'!D67</f>
        <v>0.38034000000000001</v>
      </c>
      <c r="E68" s="957"/>
      <c r="F68" s="957"/>
      <c r="G68" s="957"/>
      <c r="H68" s="955"/>
      <c r="I68" s="283"/>
      <c r="J68" s="178"/>
    </row>
    <row r="69" spans="2:10">
      <c r="B69" s="192" t="s">
        <v>1071</v>
      </c>
      <c r="C69" s="241" t="s">
        <v>59</v>
      </c>
      <c r="D69" s="955">
        <v>1440</v>
      </c>
      <c r="E69" s="955"/>
      <c r="F69" s="955"/>
      <c r="G69" s="955"/>
      <c r="H69" s="956"/>
      <c r="I69" s="283" t="str">
        <f>CONCATENATE(Referencer!$B$40)</f>
        <v>34, JEC - Joint Research Centre-EUCAR-CONCAWE collaboration, Tank to Wheels Report, version 4.0, July 2013</v>
      </c>
      <c r="J69" s="178" t="s">
        <v>2669</v>
      </c>
    </row>
    <row r="70" spans="2:10">
      <c r="B70" s="192" t="s">
        <v>1031</v>
      </c>
      <c r="C70" s="241" t="s">
        <v>59</v>
      </c>
      <c r="D70" s="956">
        <f>'Std benzin motor'!D68</f>
        <v>1310</v>
      </c>
      <c r="E70" s="956"/>
      <c r="F70" s="956"/>
      <c r="G70" s="956"/>
      <c r="H70" s="1662"/>
      <c r="I70" s="555"/>
      <c r="J70" s="178"/>
    </row>
    <row r="71" spans="2:10">
      <c r="B71" s="192" t="s">
        <v>1067</v>
      </c>
      <c r="C71" s="241" t="s">
        <v>29</v>
      </c>
      <c r="D71" s="905"/>
      <c r="E71" s="954">
        <v>7.8E-2</v>
      </c>
      <c r="F71" s="876"/>
      <c r="G71" s="876"/>
      <c r="H71" s="1662"/>
      <c r="I71" s="283" t="str">
        <f>CONCATENATE(Referencer!$B$40)</f>
        <v>34, JEC - Joint Research Centre-EUCAR-CONCAWE collaboration, Tank to Wheels Report, version 4.0, July 2013</v>
      </c>
      <c r="J71" s="178" t="s">
        <v>1072</v>
      </c>
    </row>
    <row r="72" spans="2:10">
      <c r="B72" s="60" t="s">
        <v>268</v>
      </c>
      <c r="C72" s="83" t="s">
        <v>269</v>
      </c>
      <c r="D72" s="931">
        <v>18000</v>
      </c>
      <c r="E72" s="922">
        <v>18000</v>
      </c>
      <c r="F72" s="922">
        <v>18000</v>
      </c>
      <c r="G72" s="922">
        <v>18000</v>
      </c>
      <c r="H72" s="1486"/>
      <c r="I72" s="555"/>
      <c r="J72" s="59"/>
    </row>
    <row r="73" spans="2:10">
      <c r="B73" s="60" t="s">
        <v>260</v>
      </c>
      <c r="C73" s="83" t="s">
        <v>261</v>
      </c>
      <c r="D73" s="95">
        <f>+D67*D72/1000</f>
        <v>7.525505954198473</v>
      </c>
      <c r="E73" s="65">
        <f>+E67*E72/1000</f>
        <v>6.9385164897709926</v>
      </c>
      <c r="F73" s="65">
        <f>+F67*F72/1000</f>
        <v>6.9385164897709926</v>
      </c>
      <c r="G73" s="455">
        <f>+G67*G72/1000</f>
        <v>6.9385164897709926</v>
      </c>
      <c r="H73" s="1471"/>
      <c r="I73" s="555"/>
      <c r="J73" s="59" t="s">
        <v>270</v>
      </c>
    </row>
    <row r="74" spans="2:10">
      <c r="B74" s="60" t="s">
        <v>271</v>
      </c>
      <c r="C74" s="83" t="s">
        <v>263</v>
      </c>
      <c r="D74" s="94">
        <f>D75*1000/D67</f>
        <v>837.15301513850181</v>
      </c>
      <c r="E74" s="93">
        <f>E75*1000/E67</f>
        <v>907.9750706491343</v>
      </c>
      <c r="F74" s="93">
        <f>F75*1000/F67</f>
        <v>907.9750706491343</v>
      </c>
      <c r="G74" s="405">
        <f>G75*1000/G67</f>
        <v>907.9750706491343</v>
      </c>
      <c r="H74" s="1577"/>
      <c r="I74" s="555"/>
      <c r="J74" s="59"/>
    </row>
    <row r="75" spans="2:10">
      <c r="B75" s="60" t="s">
        <v>271</v>
      </c>
      <c r="C75" s="83" t="s">
        <v>55</v>
      </c>
      <c r="D75" s="927">
        <v>0.35</v>
      </c>
      <c r="E75" s="928">
        <v>0.35</v>
      </c>
      <c r="F75" s="928">
        <v>0.35</v>
      </c>
      <c r="G75" s="928">
        <v>0.35</v>
      </c>
      <c r="H75" s="352"/>
      <c r="I75" s="1442" t="str">
        <f>+Referencer!B9</f>
        <v>3, Transportøkonomiske enhedspriser 2010, DTU , Institut for transport</v>
      </c>
      <c r="J75" s="59"/>
    </row>
    <row r="76" spans="2:10">
      <c r="B76" s="60" t="s">
        <v>510</v>
      </c>
      <c r="C76" s="83" t="s">
        <v>29</v>
      </c>
      <c r="D76" s="95"/>
      <c r="E76" s="928">
        <v>0.185</v>
      </c>
      <c r="F76" s="928">
        <v>0.28000000000000003</v>
      </c>
      <c r="G76" s="928">
        <v>0.28000000000000003</v>
      </c>
      <c r="H76" s="352"/>
      <c r="I76" s="1442" t="str">
        <f>+Referencer!B14</f>
        <v>8, IEA, Energy Technology Perspectives 2008.</v>
      </c>
      <c r="J76" s="59" t="s">
        <v>516</v>
      </c>
    </row>
    <row r="77" spans="2:10" ht="13.5" thickBot="1">
      <c r="B77" s="62"/>
      <c r="C77" s="84"/>
      <c r="D77" s="163"/>
      <c r="E77" s="69"/>
      <c r="F77" s="69"/>
      <c r="G77" s="244"/>
      <c r="H77" s="1501"/>
      <c r="I77" s="968"/>
      <c r="J77" s="61"/>
    </row>
    <row r="78" spans="2:10">
      <c r="B78" s="120"/>
      <c r="C78" s="120"/>
      <c r="D78" s="120"/>
      <c r="E78" s="120"/>
      <c r="F78" s="120"/>
      <c r="H78" s="1447"/>
      <c r="I78" s="142"/>
      <c r="J78" s="120"/>
    </row>
    <row r="79" spans="2:10" ht="16.5" thickBot="1">
      <c r="B79" s="130" t="s">
        <v>172</v>
      </c>
      <c r="C79" s="120"/>
      <c r="D79" s="120"/>
      <c r="E79" s="120"/>
      <c r="F79" s="120"/>
      <c r="H79" s="1447"/>
      <c r="I79" s="142"/>
      <c r="J79" s="120"/>
    </row>
    <row r="80" spans="2:10">
      <c r="B80" s="63"/>
      <c r="C80" s="64"/>
      <c r="D80" s="143"/>
      <c r="E80" s="131"/>
      <c r="F80" s="131"/>
      <c r="G80" s="131"/>
      <c r="H80" s="1449"/>
      <c r="I80" s="962"/>
      <c r="J80" s="72"/>
    </row>
    <row r="81" spans="2:10">
      <c r="B81" s="60"/>
      <c r="C81" s="65"/>
      <c r="D81" s="65"/>
      <c r="E81" s="65"/>
      <c r="F81" s="65"/>
      <c r="G81" s="455"/>
      <c r="H81" s="1471"/>
      <c r="I81" s="555"/>
      <c r="J81" s="59"/>
    </row>
    <row r="82" spans="2:10">
      <c r="B82" s="60" t="s">
        <v>24</v>
      </c>
      <c r="C82" s="65" t="s">
        <v>7</v>
      </c>
      <c r="D82" s="301"/>
      <c r="E82" s="301"/>
      <c r="F82" s="301"/>
      <c r="G82" s="301"/>
      <c r="H82" s="885"/>
      <c r="I82" s="283"/>
      <c r="J82" s="59"/>
    </row>
    <row r="83" spans="2:10">
      <c r="B83" s="60" t="s">
        <v>27</v>
      </c>
      <c r="C83" s="65" t="s">
        <v>7</v>
      </c>
      <c r="D83" s="133">
        <f>1.8/21</f>
        <v>8.5714285714285715E-2</v>
      </c>
      <c r="E83" s="133">
        <f>1.8/21</f>
        <v>8.5714285714285715E-2</v>
      </c>
      <c r="F83" s="133">
        <f>1.8/21</f>
        <v>8.5714285714285715E-2</v>
      </c>
      <c r="G83" s="133">
        <f>1.8/21</f>
        <v>8.5714285714285715E-2</v>
      </c>
      <c r="H83" s="886"/>
      <c r="I83" s="1442" t="str">
        <f>CONCATENATE(Referencer!$B$13,", ",Referencer!$B$11)</f>
        <v>7, EU kommisionens forordning nr. 692/2008 om EURO V og VI normer, 5, Concawe (2011): Well-to-wheels analysis of future automotive fuels and power-trains in the European Context. November 2011.</v>
      </c>
      <c r="J83" s="59" t="s">
        <v>2318</v>
      </c>
    </row>
    <row r="84" spans="2:10">
      <c r="B84" s="60" t="s">
        <v>28</v>
      </c>
      <c r="C84" s="65" t="s">
        <v>7</v>
      </c>
      <c r="D84" s="133"/>
      <c r="E84" s="133"/>
      <c r="F84" s="133"/>
      <c r="G84" s="133"/>
      <c r="H84" s="886"/>
      <c r="I84" s="1442" t="str">
        <f>CONCATENATE(Referencer!$B$13)</f>
        <v>7, EU kommisionens forordning nr. 692/2008 om EURO V og VI normer</v>
      </c>
      <c r="J84" s="59" t="s">
        <v>274</v>
      </c>
    </row>
    <row r="85" spans="2:10">
      <c r="B85" s="60" t="s">
        <v>26</v>
      </c>
      <c r="C85" s="65" t="s">
        <v>7</v>
      </c>
      <c r="D85" s="133"/>
      <c r="E85" s="133"/>
      <c r="F85" s="133"/>
      <c r="G85" s="133"/>
      <c r="H85" s="886"/>
      <c r="I85" s="1442" t="str">
        <f>CONCATENATE(Referencer!$B$13)</f>
        <v>7, EU kommisionens forordning nr. 692/2008 om EURO V og VI normer</v>
      </c>
      <c r="J85" s="59" t="s">
        <v>517</v>
      </c>
    </row>
    <row r="86" spans="2:10">
      <c r="B86" s="60" t="s">
        <v>167</v>
      </c>
      <c r="C86" s="65" t="s">
        <v>7</v>
      </c>
      <c r="D86" s="133">
        <v>0.06</v>
      </c>
      <c r="E86" s="133">
        <v>0.06</v>
      </c>
      <c r="F86" s="133">
        <v>0.06</v>
      </c>
      <c r="G86" s="133">
        <v>0.06</v>
      </c>
      <c r="H86" s="886"/>
      <c r="I86" s="1442" t="str">
        <f>CONCATENATE(Referencer!$B$13)</f>
        <v>7, EU kommisionens forordning nr. 692/2008 om EURO V og VI normer</v>
      </c>
      <c r="J86" s="59"/>
    </row>
    <row r="87" spans="2:10">
      <c r="B87" s="60" t="s">
        <v>45</v>
      </c>
      <c r="C87" s="65" t="s">
        <v>7</v>
      </c>
      <c r="D87" s="133">
        <v>5.0000000000000001E-3</v>
      </c>
      <c r="E87" s="133">
        <v>5.0000000000000001E-3</v>
      </c>
      <c r="F87" s="133">
        <v>5.0000000000000001E-3</v>
      </c>
      <c r="G87" s="133">
        <v>5.0000000000000001E-3</v>
      </c>
      <c r="H87" s="886"/>
      <c r="I87" s="1442" t="str">
        <f>CONCATENATE(Referencer!$B$13)</f>
        <v>7, EU kommisionens forordning nr. 692/2008 om EURO V og VI normer</v>
      </c>
      <c r="J87" s="59"/>
    </row>
    <row r="88" spans="2:10" ht="13.5" thickBot="1">
      <c r="B88" s="62"/>
      <c r="C88" s="69"/>
      <c r="D88" s="69"/>
      <c r="E88" s="69"/>
      <c r="F88" s="69"/>
      <c r="G88" s="244"/>
      <c r="H88" s="1501"/>
      <c r="I88" s="69"/>
      <c r="J88" s="61"/>
    </row>
    <row r="90" spans="2:10">
      <c r="H90" s="134"/>
    </row>
    <row r="91" spans="2:10">
      <c r="H91" s="134"/>
    </row>
    <row r="92" spans="2:10">
      <c r="H92" s="134"/>
    </row>
    <row r="93" spans="2:10">
      <c r="H93" s="134"/>
    </row>
    <row r="94" spans="2:10">
      <c r="H94" s="134"/>
    </row>
  </sheetData>
  <pageMargins left="0.15748031496062992" right="0.15748031496062992" top="1.25" bottom="0.19685039370078741" header="0.51181102362204722" footer="0.51181102362204722"/>
  <pageSetup paperSize="9" scale="60" orientation="landscape" r:id="rId1"/>
  <headerFooter alignWithMargins="0">
    <oddHeader>&amp;L&amp;"Arial"&amp;14&amp;BBeregningsmodel
&amp;"Arial"&amp;08&amp;B64329, Teknologivurdering af alternative drivmidler til transportsektoren&amp;R&amp;"Arial"&amp;08Page &amp;P of &amp;N</oddHeader>
    <oddFooter>&amp;L&amp;"Arial"&amp;08&amp;Z&amp;F
Sheet: &amp;A&amp;C&amp;"Arial"&amp;08Printed &amp;D &amp;T&amp;R&amp;G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7107" r:id="rId5" name="Button 3">
              <controlPr defaultSize="0" print="0" autoFill="0" autoPict="0" macro="[0]!GtOver">
                <anchor>
                  <from>
                    <xdr:col>7</xdr:col>
                    <xdr:colOff>171450</xdr:colOff>
                    <xdr:row>0</xdr:row>
                    <xdr:rowOff>38100</xdr:rowOff>
                  </from>
                  <to>
                    <xdr:col>8</xdr:col>
                    <xdr:colOff>180975</xdr:colOff>
                    <xdr:row>0</xdr:row>
                    <xdr:rowOff>238125</xdr:rowOff>
                  </to>
                </anchor>
              </controlPr>
            </control>
          </mc:Choice>
        </mc:AlternateContent>
        <mc:AlternateContent xmlns:mc="http://schemas.openxmlformats.org/markup-compatibility/2006">
          <mc:Choice Requires="x14">
            <control shapeId="47108" r:id="rId6" name="Button 4">
              <controlPr defaultSize="0" print="0" autoFill="0" autoPict="0" macro="[0]!GtRes">
                <anchor>
                  <from>
                    <xdr:col>8</xdr:col>
                    <xdr:colOff>361950</xdr:colOff>
                    <xdr:row>0</xdr:row>
                    <xdr:rowOff>38100</xdr:rowOff>
                  </from>
                  <to>
                    <xdr:col>9</xdr:col>
                    <xdr:colOff>933450</xdr:colOff>
                    <xdr:row>0</xdr:row>
                    <xdr:rowOff>238125</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tabColor rgb="FF002060"/>
  </sheetPr>
  <dimension ref="B1:S106"/>
  <sheetViews>
    <sheetView topLeftCell="A50" zoomScale="80" zoomScaleNormal="80" workbookViewId="0">
      <selection activeCell="D73" sqref="D73"/>
    </sheetView>
  </sheetViews>
  <sheetFormatPr defaultColWidth="8.85546875" defaultRowHeight="12.75"/>
  <cols>
    <col min="1" max="1" width="2.85546875" style="1447" customWidth="1"/>
    <col min="2" max="2" width="35" style="1447" customWidth="1"/>
    <col min="3" max="3" width="18" style="1447" customWidth="1"/>
    <col min="4" max="8" width="15.85546875" style="1447" customWidth="1"/>
    <col min="9" max="9" width="7.140625" style="1447" customWidth="1"/>
    <col min="10" max="10" width="37.42578125" style="1447" customWidth="1"/>
    <col min="11" max="11" width="9.140625" style="1447" customWidth="1"/>
    <col min="12" max="12" width="9" style="1447" customWidth="1"/>
    <col min="13" max="13" width="9.140625" style="1447" customWidth="1"/>
    <col min="14" max="14" width="8.85546875" style="1447"/>
    <col min="15" max="15" width="37.85546875" style="1447" customWidth="1"/>
    <col min="16" max="18" width="8.85546875" style="1447"/>
    <col min="19" max="19" width="9.140625" style="1447" customWidth="1"/>
    <col min="20" max="16384" width="8.85546875" style="1447"/>
  </cols>
  <sheetData>
    <row r="1" spans="2:19" s="2403" customFormat="1" ht="21">
      <c r="B1" s="2403" t="s">
        <v>2706</v>
      </c>
      <c r="Q1" s="2403">
        <f ca="1">'Log2015'!M1</f>
        <v>-8.0112614142160741</v>
      </c>
      <c r="R1" s="2405">
        <f ca="1">'Log2015'!N1</f>
        <v>-160807.124977848</v>
      </c>
      <c r="S1" s="2406"/>
    </row>
    <row r="2" spans="2:19">
      <c r="R2" s="626">
        <f ca="1">R1</f>
        <v>-160807.124977848</v>
      </c>
      <c r="S2" s="626">
        <f>S1</f>
        <v>0</v>
      </c>
    </row>
    <row r="4" spans="2:19" ht="13.5" thickBot="1">
      <c r="B4" s="1446" t="s">
        <v>81</v>
      </c>
    </row>
    <row r="5" spans="2:19">
      <c r="B5" s="173" t="s">
        <v>137</v>
      </c>
      <c r="C5" s="174"/>
      <c r="D5" s="174"/>
      <c r="E5" s="174"/>
      <c r="F5" s="174"/>
      <c r="G5" s="174"/>
      <c r="H5" s="1449"/>
      <c r="I5" s="174"/>
      <c r="J5" s="174"/>
      <c r="K5" s="174"/>
      <c r="L5" s="174"/>
      <c r="M5" s="174"/>
      <c r="N5" s="175"/>
    </row>
    <row r="6" spans="2:19">
      <c r="B6" s="2517" t="s">
        <v>2710</v>
      </c>
      <c r="C6" s="386"/>
      <c r="D6" s="386"/>
      <c r="E6" s="386"/>
      <c r="F6" s="386"/>
      <c r="G6" s="386"/>
      <c r="H6" s="1471"/>
      <c r="I6" s="386"/>
      <c r="J6" s="386"/>
      <c r="K6" s="386"/>
      <c r="L6" s="386"/>
      <c r="M6" s="386"/>
      <c r="N6" s="1472"/>
    </row>
    <row r="7" spans="2:19">
      <c r="B7" s="2517" t="s">
        <v>388</v>
      </c>
      <c r="C7" s="386"/>
      <c r="D7" s="386"/>
      <c r="E7" s="386"/>
      <c r="F7" s="386"/>
      <c r="G7" s="386"/>
      <c r="H7" s="1471"/>
      <c r="I7" s="386"/>
      <c r="J7" s="386"/>
      <c r="K7" s="386"/>
      <c r="L7" s="386"/>
      <c r="M7" s="386"/>
      <c r="N7" s="1472"/>
    </row>
    <row r="8" spans="2:19">
      <c r="B8" s="2517" t="s">
        <v>389</v>
      </c>
      <c r="C8" s="386"/>
      <c r="D8" s="386"/>
      <c r="E8" s="386"/>
      <c r="F8" s="386"/>
      <c r="G8" s="386"/>
      <c r="H8" s="1471"/>
      <c r="I8" s="386"/>
      <c r="J8" s="386"/>
      <c r="K8" s="386"/>
      <c r="L8" s="386"/>
      <c r="M8" s="386"/>
      <c r="N8" s="1472"/>
    </row>
    <row r="9" spans="2:19">
      <c r="B9" s="179"/>
      <c r="C9" s="386"/>
      <c r="D9" s="386"/>
      <c r="E9" s="386"/>
      <c r="F9" s="386"/>
      <c r="G9" s="386"/>
      <c r="H9" s="1471"/>
      <c r="I9" s="386"/>
      <c r="J9" s="386"/>
      <c r="K9" s="386"/>
      <c r="L9" s="386"/>
      <c r="M9" s="386"/>
      <c r="N9" s="1472"/>
    </row>
    <row r="10" spans="2:19">
      <c r="B10" s="179"/>
      <c r="C10" s="386"/>
      <c r="D10" s="386"/>
      <c r="E10" s="386"/>
      <c r="F10" s="386"/>
      <c r="G10" s="386"/>
      <c r="H10" s="1471"/>
      <c r="I10" s="386"/>
      <c r="J10" s="386"/>
      <c r="K10" s="386"/>
      <c r="L10" s="386"/>
      <c r="M10" s="386"/>
      <c r="N10" s="1472"/>
    </row>
    <row r="11" spans="2:19">
      <c r="B11" s="180" t="s">
        <v>256</v>
      </c>
      <c r="C11" s="386"/>
      <c r="D11" s="386"/>
      <c r="E11" s="386"/>
      <c r="F11" s="386"/>
      <c r="G11" s="386"/>
      <c r="H11" s="1471"/>
      <c r="I11" s="386"/>
      <c r="J11" s="386"/>
      <c r="K11" s="386"/>
      <c r="L11" s="386"/>
      <c r="M11" s="386"/>
      <c r="N11" s="1472"/>
    </row>
    <row r="12" spans="2:19">
      <c r="B12" s="2517" t="s">
        <v>390</v>
      </c>
      <c r="C12" s="386"/>
      <c r="D12" s="386"/>
      <c r="E12" s="386"/>
      <c r="F12" s="386"/>
      <c r="G12" s="386"/>
      <c r="H12" s="1471"/>
      <c r="I12" s="386"/>
      <c r="J12" s="386"/>
      <c r="K12" s="386"/>
      <c r="L12" s="386"/>
      <c r="M12" s="386"/>
      <c r="N12" s="1472"/>
    </row>
    <row r="13" spans="2:19">
      <c r="B13" s="2517" t="s">
        <v>391</v>
      </c>
      <c r="C13" s="386"/>
      <c r="D13" s="386"/>
      <c r="E13" s="386"/>
      <c r="F13" s="386"/>
      <c r="G13" s="386"/>
      <c r="H13" s="1471"/>
      <c r="I13" s="386"/>
      <c r="J13" s="386"/>
      <c r="K13" s="386"/>
      <c r="L13" s="386"/>
      <c r="M13" s="386"/>
      <c r="N13" s="1472"/>
    </row>
    <row r="14" spans="2:19">
      <c r="B14" s="180" t="s">
        <v>143</v>
      </c>
      <c r="C14" s="386"/>
      <c r="D14" s="386"/>
      <c r="E14" s="386"/>
      <c r="F14" s="386"/>
      <c r="G14" s="386"/>
      <c r="H14" s="1471"/>
      <c r="I14" s="386"/>
      <c r="J14" s="386"/>
      <c r="K14" s="386"/>
      <c r="L14" s="386"/>
      <c r="M14" s="386"/>
      <c r="N14" s="1472"/>
    </row>
    <row r="15" spans="2:19">
      <c r="B15" s="179"/>
      <c r="C15" s="386"/>
      <c r="D15" s="386"/>
      <c r="E15" s="386"/>
      <c r="F15" s="386"/>
      <c r="G15" s="386"/>
      <c r="H15" s="1471"/>
      <c r="I15" s="386"/>
      <c r="J15" s="386"/>
      <c r="K15" s="386"/>
      <c r="L15" s="386"/>
      <c r="M15" s="386"/>
      <c r="N15" s="1472"/>
    </row>
    <row r="16" spans="2:19">
      <c r="B16" s="179"/>
      <c r="C16" s="386"/>
      <c r="D16" s="386"/>
      <c r="E16" s="386"/>
      <c r="F16" s="386"/>
      <c r="G16" s="386"/>
      <c r="H16" s="1471"/>
      <c r="I16" s="386"/>
      <c r="J16" s="386"/>
      <c r="K16" s="386"/>
      <c r="L16" s="386"/>
      <c r="M16" s="386"/>
      <c r="N16" s="1472"/>
    </row>
    <row r="17" spans="2:14" ht="13.5" thickBot="1">
      <c r="B17" s="1521"/>
      <c r="C17" s="182"/>
      <c r="D17" s="182"/>
      <c r="E17" s="182"/>
      <c r="F17" s="182"/>
      <c r="G17" s="182"/>
      <c r="H17" s="1501"/>
      <c r="I17" s="182"/>
      <c r="J17" s="182"/>
      <c r="K17" s="182"/>
      <c r="L17" s="182"/>
      <c r="M17" s="182"/>
      <c r="N17" s="1503"/>
    </row>
    <row r="18" spans="2:14">
      <c r="F18" s="196"/>
      <c r="G18" s="196"/>
      <c r="I18" s="197"/>
      <c r="J18" s="196"/>
    </row>
    <row r="19" spans="2:14" ht="13.5" thickBot="1">
      <c r="B19" s="1446" t="s">
        <v>144</v>
      </c>
      <c r="E19" s="1454"/>
      <c r="F19" s="196"/>
      <c r="G19" s="196"/>
    </row>
    <row r="20" spans="2:14">
      <c r="B20" s="1455"/>
      <c r="C20" s="1456"/>
      <c r="D20" s="1557"/>
      <c r="E20" s="1449"/>
      <c r="F20" s="1449"/>
      <c r="G20" s="1449"/>
      <c r="H20" s="1449"/>
      <c r="I20" s="1449" t="s">
        <v>145</v>
      </c>
      <c r="J20" s="1450" t="s">
        <v>146</v>
      </c>
    </row>
    <row r="21" spans="2:14">
      <c r="B21" s="1460"/>
      <c r="C21" s="1461" t="s">
        <v>70</v>
      </c>
      <c r="D21" s="1506">
        <v>2015</v>
      </c>
      <c r="E21" s="1507">
        <v>2020</v>
      </c>
      <c r="F21" s="1507">
        <v>2035</v>
      </c>
      <c r="G21" s="1507"/>
      <c r="H21" s="1507" t="s">
        <v>978</v>
      </c>
      <c r="I21" s="1464"/>
      <c r="J21" s="1465"/>
    </row>
    <row r="22" spans="2:14">
      <c r="B22" s="1468" t="s">
        <v>257</v>
      </c>
      <c r="C22" s="1469"/>
      <c r="D22" s="153"/>
      <c r="E22" s="1470"/>
      <c r="F22" s="1470"/>
      <c r="G22" s="1470"/>
      <c r="H22" s="1470"/>
      <c r="I22" s="1471"/>
      <c r="J22" s="1472"/>
    </row>
    <row r="23" spans="2:14">
      <c r="B23" s="122" t="s">
        <v>848</v>
      </c>
      <c r="C23" s="1469" t="s">
        <v>350</v>
      </c>
      <c r="D23" s="941">
        <f>D67/D92</f>
        <v>0.56448821165977348</v>
      </c>
      <c r="E23" s="941">
        <f t="shared" ref="E23:G23" si="0">E67/E92</f>
        <v>0.65009680614089171</v>
      </c>
      <c r="F23" s="941">
        <f t="shared" si="0"/>
        <v>0.65009680614089171</v>
      </c>
      <c r="G23" s="941">
        <f t="shared" si="0"/>
        <v>0.65009680614089171</v>
      </c>
      <c r="H23" s="1657"/>
      <c r="I23" s="123"/>
      <c r="J23" s="1475" t="s">
        <v>1057</v>
      </c>
      <c r="M23" s="333"/>
    </row>
    <row r="24" spans="2:14">
      <c r="B24" s="122" t="s">
        <v>849</v>
      </c>
      <c r="C24" s="1469" t="s">
        <v>350</v>
      </c>
      <c r="D24" s="938">
        <f>D23</f>
        <v>0.56448821165977348</v>
      </c>
      <c r="E24" s="939">
        <f>E23</f>
        <v>0.65009680614089171</v>
      </c>
      <c r="F24" s="939">
        <f t="shared" ref="F24:G24" si="1">F23</f>
        <v>0.65009680614089171</v>
      </c>
      <c r="G24" s="939">
        <f t="shared" si="1"/>
        <v>0.65009680614089171</v>
      </c>
      <c r="H24" s="1657"/>
      <c r="I24" s="1576"/>
      <c r="J24" s="1475" t="s">
        <v>1056</v>
      </c>
    </row>
    <row r="25" spans="2:14">
      <c r="B25" s="122" t="s">
        <v>1025</v>
      </c>
      <c r="C25" s="1469" t="s">
        <v>1024</v>
      </c>
      <c r="D25" s="933">
        <f>D92</f>
        <v>0.74990000000000001</v>
      </c>
      <c r="E25" s="933">
        <f t="shared" ref="E25:G25" si="2">E92</f>
        <v>0.53849999999999998</v>
      </c>
      <c r="F25" s="933">
        <f t="shared" si="2"/>
        <v>0.53849999999999998</v>
      </c>
      <c r="G25" s="933">
        <f t="shared" si="2"/>
        <v>0.53849999999999998</v>
      </c>
      <c r="H25" s="1658"/>
      <c r="I25" s="1576" t="str">
        <f>CONCATENATE(Referencer!$B$40)</f>
        <v>34, JEC - Joint Research Centre-EUCAR-CONCAWE collaboration, Tank to Wheels Report, version 4.0, July 2013</v>
      </c>
      <c r="J25" s="1472" t="s">
        <v>1038</v>
      </c>
    </row>
    <row r="26" spans="2:14">
      <c r="B26" s="122" t="s">
        <v>1026</v>
      </c>
      <c r="C26" s="1469" t="s">
        <v>1024</v>
      </c>
      <c r="D26" s="416"/>
      <c r="E26" s="934">
        <f>E93*3.6</f>
        <v>0</v>
      </c>
      <c r="F26" s="934">
        <f>F93*3.6</f>
        <v>0</v>
      </c>
      <c r="G26" s="934">
        <f>G93*3.6</f>
        <v>0</v>
      </c>
      <c r="H26" s="1658"/>
      <c r="I26" s="1576" t="str">
        <f>CONCATENATE(Referencer!$B$40)</f>
        <v>34, JEC - Joint Research Centre-EUCAR-CONCAWE collaboration, Tank to Wheels Report, version 4.0, July 2013</v>
      </c>
      <c r="J26" s="1472" t="s">
        <v>1038</v>
      </c>
      <c r="L26" s="333">
        <f>E26/SUM(E25:E26)</f>
        <v>0</v>
      </c>
    </row>
    <row r="27" spans="2:14">
      <c r="B27" s="247" t="s">
        <v>98</v>
      </c>
      <c r="C27" s="1469" t="s">
        <v>259</v>
      </c>
      <c r="D27" s="1477">
        <v>16.3</v>
      </c>
      <c r="E27" s="1478">
        <v>16.3</v>
      </c>
      <c r="F27" s="1478">
        <v>16.3</v>
      </c>
      <c r="G27" s="1478">
        <v>16.3</v>
      </c>
      <c r="H27" s="1478"/>
      <c r="I27" s="1442" t="str">
        <f>+Referencer!B12</f>
        <v>6, Nyt fra Danmarks Statistik, Motorparken 2010.</v>
      </c>
      <c r="J27" s="1472"/>
    </row>
    <row r="28" spans="2:14">
      <c r="B28" s="247" t="s">
        <v>260</v>
      </c>
      <c r="C28" s="1469" t="s">
        <v>261</v>
      </c>
      <c r="D28" s="1560">
        <f>+D73</f>
        <v>7.619574778625954</v>
      </c>
      <c r="E28" s="1561">
        <f>+E73</f>
        <v>6.3013883419236638</v>
      </c>
      <c r="F28" s="1561">
        <f>+F73</f>
        <v>6.3013883419236638</v>
      </c>
      <c r="G28" s="1561">
        <f>+G73</f>
        <v>6.3013883419236638</v>
      </c>
      <c r="H28" s="1659"/>
      <c r="I28" s="1576"/>
      <c r="J28" s="1472"/>
    </row>
    <row r="29" spans="2:14">
      <c r="B29" s="1484"/>
      <c r="C29" s="1485"/>
      <c r="D29" s="1562"/>
      <c r="E29" s="1486"/>
      <c r="F29" s="1486"/>
      <c r="G29" s="1486"/>
      <c r="H29" s="1486"/>
      <c r="I29" s="555"/>
      <c r="J29" s="1472"/>
    </row>
    <row r="30" spans="2:14">
      <c r="B30" s="1468" t="s">
        <v>33</v>
      </c>
      <c r="C30" s="1469"/>
      <c r="D30" s="1562"/>
      <c r="E30" s="1486"/>
      <c r="F30" s="1486"/>
      <c r="G30" s="1486"/>
      <c r="H30" s="1486"/>
      <c r="I30" s="555"/>
      <c r="J30" s="1472"/>
    </row>
    <row r="31" spans="2:14">
      <c r="B31" s="1476" t="s">
        <v>157</v>
      </c>
      <c r="C31" s="1469" t="s">
        <v>61</v>
      </c>
      <c r="D31" s="992">
        <f>HLOOKUP($H38,Supplementary!$C$44:$AF$46,3,FALSE)*D38</f>
        <v>324327.7117358431</v>
      </c>
      <c r="E31" s="992">
        <f>HLOOKUP($H38,Supplementary!$C$44:$AF$46,3,FALSE)*E38</f>
        <v>217507.89270712316</v>
      </c>
      <c r="F31" s="992">
        <f>HLOOKUP($H38,Supplementary!$C$44:$AF$46,3,FALSE)*F38</f>
        <v>184938.55106805882</v>
      </c>
      <c r="G31" s="992">
        <f>HLOOKUP($H38,Supplementary!$C$44:$AF$46,3,FALSE)*G38</f>
        <v>184938.55106805882</v>
      </c>
      <c r="H31" s="323">
        <f>priceYear</f>
        <v>2015</v>
      </c>
      <c r="I31" s="555"/>
      <c r="J31" s="1472"/>
    </row>
    <row r="32" spans="2:14">
      <c r="B32" s="1484" t="s">
        <v>262</v>
      </c>
      <c r="C32" s="1469" t="s">
        <v>263</v>
      </c>
      <c r="D32" s="992">
        <f ca="1">HLOOKUP($H39,Supplementary!$C$44:$AF$46,3,FALSE)*D39</f>
        <v>4293.4696693761334</v>
      </c>
      <c r="E32" s="992">
        <f ca="1">HLOOKUP($H39,Supplementary!$C$44:$AF$46,3,FALSE)*E39</f>
        <v>3646.4604673615695</v>
      </c>
      <c r="F32" s="992">
        <f ca="1">HLOOKUP($H39,Supplementary!$C$44:$AF$46,3,FALSE)*F39</f>
        <v>3175.3416583090861</v>
      </c>
      <c r="G32" s="992">
        <f ca="1">HLOOKUP($H39,Supplementary!$C$44:$AF$46,3,FALSE)*G39</f>
        <v>3175.3416583090861</v>
      </c>
      <c r="H32" s="323">
        <f>priceYear</f>
        <v>2015</v>
      </c>
      <c r="I32" s="555"/>
      <c r="J32" s="1472"/>
    </row>
    <row r="33" spans="2:10">
      <c r="B33" s="1492" t="s">
        <v>162</v>
      </c>
      <c r="C33" s="1469" t="s">
        <v>263</v>
      </c>
      <c r="D33" s="992">
        <f ca="1">HLOOKUP($H40,Supplementary!$C$44:$AF$46,3,FALSE)*D40</f>
        <v>3879.8151199957892</v>
      </c>
      <c r="E33" s="992">
        <f ca="1">HLOOKUP($H40,Supplementary!$C$44:$AF$46,3,FALSE)*E40</f>
        <v>3146.2735878206458</v>
      </c>
      <c r="F33" s="992">
        <f ca="1">HLOOKUP($H40,Supplementary!$C$44:$AF$46,3,FALSE)*F40</f>
        <v>2675.1547787681625</v>
      </c>
      <c r="G33" s="992">
        <f ca="1">HLOOKUP($H40,Supplementary!$C$44:$AF$46,3,FALSE)*G40</f>
        <v>2675.1547787681625</v>
      </c>
      <c r="H33" s="323">
        <f>priceYear</f>
        <v>2015</v>
      </c>
      <c r="I33" s="555"/>
      <c r="J33" s="1472"/>
    </row>
    <row r="34" spans="2:10">
      <c r="B34" s="1492" t="s">
        <v>163</v>
      </c>
      <c r="C34" s="1469" t="s">
        <v>263</v>
      </c>
      <c r="D34" s="992">
        <f>HLOOKUP($H41,Supplementary!$C$44:$AF$46,3,FALSE)*D41</f>
        <v>413.65454938034395</v>
      </c>
      <c r="E34" s="992">
        <f>HLOOKUP($H41,Supplementary!$C$44:$AF$46,3,FALSE)*E41</f>
        <v>500.18687954092383</v>
      </c>
      <c r="F34" s="992">
        <f>HLOOKUP($H41,Supplementary!$C$44:$AF$46,3,FALSE)*F41</f>
        <v>500.18687954092383</v>
      </c>
      <c r="G34" s="992">
        <f>HLOOKUP($H41,Supplementary!$C$44:$AF$46,3,FALSE)*G41</f>
        <v>500.18687954092383</v>
      </c>
      <c r="H34" s="323">
        <f>priceYear</f>
        <v>2015</v>
      </c>
      <c r="I34" s="555"/>
      <c r="J34" s="1472"/>
    </row>
    <row r="35" spans="2:10">
      <c r="B35" s="1492"/>
      <c r="C35" s="1469"/>
      <c r="D35" s="992"/>
      <c r="E35" s="992"/>
      <c r="F35" s="992"/>
      <c r="G35" s="992"/>
      <c r="H35" s="323"/>
      <c r="I35" s="555"/>
      <c r="J35" s="1472"/>
    </row>
    <row r="36" spans="2:10">
      <c r="B36" s="1492" t="s">
        <v>264</v>
      </c>
      <c r="C36" s="1469" t="s">
        <v>263</v>
      </c>
      <c r="D36" s="992">
        <f>HLOOKUP($H43,Supplementary!$C$44:$AF$46,3,FALSE)*D43</f>
        <v>0</v>
      </c>
      <c r="E36" s="992">
        <f>HLOOKUP($H43,Supplementary!$C$44:$AF$46,3,FALSE)*E43</f>
        <v>0</v>
      </c>
      <c r="F36" s="992">
        <f>HLOOKUP($H43,Supplementary!$C$44:$AF$46,3,FALSE)*F43</f>
        <v>0</v>
      </c>
      <c r="G36" s="992">
        <f>HLOOKUP($H43,Supplementary!$C$44:$AF$46,3,FALSE)*G43</f>
        <v>0</v>
      </c>
      <c r="H36" s="323">
        <f>priceYear</f>
        <v>2015</v>
      </c>
      <c r="I36" s="555"/>
      <c r="J36" s="1472"/>
    </row>
    <row r="37" spans="2:10">
      <c r="B37" s="1468"/>
      <c r="C37" s="1469"/>
      <c r="D37" s="1562"/>
      <c r="E37" s="1486"/>
      <c r="F37" s="1486"/>
      <c r="G37" s="1486"/>
      <c r="H37" s="1486"/>
      <c r="I37" s="555"/>
      <c r="J37" s="1472"/>
    </row>
    <row r="38" spans="2:10">
      <c r="B38" s="247" t="s">
        <v>157</v>
      </c>
      <c r="C38" s="1469" t="s">
        <v>61</v>
      </c>
      <c r="D38" s="346">
        <f>D80</f>
        <v>304687</v>
      </c>
      <c r="E38" s="347">
        <f>E80</f>
        <v>204336</v>
      </c>
      <c r="F38" s="347">
        <f>F80</f>
        <v>173739</v>
      </c>
      <c r="G38" s="347">
        <f>G80</f>
        <v>173739</v>
      </c>
      <c r="H38" s="407">
        <v>2011</v>
      </c>
      <c r="I38" s="1576" t="str">
        <f>CONCATENATE(Referencer!$B$11)</f>
        <v>5, Concawe (2011): Well-to-wheels analysis of future automotive fuels and power-trains in the European Context. November 2011.</v>
      </c>
      <c r="J38" s="1472"/>
    </row>
    <row r="39" spans="2:10">
      <c r="B39" s="1484" t="s">
        <v>262</v>
      </c>
      <c r="C39" s="1469" t="s">
        <v>263</v>
      </c>
      <c r="D39" s="1565">
        <f ca="1">+SUM(D40:D43)</f>
        <v>4033.464751290428</v>
      </c>
      <c r="E39" s="1566">
        <f ca="1">+SUM(E40:E43)</f>
        <v>3425.6372804920857</v>
      </c>
      <c r="F39" s="1566">
        <f ca="1">+SUM(F40:F43)</f>
        <v>2983.0485920155152</v>
      </c>
      <c r="G39" s="1566">
        <f ca="1">+SUM(G40:G43)</f>
        <v>2983.0485920155152</v>
      </c>
      <c r="H39" s="407">
        <v>2011</v>
      </c>
      <c r="I39" s="1576"/>
      <c r="J39" s="1472"/>
    </row>
    <row r="40" spans="2:10">
      <c r="B40" s="1492" t="s">
        <v>162</v>
      </c>
      <c r="C40" s="1469" t="s">
        <v>263</v>
      </c>
      <c r="D40" s="1565">
        <f ca="1">PMT(rSØK,D27,-D38)/D28</f>
        <v>3644.8603887076174</v>
      </c>
      <c r="E40" s="1566">
        <f ca="1">PMT(rSØK,E27,-E38)/E28</f>
        <v>2955.740832387115</v>
      </c>
      <c r="F40" s="1566">
        <f ca="1">PMT(rSØK,F27,-F38)/F28</f>
        <v>2513.1521439105445</v>
      </c>
      <c r="G40" s="1566">
        <f ca="1">PMT(rSØK,G27,-G38)/G28</f>
        <v>2513.1521439105445</v>
      </c>
      <c r="H40" s="407">
        <v>2011</v>
      </c>
      <c r="I40" s="1576"/>
      <c r="J40" s="1472"/>
    </row>
    <row r="41" spans="2:10">
      <c r="B41" s="1492" t="s">
        <v>163</v>
      </c>
      <c r="C41" s="1469" t="s">
        <v>263</v>
      </c>
      <c r="D41" s="1567">
        <f>+D74</f>
        <v>388.60436258281067</v>
      </c>
      <c r="E41" s="1568">
        <f>+E74</f>
        <v>469.8964481049706</v>
      </c>
      <c r="F41" s="1568">
        <f>+F74</f>
        <v>469.8964481049706</v>
      </c>
      <c r="G41" s="1568">
        <f>+G74</f>
        <v>469.8964481049706</v>
      </c>
      <c r="H41" s="407">
        <v>2011</v>
      </c>
      <c r="I41" s="1442"/>
      <c r="J41" s="1472"/>
    </row>
    <row r="42" spans="2:10">
      <c r="B42" s="1492"/>
      <c r="C42" s="1469"/>
      <c r="D42" s="1562"/>
      <c r="E42" s="1486"/>
      <c r="F42" s="1486"/>
      <c r="G42" s="1486"/>
      <c r="H42" s="407"/>
      <c r="I42" s="1576"/>
      <c r="J42" s="1472"/>
    </row>
    <row r="43" spans="2:10">
      <c r="B43" s="1492" t="s">
        <v>264</v>
      </c>
      <c r="C43" s="1469" t="s">
        <v>263</v>
      </c>
      <c r="D43" s="1477">
        <v>0</v>
      </c>
      <c r="E43" s="1478">
        <v>0</v>
      </c>
      <c r="F43" s="1478">
        <v>0</v>
      </c>
      <c r="G43" s="1478">
        <v>0</v>
      </c>
      <c r="H43" s="407">
        <v>2011</v>
      </c>
      <c r="I43" s="1576"/>
      <c r="J43" s="1472"/>
    </row>
    <row r="44" spans="2:10">
      <c r="B44" s="1492"/>
      <c r="C44" s="1469"/>
      <c r="D44" s="1562"/>
      <c r="E44" s="1486"/>
      <c r="F44" s="1486"/>
      <c r="G44" s="1486"/>
      <c r="H44" s="1486"/>
      <c r="I44" s="1576"/>
      <c r="J44" s="1472"/>
    </row>
    <row r="45" spans="2:10">
      <c r="B45" s="1468" t="s">
        <v>166</v>
      </c>
      <c r="C45" s="1469"/>
      <c r="D45" s="1562"/>
      <c r="E45" s="1486"/>
      <c r="F45" s="1486"/>
      <c r="G45" s="1486"/>
      <c r="H45" s="1489"/>
      <c r="I45" s="1576"/>
      <c r="J45" s="1472"/>
    </row>
    <row r="46" spans="2:10">
      <c r="B46" s="418" t="s">
        <v>0</v>
      </c>
      <c r="C46" s="1469"/>
      <c r="D46" s="1562"/>
      <c r="E46" s="1486"/>
      <c r="F46" s="1486"/>
      <c r="G46" s="1486"/>
      <c r="H46" s="1566"/>
      <c r="I46" s="1576"/>
      <c r="J46" s="1472"/>
    </row>
    <row r="47" spans="2:10">
      <c r="B47" s="1484" t="s">
        <v>24</v>
      </c>
      <c r="C47" s="1469" t="s">
        <v>348</v>
      </c>
      <c r="D47" s="423"/>
      <c r="E47" s="424"/>
      <c r="F47" s="424"/>
      <c r="G47" s="424"/>
      <c r="H47" s="1566"/>
      <c r="I47" s="1576"/>
      <c r="J47" s="1574" t="s">
        <v>850</v>
      </c>
    </row>
    <row r="48" spans="2:10">
      <c r="B48" s="1484" t="s">
        <v>27</v>
      </c>
      <c r="C48" s="1469" t="s">
        <v>348</v>
      </c>
      <c r="D48" s="160">
        <f t="shared" ref="D48:G52" si="3">D101/D$25</f>
        <v>0</v>
      </c>
      <c r="E48" s="127">
        <f t="shared" si="3"/>
        <v>0</v>
      </c>
      <c r="F48" s="127">
        <f t="shared" si="3"/>
        <v>0</v>
      </c>
      <c r="G48" s="127">
        <f t="shared" si="3"/>
        <v>0</v>
      </c>
      <c r="H48" s="1660"/>
      <c r="I48" s="1576"/>
      <c r="J48" s="1472"/>
    </row>
    <row r="49" spans="2:10">
      <c r="B49" s="1484" t="s">
        <v>28</v>
      </c>
      <c r="C49" s="1469" t="s">
        <v>348</v>
      </c>
      <c r="D49" s="160">
        <f t="shared" si="3"/>
        <v>0</v>
      </c>
      <c r="E49" s="127">
        <f t="shared" si="3"/>
        <v>0</v>
      </c>
      <c r="F49" s="127">
        <f t="shared" si="3"/>
        <v>0</v>
      </c>
      <c r="G49" s="127">
        <f t="shared" si="3"/>
        <v>0</v>
      </c>
      <c r="H49" s="1486"/>
      <c r="I49" s="1576"/>
      <c r="J49" s="1472"/>
    </row>
    <row r="50" spans="2:10">
      <c r="B50" s="1484" t="s">
        <v>26</v>
      </c>
      <c r="C50" s="1469" t="s">
        <v>348</v>
      </c>
      <c r="D50" s="160">
        <f t="shared" si="3"/>
        <v>0</v>
      </c>
      <c r="E50" s="127">
        <f t="shared" si="3"/>
        <v>0</v>
      </c>
      <c r="F50" s="127">
        <f t="shared" si="3"/>
        <v>0</v>
      </c>
      <c r="G50" s="127">
        <f t="shared" si="3"/>
        <v>0</v>
      </c>
      <c r="H50" s="1478"/>
      <c r="I50" s="1576"/>
      <c r="J50" s="1472"/>
    </row>
    <row r="51" spans="2:10">
      <c r="B51" s="1484" t="s">
        <v>167</v>
      </c>
      <c r="C51" s="1469" t="s">
        <v>348</v>
      </c>
      <c r="D51" s="160">
        <f t="shared" si="3"/>
        <v>0</v>
      </c>
      <c r="E51" s="127">
        <f t="shared" si="3"/>
        <v>0</v>
      </c>
      <c r="F51" s="127">
        <f t="shared" si="3"/>
        <v>0</v>
      </c>
      <c r="G51" s="127">
        <f t="shared" si="3"/>
        <v>0</v>
      </c>
      <c r="H51" s="1486"/>
      <c r="I51" s="1576"/>
      <c r="J51" s="1472"/>
    </row>
    <row r="52" spans="2:10">
      <c r="B52" s="1484" t="s">
        <v>45</v>
      </c>
      <c r="C52" s="1469" t="s">
        <v>348</v>
      </c>
      <c r="D52" s="160">
        <f t="shared" si="3"/>
        <v>0</v>
      </c>
      <c r="E52" s="127">
        <f t="shared" si="3"/>
        <v>0</v>
      </c>
      <c r="F52" s="127">
        <f t="shared" si="3"/>
        <v>0</v>
      </c>
      <c r="G52" s="127">
        <f t="shared" si="3"/>
        <v>0</v>
      </c>
      <c r="H52" s="1486"/>
      <c r="I52" s="1576"/>
      <c r="J52" s="1472"/>
    </row>
    <row r="53" spans="2:10">
      <c r="B53" s="1484"/>
      <c r="C53" s="1469"/>
      <c r="D53" s="161"/>
      <c r="E53" s="1471"/>
      <c r="F53" s="1471"/>
      <c r="G53" s="1471"/>
      <c r="H53" s="1486"/>
      <c r="I53" s="1576"/>
      <c r="J53" s="1472"/>
    </row>
    <row r="54" spans="2:10">
      <c r="B54" s="418" t="s">
        <v>20</v>
      </c>
      <c r="C54" s="1469"/>
      <c r="D54" s="1562"/>
      <c r="E54" s="1486"/>
      <c r="F54" s="1486"/>
      <c r="G54" s="1486"/>
      <c r="H54" s="1660"/>
      <c r="I54" s="1576"/>
      <c r="J54" s="1472"/>
    </row>
    <row r="55" spans="2:10">
      <c r="B55" s="1484" t="s">
        <v>24</v>
      </c>
      <c r="C55" s="1469" t="s">
        <v>348</v>
      </c>
      <c r="D55" s="423"/>
      <c r="E55" s="424"/>
      <c r="F55" s="424"/>
      <c r="G55" s="424"/>
      <c r="H55" s="1660"/>
      <c r="I55" s="1576"/>
      <c r="J55" s="1574" t="s">
        <v>850</v>
      </c>
    </row>
    <row r="56" spans="2:10">
      <c r="B56" s="1484" t="s">
        <v>27</v>
      </c>
      <c r="C56" s="1469" t="s">
        <v>348</v>
      </c>
      <c r="D56" s="420">
        <f>Elmotor!D48</f>
        <v>0</v>
      </c>
      <c r="E56" s="419">
        <f>Elmotor!E48</f>
        <v>0</v>
      </c>
      <c r="F56" s="419">
        <f>Elmotor!F48</f>
        <v>0</v>
      </c>
      <c r="G56" s="419">
        <f>Elmotor!G48</f>
        <v>0</v>
      </c>
      <c r="H56" s="1661"/>
      <c r="I56" s="1576"/>
      <c r="J56" s="1472"/>
    </row>
    <row r="57" spans="2:10">
      <c r="B57" s="1484" t="s">
        <v>28</v>
      </c>
      <c r="C57" s="1469" t="s">
        <v>348</v>
      </c>
      <c r="D57" s="420">
        <f>Elmotor!D49</f>
        <v>0</v>
      </c>
      <c r="E57" s="419">
        <f>Elmotor!E49</f>
        <v>0</v>
      </c>
      <c r="F57" s="419">
        <f>Elmotor!F49</f>
        <v>0</v>
      </c>
      <c r="G57" s="419">
        <f>Elmotor!G49</f>
        <v>0</v>
      </c>
      <c r="H57" s="1661"/>
      <c r="I57" s="1576"/>
      <c r="J57" s="1472"/>
    </row>
    <row r="58" spans="2:10">
      <c r="B58" s="1484" t="s">
        <v>26</v>
      </c>
      <c r="C58" s="1469" t="s">
        <v>348</v>
      </c>
      <c r="D58" s="420">
        <f>Elmotor!D50</f>
        <v>0</v>
      </c>
      <c r="E58" s="419">
        <f>Elmotor!E50</f>
        <v>0</v>
      </c>
      <c r="F58" s="419">
        <f>Elmotor!F50</f>
        <v>0</v>
      </c>
      <c r="G58" s="419">
        <f>Elmotor!G50</f>
        <v>0</v>
      </c>
      <c r="H58" s="1661"/>
      <c r="I58" s="1576"/>
      <c r="J58" s="1472"/>
    </row>
    <row r="59" spans="2:10">
      <c r="B59" s="1484" t="s">
        <v>167</v>
      </c>
      <c r="C59" s="1469" t="s">
        <v>348</v>
      </c>
      <c r="D59" s="420">
        <f>Elmotor!D51</f>
        <v>0</v>
      </c>
      <c r="E59" s="419">
        <f>Elmotor!E51</f>
        <v>0</v>
      </c>
      <c r="F59" s="419">
        <f>Elmotor!F51</f>
        <v>0</v>
      </c>
      <c r="G59" s="419">
        <f>Elmotor!G51</f>
        <v>0</v>
      </c>
      <c r="H59" s="1661"/>
      <c r="I59" s="1576"/>
      <c r="J59" s="1472"/>
    </row>
    <row r="60" spans="2:10">
      <c r="B60" s="1484" t="s">
        <v>45</v>
      </c>
      <c r="C60" s="1469" t="s">
        <v>348</v>
      </c>
      <c r="D60" s="420">
        <f>Elmotor!D52</f>
        <v>0</v>
      </c>
      <c r="E60" s="419">
        <f>Elmotor!E52</f>
        <v>0</v>
      </c>
      <c r="F60" s="419">
        <f>Elmotor!F52</f>
        <v>0</v>
      </c>
      <c r="G60" s="419">
        <f>Elmotor!G52</f>
        <v>0</v>
      </c>
      <c r="H60" s="1661"/>
      <c r="I60" s="1576"/>
      <c r="J60" s="1472"/>
    </row>
    <row r="61" spans="2:10" ht="13.5" thickBot="1">
      <c r="B61" s="128"/>
      <c r="C61" s="1499"/>
      <c r="D61" s="162"/>
      <c r="E61" s="1501"/>
      <c r="F61" s="1501"/>
      <c r="G61" s="1501"/>
      <c r="H61" s="218"/>
      <c r="I61" s="1443"/>
      <c r="J61" s="1503"/>
    </row>
    <row r="62" spans="2:10">
      <c r="I62" s="142"/>
    </row>
    <row r="63" spans="2:10">
      <c r="D63" s="940"/>
      <c r="I63" s="142"/>
    </row>
    <row r="64" spans="2:10" ht="16.5" thickBot="1">
      <c r="B64" s="1504" t="s">
        <v>168</v>
      </c>
      <c r="I64" s="142"/>
    </row>
    <row r="65" spans="2:10">
      <c r="B65" s="1455"/>
      <c r="C65" s="1456"/>
      <c r="D65" s="1557"/>
      <c r="E65" s="1449"/>
      <c r="F65" s="1449"/>
      <c r="G65" s="1449"/>
      <c r="H65" s="962"/>
      <c r="I65" s="962" t="s">
        <v>145</v>
      </c>
      <c r="J65" s="1450" t="s">
        <v>146</v>
      </c>
    </row>
    <row r="66" spans="2:10">
      <c r="B66" s="1460"/>
      <c r="C66" s="1461" t="s">
        <v>70</v>
      </c>
      <c r="D66" s="1506">
        <v>2015</v>
      </c>
      <c r="E66" s="1507">
        <v>2020</v>
      </c>
      <c r="F66" s="1507">
        <v>2035</v>
      </c>
      <c r="G66" s="1507">
        <v>2050</v>
      </c>
      <c r="H66" s="555"/>
      <c r="I66" s="555"/>
      <c r="J66" s="1465"/>
    </row>
    <row r="67" spans="2:10">
      <c r="B67" s="1484" t="s">
        <v>266</v>
      </c>
      <c r="C67" s="1509" t="s">
        <v>1027</v>
      </c>
      <c r="D67" s="947">
        <f>D68/D70*D69</f>
        <v>0.42330970992366412</v>
      </c>
      <c r="E67" s="947">
        <f>D67*(1-E71)</f>
        <v>0.35007713010687019</v>
      </c>
      <c r="F67" s="947">
        <f>E67</f>
        <v>0.35007713010687019</v>
      </c>
      <c r="G67" s="947">
        <f>F67</f>
        <v>0.35007713010687019</v>
      </c>
      <c r="H67" s="555"/>
      <c r="I67" s="555"/>
      <c r="J67" s="1472"/>
    </row>
    <row r="68" spans="2:10">
      <c r="B68" s="1484" t="s">
        <v>1028</v>
      </c>
      <c r="C68" s="1509" t="s">
        <v>1027</v>
      </c>
      <c r="D68" s="957">
        <f>'Std benzin motor'!D67</f>
        <v>0.38034000000000001</v>
      </c>
      <c r="E68" s="957"/>
      <c r="F68" s="957"/>
      <c r="G68" s="957"/>
      <c r="H68" s="1576"/>
      <c r="I68" s="1576"/>
      <c r="J68" s="1472"/>
    </row>
    <row r="69" spans="2:10">
      <c r="B69" s="1484" t="s">
        <v>1071</v>
      </c>
      <c r="C69" s="1509" t="s">
        <v>59</v>
      </c>
      <c r="D69" s="955">
        <v>1458</v>
      </c>
      <c r="E69" s="955"/>
      <c r="F69" s="955"/>
      <c r="G69" s="955"/>
      <c r="H69" s="1576"/>
      <c r="I69" s="1576" t="str">
        <f>CONCATENATE(Referencer!$B$40)</f>
        <v>34, JEC - Joint Research Centre-EUCAR-CONCAWE collaboration, Tank to Wheels Report, version 4.0, July 2013</v>
      </c>
      <c r="J69" s="1472" t="s">
        <v>2669</v>
      </c>
    </row>
    <row r="70" spans="2:10">
      <c r="B70" s="1484" t="s">
        <v>1031</v>
      </c>
      <c r="C70" s="1509" t="s">
        <v>59</v>
      </c>
      <c r="D70" s="956">
        <f>'Std benzin motor'!D68</f>
        <v>1310</v>
      </c>
      <c r="E70" s="956"/>
      <c r="F70" s="956"/>
      <c r="G70" s="956"/>
      <c r="H70" s="555"/>
      <c r="I70" s="555"/>
      <c r="J70" s="1472"/>
    </row>
    <row r="71" spans="2:10">
      <c r="B71" s="1484" t="s">
        <v>1067</v>
      </c>
      <c r="C71" s="1509" t="s">
        <v>29</v>
      </c>
      <c r="D71" s="905"/>
      <c r="E71" s="954">
        <v>0.17299999999999999</v>
      </c>
      <c r="F71" s="876"/>
      <c r="G71" s="876"/>
      <c r="H71" s="1576"/>
      <c r="I71" s="1576" t="str">
        <f>CONCATENATE(Referencer!$B$40)</f>
        <v>34, JEC - Joint Research Centre-EUCAR-CONCAWE collaboration, Tank to Wheels Report, version 4.0, July 2013</v>
      </c>
      <c r="J71" s="1472" t="s">
        <v>1073</v>
      </c>
    </row>
    <row r="72" spans="2:10">
      <c r="B72" s="1484" t="s">
        <v>268</v>
      </c>
      <c r="C72" s="1509" t="s">
        <v>269</v>
      </c>
      <c r="D72" s="931">
        <v>18000</v>
      </c>
      <c r="E72" s="922">
        <v>18000</v>
      </c>
      <c r="F72" s="922">
        <v>18000</v>
      </c>
      <c r="G72" s="922">
        <v>18000</v>
      </c>
      <c r="H72" s="555"/>
      <c r="I72" s="555"/>
      <c r="J72" s="1472"/>
    </row>
    <row r="73" spans="2:10">
      <c r="B73" s="1484" t="s">
        <v>260</v>
      </c>
      <c r="C73" s="1509" t="s">
        <v>261</v>
      </c>
      <c r="D73" s="95">
        <f>+D67*D72/1000</f>
        <v>7.619574778625954</v>
      </c>
      <c r="E73" s="1471">
        <f>+E67*E72/1000</f>
        <v>6.3013883419236638</v>
      </c>
      <c r="F73" s="1471">
        <f>+F67*F72/1000</f>
        <v>6.3013883419236638</v>
      </c>
      <c r="G73" s="1471">
        <f>+G67*G72/1000</f>
        <v>6.3013883419236638</v>
      </c>
      <c r="H73" s="555"/>
      <c r="I73" s="555"/>
      <c r="J73" s="1472" t="s">
        <v>270</v>
      </c>
    </row>
    <row r="74" spans="2:10">
      <c r="B74" s="1484" t="s">
        <v>271</v>
      </c>
      <c r="C74" s="1509" t="s">
        <v>263</v>
      </c>
      <c r="D74" s="94">
        <f>D75*1000/D67</f>
        <v>388.60436258281067</v>
      </c>
      <c r="E74" s="1577">
        <f>E75*1000/E67</f>
        <v>469.8964481049706</v>
      </c>
      <c r="F74" s="1577">
        <f>F75*1000/F67</f>
        <v>469.8964481049706</v>
      </c>
      <c r="G74" s="1577">
        <f>G75*1000/G67</f>
        <v>469.8964481049706</v>
      </c>
      <c r="H74" s="555"/>
      <c r="I74" s="555"/>
      <c r="J74" s="1472"/>
    </row>
    <row r="75" spans="2:10">
      <c r="B75" s="1484" t="s">
        <v>271</v>
      </c>
      <c r="C75" s="1509" t="s">
        <v>55</v>
      </c>
      <c r="D75" s="1577">
        <f>D76*D77</f>
        <v>0.16449999999999998</v>
      </c>
      <c r="E75" s="1577">
        <f>E76*E77</f>
        <v>0.16449999999999998</v>
      </c>
      <c r="F75" s="1577">
        <f>F76*F77</f>
        <v>0.16449999999999998</v>
      </c>
      <c r="G75" s="1577">
        <f>G76*G77</f>
        <v>0.16449999999999998</v>
      </c>
      <c r="H75" s="1442"/>
      <c r="I75" s="1442"/>
      <c r="J75" s="1574"/>
    </row>
    <row r="76" spans="2:10">
      <c r="B76" s="1484" t="s">
        <v>271</v>
      </c>
      <c r="C76" s="1509" t="s">
        <v>2028</v>
      </c>
      <c r="D76" s="1633">
        <v>0.47</v>
      </c>
      <c r="E76" s="1633">
        <v>0.47</v>
      </c>
      <c r="F76" s="1633">
        <v>0.47</v>
      </c>
      <c r="G76" s="1633">
        <v>0.47</v>
      </c>
      <c r="H76" s="555"/>
      <c r="I76" s="555" t="s">
        <v>2029</v>
      </c>
      <c r="J76" s="1574" t="s">
        <v>2030</v>
      </c>
    </row>
    <row r="77" spans="2:10">
      <c r="B77" s="1484" t="s">
        <v>2027</v>
      </c>
      <c r="C77" s="1509" t="s">
        <v>55</v>
      </c>
      <c r="D77" s="1637">
        <f>'Std benzin motor'!D75</f>
        <v>0.35</v>
      </c>
      <c r="E77" s="1637">
        <f>'Std benzin motor'!E75</f>
        <v>0.35</v>
      </c>
      <c r="F77" s="1637">
        <f>'Std benzin motor'!F75</f>
        <v>0.35</v>
      </c>
      <c r="G77" s="1637">
        <f>'Std benzin motor'!G75</f>
        <v>0.35</v>
      </c>
      <c r="H77" s="1442"/>
      <c r="I77" s="1442"/>
      <c r="J77" s="1574"/>
    </row>
    <row r="78" spans="2:10">
      <c r="B78" s="1484" t="s">
        <v>510</v>
      </c>
      <c r="C78" s="1509" t="s">
        <v>29</v>
      </c>
      <c r="D78" s="95"/>
      <c r="E78" s="436">
        <f>'Brændselscelle, methanolhybrid'!E78</f>
        <v>0.2</v>
      </c>
      <c r="F78" s="436">
        <f>'Brændselscelle, methanolhybrid'!F78</f>
        <v>0.4</v>
      </c>
      <c r="G78" s="436">
        <f>'Brændselscelle, methanolhybrid'!G78</f>
        <v>0.4</v>
      </c>
      <c r="H78" s="1442"/>
      <c r="I78" s="1442"/>
      <c r="J78" s="1472" t="s">
        <v>1058</v>
      </c>
    </row>
    <row r="79" spans="2:10">
      <c r="B79" s="1484"/>
      <c r="C79" s="1509"/>
      <c r="D79" s="1471"/>
      <c r="E79" s="352"/>
      <c r="F79" s="352"/>
      <c r="G79" s="352"/>
      <c r="H79" s="1442"/>
      <c r="I79" s="1442"/>
      <c r="J79" s="1472"/>
    </row>
    <row r="80" spans="2:10">
      <c r="B80" s="1484" t="s">
        <v>618</v>
      </c>
      <c r="C80" s="1509" t="s">
        <v>61</v>
      </c>
      <c r="D80" s="1516">
        <f>D81+D82+D85+D88</f>
        <v>304687</v>
      </c>
      <c r="E80" s="1516">
        <f>E81+E82+E85+E88</f>
        <v>204336</v>
      </c>
      <c r="F80" s="1516">
        <f>F81+F82+F85+F88</f>
        <v>173739</v>
      </c>
      <c r="G80" s="1516">
        <f>G81+G82+G85+G88</f>
        <v>173739</v>
      </c>
      <c r="H80" s="1442"/>
      <c r="I80" s="1442"/>
      <c r="J80" s="1472"/>
    </row>
    <row r="81" spans="2:12">
      <c r="B81" s="1484" t="s">
        <v>619</v>
      </c>
      <c r="C81" s="1509" t="s">
        <v>61</v>
      </c>
      <c r="D81" s="348">
        <v>193387</v>
      </c>
      <c r="E81" s="348">
        <v>160836</v>
      </c>
      <c r="F81" s="348">
        <v>151864</v>
      </c>
      <c r="G81" s="348">
        <v>151864</v>
      </c>
      <c r="H81" s="1576"/>
      <c r="I81" s="1576" t="str">
        <f>CONCATENATE(Referencer!$B$11)</f>
        <v>5, Concawe (2011): Well-to-wheels analysis of future automotive fuels and power-trains in the European Context. November 2011.</v>
      </c>
      <c r="J81" s="1574" t="s">
        <v>2671</v>
      </c>
    </row>
    <row r="82" spans="2:12">
      <c r="B82" s="1484" t="s">
        <v>860</v>
      </c>
      <c r="C82" s="1509" t="s">
        <v>61</v>
      </c>
      <c r="D82" s="437">
        <f>D83*D84</f>
        <v>105000</v>
      </c>
      <c r="E82" s="437">
        <f>E83*E84</f>
        <v>41250</v>
      </c>
      <c r="F82" s="437">
        <f>F83*F84</f>
        <v>20625</v>
      </c>
      <c r="G82" s="437">
        <f>G83*G84</f>
        <v>20625</v>
      </c>
      <c r="H82" s="1442"/>
      <c r="I82" s="1442"/>
      <c r="J82" s="1472"/>
    </row>
    <row r="83" spans="2:12">
      <c r="B83" s="1484" t="s">
        <v>614</v>
      </c>
      <c r="C83" s="1509" t="s">
        <v>61</v>
      </c>
      <c r="D83" s="348">
        <v>1500</v>
      </c>
      <c r="E83" s="348">
        <v>750</v>
      </c>
      <c r="F83" s="348">
        <v>375</v>
      </c>
      <c r="G83" s="348">
        <v>375</v>
      </c>
      <c r="H83" s="1576"/>
      <c r="I83" s="1576" t="str">
        <f>CONCATENATE(Referencer!$B$11)</f>
        <v>5, Concawe (2011): Well-to-wheels analysis of future automotive fuels and power-trains in the European Context. November 2011.</v>
      </c>
      <c r="J83" s="1472" t="s">
        <v>2672</v>
      </c>
    </row>
    <row r="84" spans="2:12">
      <c r="B84" s="1484" t="s">
        <v>863</v>
      </c>
      <c r="C84" s="1509" t="s">
        <v>61</v>
      </c>
      <c r="D84" s="352">
        <v>70</v>
      </c>
      <c r="E84" s="352">
        <v>55</v>
      </c>
      <c r="F84" s="352">
        <v>55</v>
      </c>
      <c r="G84" s="352">
        <v>55</v>
      </c>
      <c r="H84" s="1576"/>
      <c r="I84" s="1576" t="str">
        <f>CONCATENATE(Referencer!$B$40)</f>
        <v>34, JEC - Joint Research Centre-EUCAR-CONCAWE collaboration, Tank to Wheels Report, version 4.0, July 2013</v>
      </c>
      <c r="J84" s="1472" t="s">
        <v>2711</v>
      </c>
    </row>
    <row r="85" spans="2:12">
      <c r="B85" s="1484" t="s">
        <v>865</v>
      </c>
      <c r="C85" s="1509" t="s">
        <v>61</v>
      </c>
      <c r="D85" s="438"/>
      <c r="E85" s="438"/>
      <c r="F85" s="438"/>
      <c r="G85" s="438"/>
      <c r="H85" s="1576"/>
      <c r="I85" s="1576"/>
      <c r="J85" s="1472"/>
    </row>
    <row r="86" spans="2:12">
      <c r="B86" s="1484" t="s">
        <v>866</v>
      </c>
      <c r="C86" s="1509" t="s">
        <v>61</v>
      </c>
      <c r="D86" s="352"/>
      <c r="E86" s="352"/>
      <c r="F86" s="352"/>
      <c r="G86" s="352"/>
      <c r="H86" s="1576"/>
      <c r="I86" s="1576"/>
      <c r="J86" s="1472"/>
    </row>
    <row r="87" spans="2:12">
      <c r="B87" s="1484" t="s">
        <v>868</v>
      </c>
      <c r="C87" s="1509" t="s">
        <v>61</v>
      </c>
      <c r="D87" s="438"/>
      <c r="E87" s="438"/>
      <c r="F87" s="438"/>
      <c r="G87" s="438"/>
      <c r="H87" s="1576"/>
      <c r="I87" s="1576"/>
      <c r="J87" s="1472"/>
    </row>
    <row r="88" spans="2:12">
      <c r="B88" s="1484" t="s">
        <v>615</v>
      </c>
      <c r="C88" s="1509" t="s">
        <v>61</v>
      </c>
      <c r="D88" s="439">
        <f>D89*D90</f>
        <v>6300</v>
      </c>
      <c r="E88" s="439">
        <f>E89*E90</f>
        <v>2250</v>
      </c>
      <c r="F88" s="439">
        <f>F89*F90</f>
        <v>1250</v>
      </c>
      <c r="G88" s="439">
        <f>G89*G90</f>
        <v>1250</v>
      </c>
      <c r="H88" s="1576"/>
      <c r="I88" s="1576"/>
      <c r="J88" s="1472"/>
      <c r="L88" s="333"/>
    </row>
    <row r="89" spans="2:12">
      <c r="B89" s="1484" t="s">
        <v>869</v>
      </c>
      <c r="C89" s="1509" t="s">
        <v>61</v>
      </c>
      <c r="D89" s="436">
        <f>Elmotor!D83</f>
        <v>4500</v>
      </c>
      <c r="E89" s="436">
        <f>Elmotor!E83</f>
        <v>2250</v>
      </c>
      <c r="F89" s="436">
        <f>Elmotor!F83</f>
        <v>1250</v>
      </c>
      <c r="G89" s="436">
        <f>Elmotor!G83</f>
        <v>1250</v>
      </c>
      <c r="H89" s="1576"/>
      <c r="I89" s="1576"/>
      <c r="J89" s="1472" t="s">
        <v>1053</v>
      </c>
    </row>
    <row r="90" spans="2:12">
      <c r="B90" s="1484" t="s">
        <v>870</v>
      </c>
      <c r="C90" s="1509" t="s">
        <v>61</v>
      </c>
      <c r="D90" s="352">
        <v>1.4</v>
      </c>
      <c r="E90" s="352">
        <v>1</v>
      </c>
      <c r="F90" s="352">
        <v>1</v>
      </c>
      <c r="G90" s="352">
        <v>1</v>
      </c>
      <c r="H90" s="1576"/>
      <c r="I90" s="1576" t="str">
        <f>CONCATENATE(Referencer!$B$40)</f>
        <v>34, JEC - Joint Research Centre-EUCAR-CONCAWE collaboration, Tank to Wheels Report, version 4.0, July 2013</v>
      </c>
      <c r="J90" s="1472" t="s">
        <v>2711</v>
      </c>
    </row>
    <row r="91" spans="2:12">
      <c r="B91" s="1484"/>
      <c r="C91" s="1509"/>
      <c r="D91" s="352"/>
      <c r="E91" s="352"/>
      <c r="F91" s="352"/>
      <c r="G91" s="352"/>
      <c r="H91" s="1576"/>
      <c r="I91" s="1576"/>
      <c r="J91" s="1472"/>
    </row>
    <row r="92" spans="2:12">
      <c r="B92" s="1484" t="s">
        <v>2673</v>
      </c>
      <c r="C92" s="1509" t="s">
        <v>267</v>
      </c>
      <c r="D92" s="352">
        <v>0.74990000000000001</v>
      </c>
      <c r="E92" s="352">
        <v>0.53849999999999998</v>
      </c>
      <c r="F92" s="352">
        <v>0.53849999999999998</v>
      </c>
      <c r="G92" s="352">
        <v>0.53849999999999998</v>
      </c>
      <c r="H92" s="1576"/>
      <c r="I92" s="1576" t="str">
        <f>CONCATENATE(Referencer!$B$40)</f>
        <v>34, JEC - Joint Research Centre-EUCAR-CONCAWE collaboration, Tank to Wheels Report, version 4.0, July 2013</v>
      </c>
      <c r="J92" s="1472" t="s">
        <v>2712</v>
      </c>
    </row>
    <row r="93" spans="2:12">
      <c r="B93" s="1484"/>
      <c r="C93" s="1509"/>
      <c r="D93" s="352"/>
      <c r="E93" s="352"/>
      <c r="F93" s="352"/>
      <c r="G93" s="352"/>
      <c r="H93" s="1576"/>
      <c r="I93" s="1576"/>
      <c r="J93" s="1472"/>
    </row>
    <row r="94" spans="2:12">
      <c r="B94" s="1484"/>
      <c r="C94" s="1509"/>
      <c r="D94" s="352"/>
      <c r="E94" s="352"/>
      <c r="F94" s="352"/>
      <c r="G94" s="352"/>
      <c r="H94" s="1576"/>
      <c r="I94" s="1576"/>
      <c r="J94" s="1472"/>
    </row>
    <row r="95" spans="2:12" ht="13.5" thickBot="1">
      <c r="B95" s="1521"/>
      <c r="C95" s="1522"/>
      <c r="D95" s="937"/>
      <c r="E95" s="937"/>
      <c r="F95" s="937"/>
      <c r="G95" s="937"/>
      <c r="H95" s="1443"/>
      <c r="I95" s="1443"/>
      <c r="J95" s="1503"/>
    </row>
    <row r="96" spans="2:12">
      <c r="H96" s="142"/>
      <c r="I96" s="142"/>
    </row>
    <row r="97" spans="2:10" ht="16.5" thickBot="1">
      <c r="B97" s="1504" t="s">
        <v>172</v>
      </c>
    </row>
    <row r="98" spans="2:10">
      <c r="B98" s="185"/>
      <c r="C98" s="174"/>
      <c r="D98" s="441"/>
      <c r="E98" s="441"/>
      <c r="F98" s="441"/>
      <c r="G98" s="441"/>
      <c r="H98" s="1449"/>
      <c r="I98" s="1449"/>
      <c r="J98" s="1450"/>
    </row>
    <row r="99" spans="2:10">
      <c r="B99" s="1484"/>
      <c r="C99" s="386"/>
      <c r="D99" s="386"/>
      <c r="E99" s="386"/>
      <c r="F99" s="386"/>
      <c r="G99" s="386"/>
      <c r="H99" s="386"/>
      <c r="I99" s="386"/>
      <c r="J99" s="1472"/>
    </row>
    <row r="100" spans="2:10">
      <c r="B100" s="1484" t="s">
        <v>24</v>
      </c>
      <c r="C100" s="386" t="s">
        <v>7</v>
      </c>
      <c r="D100" s="1584">
        <v>0</v>
      </c>
      <c r="E100" s="1584">
        <v>0</v>
      </c>
      <c r="F100" s="1584">
        <v>0</v>
      </c>
      <c r="G100" s="1584"/>
      <c r="H100" s="386"/>
      <c r="I100" s="386"/>
      <c r="J100" s="1472"/>
    </row>
    <row r="101" spans="2:10">
      <c r="B101" s="1484" t="s">
        <v>27</v>
      </c>
      <c r="C101" s="386" t="s">
        <v>7</v>
      </c>
      <c r="D101" s="1584">
        <v>0</v>
      </c>
      <c r="E101" s="1584">
        <v>0</v>
      </c>
      <c r="F101" s="1584">
        <v>0</v>
      </c>
      <c r="G101" s="1584"/>
      <c r="H101" s="386"/>
      <c r="I101" s="386"/>
      <c r="J101" s="1472"/>
    </row>
    <row r="102" spans="2:10">
      <c r="B102" s="1484" t="s">
        <v>28</v>
      </c>
      <c r="C102" s="386" t="s">
        <v>7</v>
      </c>
      <c r="D102" s="1584">
        <v>0</v>
      </c>
      <c r="E102" s="1584">
        <v>0</v>
      </c>
      <c r="F102" s="1584">
        <v>0</v>
      </c>
      <c r="G102" s="1584"/>
      <c r="H102" s="386"/>
      <c r="I102" s="386"/>
      <c r="J102" s="1472"/>
    </row>
    <row r="103" spans="2:10">
      <c r="B103" s="1484" t="s">
        <v>26</v>
      </c>
      <c r="C103" s="386" t="s">
        <v>7</v>
      </c>
      <c r="D103" s="1584">
        <v>0</v>
      </c>
      <c r="E103" s="1584">
        <v>0</v>
      </c>
      <c r="F103" s="1584">
        <v>0</v>
      </c>
      <c r="G103" s="1584"/>
      <c r="H103" s="386"/>
      <c r="I103" s="386"/>
      <c r="J103" s="1472"/>
    </row>
    <row r="104" spans="2:10">
      <c r="B104" s="1484" t="s">
        <v>167</v>
      </c>
      <c r="C104" s="386" t="s">
        <v>7</v>
      </c>
      <c r="D104" s="1584">
        <v>0</v>
      </c>
      <c r="E104" s="1584">
        <v>0</v>
      </c>
      <c r="F104" s="1584">
        <v>0</v>
      </c>
      <c r="G104" s="1584"/>
      <c r="H104" s="386"/>
      <c r="I104" s="386"/>
      <c r="J104" s="1472"/>
    </row>
    <row r="105" spans="2:10">
      <c r="B105" s="1484" t="s">
        <v>45</v>
      </c>
      <c r="C105" s="386" t="s">
        <v>7</v>
      </c>
      <c r="D105" s="1584">
        <v>0</v>
      </c>
      <c r="E105" s="1584">
        <v>0</v>
      </c>
      <c r="F105" s="1584">
        <v>0</v>
      </c>
      <c r="G105" s="1584"/>
      <c r="H105" s="386"/>
      <c r="I105" s="386"/>
      <c r="J105" s="1472"/>
    </row>
    <row r="106" spans="2:10" ht="13.5" thickBot="1">
      <c r="B106" s="1521"/>
      <c r="C106" s="182"/>
      <c r="D106" s="182"/>
      <c r="E106" s="182"/>
      <c r="F106" s="182"/>
      <c r="G106" s="182"/>
      <c r="H106" s="182"/>
      <c r="I106" s="182"/>
      <c r="J106" s="1503"/>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rgb="FF002060"/>
    <pageSetUpPr fitToPage="1"/>
  </sheetPr>
  <dimension ref="B1:S134"/>
  <sheetViews>
    <sheetView topLeftCell="A16" zoomScale="80" zoomScaleNormal="80" workbookViewId="0">
      <selection activeCell="E41" sqref="E41"/>
    </sheetView>
  </sheetViews>
  <sheetFormatPr defaultColWidth="8.85546875" defaultRowHeight="12.75"/>
  <cols>
    <col min="1" max="1" width="2.85546875" style="172" customWidth="1"/>
    <col min="2" max="2" width="35" style="172" customWidth="1"/>
    <col min="3" max="3" width="18" style="172" customWidth="1"/>
    <col min="4" max="8" width="15.85546875" style="172" customWidth="1"/>
    <col min="9" max="9" width="7.140625" style="172" customWidth="1"/>
    <col min="10" max="10" width="37.42578125" style="172" customWidth="1"/>
    <col min="11" max="11" width="9.140625" style="172" customWidth="1"/>
    <col min="12" max="12" width="9" style="172" customWidth="1"/>
    <col min="13" max="13" width="9.140625" style="172" customWidth="1"/>
    <col min="14" max="14" width="8.85546875" style="172"/>
    <col min="15" max="15" width="37.85546875" style="172" customWidth="1"/>
    <col min="16" max="18" width="8.85546875" style="172"/>
    <col min="19" max="19" width="9.140625" style="172" customWidth="1"/>
    <col min="20" max="16384" width="8.85546875" style="172"/>
  </cols>
  <sheetData>
    <row r="1" spans="2:19" s="2403" customFormat="1" ht="21">
      <c r="B1" s="2403" t="s">
        <v>2706</v>
      </c>
      <c r="Q1" s="2403">
        <f ca="1">'Log2015'!M1</f>
        <v>-8.0112614142160741</v>
      </c>
      <c r="R1" s="2405">
        <f ca="1">'Log2015'!N1</f>
        <v>-160807.124977848</v>
      </c>
      <c r="S1" s="2406"/>
    </row>
    <row r="2" spans="2:19">
      <c r="R2" s="626">
        <f ca="1">R1</f>
        <v>-160807.124977848</v>
      </c>
      <c r="S2" s="626">
        <f>S1</f>
        <v>0</v>
      </c>
    </row>
    <row r="4" spans="2:19" ht="13.5" thickBot="1">
      <c r="B4" s="171" t="s">
        <v>81</v>
      </c>
    </row>
    <row r="5" spans="2:19">
      <c r="B5" s="173" t="s">
        <v>137</v>
      </c>
      <c r="C5" s="174"/>
      <c r="D5" s="174"/>
      <c r="E5" s="174"/>
      <c r="F5" s="174"/>
      <c r="G5" s="174"/>
      <c r="H5" s="221"/>
      <c r="I5" s="174"/>
      <c r="J5" s="174"/>
      <c r="K5" s="174"/>
      <c r="L5" s="174"/>
      <c r="M5" s="174"/>
      <c r="N5" s="175"/>
    </row>
    <row r="6" spans="2:19">
      <c r="B6" s="317" t="s">
        <v>1054</v>
      </c>
      <c r="C6" s="177"/>
      <c r="D6" s="177"/>
      <c r="E6" s="177"/>
      <c r="F6" s="177"/>
      <c r="G6" s="386"/>
      <c r="H6" s="455"/>
      <c r="I6" s="177"/>
      <c r="J6" s="177"/>
      <c r="K6" s="177"/>
      <c r="L6" s="177"/>
      <c r="M6" s="177"/>
      <c r="N6" s="178"/>
    </row>
    <row r="7" spans="2:19">
      <c r="B7" s="317" t="s">
        <v>2670</v>
      </c>
      <c r="C7" s="177"/>
      <c r="D7" s="177"/>
      <c r="E7" s="177"/>
      <c r="F7" s="177"/>
      <c r="G7" s="386"/>
      <c r="H7" s="455"/>
      <c r="I7" s="177"/>
      <c r="J7" s="177"/>
      <c r="K7" s="177"/>
      <c r="L7" s="177"/>
      <c r="M7" s="177"/>
      <c r="N7" s="178"/>
    </row>
    <row r="8" spans="2:19">
      <c r="B8" s="176"/>
      <c r="C8" s="177"/>
      <c r="D8" s="177"/>
      <c r="E8" s="177"/>
      <c r="F8" s="177"/>
      <c r="G8" s="386"/>
      <c r="H8" s="455"/>
      <c r="I8" s="177"/>
      <c r="J8" s="177"/>
      <c r="K8" s="177"/>
      <c r="L8" s="177"/>
      <c r="M8" s="177"/>
      <c r="N8" s="178"/>
    </row>
    <row r="9" spans="2:19">
      <c r="B9" s="179"/>
      <c r="C9" s="177"/>
      <c r="D9" s="177"/>
      <c r="E9" s="177"/>
      <c r="F9" s="177"/>
      <c r="G9" s="386"/>
      <c r="H9" s="455"/>
      <c r="I9" s="177"/>
      <c r="J9" s="177"/>
      <c r="K9" s="177"/>
      <c r="L9" s="177"/>
      <c r="M9" s="177"/>
      <c r="N9" s="178"/>
    </row>
    <row r="10" spans="2:19">
      <c r="B10" s="179"/>
      <c r="C10" s="177"/>
      <c r="D10" s="177"/>
      <c r="E10" s="177"/>
      <c r="F10" s="177"/>
      <c r="G10" s="386"/>
      <c r="H10" s="455"/>
      <c r="I10" s="177"/>
      <c r="J10" s="177"/>
      <c r="K10" s="177"/>
      <c r="L10" s="177"/>
      <c r="M10" s="177"/>
      <c r="N10" s="178"/>
    </row>
    <row r="11" spans="2:19">
      <c r="B11" s="180" t="s">
        <v>256</v>
      </c>
      <c r="C11" s="177"/>
      <c r="D11" s="177"/>
      <c r="E11" s="177"/>
      <c r="F11" s="177"/>
      <c r="G11" s="386"/>
      <c r="H11" s="455"/>
      <c r="I11" s="177"/>
      <c r="J11" s="177"/>
      <c r="K11" s="177"/>
      <c r="L11" s="177"/>
      <c r="M11" s="177"/>
      <c r="N11" s="178"/>
    </row>
    <row r="12" spans="2:19">
      <c r="B12" s="176"/>
      <c r="C12" s="177"/>
      <c r="D12" s="177"/>
      <c r="E12" s="177"/>
      <c r="F12" s="177"/>
      <c r="G12" s="386"/>
      <c r="H12" s="455"/>
      <c r="I12" s="177"/>
      <c r="J12" s="177"/>
      <c r="K12" s="177"/>
      <c r="L12" s="177"/>
      <c r="M12" s="177"/>
      <c r="N12" s="178"/>
    </row>
    <row r="13" spans="2:19">
      <c r="B13" s="176"/>
      <c r="C13" s="177"/>
      <c r="D13" s="177"/>
      <c r="E13" s="177"/>
      <c r="F13" s="177"/>
      <c r="G13" s="386"/>
      <c r="H13" s="455"/>
      <c r="I13" s="177"/>
      <c r="J13" s="177"/>
      <c r="K13" s="177"/>
      <c r="L13" s="177"/>
      <c r="M13" s="177"/>
      <c r="N13" s="178"/>
    </row>
    <row r="14" spans="2:19">
      <c r="B14" s="180" t="s">
        <v>143</v>
      </c>
      <c r="C14" s="177"/>
      <c r="D14" s="177"/>
      <c r="E14" s="177"/>
      <c r="F14" s="177"/>
      <c r="G14" s="386"/>
      <c r="H14" s="455"/>
      <c r="I14" s="177"/>
      <c r="J14" s="177"/>
      <c r="K14" s="177"/>
      <c r="L14" s="177"/>
      <c r="M14" s="177"/>
      <c r="N14" s="178"/>
    </row>
    <row r="15" spans="2:19">
      <c r="B15" s="179"/>
      <c r="C15" s="177"/>
      <c r="D15" s="177"/>
      <c r="E15" s="177"/>
      <c r="F15" s="177"/>
      <c r="G15" s="386"/>
      <c r="H15" s="455"/>
      <c r="I15" s="177"/>
      <c r="J15" s="177"/>
      <c r="K15" s="177"/>
      <c r="L15" s="177"/>
      <c r="M15" s="177"/>
      <c r="N15" s="178"/>
    </row>
    <row r="16" spans="2:19">
      <c r="B16" s="179"/>
      <c r="C16" s="177"/>
      <c r="D16" s="177"/>
      <c r="E16" s="177"/>
      <c r="F16" s="177"/>
      <c r="G16" s="386"/>
      <c r="H16" s="455"/>
      <c r="I16" s="177"/>
      <c r="J16" s="177"/>
      <c r="K16" s="177"/>
      <c r="L16" s="177"/>
      <c r="M16" s="177"/>
      <c r="N16" s="178"/>
    </row>
    <row r="17" spans="2:14" ht="13.5" thickBot="1">
      <c r="B17" s="181"/>
      <c r="C17" s="182"/>
      <c r="D17" s="182"/>
      <c r="E17" s="182"/>
      <c r="F17" s="182"/>
      <c r="G17" s="182"/>
      <c r="H17" s="244"/>
      <c r="I17" s="182"/>
      <c r="J17" s="182"/>
      <c r="K17" s="182"/>
      <c r="L17" s="182"/>
      <c r="M17" s="182"/>
      <c r="N17" s="183"/>
    </row>
    <row r="18" spans="2:14">
      <c r="F18" s="196"/>
      <c r="G18" s="196"/>
      <c r="I18" s="197"/>
      <c r="J18" s="196"/>
    </row>
    <row r="19" spans="2:14" ht="13.5" thickBot="1">
      <c r="B19" s="171" t="s">
        <v>144</v>
      </c>
      <c r="E19" s="184"/>
      <c r="F19" s="196"/>
      <c r="G19" s="196"/>
    </row>
    <row r="20" spans="2:14">
      <c r="B20" s="63"/>
      <c r="C20" s="71"/>
      <c r="D20" s="151"/>
      <c r="E20" s="64"/>
      <c r="F20" s="64"/>
      <c r="G20" s="221"/>
      <c r="H20" s="221"/>
      <c r="I20" s="64" t="s">
        <v>145</v>
      </c>
      <c r="J20" s="72" t="s">
        <v>146</v>
      </c>
    </row>
    <row r="21" spans="2:14">
      <c r="B21" s="66"/>
      <c r="C21" s="73" t="s">
        <v>70</v>
      </c>
      <c r="D21" s="152">
        <v>2015</v>
      </c>
      <c r="E21" s="74">
        <v>2020</v>
      </c>
      <c r="F21" s="74">
        <v>2035</v>
      </c>
      <c r="G21" s="225"/>
      <c r="H21" s="225" t="s">
        <v>978</v>
      </c>
      <c r="I21" s="67"/>
      <c r="J21" s="68"/>
    </row>
    <row r="22" spans="2:14">
      <c r="B22" s="101" t="s">
        <v>257</v>
      </c>
      <c r="C22" s="75"/>
      <c r="D22" s="153"/>
      <c r="E22" s="97"/>
      <c r="F22" s="97"/>
      <c r="G22" s="209"/>
      <c r="H22" s="209"/>
      <c r="I22" s="65"/>
      <c r="J22" s="59"/>
    </row>
    <row r="23" spans="2:14">
      <c r="B23" s="122" t="s">
        <v>848</v>
      </c>
      <c r="C23" s="1469" t="s">
        <v>350</v>
      </c>
      <c r="D23" s="941">
        <f>D67/D92</f>
        <v>0.56448821165977348</v>
      </c>
      <c r="E23" s="942">
        <f>D23*(1+E78)</f>
        <v>0.67738585399172813</v>
      </c>
      <c r="F23" s="942">
        <f>D23*(1+F78)</f>
        <v>0.79028349632368278</v>
      </c>
      <c r="G23" s="942">
        <f>D23*(1+G78)</f>
        <v>0.79028349632368278</v>
      </c>
      <c r="H23" s="1657"/>
      <c r="I23" s="123"/>
      <c r="J23" s="280" t="s">
        <v>1057</v>
      </c>
      <c r="M23" s="333"/>
    </row>
    <row r="24" spans="2:14">
      <c r="B24" s="122" t="s">
        <v>849</v>
      </c>
      <c r="C24" s="1469" t="s">
        <v>350</v>
      </c>
      <c r="D24" s="938">
        <f>Elmotor!D23</f>
        <v>0.87168797542226217</v>
      </c>
      <c r="E24" s="939">
        <f>Elmotor!E23</f>
        <v>0.89936627482633358</v>
      </c>
      <c r="F24" s="939">
        <f>Elmotor!F23</f>
        <v>0.89936627482633358</v>
      </c>
      <c r="G24" s="939">
        <f>Elmotor!G23</f>
        <v>0.89936627482633358</v>
      </c>
      <c r="H24" s="1657"/>
      <c r="I24" s="283"/>
      <c r="J24" s="280" t="s">
        <v>1056</v>
      </c>
    </row>
    <row r="25" spans="2:14">
      <c r="B25" s="122" t="s">
        <v>1025</v>
      </c>
      <c r="C25" s="210" t="s">
        <v>1024</v>
      </c>
      <c r="D25" s="933">
        <f>SUM(E25:E26)*E23/D23</f>
        <v>0.51885599999999998</v>
      </c>
      <c r="E25" s="932">
        <v>0.1343</v>
      </c>
      <c r="F25" s="935">
        <f>E25</f>
        <v>0.1343</v>
      </c>
      <c r="G25" s="935">
        <f>F25</f>
        <v>0.1343</v>
      </c>
      <c r="H25" s="1658"/>
      <c r="I25" s="283" t="str">
        <f>CONCATENATE(Referencer!$B$40)</f>
        <v>34, JEC - Joint Research Centre-EUCAR-CONCAWE collaboration, Tank to Wheels Report, version 4.0, July 2013</v>
      </c>
      <c r="J25" s="178" t="s">
        <v>1038</v>
      </c>
    </row>
    <row r="26" spans="2:14">
      <c r="B26" s="122" t="s">
        <v>1026</v>
      </c>
      <c r="C26" s="210" t="s">
        <v>1024</v>
      </c>
      <c r="D26" s="416"/>
      <c r="E26" s="934">
        <f>E93*3.6</f>
        <v>0.29808000000000001</v>
      </c>
      <c r="F26" s="934">
        <f>F93*3.6</f>
        <v>0.29808000000000001</v>
      </c>
      <c r="G26" s="934">
        <f>G93*3.6</f>
        <v>0.29808000000000001</v>
      </c>
      <c r="H26" s="1658"/>
      <c r="I26" s="283" t="str">
        <f>CONCATENATE(Referencer!$B$40)</f>
        <v>34, JEC - Joint Research Centre-EUCAR-CONCAWE collaboration, Tank to Wheels Report, version 4.0, July 2013</v>
      </c>
      <c r="J26" s="178" t="s">
        <v>1038</v>
      </c>
      <c r="L26" s="333">
        <f>E26/SUM(E25:E26)</f>
        <v>0.68939358897266301</v>
      </c>
    </row>
    <row r="27" spans="2:14">
      <c r="B27" s="82" t="s">
        <v>98</v>
      </c>
      <c r="C27" s="75" t="s">
        <v>259</v>
      </c>
      <c r="D27" s="154">
        <v>16.3</v>
      </c>
      <c r="E27" s="76">
        <v>16.3</v>
      </c>
      <c r="F27" s="76">
        <v>16.3</v>
      </c>
      <c r="G27" s="212">
        <v>16.3</v>
      </c>
      <c r="H27" s="212"/>
      <c r="I27" s="1442" t="str">
        <f>+Referencer!B12</f>
        <v>6, Nyt fra Danmarks Statistik, Motorparken 2010.</v>
      </c>
      <c r="J27" s="59"/>
    </row>
    <row r="28" spans="2:14">
      <c r="B28" s="82" t="s">
        <v>260</v>
      </c>
      <c r="C28" s="75" t="s">
        <v>261</v>
      </c>
      <c r="D28" s="155">
        <f>+D73</f>
        <v>7.619574778625954</v>
      </c>
      <c r="E28" s="124">
        <f>+E73</f>
        <v>6.3013883419236638</v>
      </c>
      <c r="F28" s="124">
        <f>+F73</f>
        <v>6.3013883419236638</v>
      </c>
      <c r="G28" s="124">
        <f>+G73</f>
        <v>6.3013883419236638</v>
      </c>
      <c r="H28" s="1659"/>
      <c r="I28" s="283"/>
      <c r="J28" s="59"/>
    </row>
    <row r="29" spans="2:14">
      <c r="B29" s="60"/>
      <c r="C29" s="103"/>
      <c r="D29" s="156"/>
      <c r="E29" s="90"/>
      <c r="F29" s="90"/>
      <c r="G29" s="90"/>
      <c r="H29" s="90"/>
      <c r="I29" s="555"/>
      <c r="J29" s="59"/>
    </row>
    <row r="30" spans="2:14">
      <c r="B30" s="101" t="s">
        <v>33</v>
      </c>
      <c r="C30" s="75"/>
      <c r="D30" s="156"/>
      <c r="E30" s="90"/>
      <c r="F30" s="90"/>
      <c r="G30" s="90"/>
      <c r="H30" s="90"/>
      <c r="I30" s="555"/>
      <c r="J30" s="59"/>
    </row>
    <row r="31" spans="2:14">
      <c r="B31" s="310" t="s">
        <v>157</v>
      </c>
      <c r="C31" s="210" t="s">
        <v>61</v>
      </c>
      <c r="D31" s="992">
        <f>HLOOKUP($H38,Supplementary!$C$44:$AF$46,3,FALSE)*D38</f>
        <v>305007.72772600496</v>
      </c>
      <c r="E31" s="992">
        <f>HLOOKUP($H38,Supplementary!$C$44:$AF$46,3,FALSE)*E38</f>
        <v>220781.11313854202</v>
      </c>
      <c r="F31" s="992">
        <f>HLOOKUP($H38,Supplementary!$C$44:$AF$46,3,FALSE)*F38</f>
        <v>187865.82137257975</v>
      </c>
      <c r="G31" s="992">
        <f>HLOOKUP($H38,Supplementary!$C$44:$AF$46,3,FALSE)*G38</f>
        <v>187865.82137257975</v>
      </c>
      <c r="H31" s="323">
        <f>priceYear</f>
        <v>2015</v>
      </c>
      <c r="I31" s="555"/>
      <c r="J31" s="178"/>
    </row>
    <row r="32" spans="2:14">
      <c r="B32" s="192" t="s">
        <v>262</v>
      </c>
      <c r="C32" s="210" t="s">
        <v>263</v>
      </c>
      <c r="D32" s="992">
        <f ca="1">HLOOKUP($H39,Supplementary!$C$44:$AF$46,3,FALSE)*D39</f>
        <v>4062.351687880619</v>
      </c>
      <c r="E32" s="992">
        <f ca="1">HLOOKUP($H39,Supplementary!$C$44:$AF$46,3,FALSE)*E39</f>
        <v>3693.8079307676671</v>
      </c>
      <c r="F32" s="992">
        <f ca="1">HLOOKUP($H39,Supplementary!$C$44:$AF$46,3,FALSE)*F39</f>
        <v>3217.6849182657588</v>
      </c>
      <c r="G32" s="992">
        <f ca="1">HLOOKUP($H39,Supplementary!$C$44:$AF$46,3,FALSE)*G39</f>
        <v>3217.6849182657588</v>
      </c>
      <c r="H32" s="323">
        <f>priceYear</f>
        <v>2015</v>
      </c>
      <c r="I32" s="555"/>
      <c r="J32" s="178"/>
    </row>
    <row r="33" spans="2:10">
      <c r="B33" s="236" t="s">
        <v>162</v>
      </c>
      <c r="C33" s="210" t="s">
        <v>263</v>
      </c>
      <c r="D33" s="992">
        <f ca="1">HLOOKUP($H40,Supplementary!$C$44:$AF$46,3,FALSE)*D40</f>
        <v>3648.6971385002748</v>
      </c>
      <c r="E33" s="992">
        <f ca="1">HLOOKUP($H40,Supplementary!$C$44:$AF$46,3,FALSE)*E40</f>
        <v>3193.6210512267435</v>
      </c>
      <c r="F33" s="992">
        <f ca="1">HLOOKUP($H40,Supplementary!$C$44:$AF$46,3,FALSE)*F40</f>
        <v>2717.4980387248352</v>
      </c>
      <c r="G33" s="992">
        <f ca="1">HLOOKUP($H40,Supplementary!$C$44:$AF$46,3,FALSE)*G40</f>
        <v>2717.4980387248352</v>
      </c>
      <c r="H33" s="323">
        <f>priceYear</f>
        <v>2015</v>
      </c>
      <c r="I33" s="555"/>
      <c r="J33" s="178"/>
    </row>
    <row r="34" spans="2:10">
      <c r="B34" s="236" t="s">
        <v>163</v>
      </c>
      <c r="C34" s="210" t="s">
        <v>263</v>
      </c>
      <c r="D34" s="992">
        <f>HLOOKUP($H41,Supplementary!$C$44:$AF$46,3,FALSE)*D41</f>
        <v>413.65454938034395</v>
      </c>
      <c r="E34" s="992">
        <f>HLOOKUP($H41,Supplementary!$C$44:$AF$46,3,FALSE)*E41</f>
        <v>500.18687954092383</v>
      </c>
      <c r="F34" s="992">
        <f>HLOOKUP($H41,Supplementary!$C$44:$AF$46,3,FALSE)*F41</f>
        <v>500.18687954092383</v>
      </c>
      <c r="G34" s="992">
        <f>HLOOKUP($H41,Supplementary!$C$44:$AF$46,3,FALSE)*G41</f>
        <v>500.18687954092383</v>
      </c>
      <c r="H34" s="323">
        <f>priceYear</f>
        <v>2015</v>
      </c>
      <c r="I34" s="555"/>
      <c r="J34" s="178"/>
    </row>
    <row r="35" spans="2:10">
      <c r="B35" s="236"/>
      <c r="C35" s="210"/>
      <c r="D35" s="992"/>
      <c r="E35" s="992"/>
      <c r="F35" s="992"/>
      <c r="G35" s="992"/>
      <c r="H35" s="323"/>
      <c r="I35" s="555"/>
      <c r="J35" s="178"/>
    </row>
    <row r="36" spans="2:10">
      <c r="B36" s="236" t="s">
        <v>264</v>
      </c>
      <c r="C36" s="210" t="s">
        <v>263</v>
      </c>
      <c r="D36" s="992">
        <f>HLOOKUP($H43,Supplementary!$C$44:$AF$46,3,FALSE)*D43</f>
        <v>0</v>
      </c>
      <c r="E36" s="992">
        <f>HLOOKUP($H43,Supplementary!$C$44:$AF$46,3,FALSE)*E43</f>
        <v>0</v>
      </c>
      <c r="F36" s="992">
        <f>HLOOKUP($H43,Supplementary!$C$44:$AF$46,3,FALSE)*F43</f>
        <v>0</v>
      </c>
      <c r="G36" s="992">
        <f>HLOOKUP($H43,Supplementary!$C$44:$AF$46,3,FALSE)*G43</f>
        <v>0</v>
      </c>
      <c r="H36" s="323">
        <f>priceYear</f>
        <v>2015</v>
      </c>
      <c r="I36" s="555"/>
      <c r="J36" s="178"/>
    </row>
    <row r="37" spans="2:10">
      <c r="B37" s="216"/>
      <c r="C37" s="210"/>
      <c r="D37" s="156"/>
      <c r="E37" s="90"/>
      <c r="F37" s="90"/>
      <c r="G37" s="90"/>
      <c r="H37" s="90"/>
      <c r="I37" s="555"/>
      <c r="J37" s="178"/>
    </row>
    <row r="38" spans="2:10">
      <c r="B38" s="82" t="s">
        <v>157</v>
      </c>
      <c r="C38" s="75" t="s">
        <v>61</v>
      </c>
      <c r="D38" s="346">
        <f>D80</f>
        <v>286537</v>
      </c>
      <c r="E38" s="347">
        <f>E80</f>
        <v>207411</v>
      </c>
      <c r="F38" s="347">
        <f>F80</f>
        <v>176489</v>
      </c>
      <c r="G38" s="347">
        <f>G80</f>
        <v>176489</v>
      </c>
      <c r="H38" s="407">
        <v>2011</v>
      </c>
      <c r="I38" s="283" t="str">
        <f>CONCATENATE(Referencer!$B$11)</f>
        <v>5, Concawe (2011): Well-to-wheels analysis of future automotive fuels and power-trains in the European Context. November 2011.</v>
      </c>
      <c r="J38" s="59"/>
    </row>
    <row r="39" spans="2:10">
      <c r="B39" s="60" t="s">
        <v>262</v>
      </c>
      <c r="C39" s="75" t="s">
        <v>263</v>
      </c>
      <c r="D39" s="158">
        <f ca="1">+SUM(D40:D43)</f>
        <v>3816.3428653712931</v>
      </c>
      <c r="E39" s="107">
        <f ca="1">+SUM(E40:E43)</f>
        <v>3470.1174653816315</v>
      </c>
      <c r="F39" s="107">
        <f ca="1">+SUM(F40:F43)</f>
        <v>3022.8276191525074</v>
      </c>
      <c r="G39" s="214">
        <f ca="1">+SUM(G40:G43)</f>
        <v>3022.8276191525074</v>
      </c>
      <c r="H39" s="407">
        <v>2011</v>
      </c>
      <c r="I39" s="283"/>
      <c r="J39" s="59"/>
    </row>
    <row r="40" spans="2:10">
      <c r="B40" s="111" t="s">
        <v>162</v>
      </c>
      <c r="C40" s="75" t="s">
        <v>263</v>
      </c>
      <c r="D40" s="158">
        <f ca="1">PMT(rSØK,D27,-D38)/D28</f>
        <v>3427.7385027884825</v>
      </c>
      <c r="E40" s="107">
        <f ca="1">PMT(rSØK,E27,-E38)/E28</f>
        <v>3000.2210172766609</v>
      </c>
      <c r="F40" s="107">
        <f ca="1">PMT(rSØK,F27,-F38)/F28</f>
        <v>2552.9311710475367</v>
      </c>
      <c r="G40" s="214">
        <f ca="1">PMT(rSØK,G27,-G38)/G28</f>
        <v>2552.9311710475367</v>
      </c>
      <c r="H40" s="407">
        <v>2011</v>
      </c>
      <c r="I40" s="283"/>
      <c r="J40" s="59"/>
    </row>
    <row r="41" spans="2:10">
      <c r="B41" s="111" t="s">
        <v>163</v>
      </c>
      <c r="C41" s="75" t="s">
        <v>263</v>
      </c>
      <c r="D41" s="159">
        <f>+D74</f>
        <v>388.60436258281067</v>
      </c>
      <c r="E41" s="126">
        <f>+E74</f>
        <v>469.8964481049706</v>
      </c>
      <c r="F41" s="126">
        <f>+F74</f>
        <v>469.8964481049706</v>
      </c>
      <c r="G41" s="195">
        <f>+G74</f>
        <v>469.8964481049706</v>
      </c>
      <c r="H41" s="407">
        <v>2011</v>
      </c>
      <c r="I41" s="1442"/>
      <c r="J41" s="59"/>
    </row>
    <row r="42" spans="2:10">
      <c r="B42" s="111"/>
      <c r="C42" s="75"/>
      <c r="D42" s="156"/>
      <c r="E42" s="90"/>
      <c r="F42" s="90"/>
      <c r="G42" s="90"/>
      <c r="H42" s="407"/>
      <c r="I42" s="283"/>
      <c r="J42" s="59"/>
    </row>
    <row r="43" spans="2:10">
      <c r="B43" s="111" t="s">
        <v>264</v>
      </c>
      <c r="C43" s="75" t="s">
        <v>263</v>
      </c>
      <c r="D43" s="154">
        <v>0</v>
      </c>
      <c r="E43" s="76">
        <v>0</v>
      </c>
      <c r="F43" s="76">
        <v>0</v>
      </c>
      <c r="G43" s="212">
        <v>0</v>
      </c>
      <c r="H43" s="407">
        <v>2011</v>
      </c>
      <c r="I43" s="283"/>
      <c r="J43" s="59"/>
    </row>
    <row r="44" spans="2:10">
      <c r="B44" s="111"/>
      <c r="C44" s="75"/>
      <c r="D44" s="156"/>
      <c r="E44" s="90"/>
      <c r="F44" s="90"/>
      <c r="G44" s="90"/>
      <c r="H44" s="90"/>
      <c r="I44" s="283"/>
      <c r="J44" s="59"/>
    </row>
    <row r="45" spans="2:10">
      <c r="B45" s="101" t="s">
        <v>166</v>
      </c>
      <c r="C45" s="75"/>
      <c r="D45" s="156"/>
      <c r="E45" s="90"/>
      <c r="F45" s="90"/>
      <c r="G45" s="90"/>
      <c r="H45" s="252"/>
      <c r="I45" s="283"/>
      <c r="J45" s="59"/>
    </row>
    <row r="46" spans="2:10">
      <c r="B46" s="418" t="s">
        <v>0</v>
      </c>
      <c r="C46" s="75"/>
      <c r="D46" s="156"/>
      <c r="E46" s="90"/>
      <c r="F46" s="90"/>
      <c r="G46" s="90"/>
      <c r="H46" s="214"/>
      <c r="I46" s="283"/>
      <c r="J46" s="59"/>
    </row>
    <row r="47" spans="2:10">
      <c r="B47" s="60" t="s">
        <v>24</v>
      </c>
      <c r="C47" s="75" t="s">
        <v>348</v>
      </c>
      <c r="D47" s="423"/>
      <c r="E47" s="424"/>
      <c r="F47" s="424"/>
      <c r="G47" s="424"/>
      <c r="H47" s="214"/>
      <c r="I47" s="283"/>
      <c r="J47" s="278" t="s">
        <v>850</v>
      </c>
    </row>
    <row r="48" spans="2:10">
      <c r="B48" s="60" t="s">
        <v>27</v>
      </c>
      <c r="C48" s="75" t="s">
        <v>348</v>
      </c>
      <c r="D48" s="160">
        <f t="shared" ref="D48:G52" si="0">D101/D$25</f>
        <v>0</v>
      </c>
      <c r="E48" s="127">
        <f t="shared" si="0"/>
        <v>0</v>
      </c>
      <c r="F48" s="127">
        <f t="shared" si="0"/>
        <v>0</v>
      </c>
      <c r="G48" s="127">
        <f t="shared" si="0"/>
        <v>0</v>
      </c>
      <c r="H48" s="1660"/>
      <c r="I48" s="283"/>
      <c r="J48" s="59"/>
    </row>
    <row r="49" spans="2:10">
      <c r="B49" s="60" t="s">
        <v>28</v>
      </c>
      <c r="C49" s="75" t="s">
        <v>348</v>
      </c>
      <c r="D49" s="160">
        <f t="shared" si="0"/>
        <v>0</v>
      </c>
      <c r="E49" s="127">
        <f t="shared" si="0"/>
        <v>0</v>
      </c>
      <c r="F49" s="127">
        <f t="shared" si="0"/>
        <v>0</v>
      </c>
      <c r="G49" s="127">
        <f t="shared" si="0"/>
        <v>0</v>
      </c>
      <c r="H49" s="90"/>
      <c r="I49" s="283"/>
      <c r="J49" s="59"/>
    </row>
    <row r="50" spans="2:10">
      <c r="B50" s="60" t="s">
        <v>26</v>
      </c>
      <c r="C50" s="75" t="s">
        <v>348</v>
      </c>
      <c r="D50" s="160">
        <f t="shared" si="0"/>
        <v>0</v>
      </c>
      <c r="E50" s="127">
        <f t="shared" si="0"/>
        <v>0</v>
      </c>
      <c r="F50" s="127">
        <f t="shared" si="0"/>
        <v>0</v>
      </c>
      <c r="G50" s="127">
        <f t="shared" si="0"/>
        <v>0</v>
      </c>
      <c r="H50" s="212"/>
      <c r="I50" s="283"/>
      <c r="J50" s="59"/>
    </row>
    <row r="51" spans="2:10">
      <c r="B51" s="60" t="s">
        <v>167</v>
      </c>
      <c r="C51" s="75" t="s">
        <v>348</v>
      </c>
      <c r="D51" s="160">
        <f t="shared" si="0"/>
        <v>0</v>
      </c>
      <c r="E51" s="127">
        <f t="shared" si="0"/>
        <v>0</v>
      </c>
      <c r="F51" s="127">
        <f t="shared" si="0"/>
        <v>0</v>
      </c>
      <c r="G51" s="127">
        <f t="shared" si="0"/>
        <v>0</v>
      </c>
      <c r="H51" s="90"/>
      <c r="I51" s="283"/>
      <c r="J51" s="59"/>
    </row>
    <row r="52" spans="2:10">
      <c r="B52" s="60" t="s">
        <v>45</v>
      </c>
      <c r="C52" s="75" t="s">
        <v>348</v>
      </c>
      <c r="D52" s="160">
        <f t="shared" si="0"/>
        <v>0</v>
      </c>
      <c r="E52" s="127">
        <f t="shared" si="0"/>
        <v>0</v>
      </c>
      <c r="F52" s="127">
        <f t="shared" si="0"/>
        <v>0</v>
      </c>
      <c r="G52" s="127">
        <f t="shared" si="0"/>
        <v>0</v>
      </c>
      <c r="H52" s="90"/>
      <c r="I52" s="283"/>
      <c r="J52" s="59"/>
    </row>
    <row r="53" spans="2:10">
      <c r="B53" s="60"/>
      <c r="C53" s="75"/>
      <c r="D53" s="161"/>
      <c r="E53" s="65"/>
      <c r="F53" s="65"/>
      <c r="G53" s="455"/>
      <c r="H53" s="90"/>
      <c r="I53" s="283"/>
      <c r="J53" s="59"/>
    </row>
    <row r="54" spans="2:10">
      <c r="B54" s="418" t="s">
        <v>20</v>
      </c>
      <c r="C54" s="75"/>
      <c r="D54" s="156"/>
      <c r="E54" s="90"/>
      <c r="F54" s="90"/>
      <c r="G54" s="90"/>
      <c r="H54" s="1660"/>
      <c r="I54" s="283"/>
      <c r="J54" s="59"/>
    </row>
    <row r="55" spans="2:10">
      <c r="B55" s="60" t="s">
        <v>24</v>
      </c>
      <c r="C55" s="75" t="s">
        <v>348</v>
      </c>
      <c r="D55" s="423"/>
      <c r="E55" s="424"/>
      <c r="F55" s="424"/>
      <c r="G55" s="424"/>
      <c r="H55" s="1660"/>
      <c r="I55" s="283"/>
      <c r="J55" s="278" t="s">
        <v>850</v>
      </c>
    </row>
    <row r="56" spans="2:10">
      <c r="B56" s="60" t="s">
        <v>27</v>
      </c>
      <c r="C56" s="75" t="s">
        <v>348</v>
      </c>
      <c r="D56" s="420">
        <f>Elmotor!D48</f>
        <v>0</v>
      </c>
      <c r="E56" s="419">
        <f>Elmotor!E48</f>
        <v>0</v>
      </c>
      <c r="F56" s="419">
        <f>Elmotor!F48</f>
        <v>0</v>
      </c>
      <c r="G56" s="419">
        <f>Elmotor!G48</f>
        <v>0</v>
      </c>
      <c r="H56" s="1661"/>
      <c r="I56" s="283"/>
      <c r="J56" s="59"/>
    </row>
    <row r="57" spans="2:10">
      <c r="B57" s="60" t="s">
        <v>28</v>
      </c>
      <c r="C57" s="75" t="s">
        <v>348</v>
      </c>
      <c r="D57" s="420">
        <f>Elmotor!D49</f>
        <v>0</v>
      </c>
      <c r="E57" s="419">
        <f>Elmotor!E49</f>
        <v>0</v>
      </c>
      <c r="F57" s="419">
        <f>Elmotor!F49</f>
        <v>0</v>
      </c>
      <c r="G57" s="419">
        <f>Elmotor!G49</f>
        <v>0</v>
      </c>
      <c r="H57" s="1661"/>
      <c r="I57" s="283"/>
      <c r="J57" s="59"/>
    </row>
    <row r="58" spans="2:10">
      <c r="B58" s="60" t="s">
        <v>26</v>
      </c>
      <c r="C58" s="75" t="s">
        <v>348</v>
      </c>
      <c r="D58" s="420">
        <f>Elmotor!D50</f>
        <v>0</v>
      </c>
      <c r="E58" s="419">
        <f>Elmotor!E50</f>
        <v>0</v>
      </c>
      <c r="F58" s="419">
        <f>Elmotor!F50</f>
        <v>0</v>
      </c>
      <c r="G58" s="419">
        <f>Elmotor!G50</f>
        <v>0</v>
      </c>
      <c r="H58" s="1661"/>
      <c r="I58" s="283"/>
      <c r="J58" s="59"/>
    </row>
    <row r="59" spans="2:10">
      <c r="B59" s="60" t="s">
        <v>167</v>
      </c>
      <c r="C59" s="75" t="s">
        <v>348</v>
      </c>
      <c r="D59" s="420">
        <f>Elmotor!D51</f>
        <v>0</v>
      </c>
      <c r="E59" s="419">
        <f>Elmotor!E51</f>
        <v>0</v>
      </c>
      <c r="F59" s="419">
        <f>Elmotor!F51</f>
        <v>0</v>
      </c>
      <c r="G59" s="419">
        <f>Elmotor!G51</f>
        <v>0</v>
      </c>
      <c r="H59" s="1661"/>
      <c r="I59" s="283"/>
      <c r="J59" s="59"/>
    </row>
    <row r="60" spans="2:10">
      <c r="B60" s="60" t="s">
        <v>45</v>
      </c>
      <c r="C60" s="75" t="s">
        <v>348</v>
      </c>
      <c r="D60" s="420">
        <f>Elmotor!D52</f>
        <v>0</v>
      </c>
      <c r="E60" s="419">
        <f>Elmotor!E52</f>
        <v>0</v>
      </c>
      <c r="F60" s="419">
        <f>Elmotor!F52</f>
        <v>0</v>
      </c>
      <c r="G60" s="419">
        <f>Elmotor!G52</f>
        <v>0</v>
      </c>
      <c r="H60" s="1661"/>
      <c r="I60" s="283"/>
      <c r="J60" s="59"/>
    </row>
    <row r="61" spans="2:10" ht="13.5" thickBot="1">
      <c r="B61" s="128"/>
      <c r="C61" s="114"/>
      <c r="D61" s="162"/>
      <c r="E61" s="69"/>
      <c r="F61" s="69"/>
      <c r="G61" s="244"/>
      <c r="H61" s="218"/>
      <c r="I61" s="1443"/>
      <c r="J61" s="61"/>
    </row>
    <row r="62" spans="2:10">
      <c r="B62" s="120"/>
      <c r="C62" s="120"/>
      <c r="D62" s="120"/>
      <c r="E62" s="120"/>
      <c r="F62" s="120"/>
      <c r="H62" s="1447"/>
      <c r="I62" s="142"/>
      <c r="J62" s="120"/>
    </row>
    <row r="63" spans="2:10">
      <c r="B63" s="120"/>
      <c r="C63" s="120"/>
      <c r="D63" s="940"/>
      <c r="E63" s="120"/>
      <c r="F63" s="120"/>
      <c r="H63" s="1447"/>
      <c r="I63" s="142"/>
      <c r="J63" s="120"/>
    </row>
    <row r="64" spans="2:10" ht="16.5" thickBot="1">
      <c r="B64" s="130" t="s">
        <v>168</v>
      </c>
      <c r="C64" s="120"/>
      <c r="D64" s="120"/>
      <c r="E64" s="120"/>
      <c r="F64" s="120"/>
      <c r="H64" s="1447"/>
      <c r="I64" s="142"/>
      <c r="J64" s="120"/>
    </row>
    <row r="65" spans="2:10">
      <c r="B65" s="219"/>
      <c r="C65" s="220"/>
      <c r="D65" s="151"/>
      <c r="E65" s="221"/>
      <c r="F65" s="221"/>
      <c r="G65" s="221"/>
      <c r="H65" s="962"/>
      <c r="I65" s="962" t="s">
        <v>145</v>
      </c>
      <c r="J65" s="222" t="s">
        <v>146</v>
      </c>
    </row>
    <row r="66" spans="2:10">
      <c r="B66" s="223"/>
      <c r="C66" s="224" t="s">
        <v>70</v>
      </c>
      <c r="D66" s="152">
        <v>2015</v>
      </c>
      <c r="E66" s="225">
        <v>2020</v>
      </c>
      <c r="F66" s="225">
        <v>2035</v>
      </c>
      <c r="G66" s="225">
        <v>2050</v>
      </c>
      <c r="H66" s="555"/>
      <c r="I66" s="555"/>
      <c r="J66" s="227"/>
    </row>
    <row r="67" spans="2:10">
      <c r="B67" s="192" t="s">
        <v>266</v>
      </c>
      <c r="C67" s="241" t="s">
        <v>1027</v>
      </c>
      <c r="D67" s="947">
        <f>D68/D70*D69</f>
        <v>0.42330970992366412</v>
      </c>
      <c r="E67" s="947">
        <f>D67*(1-E71)</f>
        <v>0.35007713010687019</v>
      </c>
      <c r="F67" s="947">
        <f>E67</f>
        <v>0.35007713010687019</v>
      </c>
      <c r="G67" s="947">
        <f>F67</f>
        <v>0.35007713010687019</v>
      </c>
      <c r="H67" s="555"/>
      <c r="I67" s="555"/>
      <c r="J67" s="178"/>
    </row>
    <row r="68" spans="2:10">
      <c r="B68" s="192" t="s">
        <v>1028</v>
      </c>
      <c r="C68" s="241" t="s">
        <v>1027</v>
      </c>
      <c r="D68" s="957">
        <f>'Std benzin motor'!D67</f>
        <v>0.38034000000000001</v>
      </c>
      <c r="E68" s="957"/>
      <c r="F68" s="957"/>
      <c r="G68" s="957"/>
      <c r="H68" s="1576"/>
      <c r="I68" s="283"/>
      <c r="J68" s="178"/>
    </row>
    <row r="69" spans="2:10">
      <c r="B69" s="192" t="s">
        <v>1071</v>
      </c>
      <c r="C69" s="241" t="s">
        <v>59</v>
      </c>
      <c r="D69" s="955">
        <v>1458</v>
      </c>
      <c r="E69" s="955"/>
      <c r="F69" s="955"/>
      <c r="G69" s="955"/>
      <c r="H69" s="1576"/>
      <c r="I69" s="283" t="str">
        <f>CONCATENATE(Referencer!$B$40)</f>
        <v>34, JEC - Joint Research Centre-EUCAR-CONCAWE collaboration, Tank to Wheels Report, version 4.0, July 2013</v>
      </c>
      <c r="J69" s="178" t="s">
        <v>2669</v>
      </c>
    </row>
    <row r="70" spans="2:10">
      <c r="B70" s="192" t="s">
        <v>1031</v>
      </c>
      <c r="C70" s="241" t="s">
        <v>59</v>
      </c>
      <c r="D70" s="956">
        <f>'Std benzin motor'!D68</f>
        <v>1310</v>
      </c>
      <c r="E70" s="956"/>
      <c r="F70" s="956"/>
      <c r="G70" s="956"/>
      <c r="H70" s="555"/>
      <c r="I70" s="555"/>
      <c r="J70" s="178"/>
    </row>
    <row r="71" spans="2:10">
      <c r="B71" s="192" t="s">
        <v>1067</v>
      </c>
      <c r="C71" s="241" t="s">
        <v>29</v>
      </c>
      <c r="D71" s="905"/>
      <c r="E71" s="954">
        <v>0.17299999999999999</v>
      </c>
      <c r="F71" s="876"/>
      <c r="G71" s="876"/>
      <c r="H71" s="1576"/>
      <c r="I71" s="283" t="str">
        <f>CONCATENATE(Referencer!$B$40)</f>
        <v>34, JEC - Joint Research Centre-EUCAR-CONCAWE collaboration, Tank to Wheels Report, version 4.0, July 2013</v>
      </c>
      <c r="J71" s="178" t="s">
        <v>1073</v>
      </c>
    </row>
    <row r="72" spans="2:10">
      <c r="B72" s="192" t="s">
        <v>268</v>
      </c>
      <c r="C72" s="241" t="s">
        <v>269</v>
      </c>
      <c r="D72" s="931">
        <v>18000</v>
      </c>
      <c r="E72" s="922">
        <v>18000</v>
      </c>
      <c r="F72" s="922">
        <v>18000</v>
      </c>
      <c r="G72" s="922">
        <v>18000</v>
      </c>
      <c r="H72" s="555"/>
      <c r="I72" s="555"/>
      <c r="J72" s="178"/>
    </row>
    <row r="73" spans="2:10">
      <c r="B73" s="192" t="s">
        <v>260</v>
      </c>
      <c r="C73" s="241" t="s">
        <v>261</v>
      </c>
      <c r="D73" s="95">
        <f>+D67*D72/1000</f>
        <v>7.619574778625954</v>
      </c>
      <c r="E73" s="455">
        <f>+E67*E72/1000</f>
        <v>6.3013883419236638</v>
      </c>
      <c r="F73" s="455">
        <f>+F67*F72/1000</f>
        <v>6.3013883419236638</v>
      </c>
      <c r="G73" s="455">
        <f>+G67*G72/1000</f>
        <v>6.3013883419236638</v>
      </c>
      <c r="H73" s="555"/>
      <c r="I73" s="555"/>
      <c r="J73" s="178" t="s">
        <v>270</v>
      </c>
    </row>
    <row r="74" spans="2:10">
      <c r="B74" s="192" t="s">
        <v>271</v>
      </c>
      <c r="C74" s="241" t="s">
        <v>263</v>
      </c>
      <c r="D74" s="94">
        <f>D75*1000/D67</f>
        <v>388.60436258281067</v>
      </c>
      <c r="E74" s="405">
        <f>E75*1000/E67</f>
        <v>469.8964481049706</v>
      </c>
      <c r="F74" s="405">
        <f>F75*1000/F67</f>
        <v>469.8964481049706</v>
      </c>
      <c r="G74" s="405">
        <f>G75*1000/G67</f>
        <v>469.8964481049706</v>
      </c>
      <c r="H74" s="555"/>
      <c r="I74" s="555"/>
      <c r="J74" s="178"/>
    </row>
    <row r="75" spans="2:10">
      <c r="B75" s="192" t="s">
        <v>271</v>
      </c>
      <c r="C75" s="241" t="s">
        <v>55</v>
      </c>
      <c r="D75" s="405">
        <f>D76*D77</f>
        <v>0.16449999999999998</v>
      </c>
      <c r="E75" s="405">
        <f>E76*E77</f>
        <v>0.16449999999999998</v>
      </c>
      <c r="F75" s="405">
        <f>F76*F77</f>
        <v>0.16449999999999998</v>
      </c>
      <c r="G75" s="405">
        <f>G76*G77</f>
        <v>0.16449999999999998</v>
      </c>
      <c r="H75" s="1442"/>
      <c r="I75" s="1442"/>
      <c r="J75" s="278"/>
    </row>
    <row r="76" spans="2:10">
      <c r="B76" s="192" t="s">
        <v>271</v>
      </c>
      <c r="C76" s="241" t="s">
        <v>2028</v>
      </c>
      <c r="D76" s="1633">
        <v>0.47</v>
      </c>
      <c r="E76" s="1633">
        <v>0.47</v>
      </c>
      <c r="F76" s="1633">
        <v>0.47</v>
      </c>
      <c r="G76" s="1633">
        <v>0.47</v>
      </c>
      <c r="H76" s="555"/>
      <c r="I76" s="555" t="s">
        <v>2029</v>
      </c>
      <c r="J76" s="278" t="s">
        <v>2030</v>
      </c>
    </row>
    <row r="77" spans="2:10">
      <c r="B77" s="192" t="s">
        <v>2027</v>
      </c>
      <c r="C77" s="241" t="s">
        <v>55</v>
      </c>
      <c r="D77" s="1637">
        <f>'Std benzin motor'!D75</f>
        <v>0.35</v>
      </c>
      <c r="E77" s="1637">
        <f>'Std benzin motor'!E75</f>
        <v>0.35</v>
      </c>
      <c r="F77" s="1637">
        <f>'Std benzin motor'!F75</f>
        <v>0.35</v>
      </c>
      <c r="G77" s="1637">
        <f>'Std benzin motor'!G75</f>
        <v>0.35</v>
      </c>
      <c r="H77" s="1442"/>
      <c r="I77" s="1442"/>
      <c r="J77" s="278"/>
    </row>
    <row r="78" spans="2:10">
      <c r="B78" s="192" t="s">
        <v>510</v>
      </c>
      <c r="C78" s="241" t="s">
        <v>29</v>
      </c>
      <c r="D78" s="95"/>
      <c r="E78" s="436">
        <f>'Brændselscelle, methanolhybrid'!E78</f>
        <v>0.2</v>
      </c>
      <c r="F78" s="436">
        <f>'Brændselscelle, methanolhybrid'!F78</f>
        <v>0.4</v>
      </c>
      <c r="G78" s="436">
        <f>'Brændselscelle, methanolhybrid'!G78</f>
        <v>0.4</v>
      </c>
      <c r="H78" s="1442"/>
      <c r="I78" s="1442"/>
      <c r="J78" s="178" t="s">
        <v>1058</v>
      </c>
    </row>
    <row r="79" spans="2:10">
      <c r="B79" s="192"/>
      <c r="C79" s="241"/>
      <c r="D79" s="455"/>
      <c r="E79" s="352"/>
      <c r="F79" s="352"/>
      <c r="G79" s="352"/>
      <c r="H79" s="1442"/>
      <c r="I79" s="1442"/>
      <c r="J79" s="178"/>
    </row>
    <row r="80" spans="2:10">
      <c r="B80" s="192" t="s">
        <v>618</v>
      </c>
      <c r="C80" s="241" t="s">
        <v>61</v>
      </c>
      <c r="D80" s="480">
        <f>D81+D82+D85+D88</f>
        <v>286537</v>
      </c>
      <c r="E80" s="480">
        <f>E81+E82+E85+E88</f>
        <v>207411</v>
      </c>
      <c r="F80" s="480">
        <f>F81+F82+F85+F88</f>
        <v>176489</v>
      </c>
      <c r="G80" s="480">
        <f>G81+G82+G85+G88</f>
        <v>176489</v>
      </c>
      <c r="H80" s="1442"/>
      <c r="I80" s="1442"/>
      <c r="J80" s="178"/>
    </row>
    <row r="81" spans="2:12">
      <c r="B81" s="192" t="s">
        <v>619</v>
      </c>
      <c r="C81" s="241" t="s">
        <v>61</v>
      </c>
      <c r="D81" s="348">
        <v>193387</v>
      </c>
      <c r="E81" s="348">
        <v>160836</v>
      </c>
      <c r="F81" s="348">
        <v>151864</v>
      </c>
      <c r="G81" s="348">
        <v>151864</v>
      </c>
      <c r="H81" s="1576"/>
      <c r="I81" s="283" t="str">
        <f>CONCATENATE(Referencer!$B$11)</f>
        <v>5, Concawe (2011): Well-to-wheels analysis of future automotive fuels and power-trains in the European Context. November 2011.</v>
      </c>
      <c r="J81" s="278" t="s">
        <v>2671</v>
      </c>
    </row>
    <row r="82" spans="2:12">
      <c r="B82" s="192" t="s">
        <v>860</v>
      </c>
      <c r="C82" s="241" t="s">
        <v>61</v>
      </c>
      <c r="D82" s="437">
        <f>D83*D84</f>
        <v>45000</v>
      </c>
      <c r="E82" s="437">
        <f>E83*E84</f>
        <v>22500</v>
      </c>
      <c r="F82" s="437">
        <f>F83*F84</f>
        <v>11250</v>
      </c>
      <c r="G82" s="437">
        <f>G83*G84</f>
        <v>11250</v>
      </c>
      <c r="H82" s="1442"/>
      <c r="I82" s="1442"/>
      <c r="J82" s="178"/>
    </row>
    <row r="83" spans="2:12">
      <c r="B83" s="192" t="s">
        <v>614</v>
      </c>
      <c r="C83" s="241" t="s">
        <v>61</v>
      </c>
      <c r="D83" s="348">
        <v>1500</v>
      </c>
      <c r="E83" s="348">
        <v>750</v>
      </c>
      <c r="F83" s="348">
        <v>375</v>
      </c>
      <c r="G83" s="348">
        <v>375</v>
      </c>
      <c r="H83" s="1576"/>
      <c r="I83" s="283" t="str">
        <f>CONCATENATE(Referencer!$B$11)</f>
        <v>5, Concawe (2011): Well-to-wheels analysis of future automotive fuels and power-trains in the European Context. November 2011.</v>
      </c>
      <c r="J83" s="178" t="s">
        <v>2672</v>
      </c>
    </row>
    <row r="84" spans="2:12">
      <c r="B84" s="192" t="s">
        <v>863</v>
      </c>
      <c r="C84" s="241" t="s">
        <v>61</v>
      </c>
      <c r="D84" s="352">
        <v>30</v>
      </c>
      <c r="E84" s="352">
        <v>30</v>
      </c>
      <c r="F84" s="352">
        <v>30</v>
      </c>
      <c r="G84" s="352">
        <v>30</v>
      </c>
      <c r="H84" s="1576"/>
      <c r="I84" s="283" t="str">
        <f>CONCATENATE(Referencer!$B$40)</f>
        <v>34, JEC - Joint Research Centre-EUCAR-CONCAWE collaboration, Tank to Wheels Report, version 4.0, July 2013</v>
      </c>
      <c r="J84" s="178" t="s">
        <v>1052</v>
      </c>
    </row>
    <row r="85" spans="2:12">
      <c r="B85" s="192" t="s">
        <v>865</v>
      </c>
      <c r="C85" s="241" t="s">
        <v>61</v>
      </c>
      <c r="D85" s="438"/>
      <c r="E85" s="438"/>
      <c r="F85" s="438"/>
      <c r="G85" s="438"/>
      <c r="H85" s="1576"/>
      <c r="I85" s="283"/>
      <c r="J85" s="178"/>
    </row>
    <row r="86" spans="2:12">
      <c r="B86" s="192" t="s">
        <v>866</v>
      </c>
      <c r="C86" s="241" t="s">
        <v>61</v>
      </c>
      <c r="D86" s="352"/>
      <c r="E86" s="352"/>
      <c r="F86" s="352"/>
      <c r="G86" s="352"/>
      <c r="H86" s="1576"/>
      <c r="I86" s="283"/>
      <c r="J86" s="178"/>
    </row>
    <row r="87" spans="2:12">
      <c r="B87" s="192" t="s">
        <v>868</v>
      </c>
      <c r="C87" s="241" t="s">
        <v>61</v>
      </c>
      <c r="D87" s="438"/>
      <c r="E87" s="438"/>
      <c r="F87" s="438"/>
      <c r="G87" s="438"/>
      <c r="H87" s="1576"/>
      <c r="I87" s="283"/>
      <c r="J87" s="178"/>
    </row>
    <row r="88" spans="2:12">
      <c r="B88" s="192" t="s">
        <v>615</v>
      </c>
      <c r="C88" s="241" t="s">
        <v>61</v>
      </c>
      <c r="D88" s="439">
        <f>D89*D90</f>
        <v>48150</v>
      </c>
      <c r="E88" s="439">
        <f>E89*E90</f>
        <v>24075</v>
      </c>
      <c r="F88" s="439">
        <f>F89*F90</f>
        <v>13375</v>
      </c>
      <c r="G88" s="439">
        <f>G89*G90</f>
        <v>13375</v>
      </c>
      <c r="H88" s="1576"/>
      <c r="I88" s="283"/>
      <c r="J88" s="178"/>
      <c r="L88" s="333"/>
    </row>
    <row r="89" spans="2:12">
      <c r="B89" s="192" t="s">
        <v>869</v>
      </c>
      <c r="C89" s="241" t="s">
        <v>61</v>
      </c>
      <c r="D89" s="436">
        <f>Elmotor!D83</f>
        <v>4500</v>
      </c>
      <c r="E89" s="436">
        <f>Elmotor!E83</f>
        <v>2250</v>
      </c>
      <c r="F89" s="436">
        <f>Elmotor!F83</f>
        <v>1250</v>
      </c>
      <c r="G89" s="436">
        <f>Elmotor!G83</f>
        <v>1250</v>
      </c>
      <c r="H89" s="1576"/>
      <c r="I89" s="283"/>
      <c r="J89" s="178" t="s">
        <v>1053</v>
      </c>
    </row>
    <row r="90" spans="2:12">
      <c r="B90" s="192" t="s">
        <v>870</v>
      </c>
      <c r="C90" s="241" t="s">
        <v>61</v>
      </c>
      <c r="D90" s="352">
        <v>10.7</v>
      </c>
      <c r="E90" s="352">
        <v>10.7</v>
      </c>
      <c r="F90" s="352">
        <v>10.7</v>
      </c>
      <c r="G90" s="352">
        <v>10.7</v>
      </c>
      <c r="H90" s="1576"/>
      <c r="I90" s="283" t="str">
        <f>CONCATENATE(Referencer!$B$40)</f>
        <v>34, JEC - Joint Research Centre-EUCAR-CONCAWE collaboration, Tank to Wheels Report, version 4.0, July 2013</v>
      </c>
      <c r="J90" s="178" t="s">
        <v>1052</v>
      </c>
    </row>
    <row r="91" spans="2:12">
      <c r="B91" s="192"/>
      <c r="C91" s="241"/>
      <c r="D91" s="352"/>
      <c r="E91" s="352"/>
      <c r="F91" s="352"/>
      <c r="G91" s="352"/>
      <c r="H91" s="1576"/>
      <c r="I91" s="283"/>
      <c r="J91" s="178"/>
    </row>
    <row r="92" spans="2:12">
      <c r="B92" s="192" t="s">
        <v>2673</v>
      </c>
      <c r="C92" s="241" t="s">
        <v>267</v>
      </c>
      <c r="D92" s="352">
        <v>0.74990000000000001</v>
      </c>
      <c r="E92" s="352"/>
      <c r="F92" s="352"/>
      <c r="G92" s="352"/>
      <c r="H92" s="1576"/>
      <c r="I92" s="283" t="str">
        <f>CONCATENATE(Referencer!$B$40)</f>
        <v>34, JEC - Joint Research Centre-EUCAR-CONCAWE collaboration, Tank to Wheels Report, version 4.0, July 2013</v>
      </c>
      <c r="J92" s="178" t="s">
        <v>1055</v>
      </c>
    </row>
    <row r="93" spans="2:12">
      <c r="B93" s="192" t="s">
        <v>1032</v>
      </c>
      <c r="C93" s="241" t="s">
        <v>1033</v>
      </c>
      <c r="D93" s="352"/>
      <c r="E93" s="352">
        <v>8.2799999999999999E-2</v>
      </c>
      <c r="F93" s="352">
        <v>8.2799999999999999E-2</v>
      </c>
      <c r="G93" s="352">
        <v>8.2799999999999999E-2</v>
      </c>
      <c r="H93" s="1576"/>
      <c r="I93" s="283" t="str">
        <f>CONCATENATE(Referencer!$B$40)</f>
        <v>34, JEC - Joint Research Centre-EUCAR-CONCAWE collaboration, Tank to Wheels Report, version 4.0, July 2013</v>
      </c>
      <c r="J93" s="178" t="s">
        <v>1038</v>
      </c>
    </row>
    <row r="94" spans="2:12">
      <c r="B94" s="192" t="s">
        <v>1034</v>
      </c>
      <c r="C94" s="241" t="s">
        <v>267</v>
      </c>
      <c r="D94" s="352"/>
      <c r="E94" s="352">
        <v>0.1343</v>
      </c>
      <c r="F94" s="352">
        <v>0.1343</v>
      </c>
      <c r="G94" s="352">
        <v>0.1343</v>
      </c>
      <c r="H94" s="1576"/>
      <c r="I94" s="283" t="str">
        <f>CONCATENATE(Referencer!$B$40)</f>
        <v>34, JEC - Joint Research Centre-EUCAR-CONCAWE collaboration, Tank to Wheels Report, version 4.0, July 2013</v>
      </c>
      <c r="J94" s="178" t="s">
        <v>1038</v>
      </c>
    </row>
    <row r="95" spans="2:12" ht="13.5" thickBot="1">
      <c r="B95" s="181"/>
      <c r="C95" s="243"/>
      <c r="D95" s="937"/>
      <c r="E95" s="937"/>
      <c r="F95" s="937"/>
      <c r="G95" s="937"/>
      <c r="H95" s="1443"/>
      <c r="I95" s="1443"/>
      <c r="J95" s="183"/>
    </row>
    <row r="96" spans="2:12">
      <c r="H96" s="142"/>
      <c r="I96" s="142"/>
    </row>
    <row r="97" spans="2:10" ht="16.5" thickBot="1">
      <c r="B97" s="193" t="s">
        <v>172</v>
      </c>
      <c r="H97" s="1447"/>
    </row>
    <row r="98" spans="2:10">
      <c r="B98" s="185"/>
      <c r="C98" s="174"/>
      <c r="D98" s="441"/>
      <c r="E98" s="441"/>
      <c r="F98" s="441"/>
      <c r="G98" s="441"/>
      <c r="H98" s="1449"/>
      <c r="I98" s="64"/>
      <c r="J98" s="72"/>
    </row>
    <row r="99" spans="2:10">
      <c r="B99" s="192"/>
      <c r="C99" s="177"/>
      <c r="D99" s="177"/>
      <c r="E99" s="177"/>
      <c r="F99" s="177"/>
      <c r="G99" s="386"/>
      <c r="H99" s="386"/>
      <c r="I99" s="177"/>
      <c r="J99" s="178"/>
    </row>
    <row r="100" spans="2:10">
      <c r="B100" s="192" t="s">
        <v>24</v>
      </c>
      <c r="C100" s="177" t="s">
        <v>7</v>
      </c>
      <c r="D100" s="198">
        <v>0</v>
      </c>
      <c r="E100" s="198">
        <v>0</v>
      </c>
      <c r="F100" s="198">
        <v>0</v>
      </c>
      <c r="G100" s="198"/>
      <c r="H100" s="386"/>
      <c r="I100" s="177"/>
      <c r="J100" s="178"/>
    </row>
    <row r="101" spans="2:10">
      <c r="B101" s="192" t="s">
        <v>27</v>
      </c>
      <c r="C101" s="177" t="s">
        <v>7</v>
      </c>
      <c r="D101" s="198">
        <v>0</v>
      </c>
      <c r="E101" s="198">
        <v>0</v>
      </c>
      <c r="F101" s="198">
        <v>0</v>
      </c>
      <c r="G101" s="198"/>
      <c r="H101" s="386"/>
      <c r="I101" s="177"/>
      <c r="J101" s="178"/>
    </row>
    <row r="102" spans="2:10">
      <c r="B102" s="192" t="s">
        <v>28</v>
      </c>
      <c r="C102" s="177" t="s">
        <v>7</v>
      </c>
      <c r="D102" s="198">
        <v>0</v>
      </c>
      <c r="E102" s="198">
        <v>0</v>
      </c>
      <c r="F102" s="198">
        <v>0</v>
      </c>
      <c r="G102" s="198"/>
      <c r="H102" s="386"/>
      <c r="I102" s="177"/>
      <c r="J102" s="178"/>
    </row>
    <row r="103" spans="2:10">
      <c r="B103" s="192" t="s">
        <v>26</v>
      </c>
      <c r="C103" s="177" t="s">
        <v>7</v>
      </c>
      <c r="D103" s="198">
        <v>0</v>
      </c>
      <c r="E103" s="198">
        <v>0</v>
      </c>
      <c r="F103" s="198">
        <v>0</v>
      </c>
      <c r="G103" s="198"/>
      <c r="H103" s="386"/>
      <c r="I103" s="177"/>
      <c r="J103" s="178"/>
    </row>
    <row r="104" spans="2:10">
      <c r="B104" s="192" t="s">
        <v>167</v>
      </c>
      <c r="C104" s="177" t="s">
        <v>7</v>
      </c>
      <c r="D104" s="198">
        <v>0</v>
      </c>
      <c r="E104" s="198">
        <v>0</v>
      </c>
      <c r="F104" s="198">
        <v>0</v>
      </c>
      <c r="G104" s="198"/>
      <c r="H104" s="386"/>
      <c r="I104" s="177"/>
      <c r="J104" s="178"/>
    </row>
    <row r="105" spans="2:10">
      <c r="B105" s="192" t="s">
        <v>45</v>
      </c>
      <c r="C105" s="177" t="s">
        <v>7</v>
      </c>
      <c r="D105" s="198">
        <v>0</v>
      </c>
      <c r="E105" s="198">
        <v>0</v>
      </c>
      <c r="F105" s="198">
        <v>0</v>
      </c>
      <c r="G105" s="198"/>
      <c r="H105" s="386"/>
      <c r="I105" s="177"/>
      <c r="J105" s="178"/>
    </row>
    <row r="106" spans="2:10" ht="13.5" thickBot="1">
      <c r="B106" s="181"/>
      <c r="C106" s="182"/>
      <c r="D106" s="182"/>
      <c r="E106" s="182"/>
      <c r="F106" s="182"/>
      <c r="G106" s="182"/>
      <c r="H106" s="182"/>
      <c r="I106" s="182"/>
      <c r="J106" s="183"/>
    </row>
    <row r="107" spans="2:10">
      <c r="H107" s="1447"/>
    </row>
    <row r="108" spans="2:10">
      <c r="H108" s="1447"/>
    </row>
    <row r="109" spans="2:10">
      <c r="H109" s="1447"/>
    </row>
    <row r="110" spans="2:10">
      <c r="H110" s="1447"/>
    </row>
    <row r="111" spans="2:10">
      <c r="H111" s="1447"/>
    </row>
    <row r="112" spans="2:10">
      <c r="H112" s="1447"/>
    </row>
    <row r="113" spans="8:8">
      <c r="H113" s="1447"/>
    </row>
    <row r="114" spans="8:8">
      <c r="H114" s="1447"/>
    </row>
    <row r="115" spans="8:8">
      <c r="H115" s="1447"/>
    </row>
    <row r="116" spans="8:8">
      <c r="H116" s="1447"/>
    </row>
    <row r="117" spans="8:8">
      <c r="H117" s="1447"/>
    </row>
    <row r="118" spans="8:8">
      <c r="H118" s="1447"/>
    </row>
    <row r="119" spans="8:8">
      <c r="H119" s="1447"/>
    </row>
    <row r="120" spans="8:8">
      <c r="H120" s="1447"/>
    </row>
    <row r="121" spans="8:8">
      <c r="H121" s="1447"/>
    </row>
    <row r="122" spans="8:8">
      <c r="H122" s="1447"/>
    </row>
    <row r="123" spans="8:8">
      <c r="H123" s="1447"/>
    </row>
    <row r="124" spans="8:8">
      <c r="H124" s="1447"/>
    </row>
    <row r="125" spans="8:8">
      <c r="H125" s="1447"/>
    </row>
    <row r="126" spans="8:8">
      <c r="H126" s="1447"/>
    </row>
    <row r="127" spans="8:8">
      <c r="H127" s="1447"/>
    </row>
    <row r="128" spans="8:8">
      <c r="H128" s="1447"/>
    </row>
    <row r="129" spans="8:8">
      <c r="H129" s="1447"/>
    </row>
    <row r="130" spans="8:8">
      <c r="H130" s="1447"/>
    </row>
    <row r="131" spans="8:8">
      <c r="H131" s="1447"/>
    </row>
    <row r="132" spans="8:8">
      <c r="H132" s="1447"/>
    </row>
    <row r="133" spans="8:8">
      <c r="H133" s="1447"/>
    </row>
    <row r="134" spans="8:8">
      <c r="H134" s="1447"/>
    </row>
  </sheetData>
  <pageMargins left="0.15748031496062992" right="0.15748031496062992" top="1.25" bottom="0.19685039370078741" header="0.51181102362204722" footer="0.51181102362204722"/>
  <pageSetup paperSize="9" scale="60" orientation="landscape" r:id="rId1"/>
  <headerFooter alignWithMargins="0">
    <oddHeader>&amp;L&amp;"Arial"&amp;14&amp;BBeregningsmodel
&amp;"Arial"&amp;08&amp;B64329, Teknologivurdering af alternative drivmidler til transportsektoren&amp;R&amp;"Arial"&amp;08Page &amp;P of &amp;N</oddHeader>
    <oddFooter>&amp;L&amp;"Arial"&amp;08&amp;Z&amp;F
Sheet: &amp;A&amp;C&amp;"Arial"&amp;08Printed &amp;D &amp;T&amp;R&amp;G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1203" r:id="rId5" name="Button 3">
              <controlPr defaultSize="0" print="0" autoFill="0" autoPict="0" macro="[0]!GtOver">
                <anchor>
                  <from>
                    <xdr:col>7</xdr:col>
                    <xdr:colOff>800100</xdr:colOff>
                    <xdr:row>0</xdr:row>
                    <xdr:rowOff>38100</xdr:rowOff>
                  </from>
                  <to>
                    <xdr:col>9</xdr:col>
                    <xdr:colOff>333375</xdr:colOff>
                    <xdr:row>0</xdr:row>
                    <xdr:rowOff>238125</xdr:rowOff>
                  </to>
                </anchor>
              </controlPr>
            </control>
          </mc:Choice>
        </mc:AlternateContent>
        <mc:AlternateContent xmlns:mc="http://schemas.openxmlformats.org/markup-compatibility/2006">
          <mc:Choice Requires="x14">
            <control shapeId="51204" r:id="rId6" name="Button 4">
              <controlPr defaultSize="0" print="0" autoFill="0" autoPict="0" macro="[0]!GtRes">
                <anchor>
                  <from>
                    <xdr:col>9</xdr:col>
                    <xdr:colOff>504825</xdr:colOff>
                    <xdr:row>0</xdr:row>
                    <xdr:rowOff>38100</xdr:rowOff>
                  </from>
                  <to>
                    <xdr:col>9</xdr:col>
                    <xdr:colOff>1562100</xdr:colOff>
                    <xdr:row>0</xdr:row>
                    <xdr:rowOff>238125</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rgb="FF002060"/>
    <pageSetUpPr fitToPage="1"/>
  </sheetPr>
  <dimension ref="B1:S106"/>
  <sheetViews>
    <sheetView zoomScale="80" zoomScaleNormal="80" workbookViewId="0">
      <selection activeCell="B2" sqref="B2"/>
    </sheetView>
  </sheetViews>
  <sheetFormatPr defaultColWidth="8.85546875" defaultRowHeight="12.75"/>
  <cols>
    <col min="1" max="1" width="2.85546875" style="172" customWidth="1"/>
    <col min="2" max="2" width="35" style="172" customWidth="1"/>
    <col min="3" max="3" width="18" style="172" customWidth="1"/>
    <col min="4" max="8" width="15.85546875" style="172" customWidth="1"/>
    <col min="9" max="9" width="7.140625" style="172" customWidth="1"/>
    <col min="10" max="10" width="37.42578125" style="172" customWidth="1"/>
    <col min="11" max="11" width="9.140625" style="172" customWidth="1"/>
    <col min="12" max="12" width="9" style="172" customWidth="1"/>
    <col min="13" max="13" width="9.140625" style="172" customWidth="1"/>
    <col min="14" max="14" width="8.85546875" style="172"/>
    <col min="15" max="15" width="37.85546875" style="172" customWidth="1"/>
    <col min="16" max="18" width="8.85546875" style="172"/>
    <col min="19" max="19" width="9.140625" style="172" customWidth="1"/>
    <col min="20" max="16384" width="8.85546875" style="172"/>
  </cols>
  <sheetData>
    <row r="1" spans="2:19" s="2403" customFormat="1" ht="21">
      <c r="B1" s="2403" t="s">
        <v>2707</v>
      </c>
      <c r="Q1" s="2403">
        <f ca="1">'Log2015'!M1</f>
        <v>-8.0112614142160741</v>
      </c>
      <c r="R1" s="2405">
        <f ca="1">'Log2015'!N1</f>
        <v>-160807.124977848</v>
      </c>
      <c r="S1" s="2406"/>
    </row>
    <row r="2" spans="2:19">
      <c r="R2" s="626">
        <f ca="1">R1</f>
        <v>-160807.124977848</v>
      </c>
      <c r="S2" s="626">
        <f>S1</f>
        <v>0</v>
      </c>
    </row>
    <row r="4" spans="2:19" ht="13.5" thickBot="1">
      <c r="B4" s="171" t="s">
        <v>81</v>
      </c>
    </row>
    <row r="5" spans="2:19">
      <c r="B5" s="173" t="s">
        <v>137</v>
      </c>
      <c r="C5" s="174"/>
      <c r="D5" s="174"/>
      <c r="E5" s="174"/>
      <c r="F5" s="174"/>
      <c r="G5" s="174"/>
      <c r="H5" s="221"/>
      <c r="I5" s="174"/>
      <c r="J5" s="174"/>
      <c r="K5" s="174"/>
      <c r="L5" s="174"/>
      <c r="M5" s="174"/>
      <c r="N5" s="175"/>
    </row>
    <row r="6" spans="2:19">
      <c r="B6" s="317" t="s">
        <v>609</v>
      </c>
      <c r="C6" s="386"/>
      <c r="D6" s="386"/>
      <c r="E6" s="386"/>
      <c r="F6" s="386"/>
      <c r="G6" s="386"/>
      <c r="H6" s="455"/>
      <c r="I6" s="386"/>
      <c r="J6" s="386"/>
      <c r="K6" s="386"/>
      <c r="L6" s="386"/>
      <c r="M6" s="386"/>
      <c r="N6" s="178"/>
    </row>
    <row r="7" spans="2:19">
      <c r="B7" s="317" t="s">
        <v>388</v>
      </c>
      <c r="C7" s="386"/>
      <c r="D7" s="386"/>
      <c r="E7" s="386"/>
      <c r="F7" s="386"/>
      <c r="G7" s="386"/>
      <c r="H7" s="455"/>
      <c r="I7" s="386"/>
      <c r="J7" s="386"/>
      <c r="K7" s="386"/>
      <c r="L7" s="386"/>
      <c r="M7" s="386"/>
      <c r="N7" s="178"/>
    </row>
    <row r="8" spans="2:19">
      <c r="B8" s="317" t="s">
        <v>389</v>
      </c>
      <c r="C8" s="386"/>
      <c r="D8" s="386"/>
      <c r="E8" s="386"/>
      <c r="F8" s="386"/>
      <c r="G8" s="386"/>
      <c r="H8" s="455"/>
      <c r="I8" s="386"/>
      <c r="J8" s="386"/>
      <c r="K8" s="386"/>
      <c r="L8" s="386"/>
      <c r="M8" s="386"/>
      <c r="N8" s="178"/>
    </row>
    <row r="9" spans="2:19">
      <c r="B9" s="179"/>
      <c r="C9" s="386"/>
      <c r="D9" s="386"/>
      <c r="E9" s="386"/>
      <c r="F9" s="386"/>
      <c r="G9" s="386"/>
      <c r="H9" s="455"/>
      <c r="I9" s="386"/>
      <c r="J9" s="386"/>
      <c r="K9" s="386"/>
      <c r="L9" s="386"/>
      <c r="M9" s="386"/>
      <c r="N9" s="178"/>
    </row>
    <row r="10" spans="2:19">
      <c r="B10" s="179"/>
      <c r="C10" s="386"/>
      <c r="D10" s="386"/>
      <c r="E10" s="386"/>
      <c r="F10" s="386"/>
      <c r="G10" s="386"/>
      <c r="H10" s="455"/>
      <c r="I10" s="386"/>
      <c r="J10" s="386"/>
      <c r="K10" s="386"/>
      <c r="L10" s="386"/>
      <c r="M10" s="386"/>
      <c r="N10" s="178"/>
    </row>
    <row r="11" spans="2:19">
      <c r="B11" s="180" t="s">
        <v>256</v>
      </c>
      <c r="C11" s="386"/>
      <c r="D11" s="386"/>
      <c r="E11" s="386"/>
      <c r="F11" s="386"/>
      <c r="G11" s="386"/>
      <c r="H11" s="455"/>
      <c r="I11" s="386"/>
      <c r="J11" s="386"/>
      <c r="K11" s="386"/>
      <c r="L11" s="386"/>
      <c r="M11" s="386"/>
      <c r="N11" s="178"/>
    </row>
    <row r="12" spans="2:19">
      <c r="B12" s="317" t="s">
        <v>390</v>
      </c>
      <c r="C12" s="386"/>
      <c r="D12" s="386"/>
      <c r="E12" s="386"/>
      <c r="F12" s="386"/>
      <c r="G12" s="386"/>
      <c r="H12" s="455"/>
      <c r="I12" s="386"/>
      <c r="J12" s="386"/>
      <c r="K12" s="386"/>
      <c r="L12" s="386"/>
      <c r="M12" s="386"/>
      <c r="N12" s="178"/>
    </row>
    <row r="13" spans="2:19">
      <c r="B13" s="317" t="s">
        <v>391</v>
      </c>
      <c r="C13" s="386"/>
      <c r="D13" s="386"/>
      <c r="E13" s="386"/>
      <c r="F13" s="386"/>
      <c r="G13" s="386"/>
      <c r="H13" s="455"/>
      <c r="I13" s="386"/>
      <c r="J13" s="386"/>
      <c r="K13" s="386"/>
      <c r="L13" s="386"/>
      <c r="M13" s="386"/>
      <c r="N13" s="178"/>
    </row>
    <row r="14" spans="2:19">
      <c r="B14" s="180" t="s">
        <v>143</v>
      </c>
      <c r="C14" s="386"/>
      <c r="D14" s="386"/>
      <c r="E14" s="386"/>
      <c r="F14" s="386"/>
      <c r="G14" s="386"/>
      <c r="H14" s="455"/>
      <c r="I14" s="386"/>
      <c r="J14" s="386"/>
      <c r="K14" s="386"/>
      <c r="L14" s="386"/>
      <c r="M14" s="386"/>
      <c r="N14" s="178"/>
    </row>
    <row r="15" spans="2:19">
      <c r="B15" s="179"/>
      <c r="C15" s="386"/>
      <c r="D15" s="386"/>
      <c r="E15" s="386"/>
      <c r="F15" s="386"/>
      <c r="G15" s="386"/>
      <c r="H15" s="455"/>
      <c r="I15" s="386"/>
      <c r="J15" s="386"/>
      <c r="K15" s="386"/>
      <c r="L15" s="386"/>
      <c r="M15" s="386"/>
      <c r="N15" s="178"/>
    </row>
    <row r="16" spans="2:19">
      <c r="B16" s="179"/>
      <c r="C16" s="386"/>
      <c r="D16" s="386"/>
      <c r="E16" s="386"/>
      <c r="F16" s="386"/>
      <c r="G16" s="386"/>
      <c r="H16" s="455"/>
      <c r="I16" s="386"/>
      <c r="J16" s="386"/>
      <c r="K16" s="386"/>
      <c r="L16" s="386"/>
      <c r="M16" s="386"/>
      <c r="N16" s="178"/>
    </row>
    <row r="17" spans="2:14" ht="13.5" thickBot="1">
      <c r="B17" s="181"/>
      <c r="C17" s="182"/>
      <c r="D17" s="182"/>
      <c r="E17" s="182"/>
      <c r="F17" s="182"/>
      <c r="G17" s="182"/>
      <c r="H17" s="244"/>
      <c r="I17" s="182"/>
      <c r="J17" s="182"/>
      <c r="K17" s="182"/>
      <c r="L17" s="182"/>
      <c r="M17" s="182"/>
      <c r="N17" s="183"/>
    </row>
    <row r="18" spans="2:14">
      <c r="F18" s="196"/>
      <c r="G18" s="196"/>
      <c r="I18" s="197"/>
      <c r="J18" s="196"/>
    </row>
    <row r="19" spans="2:14" ht="13.5" thickBot="1">
      <c r="B19" s="171" t="s">
        <v>144</v>
      </c>
      <c r="E19" s="184"/>
      <c r="F19" s="196"/>
      <c r="G19" s="196"/>
    </row>
    <row r="20" spans="2:14">
      <c r="B20" s="219"/>
      <c r="C20" s="220"/>
      <c r="D20" s="151"/>
      <c r="E20" s="221"/>
      <c r="F20" s="221"/>
      <c r="G20" s="221"/>
      <c r="H20" s="221"/>
      <c r="I20" s="221" t="s">
        <v>145</v>
      </c>
      <c r="J20" s="222" t="s">
        <v>146</v>
      </c>
    </row>
    <row r="21" spans="2:14">
      <c r="B21" s="223"/>
      <c r="C21" s="224" t="s">
        <v>70</v>
      </c>
      <c r="D21" s="152">
        <v>2015</v>
      </c>
      <c r="E21" s="225">
        <v>2020</v>
      </c>
      <c r="F21" s="225">
        <v>2035</v>
      </c>
      <c r="G21" s="225"/>
      <c r="H21" s="225" t="s">
        <v>978</v>
      </c>
      <c r="I21" s="226"/>
      <c r="J21" s="227"/>
    </row>
    <row r="22" spans="2:14">
      <c r="B22" s="216" t="s">
        <v>257</v>
      </c>
      <c r="C22" s="210"/>
      <c r="D22" s="153"/>
      <c r="E22" s="209"/>
      <c r="F22" s="209"/>
      <c r="G22" s="209"/>
      <c r="H22" s="209"/>
      <c r="I22" s="455"/>
      <c r="J22" s="178"/>
    </row>
    <row r="23" spans="2:14">
      <c r="B23" s="122" t="s">
        <v>848</v>
      </c>
      <c r="C23" s="210" t="s">
        <v>856</v>
      </c>
      <c r="D23" s="352">
        <v>0.39</v>
      </c>
      <c r="E23" s="438">
        <f>$D23*(1+E78)</f>
        <v>0.46799999999999997</v>
      </c>
      <c r="F23" s="438">
        <f>$D23*(1+F78)</f>
        <v>0.54599999999999993</v>
      </c>
      <c r="G23" s="438">
        <f>$D23*(1+G78)</f>
        <v>0.54599999999999993</v>
      </c>
      <c r="H23" s="1657"/>
      <c r="I23" s="283" t="str">
        <f>CONCATENATE(Referencer!$B$36)</f>
        <v>30, Høringssvar til Alternative Drivmidler, jan 2012, SerEnergy A/S, Danish Power Systems, Nordic Green, Aalborg University. inklusiv uddybning per 10/12 2012</v>
      </c>
      <c r="J23" s="178" t="s">
        <v>857</v>
      </c>
      <c r="L23" s="334">
        <f>D23*(1+E78)</f>
        <v>0.46799999999999997</v>
      </c>
    </row>
    <row r="24" spans="2:14">
      <c r="B24" s="122" t="s">
        <v>849</v>
      </c>
      <c r="C24" s="241" t="s">
        <v>285</v>
      </c>
      <c r="D24" s="436">
        <f>Elmotor!D23</f>
        <v>0.87168797542226217</v>
      </c>
      <c r="E24" s="436">
        <f>Elmotor!E23</f>
        <v>0.89936627482633358</v>
      </c>
      <c r="F24" s="436">
        <f>Elmotor!F23</f>
        <v>0.89936627482633358</v>
      </c>
      <c r="G24" s="436">
        <f>Elmotor!G23</f>
        <v>0.89936627482633358</v>
      </c>
      <c r="H24" s="1657"/>
      <c r="I24" s="283"/>
      <c r="J24" s="178" t="s">
        <v>858</v>
      </c>
    </row>
    <row r="25" spans="2:14">
      <c r="B25" s="122" t="s">
        <v>1025</v>
      </c>
      <c r="C25" s="210" t="s">
        <v>1024</v>
      </c>
      <c r="D25" s="887">
        <f>D67/(D23*0.34+D24*0.66)</f>
        <v>0.61191202708809678</v>
      </c>
      <c r="E25" s="443">
        <f>E93*(1+$D$94)</f>
        <v>0.15838649883191369</v>
      </c>
      <c r="F25" s="443">
        <f>F93*(1+$D$94)</f>
        <v>0.15838649883191369</v>
      </c>
      <c r="G25" s="443">
        <f>G93*(1+$D$94)</f>
        <v>0.15838649883191369</v>
      </c>
      <c r="H25" s="1658"/>
      <c r="I25" s="283"/>
      <c r="J25" s="178" t="s">
        <v>1063</v>
      </c>
    </row>
    <row r="26" spans="2:14">
      <c r="B26" s="122" t="s">
        <v>1026</v>
      </c>
      <c r="C26" s="210" t="s">
        <v>1024</v>
      </c>
      <c r="D26" s="436"/>
      <c r="E26" s="438">
        <f>E92*3.6*(1+$D$94)</f>
        <v>0.35154019040816703</v>
      </c>
      <c r="F26" s="438">
        <f>F92*3.6*(1+$D$94)</f>
        <v>0.35154019040816703</v>
      </c>
      <c r="G26" s="438">
        <f>G92*3.6*(1+$D$94)</f>
        <v>0.35154019040816703</v>
      </c>
      <c r="H26" s="1658"/>
      <c r="I26" s="283"/>
      <c r="J26" s="178" t="s">
        <v>1063</v>
      </c>
      <c r="L26" s="333">
        <f>E26/SUM(E25:E26)</f>
        <v>0.68939358897266301</v>
      </c>
    </row>
    <row r="27" spans="2:14">
      <c r="B27" s="310" t="s">
        <v>98</v>
      </c>
      <c r="C27" s="210" t="s">
        <v>259</v>
      </c>
      <c r="D27" s="154">
        <v>16.3</v>
      </c>
      <c r="E27" s="212">
        <v>16.3</v>
      </c>
      <c r="F27" s="212">
        <v>16.3</v>
      </c>
      <c r="G27" s="212">
        <v>16.3</v>
      </c>
      <c r="H27" s="212"/>
      <c r="I27" s="1442" t="str">
        <f>+Referencer!B12</f>
        <v>6, Nyt fra Danmarks Statistik, Motorparken 2010.</v>
      </c>
      <c r="J27" s="178"/>
    </row>
    <row r="28" spans="2:14">
      <c r="B28" s="310" t="s">
        <v>260</v>
      </c>
      <c r="C28" s="210" t="s">
        <v>261</v>
      </c>
      <c r="D28" s="155">
        <f>+D73</f>
        <v>7.7972603358778612</v>
      </c>
      <c r="E28" s="124">
        <f>+E73</f>
        <v>6.448334297770991</v>
      </c>
      <c r="F28" s="124">
        <f>+F73</f>
        <v>6.448334297770991</v>
      </c>
      <c r="G28" s="124">
        <f>+G73</f>
        <v>6.448334297770991</v>
      </c>
      <c r="H28" s="1659"/>
      <c r="I28" s="283"/>
      <c r="J28" s="178"/>
    </row>
    <row r="29" spans="2:14">
      <c r="B29" s="192"/>
      <c r="C29" s="231"/>
      <c r="D29" s="156"/>
      <c r="E29" s="90"/>
      <c r="F29" s="90"/>
      <c r="G29" s="90"/>
      <c r="H29" s="90"/>
      <c r="I29" s="555"/>
      <c r="J29" s="178"/>
    </row>
    <row r="30" spans="2:14">
      <c r="B30" s="216" t="s">
        <v>33</v>
      </c>
      <c r="C30" s="210"/>
      <c r="D30" s="156"/>
      <c r="E30" s="90"/>
      <c r="F30" s="90"/>
      <c r="G30" s="90"/>
      <c r="H30" s="90"/>
      <c r="I30" s="555"/>
      <c r="J30" s="178"/>
    </row>
    <row r="31" spans="2:14">
      <c r="B31" s="310" t="s">
        <v>157</v>
      </c>
      <c r="C31" s="210" t="s">
        <v>61</v>
      </c>
      <c r="D31" s="992">
        <f>HLOOKUP($H38,Supplementary!$C$44:$AF$46,3,FALSE)*D38</f>
        <v>321732.55355314416</v>
      </c>
      <c r="E31" s="992">
        <f>HLOOKUP($H38,Supplementary!$C$44:$AF$46,3,FALSE)*E38</f>
        <v>221862.60645832139</v>
      </c>
      <c r="F31" s="992">
        <f>HLOOKUP($H38,Supplementary!$C$44:$AF$46,3,FALSE)*F38</f>
        <v>194889.14117957215</v>
      </c>
      <c r="G31" s="992">
        <f>HLOOKUP($H38,Supplementary!$C$44:$AF$46,3,FALSE)*G38</f>
        <v>194889.14117957215</v>
      </c>
      <c r="H31" s="323">
        <f>priceYear</f>
        <v>2015</v>
      </c>
      <c r="I31" s="555"/>
      <c r="J31" s="178"/>
    </row>
    <row r="32" spans="2:14">
      <c r="B32" s="192" t="s">
        <v>262</v>
      </c>
      <c r="C32" s="210" t="s">
        <v>263</v>
      </c>
      <c r="D32" s="992">
        <f ca="1">HLOOKUP($H39,Supplementary!$C$44:$AF$46,3,FALSE)*D39</f>
        <v>4165.2917273504218</v>
      </c>
      <c r="E32" s="992">
        <f ca="1">HLOOKUP($H39,Supplementary!$C$44:$AF$46,3,FALSE)*E39</f>
        <v>3624.920096270549</v>
      </c>
      <c r="F32" s="992">
        <f ca="1">HLOOKUP($H39,Supplementary!$C$44:$AF$46,3,FALSE)*F39</f>
        <v>3243.6375648919338</v>
      </c>
      <c r="G32" s="992">
        <f ca="1">HLOOKUP($H39,Supplementary!$C$44:$AF$46,3,FALSE)*G39</f>
        <v>3243.6375648919338</v>
      </c>
      <c r="H32" s="323">
        <f>priceYear</f>
        <v>2015</v>
      </c>
      <c r="I32" s="555"/>
      <c r="J32" s="178"/>
    </row>
    <row r="33" spans="2:10">
      <c r="B33" s="236" t="s">
        <v>162</v>
      </c>
      <c r="C33" s="210" t="s">
        <v>263</v>
      </c>
      <c r="D33" s="992">
        <f ca="1">HLOOKUP($H40,Supplementary!$C$44:$AF$46,3,FALSE)*D40</f>
        <v>3761.0636221248574</v>
      </c>
      <c r="E33" s="992">
        <f ca="1">HLOOKUP($H40,Supplementary!$C$44:$AF$46,3,FALSE)*E40</f>
        <v>3136.1315772553571</v>
      </c>
      <c r="F33" s="992">
        <f ca="1">HLOOKUP($H40,Supplementary!$C$44:$AF$46,3,FALSE)*F40</f>
        <v>2754.8490458767419</v>
      </c>
      <c r="G33" s="992">
        <f ca="1">HLOOKUP($H40,Supplementary!$C$44:$AF$46,3,FALSE)*G40</f>
        <v>2754.8490458767419</v>
      </c>
      <c r="H33" s="323">
        <f>priceYear</f>
        <v>2015</v>
      </c>
      <c r="I33" s="555"/>
      <c r="J33" s="178"/>
    </row>
    <row r="34" spans="2:10">
      <c r="B34" s="236" t="s">
        <v>163</v>
      </c>
      <c r="C34" s="210" t="s">
        <v>263</v>
      </c>
      <c r="D34" s="992">
        <f>HLOOKUP($H41,Supplementary!$C$44:$AF$46,3,FALSE)*D41</f>
        <v>404.22810522556398</v>
      </c>
      <c r="E34" s="992">
        <f>HLOOKUP($H41,Supplementary!$C$44:$AF$46,3,FALSE)*E41</f>
        <v>488.78851901519238</v>
      </c>
      <c r="F34" s="992">
        <f>HLOOKUP($H41,Supplementary!$C$44:$AF$46,3,FALSE)*F41</f>
        <v>488.78851901519238</v>
      </c>
      <c r="G34" s="992">
        <f>HLOOKUP($H41,Supplementary!$C$44:$AF$46,3,FALSE)*G41</f>
        <v>488.78851901519238</v>
      </c>
      <c r="H34" s="323">
        <f>priceYear</f>
        <v>2015</v>
      </c>
      <c r="I34" s="555"/>
      <c r="J34" s="178"/>
    </row>
    <row r="35" spans="2:10">
      <c r="B35" s="236"/>
      <c r="C35" s="210"/>
      <c r="D35" s="992"/>
      <c r="E35" s="992"/>
      <c r="F35" s="992"/>
      <c r="G35" s="992"/>
      <c r="H35" s="323"/>
      <c r="I35" s="555"/>
      <c r="J35" s="178"/>
    </row>
    <row r="36" spans="2:10">
      <c r="B36" s="236" t="s">
        <v>264</v>
      </c>
      <c r="C36" s="210" t="s">
        <v>263</v>
      </c>
      <c r="D36" s="992">
        <f>HLOOKUP($H43,Supplementary!$C$44:$AF$46,3,FALSE)*D43</f>
        <v>0</v>
      </c>
      <c r="E36" s="992">
        <f>HLOOKUP($H43,Supplementary!$C$44:$AF$46,3,FALSE)*E43</f>
        <v>0</v>
      </c>
      <c r="F36" s="992">
        <f>HLOOKUP($H43,Supplementary!$C$44:$AF$46,3,FALSE)*F43</f>
        <v>0</v>
      </c>
      <c r="G36" s="992">
        <f>HLOOKUP($H43,Supplementary!$C$44:$AF$46,3,FALSE)*G43</f>
        <v>0</v>
      </c>
      <c r="H36" s="323">
        <f>priceYear</f>
        <v>2015</v>
      </c>
      <c r="I36" s="555"/>
      <c r="J36" s="178"/>
    </row>
    <row r="37" spans="2:10">
      <c r="B37" s="216"/>
      <c r="C37" s="210"/>
      <c r="D37" s="156"/>
      <c r="E37" s="90"/>
      <c r="F37" s="90"/>
      <c r="G37" s="90"/>
      <c r="H37" s="90"/>
      <c r="I37" s="555"/>
      <c r="J37" s="178"/>
    </row>
    <row r="38" spans="2:10">
      <c r="B38" s="310" t="s">
        <v>157</v>
      </c>
      <c r="C38" s="210" t="s">
        <v>61</v>
      </c>
      <c r="D38" s="346">
        <f>D80</f>
        <v>302249</v>
      </c>
      <c r="E38" s="347">
        <f>E80</f>
        <v>208427</v>
      </c>
      <c r="F38" s="347">
        <f>F80</f>
        <v>183087</v>
      </c>
      <c r="G38" s="347">
        <f>G80</f>
        <v>183087</v>
      </c>
      <c r="H38" s="407">
        <v>2011</v>
      </c>
      <c r="I38" s="283" t="str">
        <f>CONCATENATE(Referencer!$B$11)</f>
        <v>5, Concawe (2011): Well-to-wheels analysis of future automotive fuels and power-trains in the European Context. November 2011.</v>
      </c>
      <c r="J38" s="178" t="s">
        <v>2674</v>
      </c>
    </row>
    <row r="39" spans="2:10">
      <c r="B39" s="192" t="s">
        <v>262</v>
      </c>
      <c r="C39" s="210" t="s">
        <v>263</v>
      </c>
      <c r="D39" s="158">
        <f ca="1">+SUM(D40:D43)</f>
        <v>3913.0490383901479</v>
      </c>
      <c r="E39" s="214">
        <f ca="1">+SUM(E40:E43)</f>
        <v>3405.4013561195325</v>
      </c>
      <c r="F39" s="214">
        <f ca="1">+SUM(F40:F43)</f>
        <v>3047.2086194693406</v>
      </c>
      <c r="G39" s="214">
        <f ca="1">+SUM(G40:G43)</f>
        <v>3047.2086194693406</v>
      </c>
      <c r="H39" s="407">
        <v>2011</v>
      </c>
      <c r="I39" s="283"/>
      <c r="J39" s="178"/>
    </row>
    <row r="40" spans="2:10">
      <c r="B40" s="236" t="s">
        <v>162</v>
      </c>
      <c r="C40" s="210" t="s">
        <v>263</v>
      </c>
      <c r="D40" s="158">
        <f ca="1">PMT(rSØK,D27,-D38)/D28</f>
        <v>3533.3002712013154</v>
      </c>
      <c r="E40" s="214">
        <f ca="1">PMT(rSØK,E27,-E38)/E28</f>
        <v>2946.2130040169541</v>
      </c>
      <c r="F40" s="214">
        <f ca="1">PMT(rSØK,F27,-F38)/F28</f>
        <v>2588.0202673667623</v>
      </c>
      <c r="G40" s="214">
        <f ca="1">PMT(rSØK,G27,-G38)/G28</f>
        <v>2588.0202673667623</v>
      </c>
      <c r="H40" s="407">
        <v>2011</v>
      </c>
      <c r="I40" s="283"/>
      <c r="J40" s="178"/>
    </row>
    <row r="41" spans="2:10">
      <c r="B41" s="236" t="s">
        <v>163</v>
      </c>
      <c r="C41" s="210" t="s">
        <v>263</v>
      </c>
      <c r="D41" s="159">
        <f>+D74</f>
        <v>379.7487671888324</v>
      </c>
      <c r="E41" s="195">
        <f>+E74</f>
        <v>459.18835210257856</v>
      </c>
      <c r="F41" s="195">
        <f>+F74</f>
        <v>459.18835210257856</v>
      </c>
      <c r="G41" s="195">
        <f>+G74</f>
        <v>459.18835210257856</v>
      </c>
      <c r="H41" s="407">
        <v>2011</v>
      </c>
      <c r="I41" s="1442"/>
      <c r="J41" s="178"/>
    </row>
    <row r="42" spans="2:10">
      <c r="B42" s="236"/>
      <c r="C42" s="210"/>
      <c r="D42" s="156"/>
      <c r="E42" s="90"/>
      <c r="F42" s="90"/>
      <c r="G42" s="90"/>
      <c r="H42" s="407"/>
      <c r="I42" s="283"/>
      <c r="J42" s="178"/>
    </row>
    <row r="43" spans="2:10">
      <c r="B43" s="236" t="s">
        <v>264</v>
      </c>
      <c r="C43" s="210" t="s">
        <v>263</v>
      </c>
      <c r="D43" s="154">
        <v>0</v>
      </c>
      <c r="E43" s="212">
        <v>0</v>
      </c>
      <c r="F43" s="212">
        <v>0</v>
      </c>
      <c r="G43" s="212">
        <v>0</v>
      </c>
      <c r="H43" s="407">
        <v>2011</v>
      </c>
      <c r="I43" s="283"/>
      <c r="J43" s="178"/>
    </row>
    <row r="44" spans="2:10">
      <c r="B44" s="236"/>
      <c r="C44" s="210"/>
      <c r="D44" s="156"/>
      <c r="E44" s="90"/>
      <c r="F44" s="90"/>
      <c r="G44" s="90"/>
      <c r="H44" s="90"/>
      <c r="I44" s="283"/>
      <c r="J44" s="178"/>
    </row>
    <row r="45" spans="2:10">
      <c r="B45" s="216" t="s">
        <v>166</v>
      </c>
      <c r="C45" s="210"/>
      <c r="D45" s="156"/>
      <c r="E45" s="90"/>
      <c r="F45" s="90"/>
      <c r="G45" s="90"/>
      <c r="H45" s="252"/>
      <c r="I45" s="283"/>
      <c r="J45" s="178"/>
    </row>
    <row r="46" spans="2:10">
      <c r="B46" s="418" t="s">
        <v>0</v>
      </c>
      <c r="C46" s="210"/>
      <c r="D46" s="156"/>
      <c r="E46" s="90"/>
      <c r="F46" s="90"/>
      <c r="G46" s="90"/>
      <c r="H46" s="214"/>
      <c r="I46" s="283"/>
      <c r="J46" s="178"/>
    </row>
    <row r="47" spans="2:10">
      <c r="B47" s="192" t="s">
        <v>24</v>
      </c>
      <c r="C47" s="210" t="s">
        <v>859</v>
      </c>
      <c r="D47" s="423"/>
      <c r="E47" s="424"/>
      <c r="F47" s="424"/>
      <c r="G47" s="424"/>
      <c r="H47" s="1576"/>
      <c r="I47" s="283"/>
      <c r="J47" s="278" t="s">
        <v>850</v>
      </c>
    </row>
    <row r="48" spans="2:10">
      <c r="B48" s="192" t="s">
        <v>27</v>
      </c>
      <c r="C48" s="210" t="s">
        <v>859</v>
      </c>
      <c r="D48" s="198">
        <v>0</v>
      </c>
      <c r="E48" s="198">
        <v>0</v>
      </c>
      <c r="F48" s="198">
        <v>0</v>
      </c>
      <c r="G48" s="198">
        <v>0</v>
      </c>
      <c r="H48" s="1576"/>
      <c r="I48" s="283"/>
      <c r="J48" s="178"/>
    </row>
    <row r="49" spans="2:15">
      <c r="B49" s="192" t="s">
        <v>28</v>
      </c>
      <c r="C49" s="210" t="s">
        <v>859</v>
      </c>
      <c r="D49" s="198">
        <v>0</v>
      </c>
      <c r="E49" s="198">
        <v>0</v>
      </c>
      <c r="F49" s="198">
        <v>0</v>
      </c>
      <c r="G49" s="198">
        <v>0</v>
      </c>
      <c r="H49" s="1576"/>
      <c r="I49" s="283"/>
      <c r="J49" s="178"/>
    </row>
    <row r="50" spans="2:15">
      <c r="B50" s="192" t="s">
        <v>26</v>
      </c>
      <c r="C50" s="210" t="s">
        <v>859</v>
      </c>
      <c r="D50" s="198">
        <v>0</v>
      </c>
      <c r="E50" s="198">
        <v>0</v>
      </c>
      <c r="F50" s="198">
        <v>0</v>
      </c>
      <c r="G50" s="198">
        <v>0</v>
      </c>
      <c r="H50" s="1576"/>
      <c r="I50" s="283"/>
      <c r="J50" s="178"/>
    </row>
    <row r="51" spans="2:15">
      <c r="B51" s="192" t="s">
        <v>167</v>
      </c>
      <c r="C51" s="210" t="s">
        <v>859</v>
      </c>
      <c r="D51" s="198">
        <v>0</v>
      </c>
      <c r="E51" s="198">
        <v>0</v>
      </c>
      <c r="F51" s="198">
        <v>0</v>
      </c>
      <c r="G51" s="198">
        <v>0</v>
      </c>
      <c r="H51" s="1576"/>
      <c r="I51" s="283"/>
      <c r="J51" s="178"/>
    </row>
    <row r="52" spans="2:15">
      <c r="B52" s="192" t="s">
        <v>45</v>
      </c>
      <c r="C52" s="210" t="s">
        <v>859</v>
      </c>
      <c r="D52" s="198">
        <v>0</v>
      </c>
      <c r="E52" s="198">
        <v>0</v>
      </c>
      <c r="F52" s="198">
        <v>0</v>
      </c>
      <c r="G52" s="198">
        <v>0</v>
      </c>
      <c r="H52" s="1576"/>
      <c r="I52" s="283"/>
      <c r="J52" s="178"/>
    </row>
    <row r="53" spans="2:15">
      <c r="B53" s="192"/>
      <c r="C53" s="210"/>
      <c r="D53" s="198"/>
      <c r="E53" s="198"/>
      <c r="F53" s="198"/>
      <c r="G53" s="198"/>
      <c r="H53" s="1576"/>
      <c r="I53" s="283"/>
      <c r="J53" s="178"/>
    </row>
    <row r="54" spans="2:15">
      <c r="B54" s="418" t="s">
        <v>20</v>
      </c>
      <c r="C54" s="210"/>
      <c r="D54" s="156"/>
      <c r="E54" s="90"/>
      <c r="F54" s="90"/>
      <c r="G54" s="90"/>
      <c r="H54" s="1576"/>
      <c r="I54" s="283"/>
      <c r="J54" s="178"/>
    </row>
    <row r="55" spans="2:15">
      <c r="B55" s="192" t="s">
        <v>24</v>
      </c>
      <c r="C55" s="210" t="s">
        <v>859</v>
      </c>
      <c r="D55" s="423"/>
      <c r="E55" s="424"/>
      <c r="F55" s="424"/>
      <c r="G55" s="424"/>
      <c r="H55" s="1576"/>
      <c r="I55" s="283"/>
      <c r="J55" s="278" t="s">
        <v>850</v>
      </c>
    </row>
    <row r="56" spans="2:15">
      <c r="B56" s="192" t="s">
        <v>27</v>
      </c>
      <c r="C56" s="210" t="s">
        <v>859</v>
      </c>
      <c r="D56" s="420">
        <f>Elmotor!D48</f>
        <v>0</v>
      </c>
      <c r="E56" s="419">
        <f>Elmotor!E48</f>
        <v>0</v>
      </c>
      <c r="F56" s="419">
        <f>Elmotor!F48</f>
        <v>0</v>
      </c>
      <c r="G56" s="419">
        <f>Elmotor!G48</f>
        <v>0</v>
      </c>
      <c r="H56" s="1576"/>
      <c r="I56" s="283"/>
      <c r="J56" s="178"/>
    </row>
    <row r="57" spans="2:15">
      <c r="B57" s="192" t="s">
        <v>28</v>
      </c>
      <c r="C57" s="210" t="s">
        <v>859</v>
      </c>
      <c r="D57" s="420">
        <f>Elmotor!D49</f>
        <v>0</v>
      </c>
      <c r="E57" s="419">
        <f>Elmotor!E49</f>
        <v>0</v>
      </c>
      <c r="F57" s="419">
        <f>Elmotor!F49</f>
        <v>0</v>
      </c>
      <c r="G57" s="419">
        <f>Elmotor!G49</f>
        <v>0</v>
      </c>
      <c r="H57" s="1576"/>
      <c r="I57" s="283"/>
      <c r="J57" s="178"/>
      <c r="O57" s="333"/>
    </row>
    <row r="58" spans="2:15">
      <c r="B58" s="192" t="s">
        <v>26</v>
      </c>
      <c r="C58" s="210" t="s">
        <v>859</v>
      </c>
      <c r="D58" s="420">
        <f>Elmotor!D50</f>
        <v>0</v>
      </c>
      <c r="E58" s="419">
        <f>Elmotor!E50</f>
        <v>0</v>
      </c>
      <c r="F58" s="419">
        <f>Elmotor!F50</f>
        <v>0</v>
      </c>
      <c r="G58" s="419">
        <f>Elmotor!G50</f>
        <v>0</v>
      </c>
      <c r="H58" s="1576"/>
      <c r="I58" s="283"/>
      <c r="J58" s="178"/>
    </row>
    <row r="59" spans="2:15">
      <c r="B59" s="192" t="s">
        <v>167</v>
      </c>
      <c r="C59" s="210" t="s">
        <v>859</v>
      </c>
      <c r="D59" s="420">
        <f>Elmotor!D51</f>
        <v>0</v>
      </c>
      <c r="E59" s="419">
        <f>Elmotor!E51</f>
        <v>0</v>
      </c>
      <c r="F59" s="419">
        <f>Elmotor!F51</f>
        <v>0</v>
      </c>
      <c r="G59" s="419">
        <f>Elmotor!G51</f>
        <v>0</v>
      </c>
      <c r="H59" s="1576"/>
      <c r="I59" s="283"/>
      <c r="J59" s="178"/>
    </row>
    <row r="60" spans="2:15">
      <c r="B60" s="192" t="s">
        <v>45</v>
      </c>
      <c r="C60" s="210" t="s">
        <v>859</v>
      </c>
      <c r="D60" s="420">
        <f>Elmotor!D52</f>
        <v>0</v>
      </c>
      <c r="E60" s="419">
        <f>Elmotor!E52</f>
        <v>0</v>
      </c>
      <c r="F60" s="419">
        <f>Elmotor!F52</f>
        <v>0</v>
      </c>
      <c r="G60" s="419">
        <f>Elmotor!G52</f>
        <v>0</v>
      </c>
      <c r="H60" s="1576"/>
      <c r="I60" s="283"/>
      <c r="J60" s="178"/>
    </row>
    <row r="61" spans="2:15" ht="13.5" thickBot="1">
      <c r="B61" s="313"/>
      <c r="C61" s="238"/>
      <c r="D61" s="873"/>
      <c r="E61" s="244"/>
      <c r="F61" s="244"/>
      <c r="G61" s="244"/>
      <c r="H61" s="1443"/>
      <c r="I61" s="1443"/>
      <c r="J61" s="183"/>
    </row>
    <row r="62" spans="2:15">
      <c r="H62" s="142"/>
      <c r="I62" s="142"/>
    </row>
    <row r="63" spans="2:15">
      <c r="E63" s="333">
        <f>E67/SUM(E25:E26)</f>
        <v>0.70253391689397493</v>
      </c>
      <c r="H63" s="142"/>
      <c r="I63" s="142"/>
    </row>
    <row r="64" spans="2:15" ht="16.5" thickBot="1">
      <c r="B64" s="193" t="s">
        <v>168</v>
      </c>
      <c r="H64" s="142"/>
      <c r="I64" s="142"/>
    </row>
    <row r="65" spans="2:10">
      <c r="B65" s="219"/>
      <c r="C65" s="220"/>
      <c r="D65" s="151"/>
      <c r="E65" s="221"/>
      <c r="F65" s="221"/>
      <c r="G65" s="221"/>
      <c r="H65" s="962"/>
      <c r="I65" s="962" t="s">
        <v>145</v>
      </c>
      <c r="J65" s="222" t="s">
        <v>146</v>
      </c>
    </row>
    <row r="66" spans="2:10">
      <c r="B66" s="223"/>
      <c r="C66" s="224" t="s">
        <v>70</v>
      </c>
      <c r="D66" s="152">
        <v>2015</v>
      </c>
      <c r="E66" s="225">
        <v>2020</v>
      </c>
      <c r="F66" s="225">
        <v>2035</v>
      </c>
      <c r="G66" s="225">
        <v>2050</v>
      </c>
      <c r="H66" s="555"/>
      <c r="I66" s="555"/>
      <c r="J66" s="227"/>
    </row>
    <row r="67" spans="2:10">
      <c r="B67" s="192" t="s">
        <v>266</v>
      </c>
      <c r="C67" s="241" t="s">
        <v>1027</v>
      </c>
      <c r="D67" s="947">
        <f>D68/D70*D69</f>
        <v>0.43318112977099232</v>
      </c>
      <c r="E67" s="947">
        <f>D67*(1-E71)</f>
        <v>0.35824079432061062</v>
      </c>
      <c r="F67" s="947">
        <f>E67</f>
        <v>0.35824079432061062</v>
      </c>
      <c r="G67" s="947">
        <f>F67</f>
        <v>0.35824079432061062</v>
      </c>
      <c r="H67" s="555"/>
      <c r="I67" s="555"/>
      <c r="J67" s="178"/>
    </row>
    <row r="68" spans="2:10">
      <c r="B68" s="192" t="s">
        <v>1028</v>
      </c>
      <c r="C68" s="241" t="s">
        <v>1027</v>
      </c>
      <c r="D68" s="957">
        <f>'Std benzin motor'!D67</f>
        <v>0.38034000000000001</v>
      </c>
      <c r="E68" s="957"/>
      <c r="F68" s="957"/>
      <c r="G68" s="957"/>
      <c r="H68" s="1576"/>
      <c r="I68" s="283"/>
      <c r="J68" s="178"/>
    </row>
    <row r="69" spans="2:10">
      <c r="B69" s="192" t="s">
        <v>1029</v>
      </c>
      <c r="C69" s="241" t="s">
        <v>59</v>
      </c>
      <c r="D69" s="955">
        <v>1492</v>
      </c>
      <c r="E69" s="955"/>
      <c r="F69" s="955"/>
      <c r="G69" s="955"/>
      <c r="H69" s="1576"/>
      <c r="I69" s="283" t="str">
        <f>CONCATENATE(Referencer!$B$40)</f>
        <v>34, JEC - Joint Research Centre-EUCAR-CONCAWE collaboration, Tank to Wheels Report, version 4.0, July 2013</v>
      </c>
      <c r="J69" s="178" t="s">
        <v>1070</v>
      </c>
    </row>
    <row r="70" spans="2:10">
      <c r="B70" s="192" t="s">
        <v>1031</v>
      </c>
      <c r="C70" s="241" t="s">
        <v>59</v>
      </c>
      <c r="D70" s="956">
        <f>'Std benzin motor'!D68</f>
        <v>1310</v>
      </c>
      <c r="E70" s="956"/>
      <c r="F70" s="956"/>
      <c r="G70" s="956"/>
      <c r="H70" s="555"/>
      <c r="I70" s="555"/>
      <c r="J70" s="178"/>
    </row>
    <row r="71" spans="2:10">
      <c r="B71" s="192" t="s">
        <v>1067</v>
      </c>
      <c r="C71" s="241" t="s">
        <v>29</v>
      </c>
      <c r="D71" s="905"/>
      <c r="E71" s="954">
        <v>0.17299999999999999</v>
      </c>
      <c r="F71" s="876"/>
      <c r="G71" s="876"/>
      <c r="H71" s="1576"/>
      <c r="I71" s="283" t="str">
        <f>CONCATENATE(Referencer!$B$40)</f>
        <v>34, JEC - Joint Research Centre-EUCAR-CONCAWE collaboration, Tank to Wheels Report, version 4.0, July 2013</v>
      </c>
      <c r="J71" s="178" t="s">
        <v>1074</v>
      </c>
    </row>
    <row r="72" spans="2:10">
      <c r="B72" s="192" t="s">
        <v>268</v>
      </c>
      <c r="C72" s="241" t="s">
        <v>269</v>
      </c>
      <c r="D72" s="929">
        <v>18000</v>
      </c>
      <c r="E72" s="930">
        <v>18000</v>
      </c>
      <c r="F72" s="930">
        <v>18000</v>
      </c>
      <c r="G72" s="930">
        <v>18000</v>
      </c>
      <c r="H72" s="555"/>
      <c r="I72" s="555"/>
      <c r="J72" s="178"/>
    </row>
    <row r="73" spans="2:10">
      <c r="B73" s="192" t="s">
        <v>260</v>
      </c>
      <c r="C73" s="241" t="s">
        <v>261</v>
      </c>
      <c r="D73" s="95">
        <f>+D67*D72/1000</f>
        <v>7.7972603358778612</v>
      </c>
      <c r="E73" s="455">
        <f>+E67*E72/1000</f>
        <v>6.448334297770991</v>
      </c>
      <c r="F73" s="455">
        <f>+F67*F72/1000</f>
        <v>6.448334297770991</v>
      </c>
      <c r="G73" s="455">
        <f>+G67*G72/1000</f>
        <v>6.448334297770991</v>
      </c>
      <c r="H73" s="555"/>
      <c r="I73" s="555"/>
      <c r="J73" s="178" t="s">
        <v>270</v>
      </c>
    </row>
    <row r="74" spans="2:10">
      <c r="B74" s="192" t="s">
        <v>271</v>
      </c>
      <c r="C74" s="241" t="s">
        <v>263</v>
      </c>
      <c r="D74" s="405">
        <f>D75*1000/D67</f>
        <v>379.7487671888324</v>
      </c>
      <c r="E74" s="405">
        <f>E75*1000/E67</f>
        <v>459.18835210257856</v>
      </c>
      <c r="F74" s="405">
        <f>F75*1000/F67</f>
        <v>459.18835210257856</v>
      </c>
      <c r="G74" s="405">
        <f>G75*1000/G67</f>
        <v>459.18835210257856</v>
      </c>
      <c r="H74" s="555"/>
      <c r="I74" s="555"/>
      <c r="J74" s="178"/>
    </row>
    <row r="75" spans="2:10">
      <c r="B75" s="192" t="s">
        <v>271</v>
      </c>
      <c r="C75" s="241" t="s">
        <v>55</v>
      </c>
      <c r="D75" s="405">
        <f>D76*D77</f>
        <v>0.16449999999999998</v>
      </c>
      <c r="E75" s="405">
        <f>E76*E77</f>
        <v>0.16449999999999998</v>
      </c>
      <c r="F75" s="405">
        <f>F76*F77</f>
        <v>0.16449999999999998</v>
      </c>
      <c r="G75" s="405">
        <f>G76*G77</f>
        <v>0.16449999999999998</v>
      </c>
      <c r="H75" s="555"/>
      <c r="I75" s="555"/>
      <c r="J75" s="178"/>
    </row>
    <row r="76" spans="2:10">
      <c r="B76" s="192" t="s">
        <v>271</v>
      </c>
      <c r="C76" s="241" t="s">
        <v>2028</v>
      </c>
      <c r="D76" s="1633">
        <v>0.47</v>
      </c>
      <c r="E76" s="1633">
        <v>0.47</v>
      </c>
      <c r="F76" s="1633">
        <v>0.47</v>
      </c>
      <c r="G76" s="1633">
        <v>0.47</v>
      </c>
      <c r="H76" s="555"/>
      <c r="I76" s="555" t="s">
        <v>2029</v>
      </c>
      <c r="J76" s="278" t="s">
        <v>2030</v>
      </c>
    </row>
    <row r="77" spans="2:10">
      <c r="B77" s="192" t="s">
        <v>2027</v>
      </c>
      <c r="C77" s="241" t="s">
        <v>55</v>
      </c>
      <c r="D77" s="1637">
        <f>'Std benzin motor'!D75</f>
        <v>0.35</v>
      </c>
      <c r="E77" s="1637">
        <f>'Std benzin motor'!E75</f>
        <v>0.35</v>
      </c>
      <c r="F77" s="1637">
        <f>'Std benzin motor'!F75</f>
        <v>0.35</v>
      </c>
      <c r="G77" s="1637">
        <f>'Std benzin motor'!G75</f>
        <v>0.35</v>
      </c>
      <c r="H77" s="1442"/>
      <c r="I77" s="1442"/>
      <c r="J77" s="278"/>
    </row>
    <row r="78" spans="2:10">
      <c r="B78" s="192" t="s">
        <v>510</v>
      </c>
      <c r="C78" s="241" t="s">
        <v>29</v>
      </c>
      <c r="D78" s="95"/>
      <c r="E78" s="928">
        <v>0.2</v>
      </c>
      <c r="F78" s="928">
        <v>0.4</v>
      </c>
      <c r="G78" s="928">
        <v>0.4</v>
      </c>
      <c r="H78" s="1442"/>
      <c r="I78" s="1442"/>
      <c r="J78" s="178" t="s">
        <v>607</v>
      </c>
    </row>
    <row r="79" spans="2:10">
      <c r="B79" s="192"/>
      <c r="C79" s="241"/>
      <c r="D79" s="95"/>
      <c r="E79" s="352"/>
      <c r="F79" s="352"/>
      <c r="G79" s="352"/>
      <c r="H79" s="1442"/>
      <c r="I79" s="1442"/>
      <c r="J79" s="178"/>
    </row>
    <row r="80" spans="2:10">
      <c r="B80" s="192" t="s">
        <v>618</v>
      </c>
      <c r="C80" s="241" t="s">
        <v>61</v>
      </c>
      <c r="D80" s="279">
        <f>D81+D82+D85+D88</f>
        <v>302249</v>
      </c>
      <c r="E80" s="279">
        <f>E81+E82+E85+E88</f>
        <v>208427</v>
      </c>
      <c r="F80" s="279">
        <f>F81+F82+F85+F88</f>
        <v>183087</v>
      </c>
      <c r="G80" s="279">
        <f>G81+G82+G85+G88</f>
        <v>183087</v>
      </c>
      <c r="H80" s="1576"/>
      <c r="I80" s="283"/>
      <c r="J80" s="178"/>
    </row>
    <row r="81" spans="2:10">
      <c r="B81" s="192" t="s">
        <v>617</v>
      </c>
      <c r="C81" s="241" t="s">
        <v>61</v>
      </c>
      <c r="D81" s="348">
        <v>173249</v>
      </c>
      <c r="E81" s="352">
        <v>150602</v>
      </c>
      <c r="F81" s="352">
        <v>150602</v>
      </c>
      <c r="G81" s="352">
        <v>150602</v>
      </c>
      <c r="H81" s="1576"/>
      <c r="I81" s="283" t="str">
        <f>CONCATENATE(Referencer!$B$11)</f>
        <v>5, Concawe (2011): Well-to-wheels analysis of future automotive fuels and power-trains in the European Context. November 2011.</v>
      </c>
      <c r="J81" s="178" t="s">
        <v>2675</v>
      </c>
    </row>
    <row r="82" spans="2:10">
      <c r="B82" s="192" t="s">
        <v>860</v>
      </c>
      <c r="C82" s="241" t="s">
        <v>61</v>
      </c>
      <c r="D82" s="437">
        <f>D83*D84</f>
        <v>45000</v>
      </c>
      <c r="E82" s="437">
        <f>E83*E84</f>
        <v>22500</v>
      </c>
      <c r="F82" s="437">
        <f>F83*F84</f>
        <v>11250</v>
      </c>
      <c r="G82" s="437">
        <f>G83*G84</f>
        <v>11250</v>
      </c>
      <c r="H82" s="1576"/>
      <c r="I82" s="283"/>
      <c r="J82" s="178"/>
    </row>
    <row r="83" spans="2:10">
      <c r="B83" s="192" t="s">
        <v>861</v>
      </c>
      <c r="C83" s="241" t="s">
        <v>862</v>
      </c>
      <c r="D83" s="436">
        <f>'Brændselscelle, brinthybrid'!D83</f>
        <v>1500</v>
      </c>
      <c r="E83" s="436">
        <f>'Brændselscelle, brinthybrid'!E83</f>
        <v>750</v>
      </c>
      <c r="F83" s="436">
        <f>'Brændselscelle, brinthybrid'!F83</f>
        <v>375</v>
      </c>
      <c r="G83" s="436">
        <f>'Brændselscelle, brinthybrid'!G83</f>
        <v>375</v>
      </c>
      <c r="H83" s="1576"/>
      <c r="I83" s="283"/>
      <c r="J83" s="178" t="s">
        <v>1060</v>
      </c>
    </row>
    <row r="84" spans="2:10">
      <c r="B84" s="192" t="s">
        <v>863</v>
      </c>
      <c r="C84" s="241" t="s">
        <v>864</v>
      </c>
      <c r="D84" s="352">
        <v>30</v>
      </c>
      <c r="E84" s="352">
        <v>30</v>
      </c>
      <c r="F84" s="352">
        <v>30</v>
      </c>
      <c r="G84" s="352">
        <v>30</v>
      </c>
      <c r="H84" s="1576"/>
      <c r="I84" s="283" t="str">
        <f>CONCATENATE(Referencer!$B$40)</f>
        <v>34, JEC - Joint Research Centre-EUCAR-CONCAWE collaboration, Tank to Wheels Report, version 4.0, July 2013</v>
      </c>
      <c r="J84" s="178" t="s">
        <v>1052</v>
      </c>
    </row>
    <row r="85" spans="2:10">
      <c r="B85" s="192" t="s">
        <v>865</v>
      </c>
      <c r="C85" s="241" t="s">
        <v>61</v>
      </c>
      <c r="D85" s="438">
        <f>D86*D87</f>
        <v>30000</v>
      </c>
      <c r="E85" s="438">
        <f>E86*E87</f>
        <v>11250</v>
      </c>
      <c r="F85" s="438">
        <f>F86*F87</f>
        <v>7860</v>
      </c>
      <c r="G85" s="438">
        <f>G86*G87</f>
        <v>7860</v>
      </c>
      <c r="H85" s="1576"/>
      <c r="I85" s="283"/>
      <c r="J85" s="178"/>
    </row>
    <row r="86" spans="2:10">
      <c r="B86" s="192" t="s">
        <v>866</v>
      </c>
      <c r="C86" s="241" t="s">
        <v>862</v>
      </c>
      <c r="D86" s="352">
        <v>1000</v>
      </c>
      <c r="E86" s="352">
        <v>375</v>
      </c>
      <c r="F86" s="352">
        <v>262</v>
      </c>
      <c r="G86" s="352">
        <v>262</v>
      </c>
      <c r="H86" s="1576"/>
      <c r="I86" s="283" t="str">
        <f>CONCATENATE(Referencer!$B$36)</f>
        <v>30, Høringssvar til Alternative Drivmidler, jan 2012, SerEnergy A/S, Danish Power Systems, Nordic Green, Aalborg University. inklusiv uddybning per 10/12 2012</v>
      </c>
      <c r="J86" s="178" t="s">
        <v>867</v>
      </c>
    </row>
    <row r="87" spans="2:10">
      <c r="B87" s="192" t="s">
        <v>868</v>
      </c>
      <c r="C87" s="241" t="s">
        <v>864</v>
      </c>
      <c r="D87" s="438">
        <f>D84</f>
        <v>30</v>
      </c>
      <c r="E87" s="438">
        <f>E84</f>
        <v>30</v>
      </c>
      <c r="F87" s="438">
        <f>F84</f>
        <v>30</v>
      </c>
      <c r="G87" s="438">
        <f>G84</f>
        <v>30</v>
      </c>
      <c r="H87" s="1576"/>
      <c r="I87" s="283"/>
      <c r="J87" s="178" t="s">
        <v>1061</v>
      </c>
    </row>
    <row r="88" spans="2:10">
      <c r="B88" s="192" t="s">
        <v>615</v>
      </c>
      <c r="C88" s="241" t="s">
        <v>61</v>
      </c>
      <c r="D88" s="439">
        <f>D89*D90</f>
        <v>54000</v>
      </c>
      <c r="E88" s="439">
        <f>E89*E90</f>
        <v>24075</v>
      </c>
      <c r="F88" s="439">
        <f>F89*F90</f>
        <v>13375</v>
      </c>
      <c r="G88" s="439">
        <f>G89*G90</f>
        <v>13375</v>
      </c>
      <c r="H88" s="1576"/>
      <c r="I88" s="283"/>
      <c r="J88" s="178"/>
    </row>
    <row r="89" spans="2:10">
      <c r="B89" s="192" t="s">
        <v>869</v>
      </c>
      <c r="C89" s="241" t="s">
        <v>616</v>
      </c>
      <c r="D89" s="436">
        <f>Elmotor!D83</f>
        <v>4500</v>
      </c>
      <c r="E89" s="436">
        <f>Elmotor!E83</f>
        <v>2250</v>
      </c>
      <c r="F89" s="436">
        <f>Elmotor!F83</f>
        <v>1250</v>
      </c>
      <c r="G89" s="436">
        <f>Elmotor!G83</f>
        <v>1250</v>
      </c>
      <c r="H89" s="1576"/>
      <c r="I89" s="283"/>
      <c r="J89" s="178" t="s">
        <v>1059</v>
      </c>
    </row>
    <row r="90" spans="2:10">
      <c r="B90" s="192" t="s">
        <v>870</v>
      </c>
      <c r="C90" s="241" t="s">
        <v>871</v>
      </c>
      <c r="D90" s="352">
        <v>12</v>
      </c>
      <c r="E90" s="352">
        <v>10.7</v>
      </c>
      <c r="F90" s="352">
        <v>10.7</v>
      </c>
      <c r="G90" s="352">
        <v>10.7</v>
      </c>
      <c r="H90" s="1576"/>
      <c r="I90" s="283" t="str">
        <f>CONCATENATE(Referencer!$B$40)</f>
        <v>34, JEC - Joint Research Centre-EUCAR-CONCAWE collaboration, Tank to Wheels Report, version 4.0, July 2013</v>
      </c>
      <c r="J90" s="178" t="s">
        <v>1052</v>
      </c>
    </row>
    <row r="91" spans="2:10">
      <c r="B91" s="386"/>
      <c r="C91" s="455"/>
      <c r="D91" s="352"/>
      <c r="E91" s="352"/>
      <c r="F91" s="352"/>
      <c r="G91" s="352"/>
      <c r="H91" s="1576"/>
      <c r="I91" s="283"/>
      <c r="J91" s="386"/>
    </row>
    <row r="92" spans="2:10">
      <c r="B92" s="192" t="s">
        <v>1032</v>
      </c>
      <c r="C92" s="241" t="s">
        <v>1033</v>
      </c>
      <c r="D92" s="442"/>
      <c r="E92" s="442">
        <v>8.2799999999999999E-2</v>
      </c>
      <c r="F92" s="442">
        <v>8.2799999999999999E-2</v>
      </c>
      <c r="G92" s="442">
        <v>8.2799999999999999E-2</v>
      </c>
      <c r="H92" s="1576"/>
      <c r="I92" s="283" t="str">
        <f>CONCATENATE(Referencer!$B$40)</f>
        <v>34, JEC - Joint Research Centre-EUCAR-CONCAWE collaboration, Tank to Wheels Report, version 4.0, July 2013</v>
      </c>
      <c r="J92" s="178" t="s">
        <v>1038</v>
      </c>
    </row>
    <row r="93" spans="2:10">
      <c r="B93" s="192" t="s">
        <v>1034</v>
      </c>
      <c r="C93" s="241" t="s">
        <v>267</v>
      </c>
      <c r="D93" s="442"/>
      <c r="E93" s="442">
        <v>0.1343</v>
      </c>
      <c r="F93" s="442">
        <v>0.1343</v>
      </c>
      <c r="G93" s="442">
        <v>0.1343</v>
      </c>
      <c r="H93" s="1576"/>
      <c r="I93" s="283" t="str">
        <f>CONCATENATE(Referencer!$B$40)</f>
        <v>34, JEC - Joint Research Centre-EUCAR-CONCAWE collaboration, Tank to Wheels Report, version 4.0, July 2013</v>
      </c>
      <c r="J93" s="178" t="s">
        <v>1038</v>
      </c>
    </row>
    <row r="94" spans="2:10">
      <c r="B94" s="192" t="s">
        <v>1062</v>
      </c>
      <c r="C94" s="241" t="s">
        <v>29</v>
      </c>
      <c r="D94" s="943">
        <f>D25/'Brændselscelle, brinthybrid'!D25-1</f>
        <v>0.17934846486905198</v>
      </c>
      <c r="E94" s="443"/>
      <c r="F94" s="443"/>
      <c r="G94" s="443"/>
      <c r="H94" s="1576"/>
      <c r="I94" s="283"/>
      <c r="J94" s="178"/>
    </row>
    <row r="95" spans="2:10">
      <c r="B95" s="386"/>
      <c r="C95" s="455"/>
      <c r="D95" s="443"/>
      <c r="E95" s="443"/>
      <c r="F95" s="443"/>
      <c r="G95" s="443"/>
      <c r="H95" s="1576"/>
      <c r="I95" s="283"/>
      <c r="J95" s="386"/>
    </row>
    <row r="96" spans="2:10">
      <c r="H96" s="1447"/>
    </row>
    <row r="97" spans="2:10" ht="16.5" thickBot="1">
      <c r="B97" s="193" t="s">
        <v>172</v>
      </c>
      <c r="H97" s="1447"/>
    </row>
    <row r="98" spans="2:10">
      <c r="B98" s="185" t="s">
        <v>872</v>
      </c>
      <c r="C98" s="174" t="s">
        <v>267</v>
      </c>
      <c r="D98" s="441"/>
      <c r="E98" s="441"/>
      <c r="F98" s="441"/>
      <c r="G98" s="441"/>
      <c r="H98" s="1449"/>
      <c r="I98" s="221"/>
      <c r="J98" s="222"/>
    </row>
    <row r="99" spans="2:10">
      <c r="B99" s="192"/>
      <c r="C99" s="386"/>
      <c r="D99" s="386"/>
      <c r="E99" s="386"/>
      <c r="F99" s="386"/>
      <c r="G99" s="386"/>
      <c r="H99" s="386"/>
      <c r="I99" s="386"/>
      <c r="J99" s="178"/>
    </row>
    <row r="100" spans="2:10">
      <c r="B100" s="192" t="s">
        <v>24</v>
      </c>
      <c r="C100" s="386" t="s">
        <v>7</v>
      </c>
      <c r="D100" s="198"/>
      <c r="E100" s="198"/>
      <c r="F100" s="198"/>
      <c r="G100" s="198"/>
      <c r="H100" s="386"/>
      <c r="I100" s="386"/>
      <c r="J100" s="178"/>
    </row>
    <row r="101" spans="2:10">
      <c r="B101" s="192" t="s">
        <v>27</v>
      </c>
      <c r="C101" s="386" t="s">
        <v>7</v>
      </c>
      <c r="D101" s="198"/>
      <c r="E101" s="198"/>
      <c r="F101" s="198"/>
      <c r="G101" s="198"/>
      <c r="H101" s="386"/>
      <c r="I101" s="386"/>
      <c r="J101" s="178"/>
    </row>
    <row r="102" spans="2:10">
      <c r="B102" s="192" t="s">
        <v>28</v>
      </c>
      <c r="C102" s="386" t="s">
        <v>7</v>
      </c>
      <c r="D102" s="198"/>
      <c r="E102" s="198"/>
      <c r="F102" s="198"/>
      <c r="G102" s="198"/>
      <c r="H102" s="386"/>
      <c r="I102" s="386"/>
      <c r="J102" s="178"/>
    </row>
    <row r="103" spans="2:10">
      <c r="B103" s="192" t="s">
        <v>26</v>
      </c>
      <c r="C103" s="386" t="s">
        <v>7</v>
      </c>
      <c r="D103" s="198"/>
      <c r="E103" s="198"/>
      <c r="F103" s="198"/>
      <c r="G103" s="198"/>
      <c r="H103" s="386"/>
      <c r="I103" s="386"/>
      <c r="J103" s="178"/>
    </row>
    <row r="104" spans="2:10">
      <c r="B104" s="192" t="s">
        <v>167</v>
      </c>
      <c r="C104" s="386" t="s">
        <v>7</v>
      </c>
      <c r="D104" s="198"/>
      <c r="E104" s="198"/>
      <c r="F104" s="198"/>
      <c r="G104" s="198"/>
      <c r="H104" s="386"/>
      <c r="I104" s="386"/>
      <c r="J104" s="178"/>
    </row>
    <row r="105" spans="2:10">
      <c r="B105" s="192" t="s">
        <v>45</v>
      </c>
      <c r="C105" s="386" t="s">
        <v>7</v>
      </c>
      <c r="D105" s="198"/>
      <c r="E105" s="198"/>
      <c r="F105" s="198"/>
      <c r="G105" s="198"/>
      <c r="H105" s="386"/>
      <c r="I105" s="386"/>
      <c r="J105" s="178"/>
    </row>
    <row r="106" spans="2:10" ht="13.5" thickBot="1">
      <c r="B106" s="181"/>
      <c r="C106" s="182"/>
      <c r="D106" s="182"/>
      <c r="E106" s="182"/>
      <c r="F106" s="182"/>
      <c r="G106" s="182"/>
      <c r="H106" s="182"/>
      <c r="I106" s="182"/>
      <c r="J106" s="183"/>
    </row>
  </sheetData>
  <pageMargins left="0.15748031496062992" right="0.15748031496062992" top="1.25" bottom="0.19685039370078741" header="0.51181102362204722" footer="0.51181102362204722"/>
  <pageSetup paperSize="9" scale="60" orientation="landscape" r:id="rId1"/>
  <headerFooter alignWithMargins="0">
    <oddHeader>&amp;L&amp;"Arial"&amp;14&amp;BBeregningsmodel
&amp;"Arial"&amp;08&amp;B64329, Teknologivurdering af alternative drivmidler til transportsektoren&amp;R&amp;"Arial"&amp;08Page &amp;P of &amp;N</oddHeader>
    <oddFooter>&amp;L&amp;"Arial"&amp;08&amp;Z&amp;F
Sheet: &amp;A&amp;C&amp;"Arial"&amp;08Printed &amp;D &amp;T&amp;R&amp;G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0179" r:id="rId5" name="Button 3">
              <controlPr defaultSize="0" print="0" autoFill="0" autoPict="0" macro="[0]!GtOver">
                <anchor>
                  <from>
                    <xdr:col>7</xdr:col>
                    <xdr:colOff>790575</xdr:colOff>
                    <xdr:row>0</xdr:row>
                    <xdr:rowOff>38100</xdr:rowOff>
                  </from>
                  <to>
                    <xdr:col>9</xdr:col>
                    <xdr:colOff>323850</xdr:colOff>
                    <xdr:row>0</xdr:row>
                    <xdr:rowOff>238125</xdr:rowOff>
                  </to>
                </anchor>
              </controlPr>
            </control>
          </mc:Choice>
        </mc:AlternateContent>
        <mc:AlternateContent xmlns:mc="http://schemas.openxmlformats.org/markup-compatibility/2006">
          <mc:Choice Requires="x14">
            <control shapeId="50180" r:id="rId6" name="Button 4">
              <controlPr defaultSize="0" print="0" autoFill="0" autoPict="0" macro="[0]!GtRes">
                <anchor>
                  <from>
                    <xdr:col>9</xdr:col>
                    <xdr:colOff>485775</xdr:colOff>
                    <xdr:row>0</xdr:row>
                    <xdr:rowOff>38100</xdr:rowOff>
                  </from>
                  <to>
                    <xdr:col>9</xdr:col>
                    <xdr:colOff>1543050</xdr:colOff>
                    <xdr:row>0</xdr:row>
                    <xdr:rowOff>238125</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rgb="FF002060"/>
    <pageSetUpPr fitToPage="1"/>
  </sheetPr>
  <dimension ref="B1:W102"/>
  <sheetViews>
    <sheetView topLeftCell="I1" zoomScale="80" zoomScaleNormal="80" workbookViewId="0">
      <selection activeCell="N29" sqref="N29"/>
    </sheetView>
  </sheetViews>
  <sheetFormatPr defaultColWidth="8.85546875" defaultRowHeight="12.75"/>
  <cols>
    <col min="1" max="1" width="2.85546875" style="172" customWidth="1"/>
    <col min="2" max="2" width="35" style="172" customWidth="1"/>
    <col min="3" max="3" width="18" style="172" customWidth="1"/>
    <col min="4" max="8" width="15.85546875" style="172" customWidth="1"/>
    <col min="9" max="9" width="7.140625" style="172" customWidth="1"/>
    <col min="10" max="10" width="37.42578125" style="172" customWidth="1"/>
    <col min="11" max="11" width="10.85546875" style="172" customWidth="1"/>
    <col min="12" max="12" width="9.140625" style="172" customWidth="1"/>
    <col min="13" max="13" width="30.7109375" style="172" customWidth="1"/>
    <col min="14" max="14" width="17.28515625" style="172" bestFit="1" customWidth="1"/>
    <col min="15" max="15" width="11.42578125" style="172" customWidth="1"/>
    <col min="16" max="18" width="8.85546875" style="172"/>
    <col min="19" max="19" width="9.140625" style="172" customWidth="1"/>
    <col min="20" max="16384" width="8.85546875" style="172"/>
  </cols>
  <sheetData>
    <row r="1" spans="2:19" s="2403" customFormat="1" ht="21">
      <c r="B1" s="2403" t="s">
        <v>2301</v>
      </c>
      <c r="Q1" s="2403">
        <f ca="1">'Log2015'!M1</f>
        <v>-8.0112614142160741</v>
      </c>
      <c r="R1" s="2405">
        <f ca="1">'Log2015'!N1</f>
        <v>-160807.124977848</v>
      </c>
      <c r="S1" s="2406"/>
    </row>
    <row r="2" spans="2:19">
      <c r="R2" s="626">
        <f ca="1">R1</f>
        <v>-160807.124977848</v>
      </c>
      <c r="S2" s="626">
        <f>S1</f>
        <v>0</v>
      </c>
    </row>
    <row r="4" spans="2:19" ht="13.5" thickBot="1">
      <c r="B4" s="171" t="s">
        <v>81</v>
      </c>
    </row>
    <row r="5" spans="2:19">
      <c r="B5" s="100" t="s">
        <v>137</v>
      </c>
      <c r="C5" s="221"/>
      <c r="D5" s="221"/>
      <c r="E5" s="221"/>
      <c r="F5" s="221"/>
      <c r="G5" s="221"/>
      <c r="H5" s="221"/>
      <c r="I5" s="221"/>
      <c r="J5" s="221"/>
      <c r="K5" s="221"/>
      <c r="L5" s="221"/>
      <c r="M5" s="221"/>
      <c r="N5" s="222"/>
    </row>
    <row r="6" spans="2:19">
      <c r="B6" s="310" t="s">
        <v>2300</v>
      </c>
      <c r="C6" s="455"/>
      <c r="D6" s="455"/>
      <c r="E6" s="455"/>
      <c r="F6" s="455"/>
      <c r="G6" s="455"/>
      <c r="H6" s="455"/>
      <c r="I6" s="455"/>
      <c r="J6" s="455"/>
      <c r="K6" s="455"/>
      <c r="L6" s="455"/>
      <c r="M6" s="455"/>
      <c r="N6" s="178"/>
    </row>
    <row r="7" spans="2:19">
      <c r="B7" s="310"/>
      <c r="C7" s="455"/>
      <c r="D7" s="455"/>
      <c r="E7" s="455"/>
      <c r="F7" s="455"/>
      <c r="G7" s="455"/>
      <c r="H7" s="455"/>
      <c r="I7" s="455"/>
      <c r="J7" s="455"/>
      <c r="K7" s="455"/>
      <c r="L7" s="455"/>
      <c r="M7" s="455"/>
      <c r="N7" s="178"/>
    </row>
    <row r="8" spans="2:19">
      <c r="B8" s="310"/>
      <c r="C8" s="455"/>
      <c r="D8" s="455"/>
      <c r="E8" s="455"/>
      <c r="F8" s="455"/>
      <c r="G8" s="455"/>
      <c r="H8" s="455"/>
      <c r="I8" s="455"/>
      <c r="J8" s="455"/>
      <c r="K8" s="455"/>
      <c r="L8" s="455"/>
      <c r="M8" s="455"/>
      <c r="N8" s="178"/>
    </row>
    <row r="9" spans="2:19">
      <c r="B9" s="310"/>
      <c r="C9" s="455"/>
      <c r="D9" s="455"/>
      <c r="E9" s="455"/>
      <c r="F9" s="455"/>
      <c r="G9" s="455"/>
      <c r="H9" s="455"/>
      <c r="I9" s="455"/>
      <c r="J9" s="455"/>
      <c r="K9" s="455"/>
      <c r="L9" s="455"/>
      <c r="M9" s="455"/>
      <c r="N9" s="178"/>
    </row>
    <row r="10" spans="2:19">
      <c r="B10" s="310"/>
      <c r="C10" s="455"/>
      <c r="D10" s="455"/>
      <c r="E10" s="455"/>
      <c r="F10" s="455"/>
      <c r="G10" s="455"/>
      <c r="H10" s="455"/>
      <c r="I10" s="455"/>
      <c r="J10" s="455"/>
      <c r="K10" s="455"/>
      <c r="L10" s="455"/>
      <c r="M10" s="455"/>
      <c r="N10" s="178"/>
    </row>
    <row r="11" spans="2:19">
      <c r="B11" s="102" t="s">
        <v>256</v>
      </c>
      <c r="C11" s="455"/>
      <c r="D11" s="455"/>
      <c r="E11" s="455"/>
      <c r="F11" s="455"/>
      <c r="G11" s="455"/>
      <c r="H11" s="455"/>
      <c r="I11" s="455"/>
      <c r="J11" s="455"/>
      <c r="K11" s="455"/>
      <c r="L11" s="455"/>
      <c r="M11" s="455"/>
      <c r="N11" s="178"/>
    </row>
    <row r="12" spans="2:19">
      <c r="B12" s="310" t="s">
        <v>2302</v>
      </c>
      <c r="C12" s="455"/>
      <c r="D12" s="455"/>
      <c r="E12" s="455"/>
      <c r="F12" s="455"/>
      <c r="G12" s="455"/>
      <c r="H12" s="455"/>
      <c r="I12" s="455"/>
      <c r="J12" s="455"/>
      <c r="K12" s="455"/>
      <c r="L12" s="455"/>
      <c r="M12" s="455"/>
      <c r="N12" s="178"/>
    </row>
    <row r="13" spans="2:19">
      <c r="B13" s="310"/>
      <c r="C13" s="455"/>
      <c r="D13" s="455"/>
      <c r="E13" s="455"/>
      <c r="F13" s="455"/>
      <c r="G13" s="455"/>
      <c r="H13" s="455"/>
      <c r="I13" s="455"/>
      <c r="J13" s="455"/>
      <c r="K13" s="455"/>
      <c r="L13" s="455"/>
      <c r="M13" s="455"/>
      <c r="N13" s="178"/>
    </row>
    <row r="14" spans="2:19">
      <c r="B14" s="102" t="s">
        <v>143</v>
      </c>
      <c r="C14" s="455"/>
      <c r="D14" s="455"/>
      <c r="E14" s="455"/>
      <c r="F14" s="455"/>
      <c r="G14" s="455"/>
      <c r="H14" s="455"/>
      <c r="I14" s="455"/>
      <c r="J14" s="455"/>
      <c r="K14" s="455"/>
      <c r="L14" s="455"/>
      <c r="M14" s="455"/>
      <c r="N14" s="178"/>
    </row>
    <row r="15" spans="2:19">
      <c r="B15" s="310"/>
      <c r="C15" s="455"/>
      <c r="D15" s="455"/>
      <c r="E15" s="455"/>
      <c r="F15" s="455"/>
      <c r="G15" s="455"/>
      <c r="H15" s="455"/>
      <c r="I15" s="455"/>
      <c r="J15" s="455"/>
      <c r="K15" s="455"/>
      <c r="L15" s="455"/>
      <c r="M15" s="455"/>
      <c r="N15" s="178"/>
    </row>
    <row r="16" spans="2:19">
      <c r="B16" s="216"/>
      <c r="C16" s="455"/>
      <c r="D16" s="455"/>
      <c r="E16" s="455"/>
      <c r="F16" s="455"/>
      <c r="G16" s="455"/>
      <c r="H16" s="455"/>
      <c r="I16" s="455"/>
      <c r="J16" s="455"/>
      <c r="K16" s="455"/>
      <c r="L16" s="455"/>
      <c r="M16" s="455"/>
      <c r="N16" s="178"/>
    </row>
    <row r="17" spans="2:17" ht="13.5" thickBot="1">
      <c r="B17" s="181"/>
      <c r="C17" s="244"/>
      <c r="D17" s="244"/>
      <c r="E17" s="244"/>
      <c r="F17" s="244"/>
      <c r="G17" s="244"/>
      <c r="H17" s="244"/>
      <c r="I17" s="244"/>
      <c r="J17" s="244"/>
      <c r="K17" s="244"/>
      <c r="L17" s="244"/>
      <c r="M17" s="244"/>
      <c r="N17" s="183"/>
    </row>
    <row r="19" spans="2:17" ht="13.5" thickBot="1">
      <c r="B19" s="171" t="s">
        <v>144</v>
      </c>
      <c r="E19" s="1542">
        <f>E24*E26</f>
        <v>0.29527993535098185</v>
      </c>
    </row>
    <row r="20" spans="2:17">
      <c r="B20" s="219"/>
      <c r="C20" s="220"/>
      <c r="D20" s="151"/>
      <c r="E20" s="221"/>
      <c r="F20" s="221"/>
      <c r="G20" s="221"/>
      <c r="H20" s="221"/>
      <c r="I20" s="221" t="s">
        <v>145</v>
      </c>
      <c r="J20" s="222" t="s">
        <v>146</v>
      </c>
    </row>
    <row r="21" spans="2:17">
      <c r="B21" s="223"/>
      <c r="C21" s="224" t="s">
        <v>70</v>
      </c>
      <c r="D21" s="152">
        <v>2015</v>
      </c>
      <c r="E21" s="225">
        <v>2020</v>
      </c>
      <c r="F21" s="225">
        <v>2035</v>
      </c>
      <c r="G21" s="225"/>
      <c r="H21" s="225" t="s">
        <v>978</v>
      </c>
      <c r="I21" s="226"/>
      <c r="J21" s="227"/>
    </row>
    <row r="22" spans="2:17">
      <c r="B22" s="216" t="s">
        <v>257</v>
      </c>
      <c r="C22" s="210"/>
      <c r="D22" s="153"/>
      <c r="E22" s="209"/>
      <c r="F22" s="209"/>
      <c r="G22" s="209"/>
      <c r="H22" s="209"/>
      <c r="I22" s="555"/>
      <c r="J22" s="178"/>
    </row>
    <row r="23" spans="2:17">
      <c r="B23" s="122" t="s">
        <v>848</v>
      </c>
      <c r="C23" s="210" t="s">
        <v>2297</v>
      </c>
      <c r="D23" s="950">
        <f>(D67-D26*D24)/D25</f>
        <v>0.24656348348786536</v>
      </c>
      <c r="E23" s="951">
        <f>(E67-E26*E24)/E25</f>
        <v>0.24636746477301019</v>
      </c>
      <c r="F23" s="951">
        <f>(F67-F26*F24)/F25</f>
        <v>0.24636746477301019</v>
      </c>
      <c r="G23" s="951">
        <f>(G67-G26*G24)/G25</f>
        <v>0.24636746477301019</v>
      </c>
      <c r="H23" s="1657"/>
      <c r="I23" s="283"/>
      <c r="J23" s="178" t="s">
        <v>1066</v>
      </c>
      <c r="L23" s="333" t="e">
        <f>E23/#REF!</f>
        <v>#REF!</v>
      </c>
    </row>
    <row r="24" spans="2:17">
      <c r="B24" s="122" t="s">
        <v>849</v>
      </c>
      <c r="C24" s="210" t="s">
        <v>285</v>
      </c>
      <c r="D24" s="948">
        <f>Elmotor!D23</f>
        <v>0.87168797542226217</v>
      </c>
      <c r="E24" s="949">
        <f>Elmotor!E23</f>
        <v>0.89936627482633358</v>
      </c>
      <c r="F24" s="949">
        <f>Elmotor!F23</f>
        <v>0.89936627482633358</v>
      </c>
      <c r="G24" s="949">
        <f>Elmotor!G23</f>
        <v>0.89936627482633358</v>
      </c>
      <c r="H24" s="1657"/>
      <c r="I24" s="283"/>
      <c r="J24" s="178"/>
    </row>
    <row r="25" spans="2:17">
      <c r="B25" s="122" t="s">
        <v>1025</v>
      </c>
      <c r="C25" s="210" t="s">
        <v>1064</v>
      </c>
      <c r="D25" s="944">
        <f>D87</f>
        <v>0.34899999999999998</v>
      </c>
      <c r="E25" s="945">
        <f>E87</f>
        <v>0.27</v>
      </c>
      <c r="F25" s="945">
        <f>F87</f>
        <v>0.27</v>
      </c>
      <c r="G25" s="945">
        <f>G87</f>
        <v>0.27</v>
      </c>
      <c r="H25" s="1658"/>
      <c r="I25" s="283" t="str">
        <f>CONCATENATE(Referencer!$B$40)</f>
        <v>34, JEC - Joint Research Centre-EUCAR-CONCAWE collaboration, Tank to Wheels Report, version 4.0, July 2013</v>
      </c>
      <c r="J25" s="178" t="s">
        <v>2676</v>
      </c>
      <c r="L25" s="333">
        <f>D25/SUM(D25:D26)</f>
        <v>0.45568496370188538</v>
      </c>
      <c r="M25" s="333">
        <f>E25/SUM(E25:E26)</f>
        <v>0.45126353790613727</v>
      </c>
      <c r="N25" s="333">
        <f>F25/SUM(F25:F26)</f>
        <v>0.45126353790613727</v>
      </c>
      <c r="O25" s="333">
        <f>G25/SUM(G25:G26)</f>
        <v>0.45126353790613727</v>
      </c>
    </row>
    <row r="26" spans="2:17">
      <c r="B26" s="122" t="s">
        <v>1026</v>
      </c>
      <c r="C26" s="210" t="s">
        <v>1065</v>
      </c>
      <c r="D26" s="944">
        <f>D86*3.6</f>
        <v>0.41688000000000003</v>
      </c>
      <c r="E26" s="945">
        <f>E86*3.6</f>
        <v>0.32832</v>
      </c>
      <c r="F26" s="945">
        <f>F86*3.6</f>
        <v>0.32832</v>
      </c>
      <c r="G26" s="946">
        <f>G86*3.6</f>
        <v>0.32832</v>
      </c>
      <c r="H26" s="1658"/>
      <c r="I26" s="283" t="str">
        <f>CONCATENATE(Referencer!$B$40)</f>
        <v>34, JEC - Joint Research Centre-EUCAR-CONCAWE collaboration, Tank to Wheels Report, version 4.0, July 2013</v>
      </c>
      <c r="J26" s="178" t="s">
        <v>2676</v>
      </c>
    </row>
    <row r="27" spans="2:17">
      <c r="B27" s="310" t="s">
        <v>98</v>
      </c>
      <c r="C27" s="210" t="s">
        <v>259</v>
      </c>
      <c r="D27" s="888">
        <v>16.3</v>
      </c>
      <c r="E27" s="889">
        <v>16.3</v>
      </c>
      <c r="F27" s="889">
        <v>16.3</v>
      </c>
      <c r="G27" s="889">
        <v>16.3</v>
      </c>
      <c r="H27" s="212"/>
      <c r="I27" s="1442" t="str">
        <f>+Referencer!B12</f>
        <v>6, Nyt fra Danmarks Statistik, Motorparken 2010.</v>
      </c>
      <c r="J27" s="178"/>
    </row>
    <row r="28" spans="2:17">
      <c r="B28" s="310" t="s">
        <v>260</v>
      </c>
      <c r="C28" s="210" t="s">
        <v>261</v>
      </c>
      <c r="D28" s="890">
        <f>+D75</f>
        <v>8.0899189007633581</v>
      </c>
      <c r="E28" s="891">
        <f>+E75</f>
        <v>6.5123847151145027</v>
      </c>
      <c r="F28" s="891">
        <f>+F75</f>
        <v>6.5123847151145027</v>
      </c>
      <c r="G28" s="891">
        <f>+G75</f>
        <v>6.5123847151145027</v>
      </c>
      <c r="H28" s="1659"/>
      <c r="I28" s="283"/>
      <c r="J28" s="178"/>
    </row>
    <row r="29" spans="2:17">
      <c r="B29" s="192"/>
      <c r="C29" s="231"/>
      <c r="D29" s="888"/>
      <c r="E29" s="889"/>
      <c r="F29" s="889"/>
      <c r="G29" s="889"/>
      <c r="H29" s="90"/>
      <c r="I29" s="555"/>
      <c r="J29" s="178"/>
      <c r="N29" s="172">
        <v>2015</v>
      </c>
      <c r="O29" s="172">
        <v>2020</v>
      </c>
      <c r="P29" s="172">
        <v>2035</v>
      </c>
      <c r="Q29" s="172">
        <v>2050</v>
      </c>
    </row>
    <row r="30" spans="2:17">
      <c r="B30" s="216" t="s">
        <v>33</v>
      </c>
      <c r="C30" s="210"/>
      <c r="D30" s="888"/>
      <c r="E30" s="889"/>
      <c r="F30" s="889"/>
      <c r="G30" s="889"/>
      <c r="H30" s="90"/>
      <c r="I30" s="555"/>
      <c r="J30" s="178"/>
      <c r="M30" s="172" t="s">
        <v>522</v>
      </c>
      <c r="N30" s="292">
        <v>18600</v>
      </c>
      <c r="O30" s="292">
        <v>18600</v>
      </c>
      <c r="P30" s="292">
        <v>18600</v>
      </c>
      <c r="Q30" s="292">
        <v>18600</v>
      </c>
    </row>
    <row r="31" spans="2:17">
      <c r="B31" s="310" t="s">
        <v>157</v>
      </c>
      <c r="C31" s="210" t="s">
        <v>61</v>
      </c>
      <c r="D31" s="992">
        <f>HLOOKUP($H38,Supplementary!$C$44:$AF$46,3,FALSE)*D38</f>
        <v>162490.76894479032</v>
      </c>
      <c r="E31" s="992">
        <f>HLOOKUP($H38,Supplementary!$C$44:$AF$46,3,FALSE)*E38</f>
        <v>162490.74275902688</v>
      </c>
      <c r="F31" s="992">
        <f>HLOOKUP($H38,Supplementary!$C$44:$AF$46,3,FALSE)*F38</f>
        <v>162490.74275902688</v>
      </c>
      <c r="G31" s="992">
        <f>HLOOKUP($H38,Supplementary!$C$44:$AF$46,3,FALSE)*G38</f>
        <v>162490.74275902688</v>
      </c>
      <c r="H31" s="323">
        <f>priceYear</f>
        <v>2015</v>
      </c>
      <c r="I31" s="555"/>
      <c r="J31" s="178"/>
    </row>
    <row r="32" spans="2:17">
      <c r="B32" s="192" t="s">
        <v>262</v>
      </c>
      <c r="C32" s="210" t="s">
        <v>263</v>
      </c>
      <c r="D32" s="992">
        <f ca="1">HLOOKUP($H39,Supplementary!$C$44:$AF$46,3,FALSE)*D39</f>
        <v>3024.5704575500795</v>
      </c>
      <c r="E32" s="992">
        <f ca="1">HLOOKUP($H39,Supplementary!$C$44:$AF$46,3,FALSE)*E39</f>
        <v>3153.8334734962955</v>
      </c>
      <c r="F32" s="992">
        <f ca="1">HLOOKUP($H39,Supplementary!$C$44:$AF$46,3,FALSE)*F39</f>
        <v>2978.0290489001882</v>
      </c>
      <c r="G32" s="992">
        <f ca="1">HLOOKUP($H39,Supplementary!$C$44:$AF$46,3,FALSE)*G39</f>
        <v>2978.0290489001882</v>
      </c>
      <c r="H32" s="323">
        <f>priceYear</f>
        <v>2015</v>
      </c>
      <c r="I32" s="555"/>
      <c r="J32" s="178"/>
    </row>
    <row r="33" spans="2:17">
      <c r="B33" s="236" t="s">
        <v>162</v>
      </c>
      <c r="C33" s="210" t="s">
        <v>263</v>
      </c>
      <c r="D33" s="992">
        <f ca="1">HLOOKUP($H40,Supplementary!$C$44:$AF$46,3,FALSE)*D40</f>
        <v>1830.8056108765436</v>
      </c>
      <c r="E33" s="992">
        <f ca="1">HLOOKUP($H40,Supplementary!$C$44:$AF$46,3,FALSE)*E40</f>
        <v>2274.2923178111582</v>
      </c>
      <c r="F33" s="992">
        <f ca="1">HLOOKUP($H40,Supplementary!$C$44:$AF$46,3,FALSE)*F40</f>
        <v>2274.2923178111582</v>
      </c>
      <c r="G33" s="992">
        <f ca="1">HLOOKUP($H40,Supplementary!$C$44:$AF$46,3,FALSE)*G40</f>
        <v>2274.2923178111582</v>
      </c>
      <c r="H33" s="323">
        <f>priceYear</f>
        <v>2015</v>
      </c>
      <c r="I33" s="555"/>
      <c r="J33" s="178"/>
    </row>
    <row r="34" spans="2:17">
      <c r="B34" s="236" t="s">
        <v>163</v>
      </c>
      <c r="C34" s="210" t="s">
        <v>263</v>
      </c>
      <c r="D34" s="992">
        <f ca="1">HLOOKUP($H41,Supplementary!$C$44:$AF$46,3,FALSE)*D41</f>
        <v>1193.7648466735361</v>
      </c>
      <c r="E34" s="992">
        <f ca="1">HLOOKUP($H41,Supplementary!$C$44:$AF$46,3,FALSE)*E41</f>
        <v>879.5411556851376</v>
      </c>
      <c r="F34" s="992">
        <f ca="1">HLOOKUP($H41,Supplementary!$C$44:$AF$46,3,FALSE)*F41</f>
        <v>703.73673108902983</v>
      </c>
      <c r="G34" s="992">
        <f ca="1">HLOOKUP($H41,Supplementary!$C$44:$AF$46,3,FALSE)*G41</f>
        <v>703.73673108902983</v>
      </c>
      <c r="H34" s="323">
        <f>priceYear</f>
        <v>2015</v>
      </c>
      <c r="I34" s="555"/>
      <c r="J34" s="178"/>
    </row>
    <row r="35" spans="2:17">
      <c r="B35" s="236"/>
      <c r="C35" s="210"/>
      <c r="D35" s="992"/>
      <c r="E35" s="992"/>
      <c r="F35" s="992"/>
      <c r="G35" s="992"/>
      <c r="H35" s="323"/>
      <c r="I35" s="555"/>
      <c r="J35" s="178"/>
    </row>
    <row r="36" spans="2:17">
      <c r="B36" s="236" t="s">
        <v>264</v>
      </c>
      <c r="C36" s="210" t="s">
        <v>263</v>
      </c>
      <c r="D36" s="992">
        <f>HLOOKUP($H43,Supplementary!$C$44:$AF$46,3,FALSE)*D43</f>
        <v>0</v>
      </c>
      <c r="E36" s="992">
        <f>HLOOKUP($H43,Supplementary!$C$44:$AF$46,3,FALSE)*E43</f>
        <v>0</v>
      </c>
      <c r="F36" s="992">
        <f>HLOOKUP($H43,Supplementary!$C$44:$AF$46,3,FALSE)*F43</f>
        <v>0</v>
      </c>
      <c r="G36" s="992">
        <f>HLOOKUP($H43,Supplementary!$C$44:$AF$46,3,FALSE)*G43</f>
        <v>0</v>
      </c>
      <c r="H36" s="323">
        <f>priceYear</f>
        <v>2015</v>
      </c>
      <c r="I36" s="555"/>
      <c r="J36" s="178"/>
    </row>
    <row r="37" spans="2:17">
      <c r="B37" s="216"/>
      <c r="C37" s="210"/>
      <c r="D37" s="156"/>
      <c r="E37" s="90"/>
      <c r="F37" s="90"/>
      <c r="G37" s="90"/>
      <c r="H37" s="90"/>
      <c r="I37" s="555"/>
      <c r="J37" s="178"/>
    </row>
    <row r="38" spans="2:17">
      <c r="B38" s="310" t="s">
        <v>157</v>
      </c>
      <c r="C38" s="210" t="s">
        <v>61</v>
      </c>
      <c r="D38" s="892">
        <f>N43+D86</f>
        <v>152650.6158</v>
      </c>
      <c r="E38" s="893">
        <f>O43+E86</f>
        <v>152650.5912</v>
      </c>
      <c r="F38" s="893">
        <f>P43+F86</f>
        <v>152650.5912</v>
      </c>
      <c r="G38" s="893">
        <f>Q43+G86</f>
        <v>152650.5912</v>
      </c>
      <c r="H38" s="407">
        <v>2011</v>
      </c>
      <c r="I38" s="283" t="str">
        <f>CONCATENATE(Referencer!$B$11)</f>
        <v>5, Concawe (2011): Well-to-wheels analysis of future automotive fuels and power-trains in the European Context. November 2011.</v>
      </c>
      <c r="J38" s="178" t="s">
        <v>286</v>
      </c>
      <c r="M38" s="172" t="s">
        <v>523</v>
      </c>
      <c r="N38" s="292"/>
      <c r="O38" s="292">
        <f>-125*0</f>
        <v>0</v>
      </c>
      <c r="P38" s="292">
        <f>-125*0</f>
        <v>0</v>
      </c>
      <c r="Q38" s="292">
        <f>-125*0</f>
        <v>0</v>
      </c>
    </row>
    <row r="39" spans="2:17">
      <c r="B39" s="192" t="s">
        <v>262</v>
      </c>
      <c r="C39" s="210" t="s">
        <v>263</v>
      </c>
      <c r="D39" s="894">
        <f ca="1">+SUM(D40:D43)</f>
        <v>2841.4078281110269</v>
      </c>
      <c r="E39" s="895">
        <f ca="1">+SUM(E40:E43)</f>
        <v>2962.8429047771942</v>
      </c>
      <c r="F39" s="895">
        <f ca="1">+SUM(F40:F43)</f>
        <v>2797.6848847294291</v>
      </c>
      <c r="G39" s="895">
        <f ca="1">+SUM(G40:G43)</f>
        <v>2797.6848847294291</v>
      </c>
      <c r="H39" s="407">
        <v>2011</v>
      </c>
      <c r="I39" s="283"/>
      <c r="J39" s="178" t="s">
        <v>287</v>
      </c>
      <c r="M39" s="172" t="s">
        <v>524</v>
      </c>
      <c r="N39" s="292"/>
      <c r="O39" s="292">
        <f>-2310*0</f>
        <v>0</v>
      </c>
      <c r="P39" s="292">
        <f>-2310*0</f>
        <v>0</v>
      </c>
      <c r="Q39" s="292">
        <f>-2310*0</f>
        <v>0</v>
      </c>
    </row>
    <row r="40" spans="2:17">
      <c r="B40" s="236" t="s">
        <v>162</v>
      </c>
      <c r="C40" s="210" t="s">
        <v>263</v>
      </c>
      <c r="D40" s="894">
        <f ca="1">PMT(rSØK,D27,-D38)/D28</f>
        <v>1719.9352660172135</v>
      </c>
      <c r="E40" s="895">
        <f ca="1">PMT(rSØK,E27,-E38)/E28</f>
        <v>2136.5652035349876</v>
      </c>
      <c r="F40" s="895">
        <f ca="1">PMT(rSØK,F27,-F38)/F28</f>
        <v>2136.5652035349876</v>
      </c>
      <c r="G40" s="895">
        <f ca="1">PMT(rSØK,G27,-G38)/G28</f>
        <v>2136.5652035349876</v>
      </c>
      <c r="H40" s="407">
        <v>2011</v>
      </c>
      <c r="I40" s="283"/>
      <c r="J40" s="178"/>
      <c r="M40" s="172" t="s">
        <v>525</v>
      </c>
      <c r="N40" s="292">
        <f>27*N45</f>
        <v>1890</v>
      </c>
      <c r="O40" s="292">
        <f>27*O45</f>
        <v>1890</v>
      </c>
      <c r="P40" s="292">
        <f>27*P45</f>
        <v>1890</v>
      </c>
      <c r="Q40" s="292">
        <f>27*Q45</f>
        <v>1890</v>
      </c>
    </row>
    <row r="41" spans="2:17">
      <c r="B41" s="236" t="s">
        <v>163</v>
      </c>
      <c r="C41" s="210" t="s">
        <v>263</v>
      </c>
      <c r="D41" s="896">
        <f ca="1">+D76+D80</f>
        <v>1121.4725620938134</v>
      </c>
      <c r="E41" s="897">
        <f ca="1">+E76+E80</f>
        <v>826.27770124220683</v>
      </c>
      <c r="F41" s="897">
        <f ca="1">+F76+F80</f>
        <v>661.11968119444134</v>
      </c>
      <c r="G41" s="897">
        <f ca="1">+G76+G80</f>
        <v>661.11968119444134</v>
      </c>
      <c r="H41" s="407">
        <v>2011</v>
      </c>
      <c r="I41" s="283"/>
      <c r="J41" s="178"/>
      <c r="M41" s="172" t="s">
        <v>526</v>
      </c>
      <c r="N41" s="172">
        <f>SUM(N30:N40)</f>
        <v>20490</v>
      </c>
      <c r="O41" s="172">
        <f>SUM(O30:O40)</f>
        <v>20490</v>
      </c>
      <c r="P41" s="172">
        <f>SUM(P30:P40)</f>
        <v>20490</v>
      </c>
      <c r="Q41" s="172">
        <f>SUM(Q30:Q40)</f>
        <v>20490</v>
      </c>
    </row>
    <row r="42" spans="2:17">
      <c r="B42" s="236"/>
      <c r="C42" s="210"/>
      <c r="D42" s="888"/>
      <c r="E42" s="889"/>
      <c r="F42" s="889"/>
      <c r="G42" s="889"/>
      <c r="H42" s="407"/>
      <c r="I42" s="283"/>
      <c r="J42" s="178"/>
      <c r="M42" s="406"/>
    </row>
    <row r="43" spans="2:17">
      <c r="B43" s="236" t="s">
        <v>264</v>
      </c>
      <c r="C43" s="210" t="s">
        <v>263</v>
      </c>
      <c r="D43" s="888">
        <v>0</v>
      </c>
      <c r="E43" s="889">
        <v>0</v>
      </c>
      <c r="F43" s="889">
        <v>0</v>
      </c>
      <c r="G43" s="889">
        <v>0</v>
      </c>
      <c r="H43" s="407">
        <v>2011</v>
      </c>
      <c r="I43" s="283"/>
      <c r="J43" s="178"/>
      <c r="M43" s="172" t="s">
        <v>61</v>
      </c>
      <c r="N43" s="172">
        <f>N41*dkkPerEUR</f>
        <v>152650.5</v>
      </c>
      <c r="O43" s="172">
        <f>O41*dkkPerEUR</f>
        <v>152650.5</v>
      </c>
      <c r="P43" s="172">
        <f>P41*dkkPerEUR</f>
        <v>152650.5</v>
      </c>
      <c r="Q43" s="172">
        <f>Q41*dkkPerEUR</f>
        <v>152650.5</v>
      </c>
    </row>
    <row r="44" spans="2:17">
      <c r="B44" s="236"/>
      <c r="C44" s="210"/>
      <c r="D44" s="888"/>
      <c r="E44" s="889"/>
      <c r="F44" s="889"/>
      <c r="G44" s="889"/>
      <c r="H44" s="90"/>
      <c r="I44" s="283"/>
      <c r="J44" s="178"/>
      <c r="M44" s="172" t="str">
        <f>CONCATENATE("source: ",Referencer!B11)</f>
        <v>source: 5, Concawe (2011): Well-to-wheels analysis of future automotive fuels and power-trains in the European Context. November 2011.</v>
      </c>
    </row>
    <row r="45" spans="2:17">
      <c r="B45" s="216" t="s">
        <v>166</v>
      </c>
      <c r="C45" s="210"/>
      <c r="D45" s="888"/>
      <c r="E45" s="889"/>
      <c r="F45" s="889"/>
      <c r="G45" s="889"/>
      <c r="H45" s="252"/>
      <c r="I45" s="283"/>
      <c r="J45" s="178"/>
      <c r="M45" s="172" t="s">
        <v>666</v>
      </c>
      <c r="N45" s="172">
        <v>70</v>
      </c>
      <c r="O45" s="172">
        <v>70</v>
      </c>
      <c r="P45" s="172">
        <v>70</v>
      </c>
      <c r="Q45" s="172">
        <v>70</v>
      </c>
    </row>
    <row r="46" spans="2:17">
      <c r="B46" s="418" t="s">
        <v>0</v>
      </c>
      <c r="C46" s="210"/>
      <c r="D46" s="888"/>
      <c r="E46" s="889"/>
      <c r="F46" s="889"/>
      <c r="G46" s="889"/>
      <c r="H46" s="214"/>
      <c r="I46" s="283"/>
      <c r="J46" s="178"/>
    </row>
    <row r="47" spans="2:17">
      <c r="B47" s="192" t="s">
        <v>24</v>
      </c>
      <c r="C47" s="210" t="s">
        <v>288</v>
      </c>
      <c r="D47" s="898"/>
      <c r="E47" s="899"/>
      <c r="F47" s="899"/>
      <c r="G47" s="899"/>
      <c r="H47" s="214"/>
      <c r="I47" s="283"/>
      <c r="J47" s="278" t="s">
        <v>850</v>
      </c>
    </row>
    <row r="48" spans="2:17">
      <c r="B48" s="192" t="s">
        <v>27</v>
      </c>
      <c r="C48" s="210" t="s">
        <v>288</v>
      </c>
      <c r="D48" s="900">
        <f t="shared" ref="D48:G52" si="0">D95/D$25</f>
        <v>0</v>
      </c>
      <c r="E48" s="900">
        <f t="shared" si="0"/>
        <v>0</v>
      </c>
      <c r="F48" s="900">
        <f t="shared" si="0"/>
        <v>0</v>
      </c>
      <c r="G48" s="900">
        <f t="shared" si="0"/>
        <v>0</v>
      </c>
      <c r="H48" s="1660"/>
      <c r="I48" s="283"/>
      <c r="J48" s="178"/>
    </row>
    <row r="49" spans="2:13">
      <c r="B49" s="192" t="s">
        <v>28</v>
      </c>
      <c r="C49" s="210" t="s">
        <v>288</v>
      </c>
      <c r="D49" s="900">
        <f t="shared" si="0"/>
        <v>0</v>
      </c>
      <c r="E49" s="900">
        <f t="shared" si="0"/>
        <v>0</v>
      </c>
      <c r="F49" s="900">
        <f t="shared" si="0"/>
        <v>0</v>
      </c>
      <c r="G49" s="900">
        <f t="shared" si="0"/>
        <v>0</v>
      </c>
      <c r="H49" s="90"/>
      <c r="I49" s="283"/>
      <c r="J49" s="178"/>
    </row>
    <row r="50" spans="2:13">
      <c r="B50" s="192" t="s">
        <v>26</v>
      </c>
      <c r="C50" s="210" t="s">
        <v>288</v>
      </c>
      <c r="D50" s="900">
        <f t="shared" si="0"/>
        <v>0</v>
      </c>
      <c r="E50" s="900">
        <f t="shared" si="0"/>
        <v>0</v>
      </c>
      <c r="F50" s="900">
        <f t="shared" si="0"/>
        <v>0</v>
      </c>
      <c r="G50" s="900">
        <f t="shared" si="0"/>
        <v>0</v>
      </c>
      <c r="H50" s="212"/>
      <c r="I50" s="283"/>
      <c r="J50" s="178"/>
    </row>
    <row r="51" spans="2:13">
      <c r="B51" s="192" t="s">
        <v>167</v>
      </c>
      <c r="C51" s="210" t="s">
        <v>288</v>
      </c>
      <c r="D51" s="900">
        <f t="shared" si="0"/>
        <v>0</v>
      </c>
      <c r="E51" s="900">
        <f t="shared" si="0"/>
        <v>0</v>
      </c>
      <c r="F51" s="900">
        <f t="shared" si="0"/>
        <v>0</v>
      </c>
      <c r="G51" s="900">
        <f t="shared" si="0"/>
        <v>0</v>
      </c>
      <c r="H51" s="90"/>
      <c r="I51" s="283"/>
      <c r="J51" s="178"/>
    </row>
    <row r="52" spans="2:13">
      <c r="B52" s="192" t="s">
        <v>45</v>
      </c>
      <c r="C52" s="210" t="s">
        <v>288</v>
      </c>
      <c r="D52" s="900">
        <f t="shared" si="0"/>
        <v>0</v>
      </c>
      <c r="E52" s="900">
        <f t="shared" si="0"/>
        <v>0</v>
      </c>
      <c r="F52" s="900">
        <f t="shared" si="0"/>
        <v>0</v>
      </c>
      <c r="G52" s="900">
        <f t="shared" si="0"/>
        <v>0</v>
      </c>
      <c r="H52" s="90"/>
      <c r="I52" s="283"/>
      <c r="J52" s="178"/>
    </row>
    <row r="53" spans="2:13">
      <c r="B53" s="192"/>
      <c r="C53" s="210"/>
      <c r="D53" s="901"/>
      <c r="E53" s="902"/>
      <c r="F53" s="902"/>
      <c r="G53" s="902"/>
      <c r="H53" s="90"/>
      <c r="I53" s="283"/>
      <c r="J53" s="178"/>
    </row>
    <row r="54" spans="2:13">
      <c r="B54" s="418" t="s">
        <v>20</v>
      </c>
      <c r="C54" s="210"/>
      <c r="D54" s="888"/>
      <c r="E54" s="889"/>
      <c r="F54" s="889"/>
      <c r="G54" s="889"/>
      <c r="H54" s="1660"/>
      <c r="I54" s="283"/>
      <c r="J54" s="178"/>
    </row>
    <row r="55" spans="2:13">
      <c r="B55" s="192" t="s">
        <v>24</v>
      </c>
      <c r="C55" s="210" t="s">
        <v>288</v>
      </c>
      <c r="D55" s="898"/>
      <c r="E55" s="899"/>
      <c r="F55" s="899"/>
      <c r="G55" s="899"/>
      <c r="H55" s="1169"/>
      <c r="I55" s="283"/>
      <c r="J55" s="278" t="s">
        <v>850</v>
      </c>
    </row>
    <row r="56" spans="2:13">
      <c r="B56" s="192" t="s">
        <v>27</v>
      </c>
      <c r="C56" s="210" t="s">
        <v>288</v>
      </c>
      <c r="D56" s="903">
        <f t="shared" ref="D56:G60" si="1">D48</f>
        <v>0</v>
      </c>
      <c r="E56" s="903">
        <f t="shared" si="1"/>
        <v>0</v>
      </c>
      <c r="F56" s="903">
        <f t="shared" si="1"/>
        <v>0</v>
      </c>
      <c r="G56" s="903">
        <f t="shared" si="1"/>
        <v>0</v>
      </c>
      <c r="H56" s="1169"/>
      <c r="I56" s="283"/>
      <c r="J56" s="178"/>
      <c r="M56" s="333"/>
    </row>
    <row r="57" spans="2:13">
      <c r="B57" s="192" t="s">
        <v>28</v>
      </c>
      <c r="C57" s="210" t="s">
        <v>288</v>
      </c>
      <c r="D57" s="903">
        <f t="shared" si="1"/>
        <v>0</v>
      </c>
      <c r="E57" s="903">
        <f t="shared" si="1"/>
        <v>0</v>
      </c>
      <c r="F57" s="903">
        <f t="shared" si="1"/>
        <v>0</v>
      </c>
      <c r="G57" s="903">
        <f t="shared" si="1"/>
        <v>0</v>
      </c>
      <c r="H57" s="1169"/>
      <c r="I57" s="283"/>
      <c r="J57" s="178"/>
    </row>
    <row r="58" spans="2:13">
      <c r="B58" s="192" t="s">
        <v>26</v>
      </c>
      <c r="C58" s="210" t="s">
        <v>288</v>
      </c>
      <c r="D58" s="903">
        <f t="shared" si="1"/>
        <v>0</v>
      </c>
      <c r="E58" s="903">
        <f t="shared" si="1"/>
        <v>0</v>
      </c>
      <c r="F58" s="903">
        <f t="shared" si="1"/>
        <v>0</v>
      </c>
      <c r="G58" s="903">
        <f t="shared" si="1"/>
        <v>0</v>
      </c>
      <c r="H58" s="1169"/>
      <c r="I58" s="283"/>
      <c r="J58" s="178"/>
    </row>
    <row r="59" spans="2:13">
      <c r="B59" s="192" t="s">
        <v>167</v>
      </c>
      <c r="C59" s="210" t="s">
        <v>288</v>
      </c>
      <c r="D59" s="903">
        <f t="shared" si="1"/>
        <v>0</v>
      </c>
      <c r="E59" s="903">
        <f t="shared" si="1"/>
        <v>0</v>
      </c>
      <c r="F59" s="903">
        <f t="shared" si="1"/>
        <v>0</v>
      </c>
      <c r="G59" s="903">
        <f t="shared" si="1"/>
        <v>0</v>
      </c>
      <c r="H59" s="1169"/>
      <c r="I59" s="283"/>
      <c r="J59" s="178"/>
    </row>
    <row r="60" spans="2:13">
      <c r="B60" s="192" t="s">
        <v>45</v>
      </c>
      <c r="C60" s="210" t="s">
        <v>288</v>
      </c>
      <c r="D60" s="903">
        <f t="shared" si="1"/>
        <v>0</v>
      </c>
      <c r="E60" s="903">
        <f t="shared" si="1"/>
        <v>0</v>
      </c>
      <c r="F60" s="903">
        <f t="shared" si="1"/>
        <v>0</v>
      </c>
      <c r="G60" s="903">
        <f t="shared" si="1"/>
        <v>0</v>
      </c>
      <c r="H60" s="323"/>
      <c r="I60" s="283"/>
      <c r="J60" s="178"/>
    </row>
    <row r="61" spans="2:13" ht="13.5" thickBot="1">
      <c r="B61" s="313"/>
      <c r="C61" s="238"/>
      <c r="D61" s="314"/>
      <c r="E61" s="244"/>
      <c r="F61" s="244"/>
      <c r="G61" s="244"/>
      <c r="H61" s="1501"/>
      <c r="I61" s="1443"/>
      <c r="J61" s="183"/>
    </row>
    <row r="62" spans="2:13">
      <c r="H62" s="1447"/>
      <c r="I62" s="142"/>
    </row>
    <row r="63" spans="2:13">
      <c r="H63" s="1447"/>
      <c r="I63" s="142"/>
    </row>
    <row r="64" spans="2:13" ht="16.5" thickBot="1">
      <c r="B64" s="193" t="s">
        <v>168</v>
      </c>
      <c r="E64" s="878">
        <f>E67/$D67-1</f>
        <v>-0.19500000000000006</v>
      </c>
      <c r="F64" s="878">
        <f>F67/$D67-1</f>
        <v>-0.19500000000000006</v>
      </c>
      <c r="G64" s="878">
        <f>G67/$D67-1</f>
        <v>-0.19500000000000006</v>
      </c>
      <c r="H64" s="1447"/>
      <c r="I64" s="142"/>
    </row>
    <row r="65" spans="2:23">
      <c r="B65" s="219"/>
      <c r="C65" s="220"/>
      <c r="D65" s="221"/>
      <c r="E65" s="221"/>
      <c r="F65" s="221"/>
      <c r="G65" s="221"/>
      <c r="H65" s="962"/>
      <c r="I65" s="962" t="s">
        <v>145</v>
      </c>
      <c r="J65" s="222" t="s">
        <v>146</v>
      </c>
    </row>
    <row r="66" spans="2:23">
      <c r="B66" s="223"/>
      <c r="C66" s="224" t="s">
        <v>70</v>
      </c>
      <c r="D66" s="152">
        <v>2015</v>
      </c>
      <c r="E66" s="225">
        <v>2020</v>
      </c>
      <c r="F66" s="225">
        <v>2035</v>
      </c>
      <c r="G66" s="225"/>
      <c r="H66" s="556"/>
      <c r="I66" s="556"/>
      <c r="J66" s="227"/>
    </row>
    <row r="67" spans="2:23">
      <c r="B67" s="192" t="s">
        <v>266</v>
      </c>
      <c r="C67" s="241" t="s">
        <v>1027</v>
      </c>
      <c r="D67" s="947">
        <f>D68/D70*D69</f>
        <v>0.44943993893129769</v>
      </c>
      <c r="E67" s="947">
        <f>D67*(1-E71)</f>
        <v>0.36179915083969461</v>
      </c>
      <c r="F67" s="947">
        <f>E67</f>
        <v>0.36179915083969461</v>
      </c>
      <c r="G67" s="947">
        <f>F67</f>
        <v>0.36179915083969461</v>
      </c>
      <c r="H67" s="555"/>
      <c r="I67" s="555"/>
      <c r="J67" s="178"/>
      <c r="O67" s="172" t="s">
        <v>1039</v>
      </c>
      <c r="P67" s="172" t="s">
        <v>1040</v>
      </c>
      <c r="Q67" s="172" t="s">
        <v>1041</v>
      </c>
      <c r="R67" s="172" t="s">
        <v>1042</v>
      </c>
      <c r="S67" s="172" t="s">
        <v>1043</v>
      </c>
      <c r="T67" s="172" t="s">
        <v>1044</v>
      </c>
      <c r="U67" s="172" t="s">
        <v>1045</v>
      </c>
      <c r="V67" s="172" t="s">
        <v>1024</v>
      </c>
      <c r="W67" s="172" t="s">
        <v>1046</v>
      </c>
    </row>
    <row r="68" spans="2:23">
      <c r="B68" s="192" t="s">
        <v>1028</v>
      </c>
      <c r="C68" s="241" t="s">
        <v>1027</v>
      </c>
      <c r="D68" s="957">
        <f>'Std benzin motor'!D67</f>
        <v>0.38034000000000001</v>
      </c>
      <c r="E68" s="957"/>
      <c r="F68" s="957"/>
      <c r="G68" s="957"/>
      <c r="H68" s="1576"/>
      <c r="I68" s="283"/>
      <c r="J68" s="178"/>
      <c r="N68" s="172" t="s">
        <v>1047</v>
      </c>
      <c r="O68" s="904">
        <v>0</v>
      </c>
      <c r="P68" s="904">
        <v>15</v>
      </c>
      <c r="Q68" s="334">
        <f t="shared" ref="Q68:R70" si="2">$D$69*0.5*(O68*1000/3600)^2/1000000</f>
        <v>0</v>
      </c>
      <c r="R68" s="334">
        <f t="shared" si="2"/>
        <v>1.3437500000000002E-2</v>
      </c>
      <c r="S68" s="334">
        <f>R68-Q68</f>
        <v>1.3437500000000002E-2</v>
      </c>
    </row>
    <row r="69" spans="2:23">
      <c r="B69" s="192" t="s">
        <v>1029</v>
      </c>
      <c r="C69" s="241" t="s">
        <v>59</v>
      </c>
      <c r="D69" s="955">
        <v>1548</v>
      </c>
      <c r="E69" s="955">
        <v>1356</v>
      </c>
      <c r="F69" s="955"/>
      <c r="G69" s="955"/>
      <c r="H69" s="1576"/>
      <c r="I69" s="283" t="str">
        <f>CONCATENATE(Referencer!$B$40)</f>
        <v>34, JEC - Joint Research Centre-EUCAR-CONCAWE collaboration, Tank to Wheels Report, version 4.0, July 2013</v>
      </c>
      <c r="J69" s="178" t="s">
        <v>1030</v>
      </c>
      <c r="L69" s="878">
        <f>E69/D69-1</f>
        <v>-0.12403100775193798</v>
      </c>
      <c r="O69" s="904">
        <v>0</v>
      </c>
      <c r="P69" s="904">
        <v>32</v>
      </c>
      <c r="Q69" s="334">
        <f t="shared" si="2"/>
        <v>0</v>
      </c>
      <c r="R69" s="334">
        <f t="shared" si="2"/>
        <v>6.115555555555556E-2</v>
      </c>
      <c r="S69" s="334">
        <f t="shared" ref="S69:S75" si="3">R69-Q69</f>
        <v>6.115555555555556E-2</v>
      </c>
    </row>
    <row r="70" spans="2:23">
      <c r="B70" s="192" t="s">
        <v>1031</v>
      </c>
      <c r="C70" s="241" t="s">
        <v>59</v>
      </c>
      <c r="D70" s="956">
        <f>'Std benzin motor'!D68</f>
        <v>1310</v>
      </c>
      <c r="E70" s="956"/>
      <c r="F70" s="956"/>
      <c r="G70" s="956"/>
      <c r="H70" s="555"/>
      <c r="I70" s="555"/>
      <c r="J70" s="178"/>
      <c r="O70" s="904">
        <v>0</v>
      </c>
      <c r="P70" s="904">
        <v>50</v>
      </c>
      <c r="Q70" s="334">
        <f t="shared" si="2"/>
        <v>0</v>
      </c>
      <c r="R70" s="334">
        <f t="shared" si="2"/>
        <v>0.14930555555555555</v>
      </c>
      <c r="S70" s="334">
        <f t="shared" si="3"/>
        <v>0.14930555555555555</v>
      </c>
    </row>
    <row r="71" spans="2:23">
      <c r="B71" s="192" t="s">
        <v>1067</v>
      </c>
      <c r="C71" s="241" t="s">
        <v>29</v>
      </c>
      <c r="D71" s="905"/>
      <c r="E71" s="954">
        <v>0.19500000000000001</v>
      </c>
      <c r="F71" s="876"/>
      <c r="G71" s="876"/>
      <c r="H71" s="1576"/>
      <c r="I71" s="283" t="str">
        <f>CONCATENATE(Referencer!$B$40)</f>
        <v>34, JEC - Joint Research Centre-EUCAR-CONCAWE collaboration, Tank to Wheels Report, version 4.0, July 2013</v>
      </c>
      <c r="J71" s="178" t="s">
        <v>1069</v>
      </c>
      <c r="N71" s="333"/>
      <c r="Q71" s="334"/>
      <c r="R71" s="334"/>
      <c r="S71" s="334"/>
      <c r="T71" s="906">
        <v>1.0169999999999999</v>
      </c>
    </row>
    <row r="72" spans="2:23">
      <c r="B72" s="192" t="s">
        <v>268</v>
      </c>
      <c r="C72" s="241" t="s">
        <v>269</v>
      </c>
      <c r="D72" s="930">
        <v>18000</v>
      </c>
      <c r="E72" s="930">
        <v>18000</v>
      </c>
      <c r="F72" s="930">
        <v>18000</v>
      </c>
      <c r="G72" s="930">
        <v>18000</v>
      </c>
      <c r="H72" s="555"/>
      <c r="I72" s="555"/>
      <c r="J72" s="178"/>
      <c r="N72" s="878" t="s">
        <v>1048</v>
      </c>
      <c r="O72" s="904">
        <v>0</v>
      </c>
      <c r="P72" s="904">
        <v>70</v>
      </c>
      <c r="Q72" s="334">
        <f t="shared" ref="Q72:R75" si="4">$D$69*0.5*(O72*1000/3600)^2/1000000</f>
        <v>0</v>
      </c>
      <c r="R72" s="334">
        <f t="shared" si="4"/>
        <v>0.29263888888888889</v>
      </c>
      <c r="S72" s="334">
        <f t="shared" si="3"/>
        <v>0.29263888888888889</v>
      </c>
      <c r="T72" s="333"/>
    </row>
    <row r="73" spans="2:23">
      <c r="B73" s="192"/>
      <c r="C73" s="241"/>
      <c r="D73" s="90"/>
      <c r="E73" s="90"/>
      <c r="F73" s="90"/>
      <c r="G73" s="90"/>
      <c r="H73" s="555"/>
      <c r="I73" s="555"/>
      <c r="J73" s="178"/>
      <c r="O73" s="904">
        <v>50</v>
      </c>
      <c r="P73" s="904">
        <v>70</v>
      </c>
      <c r="Q73" s="334">
        <f t="shared" si="4"/>
        <v>0.14930555555555555</v>
      </c>
      <c r="R73" s="334">
        <f t="shared" si="4"/>
        <v>0.29263888888888889</v>
      </c>
      <c r="S73" s="334">
        <f t="shared" si="3"/>
        <v>0.14333333333333334</v>
      </c>
      <c r="T73" s="333"/>
    </row>
    <row r="74" spans="2:23">
      <c r="B74" s="192" t="s">
        <v>510</v>
      </c>
      <c r="C74" s="241" t="s">
        <v>29</v>
      </c>
      <c r="D74" s="877"/>
      <c r="E74" s="877"/>
      <c r="F74" s="877"/>
      <c r="G74" s="877"/>
      <c r="H74" s="555"/>
      <c r="I74" s="555"/>
      <c r="J74" s="178"/>
      <c r="O74" s="904">
        <v>70</v>
      </c>
      <c r="P74" s="904">
        <v>100</v>
      </c>
      <c r="Q74" s="334">
        <f t="shared" si="4"/>
        <v>0.29263888888888889</v>
      </c>
      <c r="R74" s="334">
        <f t="shared" si="4"/>
        <v>0.59722222222222221</v>
      </c>
      <c r="S74" s="334">
        <f t="shared" si="3"/>
        <v>0.30458333333333332</v>
      </c>
      <c r="T74" s="333"/>
    </row>
    <row r="75" spans="2:23">
      <c r="B75" s="192" t="s">
        <v>260</v>
      </c>
      <c r="C75" s="241" t="s">
        <v>261</v>
      </c>
      <c r="D75" s="455">
        <f>+D67*D72/1000</f>
        <v>8.0899189007633581</v>
      </c>
      <c r="E75" s="455">
        <f>+E67*E72/1000</f>
        <v>6.5123847151145027</v>
      </c>
      <c r="F75" s="455">
        <f>+F67*F72/1000</f>
        <v>6.5123847151145027</v>
      </c>
      <c r="G75" s="455">
        <f>+G67*G72/1000</f>
        <v>6.5123847151145027</v>
      </c>
      <c r="H75" s="555"/>
      <c r="I75" s="555"/>
      <c r="J75" s="178" t="s">
        <v>270</v>
      </c>
      <c r="O75" s="904">
        <v>100</v>
      </c>
      <c r="P75" s="904">
        <v>120</v>
      </c>
      <c r="Q75" s="334">
        <f t="shared" si="4"/>
        <v>0.59722222222222221</v>
      </c>
      <c r="R75" s="334">
        <f t="shared" si="4"/>
        <v>0.8600000000000001</v>
      </c>
      <c r="S75" s="334">
        <f t="shared" si="3"/>
        <v>0.26277777777777789</v>
      </c>
      <c r="T75" s="333"/>
    </row>
    <row r="76" spans="2:23">
      <c r="B76" s="192" t="s">
        <v>271</v>
      </c>
      <c r="C76" s="241" t="s">
        <v>263</v>
      </c>
      <c r="D76" s="405">
        <f>D77*1000/D67</f>
        <v>366.01108568846121</v>
      </c>
      <c r="E76" s="405">
        <f>E77*1000/E67</f>
        <v>454.67215613473445</v>
      </c>
      <c r="F76" s="405">
        <f>F77*1000/F67</f>
        <v>454.67215613473445</v>
      </c>
      <c r="G76" s="405">
        <f>G77*1000/G67</f>
        <v>454.67215613473445</v>
      </c>
      <c r="H76" s="555"/>
      <c r="I76" s="555"/>
      <c r="J76" s="278" t="s">
        <v>2677</v>
      </c>
      <c r="Q76" s="334"/>
      <c r="R76" s="334"/>
      <c r="S76" s="334"/>
      <c r="T76" s="906">
        <v>6.9560000000000004</v>
      </c>
    </row>
    <row r="77" spans="2:23">
      <c r="B77" s="192" t="s">
        <v>271</v>
      </c>
      <c r="C77" s="241" t="s">
        <v>55</v>
      </c>
      <c r="D77" s="405">
        <f>D78*D79</f>
        <v>0.16449999999999998</v>
      </c>
      <c r="E77" s="405">
        <f>E78*E79</f>
        <v>0.16449999999999998</v>
      </c>
      <c r="F77" s="405">
        <f>F78*F79</f>
        <v>0.16449999999999998</v>
      </c>
      <c r="G77" s="405">
        <f>G78*G79</f>
        <v>0.16449999999999998</v>
      </c>
      <c r="H77" s="555"/>
      <c r="I77" s="555"/>
      <c r="J77" s="278"/>
      <c r="Q77" s="334"/>
      <c r="R77" s="334"/>
      <c r="S77" s="334"/>
      <c r="T77" s="906"/>
    </row>
    <row r="78" spans="2:23">
      <c r="B78" s="192" t="s">
        <v>271</v>
      </c>
      <c r="C78" s="241" t="s">
        <v>2028</v>
      </c>
      <c r="D78" s="1633">
        <v>0.47</v>
      </c>
      <c r="E78" s="1633">
        <v>0.47</v>
      </c>
      <c r="F78" s="1633">
        <v>0.47</v>
      </c>
      <c r="G78" s="1633">
        <v>0.47</v>
      </c>
      <c r="H78" s="555"/>
      <c r="I78" s="555" t="s">
        <v>2029</v>
      </c>
      <c r="J78" s="278" t="s">
        <v>2030</v>
      </c>
      <c r="Q78" s="334"/>
      <c r="R78" s="334"/>
      <c r="S78" s="334"/>
      <c r="T78" s="906"/>
    </row>
    <row r="79" spans="2:23">
      <c r="B79" s="192" t="s">
        <v>2027</v>
      </c>
      <c r="C79" s="241" t="s">
        <v>55</v>
      </c>
      <c r="D79" s="1637">
        <f>'Std benzin motor'!D75</f>
        <v>0.35</v>
      </c>
      <c r="E79" s="1637">
        <f>'Std benzin motor'!E75</f>
        <v>0.35</v>
      </c>
      <c r="F79" s="1637">
        <f>'Std benzin motor'!F75</f>
        <v>0.35</v>
      </c>
      <c r="G79" s="1637">
        <f>'Std benzin motor'!G75</f>
        <v>0.35</v>
      </c>
      <c r="H79" s="555"/>
      <c r="I79" s="555"/>
      <c r="J79" s="278"/>
      <c r="Q79" s="334"/>
      <c r="R79" s="334"/>
      <c r="S79" s="334"/>
      <c r="T79" s="906"/>
    </row>
    <row r="80" spans="2:23">
      <c r="B80" s="192" t="s">
        <v>289</v>
      </c>
      <c r="C80" s="241" t="s">
        <v>263</v>
      </c>
      <c r="D80" s="405">
        <f ca="1">+D81/D28</f>
        <v>755.46147640535207</v>
      </c>
      <c r="E80" s="405">
        <f ca="1">+E81/E28</f>
        <v>371.60554510747244</v>
      </c>
      <c r="F80" s="405">
        <f ca="1">+F81/F28</f>
        <v>206.44752505970689</v>
      </c>
      <c r="G80" s="405">
        <f ca="1">+G81/G28</f>
        <v>206.44752505970689</v>
      </c>
      <c r="H80" s="555"/>
      <c r="I80" s="555"/>
      <c r="J80" s="178"/>
      <c r="N80" s="172" t="s">
        <v>983</v>
      </c>
      <c r="Q80" s="334"/>
      <c r="R80" s="334"/>
      <c r="S80" s="334">
        <f>SUM(S68:S70)*4+SUM(S72:S75)</f>
        <v>1.8989277777777778</v>
      </c>
      <c r="T80" s="333">
        <f>T71*4+T76</f>
        <v>11.024000000000001</v>
      </c>
      <c r="U80" s="334">
        <f>S80/T80</f>
        <v>0.17225397113368809</v>
      </c>
      <c r="V80" s="334">
        <f>SUM(D25:D26)</f>
        <v>0.76588000000000001</v>
      </c>
      <c r="W80" s="878">
        <f>U80/V80</f>
        <v>0.2249098698669349</v>
      </c>
    </row>
    <row r="81" spans="2:10">
      <c r="B81" s="192" t="s">
        <v>289</v>
      </c>
      <c r="C81" s="241" t="s">
        <v>71</v>
      </c>
      <c r="D81" s="283">
        <f ca="1">-PMT(rSØK,D27,D82)</f>
        <v>6111.6220767702498</v>
      </c>
      <c r="E81" s="283">
        <f ca="1">-PMT(rSØK,E27,E82)</f>
        <v>2420.0382720096964</v>
      </c>
      <c r="F81" s="283">
        <f ca="1">-PMT(rSØK,F27,F82)</f>
        <v>1344.4657066720533</v>
      </c>
      <c r="G81" s="283">
        <f ca="1">-PMT(rSØK,G27,G82)</f>
        <v>1344.4657066720533</v>
      </c>
      <c r="H81" s="555"/>
      <c r="I81" s="555"/>
      <c r="J81" s="178"/>
    </row>
    <row r="82" spans="2:10">
      <c r="B82" s="192" t="s">
        <v>289</v>
      </c>
      <c r="C82" s="241" t="s">
        <v>61</v>
      </c>
      <c r="D82" s="439">
        <f>D83*D84</f>
        <v>67050</v>
      </c>
      <c r="E82" s="439">
        <f>E83*E84</f>
        <v>26550</v>
      </c>
      <c r="F82" s="439">
        <f>F83*F84</f>
        <v>14750</v>
      </c>
      <c r="G82" s="439">
        <f>G83*G84</f>
        <v>14750</v>
      </c>
      <c r="H82" s="555"/>
      <c r="I82" s="555"/>
      <c r="J82" s="178"/>
    </row>
    <row r="83" spans="2:10">
      <c r="B83" s="192" t="s">
        <v>869</v>
      </c>
      <c r="C83" s="241" t="s">
        <v>616</v>
      </c>
      <c r="D83" s="436">
        <f>Elmotor!D83</f>
        <v>4500</v>
      </c>
      <c r="E83" s="436">
        <f>Elmotor!E83</f>
        <v>2250</v>
      </c>
      <c r="F83" s="436">
        <f>Elmotor!F83</f>
        <v>1250</v>
      </c>
      <c r="G83" s="436">
        <f>Elmotor!G83</f>
        <v>1250</v>
      </c>
      <c r="H83" s="1576"/>
      <c r="I83" s="283"/>
      <c r="J83" s="229" t="s">
        <v>1059</v>
      </c>
    </row>
    <row r="84" spans="2:10">
      <c r="B84" s="192" t="s">
        <v>870</v>
      </c>
      <c r="C84" s="241" t="s">
        <v>871</v>
      </c>
      <c r="D84" s="352">
        <v>14.9</v>
      </c>
      <c r="E84" s="352">
        <v>11.8</v>
      </c>
      <c r="F84" s="352">
        <v>11.8</v>
      </c>
      <c r="G84" s="352">
        <v>11.8</v>
      </c>
      <c r="H84" s="1576"/>
      <c r="I84" s="283" t="str">
        <f>CONCATENATE(Referencer!$B$40)</f>
        <v>34, JEC - Joint Research Centre-EUCAR-CONCAWE collaboration, Tank to Wheels Report, version 4.0, July 2013</v>
      </c>
      <c r="J84" s="178" t="s">
        <v>2678</v>
      </c>
    </row>
    <row r="85" spans="2:10">
      <c r="B85" s="192"/>
      <c r="C85" s="241"/>
      <c r="D85" s="352"/>
      <c r="E85" s="352"/>
      <c r="F85" s="352"/>
      <c r="G85" s="352"/>
      <c r="H85" s="1576"/>
      <c r="I85" s="283"/>
      <c r="J85" s="178"/>
    </row>
    <row r="86" spans="2:10">
      <c r="B86" s="192" t="s">
        <v>1032</v>
      </c>
      <c r="C86" s="241" t="s">
        <v>1033</v>
      </c>
      <c r="D86" s="442">
        <v>0.1158</v>
      </c>
      <c r="E86" s="442">
        <v>9.1200000000000003E-2</v>
      </c>
      <c r="F86" s="442">
        <v>9.1200000000000003E-2</v>
      </c>
      <c r="G86" s="442">
        <v>9.1200000000000003E-2</v>
      </c>
      <c r="H86" s="1576"/>
      <c r="I86" s="283" t="str">
        <f>CONCATENATE(Referencer!$B$40)</f>
        <v>34, JEC - Joint Research Centre-EUCAR-CONCAWE collaboration, Tank to Wheels Report, version 4.0, July 2013</v>
      </c>
      <c r="J86" s="178" t="s">
        <v>2676</v>
      </c>
    </row>
    <row r="87" spans="2:10">
      <c r="B87" s="192" t="s">
        <v>1034</v>
      </c>
      <c r="C87" s="241" t="s">
        <v>267</v>
      </c>
      <c r="D87" s="442">
        <v>0.34899999999999998</v>
      </c>
      <c r="E87" s="442">
        <v>0.27</v>
      </c>
      <c r="F87" s="442">
        <v>0.27</v>
      </c>
      <c r="G87" s="442">
        <v>0.27</v>
      </c>
      <c r="H87" s="1576"/>
      <c r="I87" s="283" t="str">
        <f>CONCATENATE(Referencer!$B$40)</f>
        <v>34, JEC - Joint Research Centre-EUCAR-CONCAWE collaboration, Tank to Wheels Report, version 4.0, July 2013</v>
      </c>
      <c r="J87" s="178" t="s">
        <v>2676</v>
      </c>
    </row>
    <row r="88" spans="2:10">
      <c r="B88" s="192"/>
      <c r="C88" s="241"/>
      <c r="D88" s="352"/>
      <c r="E88" s="352"/>
      <c r="F88" s="352"/>
      <c r="G88" s="352"/>
      <c r="H88" s="1576"/>
      <c r="I88" s="283"/>
      <c r="J88" s="178"/>
    </row>
    <row r="89" spans="2:10" ht="13.5" thickBot="1">
      <c r="B89" s="181"/>
      <c r="C89" s="243"/>
      <c r="D89" s="282"/>
      <c r="E89" s="282"/>
      <c r="F89" s="282"/>
      <c r="G89" s="282"/>
      <c r="H89" s="1502"/>
      <c r="I89" s="315"/>
      <c r="J89" s="183"/>
    </row>
    <row r="90" spans="2:10">
      <c r="D90" s="140"/>
      <c r="E90" s="878">
        <f t="shared" ref="E90:G91" si="5">E86/$D86-1</f>
        <v>-0.21243523316062174</v>
      </c>
      <c r="F90" s="878">
        <f t="shared" si="5"/>
        <v>-0.21243523316062174</v>
      </c>
      <c r="G90" s="878">
        <f t="shared" si="5"/>
        <v>-0.21243523316062174</v>
      </c>
      <c r="H90" s="1447"/>
    </row>
    <row r="91" spans="2:10" ht="16.5" thickBot="1">
      <c r="B91" s="193" t="s">
        <v>172</v>
      </c>
      <c r="E91" s="878">
        <f t="shared" si="5"/>
        <v>-0.22636103151862452</v>
      </c>
      <c r="F91" s="878">
        <f t="shared" si="5"/>
        <v>-0.22636103151862452</v>
      </c>
      <c r="G91" s="878">
        <f t="shared" si="5"/>
        <v>-0.22636103151862452</v>
      </c>
      <c r="H91" s="1447"/>
    </row>
    <row r="92" spans="2:10">
      <c r="B92" s="219" t="s">
        <v>273</v>
      </c>
      <c r="C92" s="221"/>
      <c r="D92" s="907"/>
      <c r="E92" s="194"/>
      <c r="F92" s="194"/>
      <c r="G92" s="194"/>
      <c r="H92" s="1583"/>
      <c r="I92" s="879"/>
      <c r="J92" s="222"/>
    </row>
    <row r="93" spans="2:10">
      <c r="B93" s="192"/>
      <c r="C93" s="455"/>
      <c r="D93" s="455"/>
      <c r="E93" s="455"/>
      <c r="F93" s="455"/>
      <c r="G93" s="455"/>
      <c r="H93" s="1471"/>
      <c r="I93" s="455"/>
      <c r="J93" s="178"/>
    </row>
    <row r="94" spans="2:10">
      <c r="B94" s="192" t="s">
        <v>24</v>
      </c>
      <c r="C94" s="455" t="s">
        <v>7</v>
      </c>
      <c r="D94" s="198">
        <v>0</v>
      </c>
      <c r="E94" s="198">
        <v>0</v>
      </c>
      <c r="F94" s="198">
        <v>0</v>
      </c>
      <c r="G94" s="198"/>
      <c r="H94" s="1471"/>
      <c r="I94" s="455"/>
      <c r="J94" s="178"/>
    </row>
    <row r="95" spans="2:10">
      <c r="B95" s="192" t="s">
        <v>27</v>
      </c>
      <c r="C95" s="455" t="s">
        <v>7</v>
      </c>
      <c r="D95" s="198">
        <v>0</v>
      </c>
      <c r="E95" s="198">
        <v>0</v>
      </c>
      <c r="F95" s="198">
        <v>0</v>
      </c>
      <c r="G95" s="198"/>
      <c r="H95" s="1471"/>
      <c r="I95" s="455"/>
      <c r="J95" s="178"/>
    </row>
    <row r="96" spans="2:10">
      <c r="B96" s="192" t="s">
        <v>28</v>
      </c>
      <c r="C96" s="455" t="s">
        <v>7</v>
      </c>
      <c r="D96" s="198">
        <v>0</v>
      </c>
      <c r="E96" s="198">
        <v>0</v>
      </c>
      <c r="F96" s="198">
        <v>0</v>
      </c>
      <c r="G96" s="198"/>
      <c r="H96" s="1471"/>
      <c r="I96" s="455"/>
      <c r="J96" s="178"/>
    </row>
    <row r="97" spans="2:10">
      <c r="B97" s="192" t="s">
        <v>26</v>
      </c>
      <c r="C97" s="455" t="s">
        <v>7</v>
      </c>
      <c r="D97" s="198">
        <v>0</v>
      </c>
      <c r="E97" s="198">
        <v>0</v>
      </c>
      <c r="F97" s="198">
        <v>0</v>
      </c>
      <c r="G97" s="198"/>
      <c r="H97" s="1471"/>
      <c r="I97" s="455"/>
      <c r="J97" s="178"/>
    </row>
    <row r="98" spans="2:10">
      <c r="B98" s="192" t="s">
        <v>167</v>
      </c>
      <c r="C98" s="455" t="s">
        <v>7</v>
      </c>
      <c r="D98" s="198">
        <v>0</v>
      </c>
      <c r="E98" s="198">
        <v>0</v>
      </c>
      <c r="F98" s="198">
        <v>0</v>
      </c>
      <c r="G98" s="198"/>
      <c r="H98" s="1471"/>
      <c r="I98" s="455"/>
      <c r="J98" s="178"/>
    </row>
    <row r="99" spans="2:10">
      <c r="B99" s="192" t="s">
        <v>45</v>
      </c>
      <c r="C99" s="455" t="s">
        <v>7</v>
      </c>
      <c r="D99" s="198">
        <v>0</v>
      </c>
      <c r="E99" s="198">
        <v>0</v>
      </c>
      <c r="F99" s="198">
        <v>0</v>
      </c>
      <c r="G99" s="198"/>
      <c r="H99" s="1471"/>
      <c r="I99" s="455"/>
      <c r="J99" s="178"/>
    </row>
    <row r="100" spans="2:10" ht="13.5" thickBot="1">
      <c r="B100" s="181"/>
      <c r="C100" s="244"/>
      <c r="D100" s="244"/>
      <c r="E100" s="244"/>
      <c r="F100" s="244"/>
      <c r="G100" s="244"/>
      <c r="H100" s="1501"/>
      <c r="I100" s="244"/>
      <c r="J100" s="183"/>
    </row>
    <row r="101" spans="2:10">
      <c r="H101" s="1447"/>
    </row>
    <row r="102" spans="2:10">
      <c r="H102" s="1447"/>
    </row>
  </sheetData>
  <pageMargins left="0.15748031496062992" right="0.15748031496062992" top="1.25" bottom="0.19685039370078741" header="0.51181102362204722" footer="0.51181102362204722"/>
  <pageSetup paperSize="9" scale="60" orientation="landscape" r:id="rId1"/>
  <headerFooter alignWithMargins="0">
    <oddHeader>&amp;L&amp;"Arial"&amp;14&amp;BBeregningsmodel
&amp;"Arial"&amp;08&amp;B64329, Teknologivurdering af alternative drivmidler til transportsektoren&amp;R&amp;"Arial"&amp;08Page &amp;P of &amp;N</oddHeader>
    <oddFooter>&amp;L&amp;"Arial"&amp;08&amp;Z&amp;F
Sheet: &amp;A&amp;C&amp;"Arial"&amp;08Printed &amp;D &amp;T&amp;R&amp;G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72737" r:id="rId5" name="Button 1">
              <controlPr defaultSize="0" print="0" autoFill="0" autoPict="0" macro="[0]!GtOver">
                <anchor>
                  <from>
                    <xdr:col>7</xdr:col>
                    <xdr:colOff>790575</xdr:colOff>
                    <xdr:row>0</xdr:row>
                    <xdr:rowOff>38100</xdr:rowOff>
                  </from>
                  <to>
                    <xdr:col>9</xdr:col>
                    <xdr:colOff>333375</xdr:colOff>
                    <xdr:row>0</xdr:row>
                    <xdr:rowOff>238125</xdr:rowOff>
                  </to>
                </anchor>
              </controlPr>
            </control>
          </mc:Choice>
        </mc:AlternateContent>
        <mc:AlternateContent xmlns:mc="http://schemas.openxmlformats.org/markup-compatibility/2006">
          <mc:Choice Requires="x14">
            <control shapeId="372738" r:id="rId6" name="Button 2">
              <controlPr defaultSize="0" print="0" autoFill="0" autoPict="0" macro="[0]!GtRes">
                <anchor>
                  <from>
                    <xdr:col>9</xdr:col>
                    <xdr:colOff>495300</xdr:colOff>
                    <xdr:row>0</xdr:row>
                    <xdr:rowOff>38100</xdr:rowOff>
                  </from>
                  <to>
                    <xdr:col>9</xdr:col>
                    <xdr:colOff>1562100</xdr:colOff>
                    <xdr:row>0</xdr:row>
                    <xdr:rowOff>238125</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rgb="FF002060"/>
    <pageSetUpPr fitToPage="1"/>
  </sheetPr>
  <dimension ref="B1:S99"/>
  <sheetViews>
    <sheetView topLeftCell="A10" zoomScale="85" zoomScaleNormal="85" workbookViewId="0">
      <selection activeCell="E71" sqref="E71"/>
    </sheetView>
  </sheetViews>
  <sheetFormatPr defaultColWidth="8.85546875" defaultRowHeight="12.75"/>
  <cols>
    <col min="1" max="1" width="2.85546875" style="120" customWidth="1"/>
    <col min="2" max="2" width="35" style="120" customWidth="1"/>
    <col min="3" max="3" width="18" style="120" customWidth="1"/>
    <col min="4" max="6" width="15.85546875" style="120" customWidth="1"/>
    <col min="7" max="7" width="15.85546875" style="172" customWidth="1"/>
    <col min="8" max="8" width="7.140625" style="120" customWidth="1"/>
    <col min="9" max="10" width="10.7109375" style="120" customWidth="1"/>
    <col min="11" max="11" width="9.140625" style="120" customWidth="1"/>
    <col min="12" max="12" width="30.7109375" style="120" customWidth="1"/>
    <col min="13" max="13" width="8.85546875" style="120"/>
    <col min="14" max="14" width="37.85546875" style="120" customWidth="1"/>
    <col min="15" max="17" width="8.85546875" style="120"/>
    <col min="18" max="18" width="9.140625" style="120" customWidth="1"/>
    <col min="19" max="16384" width="8.85546875" style="120"/>
  </cols>
  <sheetData>
    <row r="1" spans="2:18" s="2403" customFormat="1" ht="21">
      <c r="B1" s="2403" t="s">
        <v>276</v>
      </c>
      <c r="Q1" s="2405">
        <f ca="1">'Log2015'!M1</f>
        <v>-8.0112614142160741</v>
      </c>
      <c r="R1" s="2406">
        <f ca="1">'Log2015'!N1</f>
        <v>-160807.124977848</v>
      </c>
    </row>
    <row r="2" spans="2:18">
      <c r="Q2" s="626">
        <f ca="1">Q1</f>
        <v>-8.0112614142160741</v>
      </c>
      <c r="R2" s="626">
        <f ca="1">R1</f>
        <v>-160807.124977848</v>
      </c>
    </row>
    <row r="4" spans="2:18" ht="13.5" thickBot="1">
      <c r="B4" s="119" t="s">
        <v>81</v>
      </c>
    </row>
    <row r="5" spans="2:18">
      <c r="B5" s="100" t="s">
        <v>137</v>
      </c>
      <c r="C5" s="64"/>
      <c r="D5" s="64"/>
      <c r="E5" s="64"/>
      <c r="F5" s="64"/>
      <c r="G5" s="221"/>
      <c r="H5" s="64"/>
      <c r="I5" s="64"/>
      <c r="J5" s="64"/>
      <c r="K5" s="64"/>
      <c r="L5" s="64"/>
      <c r="M5" s="72"/>
    </row>
    <row r="6" spans="2:18">
      <c r="B6" s="82" t="s">
        <v>277</v>
      </c>
      <c r="C6" s="65"/>
      <c r="D6" s="65"/>
      <c r="E6" s="65"/>
      <c r="F6" s="65"/>
      <c r="G6" s="455"/>
      <c r="H6" s="65"/>
      <c r="I6" s="65"/>
      <c r="J6" s="65"/>
      <c r="K6" s="65"/>
      <c r="L6" s="65"/>
      <c r="M6" s="59"/>
    </row>
    <row r="7" spans="2:18">
      <c r="B7" s="82" t="s">
        <v>278</v>
      </c>
      <c r="C7" s="65"/>
      <c r="D7" s="65"/>
      <c r="E7" s="65"/>
      <c r="F7" s="65"/>
      <c r="G7" s="455"/>
      <c r="H7" s="65"/>
      <c r="I7" s="65"/>
      <c r="J7" s="65"/>
      <c r="K7" s="65"/>
      <c r="L7" s="65"/>
      <c r="M7" s="59"/>
    </row>
    <row r="8" spans="2:18">
      <c r="B8" s="82" t="s">
        <v>279</v>
      </c>
      <c r="C8" s="65"/>
      <c r="D8" s="65"/>
      <c r="E8" s="65"/>
      <c r="F8" s="65"/>
      <c r="G8" s="455"/>
      <c r="H8" s="65"/>
      <c r="I8" s="65"/>
      <c r="J8" s="65"/>
      <c r="K8" s="65"/>
      <c r="L8" s="65"/>
      <c r="M8" s="59"/>
    </row>
    <row r="9" spans="2:18">
      <c r="B9" s="82" t="s">
        <v>280</v>
      </c>
      <c r="C9" s="65"/>
      <c r="D9" s="65"/>
      <c r="E9" s="65"/>
      <c r="F9" s="65"/>
      <c r="G9" s="455"/>
      <c r="H9" s="65"/>
      <c r="I9" s="65"/>
      <c r="J9" s="65"/>
      <c r="K9" s="65"/>
      <c r="L9" s="65"/>
      <c r="M9" s="59"/>
    </row>
    <row r="10" spans="2:18">
      <c r="B10" s="82" t="s">
        <v>281</v>
      </c>
      <c r="C10" s="65"/>
      <c r="D10" s="65"/>
      <c r="E10" s="65"/>
      <c r="F10" s="65"/>
      <c r="G10" s="455"/>
      <c r="H10" s="65"/>
      <c r="I10" s="65"/>
      <c r="J10" s="65"/>
      <c r="K10" s="65"/>
      <c r="L10" s="65"/>
      <c r="M10" s="59"/>
    </row>
    <row r="11" spans="2:18">
      <c r="B11" s="102" t="s">
        <v>256</v>
      </c>
      <c r="C11" s="65"/>
      <c r="D11" s="65"/>
      <c r="E11" s="65"/>
      <c r="F11" s="65"/>
      <c r="G11" s="455"/>
      <c r="H11" s="65"/>
      <c r="I11" s="65"/>
      <c r="J11" s="65"/>
      <c r="K11" s="65"/>
      <c r="L11" s="65"/>
      <c r="M11" s="59"/>
    </row>
    <row r="12" spans="2:18">
      <c r="B12" s="82" t="s">
        <v>282</v>
      </c>
      <c r="C12" s="65"/>
      <c r="D12" s="65"/>
      <c r="E12" s="65"/>
      <c r="F12" s="65"/>
      <c r="G12" s="455"/>
      <c r="H12" s="65"/>
      <c r="I12" s="65"/>
      <c r="J12" s="65"/>
      <c r="K12" s="65"/>
      <c r="L12" s="65"/>
      <c r="M12" s="59"/>
    </row>
    <row r="13" spans="2:18">
      <c r="B13" s="82" t="s">
        <v>283</v>
      </c>
      <c r="C13" s="65"/>
      <c r="D13" s="65"/>
      <c r="E13" s="65"/>
      <c r="F13" s="65"/>
      <c r="G13" s="455"/>
      <c r="H13" s="65"/>
      <c r="I13" s="65"/>
      <c r="J13" s="65"/>
      <c r="K13" s="65"/>
      <c r="L13" s="65"/>
      <c r="M13" s="59"/>
    </row>
    <row r="14" spans="2:18">
      <c r="B14" s="102" t="s">
        <v>143</v>
      </c>
      <c r="C14" s="65"/>
      <c r="D14" s="65"/>
      <c r="E14" s="65"/>
      <c r="F14" s="65"/>
      <c r="G14" s="455"/>
      <c r="H14" s="65"/>
      <c r="I14" s="65"/>
      <c r="J14" s="65"/>
      <c r="K14" s="65"/>
      <c r="L14" s="65"/>
      <c r="M14" s="59"/>
    </row>
    <row r="15" spans="2:18">
      <c r="B15" s="82" t="s">
        <v>284</v>
      </c>
      <c r="C15" s="65"/>
      <c r="D15" s="65"/>
      <c r="E15" s="65"/>
      <c r="F15" s="65"/>
      <c r="G15" s="455"/>
      <c r="H15" s="65"/>
      <c r="I15" s="65"/>
      <c r="J15" s="65"/>
      <c r="K15" s="65"/>
      <c r="L15" s="65"/>
      <c r="M15" s="59"/>
    </row>
    <row r="16" spans="2:18">
      <c r="B16" s="101"/>
      <c r="C16" s="65"/>
      <c r="D16" s="65"/>
      <c r="E16" s="65"/>
      <c r="F16" s="65"/>
      <c r="G16" s="455"/>
      <c r="H16" s="65"/>
      <c r="I16" s="65"/>
      <c r="J16" s="65"/>
      <c r="K16" s="65"/>
      <c r="L16" s="65"/>
      <c r="M16" s="59"/>
    </row>
    <row r="17" spans="2:17" ht="13.5" thickBot="1">
      <c r="B17" s="62"/>
      <c r="C17" s="69"/>
      <c r="D17" s="69"/>
      <c r="E17" s="69"/>
      <c r="F17" s="69"/>
      <c r="G17" s="244"/>
      <c r="H17" s="69"/>
      <c r="I17" s="69"/>
      <c r="J17" s="69"/>
      <c r="K17" s="69"/>
      <c r="L17" s="69"/>
      <c r="M17" s="61"/>
    </row>
    <row r="19" spans="2:17" ht="13.5" thickBot="1">
      <c r="B19" s="119" t="s">
        <v>144</v>
      </c>
      <c r="E19" s="1535"/>
    </row>
    <row r="20" spans="2:17">
      <c r="B20" s="63"/>
      <c r="C20" s="71"/>
      <c r="D20" s="151"/>
      <c r="E20" s="64"/>
      <c r="F20" s="64"/>
      <c r="G20" s="221"/>
      <c r="H20" s="221"/>
      <c r="I20" s="64" t="s">
        <v>145</v>
      </c>
      <c r="J20" s="72" t="s">
        <v>146</v>
      </c>
    </row>
    <row r="21" spans="2:17">
      <c r="B21" s="66"/>
      <c r="C21" s="73" t="s">
        <v>70</v>
      </c>
      <c r="D21" s="152">
        <v>2015</v>
      </c>
      <c r="E21" s="74">
        <v>2020</v>
      </c>
      <c r="F21" s="74">
        <v>2035</v>
      </c>
      <c r="G21" s="225">
        <v>2050</v>
      </c>
      <c r="H21" s="226" t="s">
        <v>978</v>
      </c>
      <c r="I21" s="67"/>
      <c r="J21" s="68"/>
    </row>
    <row r="22" spans="2:17">
      <c r="B22" s="101" t="s">
        <v>257</v>
      </c>
      <c r="C22" s="75"/>
      <c r="D22" s="153"/>
      <c r="E22" s="97"/>
      <c r="F22" s="97"/>
      <c r="G22" s="209"/>
      <c r="H22" s="455"/>
      <c r="I22" s="65"/>
      <c r="J22" s="59"/>
    </row>
    <row r="23" spans="2:17">
      <c r="B23" s="122" t="s">
        <v>848</v>
      </c>
      <c r="C23" s="75" t="s">
        <v>285</v>
      </c>
      <c r="D23" s="881">
        <f>D67/D25</f>
        <v>0.87168797542226217</v>
      </c>
      <c r="E23" s="880">
        <f>E67/E25</f>
        <v>0.89936627482633358</v>
      </c>
      <c r="F23" s="880">
        <f>F67/F25</f>
        <v>0.89936627482633358</v>
      </c>
      <c r="G23" s="880">
        <f>G67/G25</f>
        <v>0.89936627482633358</v>
      </c>
      <c r="H23" s="283"/>
      <c r="I23" s="283"/>
      <c r="J23" s="59"/>
    </row>
    <row r="24" spans="2:17">
      <c r="B24" s="122" t="s">
        <v>849</v>
      </c>
      <c r="C24" s="75" t="s">
        <v>285</v>
      </c>
      <c r="D24" s="416">
        <f>D23</f>
        <v>0.87168797542226217</v>
      </c>
      <c r="E24" s="440">
        <f>E23</f>
        <v>0.89936627482633358</v>
      </c>
      <c r="F24" s="440">
        <f>F23</f>
        <v>0.89936627482633358</v>
      </c>
      <c r="G24" s="440">
        <f>G23</f>
        <v>0.89936627482633358</v>
      </c>
      <c r="H24" s="283"/>
      <c r="I24" s="283"/>
      <c r="J24" s="59"/>
    </row>
    <row r="25" spans="2:17" s="172" customFormat="1">
      <c r="B25" s="122" t="s">
        <v>1025</v>
      </c>
      <c r="C25" s="210" t="s">
        <v>1024</v>
      </c>
      <c r="D25" s="953">
        <f>D86*3.6</f>
        <v>0.40967999999999999</v>
      </c>
      <c r="E25" s="934">
        <f>E86*3.6</f>
        <v>0.32004000000000005</v>
      </c>
      <c r="F25" s="934">
        <f>F86*3.6</f>
        <v>0.32004000000000005</v>
      </c>
      <c r="G25" s="934">
        <f>G86*3.6</f>
        <v>0.32004000000000005</v>
      </c>
      <c r="H25" s="283"/>
      <c r="I25" s="283" t="str">
        <f>CONCATENATE(Referencer!$B$40)</f>
        <v>34, JEC - Joint Research Centre-EUCAR-CONCAWE collaboration, Tank to Wheels Report, version 4.0, July 2013</v>
      </c>
      <c r="J25" s="178" t="s">
        <v>2679</v>
      </c>
    </row>
    <row r="26" spans="2:17" s="172" customFormat="1">
      <c r="B26" s="122" t="s">
        <v>1026</v>
      </c>
      <c r="C26" s="210" t="s">
        <v>1024</v>
      </c>
      <c r="D26" s="416"/>
      <c r="E26" s="417"/>
      <c r="F26" s="417"/>
      <c r="G26" s="417"/>
      <c r="H26" s="283"/>
      <c r="I26" s="283"/>
      <c r="J26" s="178"/>
    </row>
    <row r="27" spans="2:17">
      <c r="B27" s="82" t="s">
        <v>98</v>
      </c>
      <c r="C27" s="75" t="s">
        <v>259</v>
      </c>
      <c r="D27" s="154">
        <v>16.3</v>
      </c>
      <c r="E27" s="76">
        <v>16.3</v>
      </c>
      <c r="F27" s="76">
        <v>16.3</v>
      </c>
      <c r="G27" s="212">
        <v>16.3</v>
      </c>
      <c r="H27" s="1442"/>
      <c r="I27" s="1442" t="str">
        <f>+Referencer!B12</f>
        <v>6, Nyt fra Danmarks Statistik, Motorparken 2010.</v>
      </c>
      <c r="J27" s="59"/>
    </row>
    <row r="28" spans="2:17">
      <c r="B28" s="82" t="s">
        <v>260</v>
      </c>
      <c r="C28" s="75" t="s">
        <v>261</v>
      </c>
      <c r="D28" s="155">
        <f>+D75</f>
        <v>6.4280363358778621</v>
      </c>
      <c r="E28" s="124">
        <f>+E75</f>
        <v>5.1809972867175578</v>
      </c>
      <c r="F28" s="124">
        <f>+F75</f>
        <v>5.1809972867175578</v>
      </c>
      <c r="G28" s="124">
        <f>+G75</f>
        <v>5.1809972867175578</v>
      </c>
      <c r="H28" s="283"/>
      <c r="I28" s="283"/>
      <c r="J28" s="59"/>
    </row>
    <row r="29" spans="2:17">
      <c r="B29" s="60"/>
      <c r="C29" s="103"/>
      <c r="D29" s="156"/>
      <c r="E29" s="90"/>
      <c r="F29" s="90"/>
      <c r="G29" s="90"/>
      <c r="H29" s="555"/>
      <c r="I29" s="555"/>
      <c r="J29" s="59"/>
      <c r="N29" s="120">
        <v>2015</v>
      </c>
      <c r="O29" s="120">
        <v>2020</v>
      </c>
      <c r="P29" s="120">
        <v>2035</v>
      </c>
      <c r="Q29" s="172">
        <v>2050</v>
      </c>
    </row>
    <row r="30" spans="2:17">
      <c r="B30" s="101" t="s">
        <v>33</v>
      </c>
      <c r="C30" s="75"/>
      <c r="D30" s="156"/>
      <c r="E30" s="90"/>
      <c r="F30" s="90"/>
      <c r="G30" s="90"/>
      <c r="H30" s="555"/>
      <c r="I30" s="555"/>
      <c r="J30" s="59"/>
      <c r="M30" s="120" t="s">
        <v>522</v>
      </c>
      <c r="N30" s="292">
        <v>18600</v>
      </c>
      <c r="O30" s="292">
        <v>18600</v>
      </c>
      <c r="P30" s="292">
        <v>18600</v>
      </c>
      <c r="Q30" s="292">
        <v>18600</v>
      </c>
    </row>
    <row r="31" spans="2:17" s="172" customFormat="1">
      <c r="B31" s="310" t="s">
        <v>157</v>
      </c>
      <c r="C31" s="210" t="s">
        <v>61</v>
      </c>
      <c r="D31" s="992">
        <f>HLOOKUP($H38,Supplementary!$C$44:$AF$46,3,FALSE)*D38</f>
        <v>162490.64568009897</v>
      </c>
      <c r="E31" s="992">
        <f>HLOOKUP($H38,Supplementary!$C$44:$AF$46,3,FALSE)*E38</f>
        <v>143180.50794310332</v>
      </c>
      <c r="F31" s="992">
        <f>HLOOKUP($H38,Supplementary!$C$44:$AF$46,3,FALSE)*F38</f>
        <v>143180.50794310332</v>
      </c>
      <c r="G31" s="992">
        <f>HLOOKUP($H38,Supplementary!$C$44:$AF$46,3,FALSE)*G38</f>
        <v>143180.50794310332</v>
      </c>
      <c r="H31" s="323">
        <f>priceYear</f>
        <v>2015</v>
      </c>
      <c r="I31" s="555"/>
      <c r="J31" s="178"/>
    </row>
    <row r="32" spans="2:17" s="172" customFormat="1">
      <c r="B32" s="192" t="s">
        <v>262</v>
      </c>
      <c r="C32" s="210" t="s">
        <v>263</v>
      </c>
      <c r="D32" s="992">
        <f ca="1">HLOOKUP($H39,Supplementary!$C$44:$AF$46,3,FALSE)*D39</f>
        <v>4163.8226089463806</v>
      </c>
      <c r="E32" s="992">
        <f ca="1">HLOOKUP($H39,Supplementary!$C$44:$AF$46,3,FALSE)*E39</f>
        <v>3815.0336939156446</v>
      </c>
      <c r="F32" s="992">
        <f ca="1">HLOOKUP($H39,Supplementary!$C$44:$AF$46,3,FALSE)*F39</f>
        <v>3365.5792084553286</v>
      </c>
      <c r="G32" s="992">
        <f ca="1">HLOOKUP($H39,Supplementary!$C$44:$AF$46,3,FALSE)*G39</f>
        <v>3365.5792084553286</v>
      </c>
      <c r="H32" s="323">
        <f>priceYear</f>
        <v>2015</v>
      </c>
      <c r="I32" s="555"/>
      <c r="J32" s="178"/>
    </row>
    <row r="33" spans="2:17" s="172" customFormat="1">
      <c r="B33" s="236" t="s">
        <v>162</v>
      </c>
      <c r="C33" s="210" t="s">
        <v>263</v>
      </c>
      <c r="D33" s="992">
        <f ca="1">HLOOKUP($H40,Supplementary!$C$44:$AF$46,3,FALSE)*D40</f>
        <v>2304.1340940751898</v>
      </c>
      <c r="E33" s="992">
        <f ca="1">HLOOKUP($H40,Supplementary!$C$44:$AF$46,3,FALSE)*E40</f>
        <v>2519.0004364852389</v>
      </c>
      <c r="F33" s="992">
        <f ca="1">HLOOKUP($H40,Supplementary!$C$44:$AF$46,3,FALSE)*F40</f>
        <v>2519.0004364852389</v>
      </c>
      <c r="G33" s="992">
        <f ca="1">HLOOKUP($H40,Supplementary!$C$44:$AF$46,3,FALSE)*G40</f>
        <v>2519.0004364852389</v>
      </c>
      <c r="H33" s="323">
        <f>priceYear</f>
        <v>2015</v>
      </c>
      <c r="I33" s="555"/>
      <c r="J33" s="178"/>
    </row>
    <row r="34" spans="2:17" s="172" customFormat="1">
      <c r="B34" s="236" t="s">
        <v>163</v>
      </c>
      <c r="C34" s="210" t="s">
        <v>263</v>
      </c>
      <c r="D34" s="992">
        <f ca="1">HLOOKUP($H41,Supplementary!$C$44:$AF$46,3,FALSE)*D41</f>
        <v>1859.6885148711906</v>
      </c>
      <c r="E34" s="992">
        <f ca="1">HLOOKUP($H41,Supplementary!$C$44:$AF$46,3,FALSE)*E41</f>
        <v>1296.0332574304057</v>
      </c>
      <c r="F34" s="992">
        <f ca="1">HLOOKUP($H41,Supplementary!$C$44:$AF$46,3,FALSE)*F41</f>
        <v>846.57877197008941</v>
      </c>
      <c r="G34" s="992">
        <f ca="1">HLOOKUP($H41,Supplementary!$C$44:$AF$46,3,FALSE)*G41</f>
        <v>846.57877197008941</v>
      </c>
      <c r="H34" s="323">
        <f>priceYear</f>
        <v>2015</v>
      </c>
      <c r="I34" s="555"/>
      <c r="J34" s="178"/>
    </row>
    <row r="35" spans="2:17" s="172" customFormat="1">
      <c r="B35" s="236"/>
      <c r="C35" s="210"/>
      <c r="D35" s="992"/>
      <c r="E35" s="992"/>
      <c r="F35" s="992"/>
      <c r="G35" s="992"/>
      <c r="H35" s="323"/>
      <c r="I35" s="555"/>
      <c r="J35" s="178"/>
    </row>
    <row r="36" spans="2:17" s="172" customFormat="1">
      <c r="B36" s="236" t="s">
        <v>264</v>
      </c>
      <c r="C36" s="210" t="s">
        <v>263</v>
      </c>
      <c r="D36" s="992">
        <f>HLOOKUP($H43,Supplementary!$C$44:$AF$46,3,FALSE)*D43</f>
        <v>0</v>
      </c>
      <c r="E36" s="992">
        <f>HLOOKUP($H43,Supplementary!$C$44:$AF$46,3,FALSE)*E43</f>
        <v>0</v>
      </c>
      <c r="F36" s="992">
        <f>HLOOKUP($H43,Supplementary!$C$44:$AF$46,3,FALSE)*F43</f>
        <v>0</v>
      </c>
      <c r="G36" s="992">
        <f>HLOOKUP($H43,Supplementary!$C$44:$AF$46,3,FALSE)*G43</f>
        <v>0</v>
      </c>
      <c r="H36" s="323">
        <f>priceYear</f>
        <v>2015</v>
      </c>
      <c r="I36" s="555"/>
      <c r="J36" s="178"/>
    </row>
    <row r="37" spans="2:17" s="172" customFormat="1">
      <c r="B37" s="216"/>
      <c r="C37" s="210"/>
      <c r="D37" s="156"/>
      <c r="E37" s="90"/>
      <c r="F37" s="90"/>
      <c r="G37" s="90"/>
      <c r="H37" s="90"/>
      <c r="I37" s="555"/>
      <c r="J37" s="178"/>
    </row>
    <row r="38" spans="2:17">
      <c r="B38" s="82" t="s">
        <v>157</v>
      </c>
      <c r="C38" s="75" t="s">
        <v>61</v>
      </c>
      <c r="D38" s="157">
        <f>N43</f>
        <v>152650.5</v>
      </c>
      <c r="E38" s="125">
        <f>O43</f>
        <v>134509.75</v>
      </c>
      <c r="F38" s="125">
        <f>P43</f>
        <v>134509.75</v>
      </c>
      <c r="G38" s="125">
        <f>Q43</f>
        <v>134509.75</v>
      </c>
      <c r="H38" s="407">
        <v>2011</v>
      </c>
      <c r="I38" s="283" t="str">
        <f>CONCATENATE(Referencer!$B$11)</f>
        <v>5, Concawe (2011): Well-to-wheels analysis of future automotive fuels and power-trains in the European Context. November 2011.</v>
      </c>
      <c r="J38" s="59" t="s">
        <v>286</v>
      </c>
      <c r="M38" s="120" t="s">
        <v>523</v>
      </c>
      <c r="N38" s="292"/>
      <c r="O38" s="292">
        <v>-125</v>
      </c>
      <c r="P38" s="292">
        <v>-125</v>
      </c>
      <c r="Q38" s="292">
        <v>-125</v>
      </c>
    </row>
    <row r="39" spans="2:17">
      <c r="B39" s="60" t="s">
        <v>262</v>
      </c>
      <c r="C39" s="75" t="s">
        <v>263</v>
      </c>
      <c r="D39" s="158">
        <f ca="1">+SUM(D40:D43)</f>
        <v>3911.6688871943825</v>
      </c>
      <c r="E39" s="107">
        <f ca="1">+SUM(E40:E43)</f>
        <v>3584.0020110425066</v>
      </c>
      <c r="F39" s="107">
        <f ca="1">+SUM(F40:F43)</f>
        <v>3161.765693095726</v>
      </c>
      <c r="G39" s="214">
        <f ca="1">+SUM(G40:G43)</f>
        <v>3161.765693095726</v>
      </c>
      <c r="H39" s="407">
        <v>2011</v>
      </c>
      <c r="I39" s="283"/>
      <c r="J39" s="59" t="s">
        <v>287</v>
      </c>
      <c r="M39" s="120" t="s">
        <v>524</v>
      </c>
      <c r="N39" s="292"/>
      <c r="O39" s="292">
        <v>-2310</v>
      </c>
      <c r="P39" s="292">
        <v>-2310</v>
      </c>
      <c r="Q39" s="292">
        <v>-2310</v>
      </c>
    </row>
    <row r="40" spans="2:17">
      <c r="B40" s="111" t="s">
        <v>162</v>
      </c>
      <c r="C40" s="75" t="s">
        <v>263</v>
      </c>
      <c r="D40" s="158">
        <f ca="1">PMT(rSØK,D27,-D38)/D28</f>
        <v>2164.5998146876864</v>
      </c>
      <c r="E40" s="107">
        <f ca="1">PMT(rSØK,E27,-E38)/E28</f>
        <v>2366.4542319975831</v>
      </c>
      <c r="F40" s="107">
        <f ca="1">PMT(rSØK,F27,-F38)/F28</f>
        <v>2366.4542319975831</v>
      </c>
      <c r="G40" s="214">
        <f ca="1">PMT(rSØK,G27,-G38)/G28</f>
        <v>2366.4542319975831</v>
      </c>
      <c r="H40" s="407">
        <v>2011</v>
      </c>
      <c r="I40" s="283"/>
      <c r="J40" s="59"/>
      <c r="M40" s="120" t="s">
        <v>525</v>
      </c>
      <c r="N40" s="292">
        <f>27*N45</f>
        <v>1890</v>
      </c>
      <c r="O40" s="292">
        <f>27*O45</f>
        <v>1890</v>
      </c>
      <c r="P40" s="292">
        <f>27*P45</f>
        <v>1890</v>
      </c>
      <c r="Q40" s="292">
        <f>27*Q45</f>
        <v>1890</v>
      </c>
    </row>
    <row r="41" spans="2:17">
      <c r="B41" s="111" t="s">
        <v>163</v>
      </c>
      <c r="C41" s="75" t="s">
        <v>263</v>
      </c>
      <c r="D41" s="159">
        <f ca="1">+D76+D80</f>
        <v>1747.0690725066961</v>
      </c>
      <c r="E41" s="195">
        <f ca="1">+E76+E80</f>
        <v>1217.5477790449238</v>
      </c>
      <c r="F41" s="195">
        <f ca="1">+F76+F80</f>
        <v>795.31146109814279</v>
      </c>
      <c r="G41" s="195">
        <f ca="1">+G76+G80</f>
        <v>795.31146109814279</v>
      </c>
      <c r="H41" s="407">
        <v>2011</v>
      </c>
      <c r="I41" s="283"/>
      <c r="J41" s="59"/>
      <c r="M41" s="120" t="s">
        <v>526</v>
      </c>
      <c r="N41" s="120">
        <f>SUM(N30:N40)</f>
        <v>20490</v>
      </c>
      <c r="O41" s="120">
        <f>SUM(O30:O40)</f>
        <v>18055</v>
      </c>
      <c r="P41" s="120">
        <f>SUM(P30:P40)</f>
        <v>18055</v>
      </c>
      <c r="Q41" s="172">
        <f>SUM(Q30:Q40)</f>
        <v>18055</v>
      </c>
    </row>
    <row r="42" spans="2:17">
      <c r="B42" s="111"/>
      <c r="C42" s="75"/>
      <c r="D42" s="156"/>
      <c r="E42" s="90"/>
      <c r="F42" s="90"/>
      <c r="G42" s="90"/>
      <c r="H42" s="407"/>
      <c r="I42" s="283"/>
      <c r="J42" s="59"/>
      <c r="M42" s="377"/>
      <c r="Q42" s="172"/>
    </row>
    <row r="43" spans="2:17">
      <c r="B43" s="111" t="s">
        <v>264</v>
      </c>
      <c r="C43" s="75" t="s">
        <v>263</v>
      </c>
      <c r="D43" s="154">
        <v>0</v>
      </c>
      <c r="E43" s="76">
        <v>0</v>
      </c>
      <c r="F43" s="76">
        <v>0</v>
      </c>
      <c r="G43" s="212">
        <v>0</v>
      </c>
      <c r="H43" s="407">
        <v>2011</v>
      </c>
      <c r="I43" s="283"/>
      <c r="J43" s="59"/>
      <c r="M43" s="120" t="s">
        <v>61</v>
      </c>
      <c r="N43" s="120">
        <f>N41*dkkPerEUR</f>
        <v>152650.5</v>
      </c>
      <c r="O43" s="120">
        <f>O41*dkkPerEUR</f>
        <v>134509.75</v>
      </c>
      <c r="P43" s="120">
        <f>P41*dkkPerEUR</f>
        <v>134509.75</v>
      </c>
      <c r="Q43" s="172">
        <f>Q41*dkkPerEUR</f>
        <v>134509.75</v>
      </c>
    </row>
    <row r="44" spans="2:17">
      <c r="B44" s="111"/>
      <c r="C44" s="75"/>
      <c r="D44" s="156"/>
      <c r="E44" s="90"/>
      <c r="F44" s="90"/>
      <c r="G44" s="90"/>
      <c r="H44" s="283"/>
      <c r="I44" s="283"/>
      <c r="J44" s="59"/>
      <c r="M44" s="120" t="str">
        <f>CONCATENATE("source: ",Referencer!B11)</f>
        <v>source: 5, Concawe (2011): Well-to-wheels analysis of future automotive fuels and power-trains in the European Context. November 2011.</v>
      </c>
      <c r="Q44" s="172"/>
    </row>
    <row r="45" spans="2:17">
      <c r="B45" s="101" t="s">
        <v>166</v>
      </c>
      <c r="C45" s="75"/>
      <c r="D45" s="156"/>
      <c r="E45" s="90"/>
      <c r="F45" s="90"/>
      <c r="G45" s="90"/>
      <c r="H45" s="283"/>
      <c r="I45" s="283"/>
      <c r="J45" s="59"/>
      <c r="M45" s="120" t="s">
        <v>666</v>
      </c>
      <c r="N45" s="120">
        <v>70</v>
      </c>
      <c r="O45" s="120">
        <v>70</v>
      </c>
      <c r="P45" s="120">
        <v>70</v>
      </c>
      <c r="Q45" s="172">
        <v>70</v>
      </c>
    </row>
    <row r="46" spans="2:17">
      <c r="B46" s="418" t="s">
        <v>0</v>
      </c>
      <c r="C46" s="75"/>
      <c r="D46" s="156"/>
      <c r="E46" s="90"/>
      <c r="F46" s="90"/>
      <c r="G46" s="90"/>
      <c r="H46" s="283"/>
      <c r="I46" s="283"/>
      <c r="J46" s="59"/>
    </row>
    <row r="47" spans="2:17">
      <c r="B47" s="60" t="s">
        <v>24</v>
      </c>
      <c r="C47" s="75" t="s">
        <v>288</v>
      </c>
      <c r="D47" s="423"/>
      <c r="E47" s="424"/>
      <c r="F47" s="424"/>
      <c r="G47" s="424"/>
      <c r="H47" s="283"/>
      <c r="I47" s="283"/>
      <c r="J47" s="278" t="s">
        <v>850</v>
      </c>
    </row>
    <row r="48" spans="2:17">
      <c r="B48" s="60" t="s">
        <v>27</v>
      </c>
      <c r="C48" s="75" t="s">
        <v>288</v>
      </c>
      <c r="D48" s="127">
        <f>D94/D$91</f>
        <v>0</v>
      </c>
      <c r="E48" s="127">
        <f t="shared" ref="E48:F52" si="0">E94/E$91</f>
        <v>0</v>
      </c>
      <c r="F48" s="127">
        <f t="shared" si="0"/>
        <v>0</v>
      </c>
      <c r="G48" s="127">
        <f>G94/G$91</f>
        <v>0</v>
      </c>
      <c r="H48" s="283"/>
      <c r="I48" s="283"/>
      <c r="J48" s="59"/>
    </row>
    <row r="49" spans="2:19">
      <c r="B49" s="60" t="s">
        <v>28</v>
      </c>
      <c r="C49" s="75" t="s">
        <v>288</v>
      </c>
      <c r="D49" s="127">
        <f>D95/D$91</f>
        <v>0</v>
      </c>
      <c r="E49" s="127">
        <f t="shared" si="0"/>
        <v>0</v>
      </c>
      <c r="F49" s="127">
        <f t="shared" si="0"/>
        <v>0</v>
      </c>
      <c r="G49" s="127">
        <f>G95/G$91</f>
        <v>0</v>
      </c>
      <c r="H49" s="283"/>
      <c r="I49" s="283"/>
      <c r="J49" s="59"/>
    </row>
    <row r="50" spans="2:19">
      <c r="B50" s="60" t="s">
        <v>26</v>
      </c>
      <c r="C50" s="75" t="s">
        <v>288</v>
      </c>
      <c r="D50" s="127">
        <f>D96/D$91</f>
        <v>0</v>
      </c>
      <c r="E50" s="127">
        <f t="shared" si="0"/>
        <v>0</v>
      </c>
      <c r="F50" s="127">
        <f t="shared" si="0"/>
        <v>0</v>
      </c>
      <c r="G50" s="127">
        <f>G96/G$91</f>
        <v>0</v>
      </c>
      <c r="H50" s="283"/>
      <c r="I50" s="283"/>
      <c r="J50" s="59"/>
      <c r="M50" s="120" t="s">
        <v>2003</v>
      </c>
      <c r="O50" s="120" t="s">
        <v>2005</v>
      </c>
      <c r="P50" s="120" t="s">
        <v>2006</v>
      </c>
      <c r="Q50" s="120" t="s">
        <v>2007</v>
      </c>
    </row>
    <row r="51" spans="2:19">
      <c r="B51" s="60" t="s">
        <v>167</v>
      </c>
      <c r="C51" s="75" t="s">
        <v>288</v>
      </c>
      <c r="D51" s="127">
        <f>D97/D$91</f>
        <v>0</v>
      </c>
      <c r="E51" s="127">
        <f t="shared" si="0"/>
        <v>0</v>
      </c>
      <c r="F51" s="127">
        <f t="shared" si="0"/>
        <v>0</v>
      </c>
      <c r="G51" s="127">
        <f>G97/G$91</f>
        <v>0</v>
      </c>
      <c r="H51" s="283"/>
      <c r="I51" s="283"/>
      <c r="J51" s="59"/>
      <c r="M51" s="120" t="s">
        <v>2004</v>
      </c>
      <c r="N51" s="120" t="s">
        <v>2008</v>
      </c>
      <c r="O51" s="1616">
        <v>1183</v>
      </c>
      <c r="P51" s="1616">
        <v>2510</v>
      </c>
      <c r="Q51" s="1616">
        <v>5317</v>
      </c>
      <c r="R51" s="120" t="s">
        <v>2010</v>
      </c>
    </row>
    <row r="52" spans="2:19">
      <c r="B52" s="60" t="s">
        <v>45</v>
      </c>
      <c r="C52" s="75" t="s">
        <v>288</v>
      </c>
      <c r="D52" s="127">
        <f>D98/D$91</f>
        <v>0</v>
      </c>
      <c r="E52" s="127">
        <f t="shared" si="0"/>
        <v>0</v>
      </c>
      <c r="F52" s="127">
        <f t="shared" si="0"/>
        <v>0</v>
      </c>
      <c r="G52" s="127">
        <f>G98/G$91</f>
        <v>0</v>
      </c>
      <c r="H52" s="283"/>
      <c r="I52" s="283"/>
      <c r="J52" s="59"/>
      <c r="N52" s="120" t="s">
        <v>2009</v>
      </c>
      <c r="O52" s="878">
        <f>O51/$Q$51</f>
        <v>0.22249388753056235</v>
      </c>
      <c r="P52" s="878">
        <f>P51/$Q$51</f>
        <v>0.47207071656949406</v>
      </c>
      <c r="Q52" s="878">
        <f>Q51/$Q$51</f>
        <v>1</v>
      </c>
    </row>
    <row r="53" spans="2:19">
      <c r="B53" s="60"/>
      <c r="C53" s="75"/>
      <c r="D53" s="104"/>
      <c r="E53" s="65"/>
      <c r="F53" s="65"/>
      <c r="G53" s="455"/>
      <c r="H53" s="283"/>
      <c r="I53" s="283"/>
      <c r="J53" s="59"/>
    </row>
    <row r="54" spans="2:19">
      <c r="B54" s="418" t="s">
        <v>20</v>
      </c>
      <c r="C54" s="75"/>
      <c r="D54" s="156"/>
      <c r="E54" s="90"/>
      <c r="F54" s="90"/>
      <c r="G54" s="90"/>
      <c r="H54" s="283"/>
      <c r="I54" s="283"/>
      <c r="J54" s="59"/>
    </row>
    <row r="55" spans="2:19">
      <c r="B55" s="60" t="s">
        <v>24</v>
      </c>
      <c r="C55" s="75" t="s">
        <v>288</v>
      </c>
      <c r="D55" s="423"/>
      <c r="E55" s="424"/>
      <c r="F55" s="424"/>
      <c r="G55" s="424"/>
      <c r="H55" s="283"/>
      <c r="I55" s="283"/>
      <c r="J55" s="278" t="s">
        <v>850</v>
      </c>
      <c r="S55" s="172"/>
    </row>
    <row r="56" spans="2:19">
      <c r="B56" s="60" t="s">
        <v>27</v>
      </c>
      <c r="C56" s="75" t="s">
        <v>288</v>
      </c>
      <c r="D56" s="419">
        <f t="shared" ref="D56:F60" si="1">D48</f>
        <v>0</v>
      </c>
      <c r="E56" s="419">
        <f t="shared" si="1"/>
        <v>0</v>
      </c>
      <c r="F56" s="419">
        <f t="shared" si="1"/>
        <v>0</v>
      </c>
      <c r="G56" s="419">
        <f>G48</f>
        <v>0</v>
      </c>
      <c r="H56" s="283"/>
      <c r="I56" s="283"/>
      <c r="J56" s="59"/>
      <c r="S56" s="172"/>
    </row>
    <row r="57" spans="2:19">
      <c r="B57" s="60" t="s">
        <v>28</v>
      </c>
      <c r="C57" s="75" t="s">
        <v>288</v>
      </c>
      <c r="D57" s="419">
        <f t="shared" si="1"/>
        <v>0</v>
      </c>
      <c r="E57" s="419">
        <f t="shared" si="1"/>
        <v>0</v>
      </c>
      <c r="F57" s="419">
        <f t="shared" si="1"/>
        <v>0</v>
      </c>
      <c r="G57" s="419">
        <f>G49</f>
        <v>0</v>
      </c>
      <c r="H57" s="283"/>
      <c r="I57" s="283"/>
      <c r="J57" s="59"/>
      <c r="S57" s="172"/>
    </row>
    <row r="58" spans="2:19">
      <c r="B58" s="60" t="s">
        <v>26</v>
      </c>
      <c r="C58" s="75" t="s">
        <v>288</v>
      </c>
      <c r="D58" s="419">
        <f t="shared" si="1"/>
        <v>0</v>
      </c>
      <c r="E58" s="419">
        <f t="shared" si="1"/>
        <v>0</v>
      </c>
      <c r="F58" s="419">
        <f t="shared" si="1"/>
        <v>0</v>
      </c>
      <c r="G58" s="419">
        <f>G50</f>
        <v>0</v>
      </c>
      <c r="H58" s="283"/>
      <c r="I58" s="283"/>
      <c r="J58" s="59"/>
    </row>
    <row r="59" spans="2:19">
      <c r="B59" s="60" t="s">
        <v>167</v>
      </c>
      <c r="C59" s="75" t="s">
        <v>288</v>
      </c>
      <c r="D59" s="419">
        <f t="shared" si="1"/>
        <v>0</v>
      </c>
      <c r="E59" s="419">
        <f t="shared" si="1"/>
        <v>0</v>
      </c>
      <c r="F59" s="419">
        <f t="shared" si="1"/>
        <v>0</v>
      </c>
      <c r="G59" s="419">
        <f>G51</f>
        <v>0</v>
      </c>
      <c r="H59" s="283"/>
      <c r="I59" s="283"/>
      <c r="J59" s="59"/>
      <c r="S59" s="878"/>
    </row>
    <row r="60" spans="2:19">
      <c r="B60" s="60" t="s">
        <v>45</v>
      </c>
      <c r="C60" s="75" t="s">
        <v>288</v>
      </c>
      <c r="D60" s="419">
        <f t="shared" si="1"/>
        <v>0</v>
      </c>
      <c r="E60" s="419">
        <f t="shared" si="1"/>
        <v>0</v>
      </c>
      <c r="F60" s="419">
        <f t="shared" si="1"/>
        <v>0</v>
      </c>
      <c r="G60" s="419">
        <f>G52</f>
        <v>0</v>
      </c>
      <c r="H60" s="283"/>
      <c r="I60" s="283"/>
      <c r="J60" s="59"/>
    </row>
    <row r="61" spans="2:19" ht="13.5" thickBot="1">
      <c r="B61" s="128"/>
      <c r="C61" s="114"/>
      <c r="D61" s="129"/>
      <c r="E61" s="69"/>
      <c r="F61" s="69"/>
      <c r="G61" s="244"/>
      <c r="H61" s="1443"/>
      <c r="I61" s="1443"/>
      <c r="J61" s="61"/>
    </row>
    <row r="62" spans="2:19">
      <c r="H62" s="142"/>
      <c r="I62" s="142"/>
    </row>
    <row r="63" spans="2:19">
      <c r="H63" s="142"/>
      <c r="I63" s="142"/>
    </row>
    <row r="64" spans="2:19" ht="16.5" thickBot="1">
      <c r="B64" s="130" t="s">
        <v>168</v>
      </c>
      <c r="H64" s="142"/>
      <c r="I64" s="142"/>
    </row>
    <row r="65" spans="2:10">
      <c r="B65" s="219"/>
      <c r="C65" s="220"/>
      <c r="D65" s="221"/>
      <c r="E65" s="221"/>
      <c r="F65" s="221"/>
      <c r="G65" s="221"/>
      <c r="H65" s="962"/>
      <c r="I65" s="962" t="s">
        <v>145</v>
      </c>
      <c r="J65" s="222" t="s">
        <v>146</v>
      </c>
    </row>
    <row r="66" spans="2:10">
      <c r="B66" s="223"/>
      <c r="C66" s="224" t="s">
        <v>70</v>
      </c>
      <c r="D66" s="152">
        <v>2015</v>
      </c>
      <c r="E66" s="225">
        <v>2020</v>
      </c>
      <c r="F66" s="225">
        <v>2035</v>
      </c>
      <c r="G66" s="225">
        <v>2050</v>
      </c>
      <c r="H66" s="556"/>
      <c r="I66" s="556"/>
      <c r="J66" s="227"/>
    </row>
    <row r="67" spans="2:10">
      <c r="B67" s="192" t="s">
        <v>266</v>
      </c>
      <c r="C67" s="241" t="s">
        <v>1027</v>
      </c>
      <c r="D67" s="947">
        <f>D68/D70*D69</f>
        <v>0.35711312977099235</v>
      </c>
      <c r="E67" s="947">
        <f>D67*(1-E71)</f>
        <v>0.28783318259541985</v>
      </c>
      <c r="F67" s="947">
        <f>E67</f>
        <v>0.28783318259541985</v>
      </c>
      <c r="G67" s="947">
        <f>F67</f>
        <v>0.28783318259541985</v>
      </c>
      <c r="H67" s="555"/>
      <c r="I67" s="555"/>
      <c r="J67" s="178"/>
    </row>
    <row r="68" spans="2:10" s="172" customFormat="1">
      <c r="B68" s="192" t="s">
        <v>1028</v>
      </c>
      <c r="C68" s="241" t="s">
        <v>1027</v>
      </c>
      <c r="D68" s="957">
        <f>'Std benzin motor'!D67</f>
        <v>0.38034000000000001</v>
      </c>
      <c r="E68" s="957"/>
      <c r="F68" s="957"/>
      <c r="G68" s="957"/>
      <c r="H68" s="555"/>
      <c r="I68" s="555"/>
      <c r="J68" s="178"/>
    </row>
    <row r="69" spans="2:10" s="172" customFormat="1">
      <c r="B69" s="192" t="s">
        <v>1036</v>
      </c>
      <c r="C69" s="241" t="s">
        <v>59</v>
      </c>
      <c r="D69" s="955">
        <v>1230</v>
      </c>
      <c r="E69" s="955"/>
      <c r="F69" s="2247"/>
      <c r="G69" s="955"/>
      <c r="H69" s="283"/>
      <c r="I69" s="283" t="str">
        <f>CONCATENATE(Referencer!$B$40)</f>
        <v>34, JEC - Joint Research Centre-EUCAR-CONCAWE collaboration, Tank to Wheels Report, version 4.0, July 2013</v>
      </c>
      <c r="J69" s="178" t="s">
        <v>2680</v>
      </c>
    </row>
    <row r="70" spans="2:10" s="172" customFormat="1">
      <c r="B70" s="192" t="s">
        <v>1031</v>
      </c>
      <c r="C70" s="241" t="s">
        <v>59</v>
      </c>
      <c r="D70" s="956">
        <f>'Std benzin motor'!D68</f>
        <v>1310</v>
      </c>
      <c r="E70" s="956"/>
      <c r="F70" s="956"/>
      <c r="G70" s="956"/>
      <c r="H70" s="555"/>
      <c r="I70" s="555"/>
      <c r="J70" s="178"/>
    </row>
    <row r="71" spans="2:10" s="172" customFormat="1">
      <c r="B71" s="192" t="s">
        <v>1067</v>
      </c>
      <c r="C71" s="241" t="s">
        <v>29</v>
      </c>
      <c r="D71" s="905"/>
      <c r="E71" s="954">
        <v>0.19400000000000001</v>
      </c>
      <c r="F71" s="876"/>
      <c r="G71" s="876"/>
      <c r="H71" s="283"/>
      <c r="I71" s="283" t="str">
        <f>CONCATENATE(Referencer!$B$40)</f>
        <v>34, JEC - Joint Research Centre-EUCAR-CONCAWE collaboration, Tank to Wheels Report, version 4.0, July 2013</v>
      </c>
      <c r="J71" s="178" t="s">
        <v>1068</v>
      </c>
    </row>
    <row r="72" spans="2:10">
      <c r="B72" s="192" t="s">
        <v>268</v>
      </c>
      <c r="C72" s="241" t="s">
        <v>269</v>
      </c>
      <c r="D72" s="930">
        <v>18000</v>
      </c>
      <c r="E72" s="930">
        <v>18000</v>
      </c>
      <c r="F72" s="930">
        <v>18000</v>
      </c>
      <c r="G72" s="930">
        <v>18000</v>
      </c>
      <c r="H72" s="555"/>
      <c r="I72" s="555"/>
      <c r="J72" s="178"/>
    </row>
    <row r="73" spans="2:10">
      <c r="B73" s="317"/>
      <c r="C73" s="299"/>
      <c r="D73" s="90"/>
      <c r="E73" s="90"/>
      <c r="F73" s="90"/>
      <c r="G73" s="90"/>
      <c r="H73" s="555"/>
      <c r="I73" s="555"/>
      <c r="J73" s="278"/>
    </row>
    <row r="74" spans="2:10">
      <c r="B74" s="192" t="s">
        <v>510</v>
      </c>
      <c r="C74" s="241" t="s">
        <v>29</v>
      </c>
      <c r="D74" s="877"/>
      <c r="E74" s="877"/>
      <c r="F74" s="877"/>
      <c r="G74" s="877"/>
      <c r="H74" s="555"/>
      <c r="I74" s="555"/>
      <c r="J74" s="178"/>
    </row>
    <row r="75" spans="2:10">
      <c r="B75" s="192" t="s">
        <v>260</v>
      </c>
      <c r="C75" s="241" t="s">
        <v>261</v>
      </c>
      <c r="D75" s="455">
        <f>+D67*D72/1000</f>
        <v>6.4280363358778621</v>
      </c>
      <c r="E75" s="455">
        <f>+E67*E72/1000</f>
        <v>5.1809972867175578</v>
      </c>
      <c r="F75" s="455">
        <f>+F67*F72/1000</f>
        <v>5.1809972867175578</v>
      </c>
      <c r="G75" s="455">
        <f>+G67*G72/1000</f>
        <v>5.1809972867175578</v>
      </c>
      <c r="H75" s="555"/>
      <c r="I75" s="555"/>
      <c r="J75" s="178" t="s">
        <v>270</v>
      </c>
    </row>
    <row r="76" spans="2:10">
      <c r="B76" s="192" t="s">
        <v>271</v>
      </c>
      <c r="C76" s="241" t="s">
        <v>263</v>
      </c>
      <c r="D76" s="405">
        <f>D77*1000/D67</f>
        <v>215.61794731372146</v>
      </c>
      <c r="E76" s="405">
        <f>E77*1000/E67</f>
        <v>267.51606366466683</v>
      </c>
      <c r="F76" s="405">
        <f>F77*1000/F67</f>
        <v>267.51606366466683</v>
      </c>
      <c r="G76" s="405">
        <f>G77*1000/G67</f>
        <v>267.51606366466683</v>
      </c>
      <c r="H76" s="555"/>
      <c r="I76" s="555"/>
      <c r="J76" s="278" t="s">
        <v>2677</v>
      </c>
    </row>
    <row r="77" spans="2:10" s="172" customFormat="1">
      <c r="B77" s="192" t="s">
        <v>271</v>
      </c>
      <c r="C77" s="241" t="s">
        <v>55</v>
      </c>
      <c r="D77" s="405">
        <f>D78*D79</f>
        <v>7.6999999999999999E-2</v>
      </c>
      <c r="E77" s="405">
        <f>E78*E79</f>
        <v>7.6999999999999999E-2</v>
      </c>
      <c r="F77" s="405">
        <f>F78*F79</f>
        <v>7.6999999999999999E-2</v>
      </c>
      <c r="G77" s="405">
        <f>G78*G79</f>
        <v>7.6999999999999999E-2</v>
      </c>
      <c r="H77" s="555"/>
      <c r="I77" s="555"/>
      <c r="J77" s="278"/>
    </row>
    <row r="78" spans="2:10" s="172" customFormat="1">
      <c r="B78" s="192" t="s">
        <v>271</v>
      </c>
      <c r="C78" s="241" t="s">
        <v>2028</v>
      </c>
      <c r="D78" s="1633">
        <v>0.22</v>
      </c>
      <c r="E78" s="1633">
        <v>0.22</v>
      </c>
      <c r="F78" s="1633">
        <v>0.22</v>
      </c>
      <c r="G78" s="1633">
        <v>0.22</v>
      </c>
      <c r="H78" s="555"/>
      <c r="I78" s="555" t="s">
        <v>2029</v>
      </c>
      <c r="J78" s="278" t="s">
        <v>2030</v>
      </c>
    </row>
    <row r="79" spans="2:10" s="172" customFormat="1">
      <c r="B79" s="192" t="s">
        <v>2027</v>
      </c>
      <c r="C79" s="241" t="s">
        <v>55</v>
      </c>
      <c r="D79" s="1637">
        <f>'Std benzin motor'!D75</f>
        <v>0.35</v>
      </c>
      <c r="E79" s="1637">
        <f>'Std benzin motor'!E75</f>
        <v>0.35</v>
      </c>
      <c r="F79" s="1637">
        <f>'Std benzin motor'!F75</f>
        <v>0.35</v>
      </c>
      <c r="G79" s="1637">
        <f>'Std benzin motor'!G75</f>
        <v>0.35</v>
      </c>
      <c r="H79" s="555"/>
      <c r="I79" s="555"/>
      <c r="J79" s="278"/>
    </row>
    <row r="80" spans="2:10">
      <c r="B80" s="192" t="s">
        <v>289</v>
      </c>
      <c r="C80" s="241" t="s">
        <v>263</v>
      </c>
      <c r="D80" s="405">
        <f ca="1">+D81/D28</f>
        <v>1531.4511251929746</v>
      </c>
      <c r="E80" s="405">
        <f ca="1">+E81/E28</f>
        <v>950.03171538025697</v>
      </c>
      <c r="F80" s="405">
        <f ca="1">+F81/F28</f>
        <v>527.79539743347596</v>
      </c>
      <c r="G80" s="405">
        <f ca="1">+G81/G28</f>
        <v>527.79539743347596</v>
      </c>
      <c r="H80" s="555"/>
      <c r="I80" s="555"/>
      <c r="J80" s="178"/>
    </row>
    <row r="81" spans="2:16">
      <c r="B81" s="192" t="s">
        <v>289</v>
      </c>
      <c r="C81" s="241" t="s">
        <v>71</v>
      </c>
      <c r="D81" s="283">
        <f ca="1">-PMT(rSØK,D27,D82)</f>
        <v>9844.2234793614771</v>
      </c>
      <c r="E81" s="283">
        <f ca="1">-PMT(rSØK,E27,E82)</f>
        <v>4922.1117396807385</v>
      </c>
      <c r="F81" s="283">
        <f ca="1">-PMT(rSØK,F27,F82)</f>
        <v>2734.5065220448541</v>
      </c>
      <c r="G81" s="283">
        <f ca="1">-PMT(rSØK,G27,G82)</f>
        <v>2734.5065220448541</v>
      </c>
      <c r="H81" s="555"/>
      <c r="I81" s="555"/>
      <c r="J81" s="178"/>
    </row>
    <row r="82" spans="2:16" s="172" customFormat="1">
      <c r="B82" s="192" t="s">
        <v>289</v>
      </c>
      <c r="C82" s="241" t="s">
        <v>61</v>
      </c>
      <c r="D82" s="439">
        <f>D83*D84</f>
        <v>108000</v>
      </c>
      <c r="E82" s="439">
        <f>E83*E84</f>
        <v>54000</v>
      </c>
      <c r="F82" s="439">
        <f>F83*F84</f>
        <v>30000</v>
      </c>
      <c r="G82" s="439">
        <f>G83*G84</f>
        <v>30000</v>
      </c>
      <c r="H82" s="555"/>
      <c r="I82" s="555"/>
      <c r="J82" s="178"/>
    </row>
    <row r="83" spans="2:16" s="172" customFormat="1">
      <c r="B83" s="192" t="s">
        <v>869</v>
      </c>
      <c r="C83" s="241" t="s">
        <v>616</v>
      </c>
      <c r="D83" s="352">
        <v>4500</v>
      </c>
      <c r="E83" s="352">
        <v>2250</v>
      </c>
      <c r="F83" s="352">
        <v>1250</v>
      </c>
      <c r="G83" s="352">
        <v>1250</v>
      </c>
      <c r="H83" s="283"/>
      <c r="I83" s="283" t="str">
        <f>CONCATENATE(Referencer!$B$11,", ",Referencer!$B$15,", ",Referencer!$B$16,", ",Referencer!$B$17)</f>
        <v>5, Concawe (2011): Well-to-wheels analysis of future automotive fuels and power-trains in the European Context. November 2011., 9, Better Place, Renault Fluence, 10, COWI, Literaturstudie vedrørerende aktuelle og forventede priser på batterier, sendt til ENS, 11, Catalyst, Forsøgsordning med el-biler - tredje runde. Juni 2011. ENS</v>
      </c>
      <c r="J83" s="229" t="s">
        <v>1035</v>
      </c>
    </row>
    <row r="84" spans="2:16" s="172" customFormat="1">
      <c r="B84" s="192" t="s">
        <v>870</v>
      </c>
      <c r="C84" s="241" t="s">
        <v>871</v>
      </c>
      <c r="D84" s="352">
        <v>24</v>
      </c>
      <c r="E84" s="352">
        <v>24</v>
      </c>
      <c r="F84" s="352">
        <v>24</v>
      </c>
      <c r="G84" s="352">
        <v>24</v>
      </c>
      <c r="H84" s="283"/>
      <c r="I84" s="283" t="s">
        <v>2713</v>
      </c>
      <c r="J84" s="178"/>
      <c r="M84" s="352">
        <v>17.8</v>
      </c>
      <c r="N84" s="352">
        <v>22.1</v>
      </c>
      <c r="O84" s="352">
        <v>22.1</v>
      </c>
      <c r="P84" s="352">
        <v>22.1</v>
      </c>
    </row>
    <row r="85" spans="2:16" s="172" customFormat="1">
      <c r="B85" s="192"/>
      <c r="C85" s="241"/>
      <c r="D85" s="352"/>
      <c r="E85" s="352"/>
      <c r="F85" s="352"/>
      <c r="G85" s="352"/>
      <c r="H85" s="283"/>
      <c r="I85" s="283"/>
      <c r="J85" s="178"/>
      <c r="M85" s="352"/>
      <c r="N85" s="352"/>
      <c r="O85" s="352"/>
      <c r="P85" s="352"/>
    </row>
    <row r="86" spans="2:16" s="172" customFormat="1">
      <c r="B86" s="192" t="s">
        <v>1032</v>
      </c>
      <c r="C86" s="241" t="s">
        <v>1033</v>
      </c>
      <c r="D86" s="913">
        <v>0.1138</v>
      </c>
      <c r="E86" s="952">
        <v>8.8900000000000007E-2</v>
      </c>
      <c r="F86" s="952">
        <v>8.8900000000000007E-2</v>
      </c>
      <c r="G86" s="952">
        <v>8.8900000000000007E-2</v>
      </c>
      <c r="H86" s="283"/>
      <c r="I86" s="283" t="str">
        <f>CONCATENATE(Referencer!$B$40)</f>
        <v>34, JEC - Joint Research Centre-EUCAR-CONCAWE collaboration, Tank to Wheels Report, version 4.0, July 2013</v>
      </c>
      <c r="J86" s="178" t="s">
        <v>2679</v>
      </c>
      <c r="M86" s="352"/>
      <c r="N86" s="352"/>
      <c r="O86" s="352"/>
      <c r="P86" s="352"/>
    </row>
    <row r="87" spans="2:16" s="172" customFormat="1">
      <c r="B87" s="192"/>
      <c r="C87" s="241"/>
      <c r="D87" s="352"/>
      <c r="E87" s="352"/>
      <c r="F87" s="352"/>
      <c r="G87" s="352"/>
      <c r="H87" s="283"/>
      <c r="I87" s="283"/>
      <c r="J87" s="178"/>
      <c r="M87" s="352"/>
      <c r="N87" s="352"/>
      <c r="O87" s="352"/>
      <c r="P87" s="352"/>
    </row>
    <row r="88" spans="2:16" ht="13.5" thickBot="1">
      <c r="B88" s="181"/>
      <c r="C88" s="243"/>
      <c r="D88" s="282"/>
      <c r="E88" s="282"/>
      <c r="F88" s="282"/>
      <c r="G88" s="282"/>
      <c r="H88" s="315"/>
      <c r="I88" s="315"/>
      <c r="J88" s="183"/>
    </row>
    <row r="89" spans="2:16">
      <c r="D89" s="140">
        <f>-PMT(6%,16.3,108000)</f>
        <v>10567.943410596476</v>
      </c>
      <c r="E89" s="140"/>
      <c r="F89" s="140"/>
      <c r="G89" s="140"/>
      <c r="H89" s="172"/>
      <c r="J89" s="120" t="s">
        <v>512</v>
      </c>
    </row>
    <row r="90" spans="2:16" ht="16.5" thickBot="1">
      <c r="B90" s="130" t="s">
        <v>172</v>
      </c>
      <c r="H90" s="172"/>
    </row>
    <row r="91" spans="2:16">
      <c r="B91" s="63" t="s">
        <v>273</v>
      </c>
      <c r="C91" s="64"/>
      <c r="D91" s="293">
        <v>0.40970000000000001</v>
      </c>
      <c r="E91" s="131">
        <v>0.32</v>
      </c>
      <c r="F91" s="131">
        <v>0.32</v>
      </c>
      <c r="G91" s="131">
        <v>0.32</v>
      </c>
      <c r="H91" s="294"/>
      <c r="I91" s="1576" t="str">
        <f>CONCATENATE(Referencer!$B$40)</f>
        <v>34, JEC - Joint Research Centre-EUCAR-CONCAWE collaboration, Tank to Wheels Report, version 4.0, July 2013</v>
      </c>
      <c r="J91" s="1472" t="s">
        <v>2679</v>
      </c>
    </row>
    <row r="92" spans="2:16">
      <c r="B92" s="60"/>
      <c r="C92" s="65"/>
      <c r="D92" s="65"/>
      <c r="E92" s="65"/>
      <c r="F92" s="65"/>
      <c r="G92" s="455"/>
      <c r="H92" s="455"/>
      <c r="I92" s="65"/>
      <c r="J92" s="59"/>
    </row>
    <row r="93" spans="2:16">
      <c r="B93" s="60" t="s">
        <v>24</v>
      </c>
      <c r="C93" s="65" t="s">
        <v>7</v>
      </c>
      <c r="D93" s="141">
        <v>0</v>
      </c>
      <c r="E93" s="141">
        <v>0</v>
      </c>
      <c r="F93" s="141">
        <v>0</v>
      </c>
      <c r="G93" s="141"/>
      <c r="H93" s="455"/>
      <c r="I93" s="65"/>
      <c r="J93" s="59"/>
    </row>
    <row r="94" spans="2:16">
      <c r="B94" s="60" t="s">
        <v>27</v>
      </c>
      <c r="C94" s="65" t="s">
        <v>7</v>
      </c>
      <c r="D94" s="141">
        <v>0</v>
      </c>
      <c r="E94" s="141">
        <v>0</v>
      </c>
      <c r="F94" s="141">
        <v>0</v>
      </c>
      <c r="G94" s="141"/>
      <c r="H94" s="455"/>
      <c r="I94" s="65"/>
      <c r="J94" s="59"/>
    </row>
    <row r="95" spans="2:16">
      <c r="B95" s="60" t="s">
        <v>28</v>
      </c>
      <c r="C95" s="65" t="s">
        <v>7</v>
      </c>
      <c r="D95" s="141">
        <v>0</v>
      </c>
      <c r="E95" s="141">
        <v>0</v>
      </c>
      <c r="F95" s="141">
        <v>0</v>
      </c>
      <c r="G95" s="141"/>
      <c r="H95" s="455"/>
      <c r="I95" s="65"/>
      <c r="J95" s="59"/>
    </row>
    <row r="96" spans="2:16">
      <c r="B96" s="60" t="s">
        <v>26</v>
      </c>
      <c r="C96" s="65" t="s">
        <v>7</v>
      </c>
      <c r="D96" s="141">
        <v>0</v>
      </c>
      <c r="E96" s="141">
        <v>0</v>
      </c>
      <c r="F96" s="141">
        <v>0</v>
      </c>
      <c r="G96" s="141"/>
      <c r="H96" s="455"/>
      <c r="I96" s="65"/>
      <c r="J96" s="59"/>
    </row>
    <row r="97" spans="2:10">
      <c r="B97" s="60" t="s">
        <v>167</v>
      </c>
      <c r="C97" s="65" t="s">
        <v>7</v>
      </c>
      <c r="D97" s="141">
        <v>0</v>
      </c>
      <c r="E97" s="141">
        <v>0</v>
      </c>
      <c r="F97" s="141">
        <v>0</v>
      </c>
      <c r="G97" s="141"/>
      <c r="H97" s="455"/>
      <c r="I97" s="65"/>
      <c r="J97" s="59"/>
    </row>
    <row r="98" spans="2:10">
      <c r="B98" s="60" t="s">
        <v>45</v>
      </c>
      <c r="C98" s="65" t="s">
        <v>7</v>
      </c>
      <c r="D98" s="141">
        <v>0</v>
      </c>
      <c r="E98" s="141">
        <v>0</v>
      </c>
      <c r="F98" s="141">
        <v>0</v>
      </c>
      <c r="G98" s="141"/>
      <c r="H98" s="455"/>
      <c r="I98" s="65"/>
      <c r="J98" s="59"/>
    </row>
    <row r="99" spans="2:10" ht="13.5" thickBot="1">
      <c r="B99" s="62"/>
      <c r="C99" s="69"/>
      <c r="D99" s="69"/>
      <c r="E99" s="69"/>
      <c r="F99" s="69"/>
      <c r="G99" s="244"/>
      <c r="H99" s="244"/>
      <c r="I99" s="69"/>
      <c r="J99" s="61"/>
    </row>
  </sheetData>
  <pageMargins left="0.15748031496062992" right="0.15748031496062992" top="1.25" bottom="0.19685039370078741" header="0.51181102362204722" footer="0.51181102362204722"/>
  <pageSetup paperSize="9" scale="60" orientation="landscape" r:id="rId1"/>
  <headerFooter alignWithMargins="0">
    <oddHeader>&amp;L&amp;"Arial"&amp;14&amp;BBeregningsmodel
&amp;"Arial"&amp;08&amp;B64329, Teknologivurdering af alternative drivmidler til transportsektoren&amp;R&amp;"Arial"&amp;08Page &amp;P of &amp;N</oddHeader>
    <oddFooter>&amp;L&amp;"Arial"&amp;08&amp;Z&amp;F
Sheet: &amp;A&amp;C&amp;"Arial"&amp;08Printed &amp;D &amp;T&amp;R&amp;G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1747" r:id="rId5" name="Button 3">
              <controlPr defaultSize="0" print="0" autoFill="0" autoPict="0" macro="[0]!GtOver">
                <anchor>
                  <from>
                    <xdr:col>8</xdr:col>
                    <xdr:colOff>314325</xdr:colOff>
                    <xdr:row>0</xdr:row>
                    <xdr:rowOff>38100</xdr:rowOff>
                  </from>
                  <to>
                    <xdr:col>9</xdr:col>
                    <xdr:colOff>676275</xdr:colOff>
                    <xdr:row>0</xdr:row>
                    <xdr:rowOff>238125</xdr:rowOff>
                  </to>
                </anchor>
              </controlPr>
            </control>
          </mc:Choice>
        </mc:AlternateContent>
        <mc:AlternateContent xmlns:mc="http://schemas.openxmlformats.org/markup-compatibility/2006">
          <mc:Choice Requires="x14">
            <control shapeId="31748" r:id="rId6" name="Button 4">
              <controlPr defaultSize="0" print="0" autoFill="0" autoPict="0" macro="[0]!GtRes">
                <anchor>
                  <from>
                    <xdr:col>10</xdr:col>
                    <xdr:colOff>114300</xdr:colOff>
                    <xdr:row>0</xdr:row>
                    <xdr:rowOff>38100</xdr:rowOff>
                  </from>
                  <to>
                    <xdr:col>11</xdr:col>
                    <xdr:colOff>581025</xdr:colOff>
                    <xdr:row>0</xdr:row>
                    <xdr:rowOff>238125</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002060"/>
    <pageSetUpPr fitToPage="1"/>
  </sheetPr>
  <dimension ref="B1:S99"/>
  <sheetViews>
    <sheetView topLeftCell="A34" zoomScale="80" zoomScaleNormal="80" workbookViewId="0">
      <selection activeCell="D24" sqref="D24"/>
    </sheetView>
  </sheetViews>
  <sheetFormatPr defaultColWidth="8.85546875" defaultRowHeight="12.75"/>
  <cols>
    <col min="1" max="1" width="2.85546875" style="1447" customWidth="1"/>
    <col min="2" max="2" width="35" style="1447" customWidth="1"/>
    <col min="3" max="3" width="18" style="1447" customWidth="1"/>
    <col min="4" max="8" width="15.85546875" style="1447" customWidth="1"/>
    <col min="9" max="9" width="7.140625" style="1447" customWidth="1"/>
    <col min="10" max="10" width="37.42578125" style="1447" customWidth="1"/>
    <col min="11" max="11" width="9" style="1447" customWidth="1"/>
    <col min="12" max="12" width="10.85546875" style="1447" customWidth="1"/>
    <col min="13" max="13" width="9.140625" style="1447" customWidth="1"/>
    <col min="14" max="14" width="9" style="1447" customWidth="1"/>
    <col min="15" max="15" width="8.85546875" style="1447"/>
    <col min="16" max="16" width="37.85546875" style="1447" customWidth="1"/>
    <col min="17" max="18" width="8.85546875" style="1447"/>
    <col min="19" max="19" width="9.140625" style="1447" customWidth="1"/>
    <col min="20" max="16384" width="8.85546875" style="1447"/>
  </cols>
  <sheetData>
    <row r="1" spans="2:19" s="2403" customFormat="1" ht="21">
      <c r="B1" s="2403" t="s">
        <v>72</v>
      </c>
      <c r="Q1" s="2403">
        <f ca="1">'Log2015'!M1</f>
        <v>-8.0112614142160741</v>
      </c>
      <c r="R1" s="2405">
        <f ca="1">'Log2015'!N1</f>
        <v>-160807.124977848</v>
      </c>
      <c r="S1" s="2406"/>
    </row>
    <row r="2" spans="2:19">
      <c r="R2" s="626">
        <f ca="1">R1</f>
        <v>-160807.124977848</v>
      </c>
      <c r="S2" s="626">
        <f>S1</f>
        <v>0</v>
      </c>
    </row>
    <row r="4" spans="2:19" ht="13.5" thickBot="1">
      <c r="B4" s="1446" t="s">
        <v>81</v>
      </c>
    </row>
    <row r="5" spans="2:19">
      <c r="B5" s="1448" t="s">
        <v>137</v>
      </c>
      <c r="C5" s="1449"/>
      <c r="D5" s="1449"/>
      <c r="E5" s="1449"/>
      <c r="F5" s="1449"/>
      <c r="G5" s="1449"/>
      <c r="H5" s="1449"/>
      <c r="I5" s="1449"/>
      <c r="J5" s="1449"/>
      <c r="K5" s="1449"/>
      <c r="L5" s="1449"/>
      <c r="M5" s="1449"/>
      <c r="N5" s="1449"/>
      <c r="O5" s="1450"/>
    </row>
    <row r="6" spans="2:19">
      <c r="B6" s="1476" t="s">
        <v>2631</v>
      </c>
      <c r="C6" s="1471"/>
      <c r="D6" s="1471"/>
      <c r="E6" s="1471"/>
      <c r="F6" s="1471"/>
      <c r="G6" s="1471"/>
      <c r="H6" s="1471"/>
      <c r="I6" s="1471"/>
      <c r="J6" s="1471"/>
      <c r="K6" s="1471"/>
      <c r="L6" s="1471"/>
      <c r="M6" s="1471"/>
      <c r="N6" s="1471"/>
      <c r="O6" s="1472"/>
    </row>
    <row r="7" spans="2:19">
      <c r="B7" s="1476"/>
      <c r="C7" s="1471"/>
      <c r="D7" s="1471"/>
      <c r="E7" s="1471"/>
      <c r="F7" s="1471"/>
      <c r="G7" s="1471"/>
      <c r="H7" s="1471"/>
      <c r="I7" s="1471"/>
      <c r="J7" s="1471"/>
      <c r="K7" s="1471"/>
      <c r="L7" s="1471"/>
      <c r="M7" s="1471"/>
      <c r="N7" s="1471"/>
      <c r="O7" s="1472"/>
    </row>
    <row r="8" spans="2:19">
      <c r="B8" s="1476"/>
      <c r="C8" s="1471"/>
      <c r="D8" s="1471"/>
      <c r="E8" s="1471"/>
      <c r="F8" s="1471"/>
      <c r="G8" s="1471"/>
      <c r="H8" s="1471"/>
      <c r="I8" s="1471"/>
      <c r="J8" s="1471"/>
      <c r="K8" s="1471"/>
      <c r="L8" s="1471"/>
      <c r="M8" s="1471"/>
      <c r="N8" s="1471"/>
      <c r="O8" s="1472"/>
    </row>
    <row r="9" spans="2:19">
      <c r="B9" s="1476"/>
      <c r="C9" s="1471"/>
      <c r="D9" s="1471"/>
      <c r="E9" s="1471"/>
      <c r="F9" s="1471"/>
      <c r="G9" s="1471"/>
      <c r="H9" s="1471"/>
      <c r="I9" s="1471"/>
      <c r="J9" s="1471"/>
      <c r="K9" s="1471"/>
      <c r="L9" s="1471"/>
      <c r="M9" s="1471"/>
      <c r="N9" s="1471"/>
      <c r="O9" s="1472"/>
    </row>
    <row r="10" spans="2:19">
      <c r="B10" s="1476"/>
      <c r="C10" s="1471"/>
      <c r="D10" s="1471"/>
      <c r="E10" s="1471"/>
      <c r="F10" s="1471"/>
      <c r="G10" s="1471"/>
      <c r="H10" s="1471"/>
      <c r="I10" s="1471"/>
      <c r="J10" s="1471"/>
      <c r="K10" s="1471"/>
      <c r="L10" s="1471"/>
      <c r="M10" s="1471"/>
      <c r="N10" s="1471"/>
      <c r="O10" s="1472"/>
    </row>
    <row r="11" spans="2:19">
      <c r="B11" s="1556" t="s">
        <v>256</v>
      </c>
      <c r="C11" s="1471"/>
      <c r="D11" s="1471"/>
      <c r="E11" s="1471"/>
      <c r="F11" s="1471"/>
      <c r="G11" s="1471"/>
      <c r="H11" s="1471"/>
      <c r="I11" s="1471"/>
      <c r="J11" s="1471"/>
      <c r="K11" s="1471"/>
      <c r="L11" s="1471"/>
      <c r="M11" s="1471"/>
      <c r="N11" s="1471"/>
      <c r="O11" s="1472"/>
    </row>
    <row r="12" spans="2:19">
      <c r="B12" s="1476"/>
      <c r="C12" s="1471"/>
      <c r="D12" s="1471"/>
      <c r="E12" s="1471"/>
      <c r="F12" s="1471"/>
      <c r="G12" s="1471"/>
      <c r="H12" s="1471"/>
      <c r="I12" s="1471"/>
      <c r="J12" s="1471"/>
      <c r="K12" s="1471"/>
      <c r="L12" s="1471"/>
      <c r="M12" s="1471"/>
      <c r="N12" s="1471"/>
      <c r="O12" s="1472"/>
    </row>
    <row r="13" spans="2:19">
      <c r="B13" s="1476"/>
      <c r="C13" s="1471"/>
      <c r="D13" s="1471"/>
      <c r="E13" s="1471"/>
      <c r="F13" s="1471"/>
      <c r="G13" s="1471"/>
      <c r="H13" s="1471"/>
      <c r="I13" s="1471"/>
      <c r="J13" s="1471"/>
      <c r="K13" s="1471"/>
      <c r="L13" s="1471"/>
      <c r="M13" s="1471"/>
      <c r="N13" s="1471"/>
      <c r="O13" s="1472"/>
    </row>
    <row r="14" spans="2:19">
      <c r="B14" s="1556" t="s">
        <v>143</v>
      </c>
      <c r="C14" s="1471"/>
      <c r="D14" s="1471"/>
      <c r="E14" s="1471"/>
      <c r="F14" s="1471"/>
      <c r="G14" s="1471"/>
      <c r="H14" s="1471"/>
      <c r="I14" s="1471"/>
      <c r="J14" s="1471"/>
      <c r="K14" s="1471"/>
      <c r="L14" s="1471"/>
      <c r="M14" s="1471"/>
      <c r="N14" s="1471"/>
      <c r="O14" s="1472"/>
    </row>
    <row r="15" spans="2:19">
      <c r="B15" s="1476"/>
      <c r="C15" s="1471"/>
      <c r="D15" s="1471"/>
      <c r="E15" s="1471"/>
      <c r="F15" s="1471"/>
      <c r="G15" s="1471"/>
      <c r="H15" s="1471"/>
      <c r="I15" s="1471"/>
      <c r="J15" s="1471"/>
      <c r="K15" s="1471"/>
      <c r="L15" s="1471"/>
      <c r="M15" s="1471"/>
      <c r="N15" s="1471"/>
      <c r="O15" s="1472"/>
    </row>
    <row r="16" spans="2:19">
      <c r="B16" s="1468"/>
      <c r="C16" s="1471"/>
      <c r="D16" s="1471"/>
      <c r="E16" s="1471"/>
      <c r="F16" s="1471"/>
      <c r="G16" s="1471"/>
      <c r="H16" s="1471"/>
      <c r="I16" s="1471"/>
      <c r="J16" s="1471"/>
      <c r="K16" s="1471"/>
      <c r="L16" s="1471"/>
      <c r="M16" s="1471"/>
      <c r="N16" s="1471"/>
      <c r="O16" s="1472"/>
    </row>
    <row r="17" spans="2:15" ht="13.5" thickBot="1">
      <c r="B17" s="1521"/>
      <c r="C17" s="1501"/>
      <c r="D17" s="1501"/>
      <c r="E17" s="1501"/>
      <c r="F17" s="1501"/>
      <c r="G17" s="1501"/>
      <c r="H17" s="1501"/>
      <c r="I17" s="1501"/>
      <c r="J17" s="1501"/>
      <c r="K17" s="1501"/>
      <c r="L17" s="1501"/>
      <c r="M17" s="1501"/>
      <c r="N17" s="1501"/>
      <c r="O17" s="1503"/>
    </row>
    <row r="19" spans="2:15" ht="13.5" thickBot="1">
      <c r="B19" s="1446" t="s">
        <v>144</v>
      </c>
      <c r="E19" s="1454"/>
      <c r="F19" s="1454"/>
      <c r="G19" s="1454"/>
    </row>
    <row r="20" spans="2:15">
      <c r="B20" s="1455"/>
      <c r="C20" s="1456"/>
      <c r="D20" s="1557"/>
      <c r="E20" s="1449"/>
      <c r="F20" s="1449"/>
      <c r="G20" s="1449"/>
      <c r="H20" s="1449"/>
      <c r="I20" s="1449" t="s">
        <v>145</v>
      </c>
      <c r="J20" s="1450" t="s">
        <v>146</v>
      </c>
    </row>
    <row r="21" spans="2:15">
      <c r="B21" s="1460"/>
      <c r="C21" s="1461" t="s">
        <v>70</v>
      </c>
      <c r="D21" s="1506">
        <v>2015</v>
      </c>
      <c r="E21" s="1507">
        <v>2020</v>
      </c>
      <c r="F21" s="1507">
        <v>2035</v>
      </c>
      <c r="G21" s="1507">
        <v>2050</v>
      </c>
      <c r="H21" s="1507" t="s">
        <v>978</v>
      </c>
      <c r="I21" s="287" t="s">
        <v>1782</v>
      </c>
      <c r="J21" s="1465"/>
    </row>
    <row r="22" spans="2:15">
      <c r="B22" s="1468" t="s">
        <v>257</v>
      </c>
      <c r="C22" s="1469"/>
      <c r="D22" s="153"/>
      <c r="E22" s="1470"/>
      <c r="F22" s="1470"/>
      <c r="G22" s="1470"/>
      <c r="H22" s="1470"/>
      <c r="I22" s="1471"/>
      <c r="J22" s="1472"/>
    </row>
    <row r="23" spans="2:15">
      <c r="B23" s="122" t="s">
        <v>848</v>
      </c>
      <c r="C23" s="1469" t="s">
        <v>258</v>
      </c>
      <c r="D23" s="308">
        <f>D71</f>
        <v>0.4</v>
      </c>
      <c r="E23" s="281">
        <f>E71</f>
        <v>0.42</v>
      </c>
      <c r="F23" s="281">
        <f>F71</f>
        <v>0.44</v>
      </c>
      <c r="G23" s="281">
        <f>G71</f>
        <v>0.44</v>
      </c>
      <c r="H23" s="1657"/>
      <c r="I23" s="1474"/>
      <c r="J23" s="1472"/>
      <c r="K23" s="164"/>
    </row>
    <row r="24" spans="2:15">
      <c r="B24" s="122" t="s">
        <v>849</v>
      </c>
      <c r="C24" s="1469" t="s">
        <v>258</v>
      </c>
      <c r="D24" s="416">
        <f>D23</f>
        <v>0.4</v>
      </c>
      <c r="E24" s="417">
        <f>E23</f>
        <v>0.42</v>
      </c>
      <c r="F24" s="417">
        <f>F23</f>
        <v>0.44</v>
      </c>
      <c r="G24" s="417">
        <f>G23</f>
        <v>0.44</v>
      </c>
      <c r="H24" s="1657"/>
      <c r="I24" s="1474"/>
      <c r="J24" s="1472"/>
      <c r="K24" s="164"/>
    </row>
    <row r="25" spans="2:15">
      <c r="B25" s="122" t="s">
        <v>1025</v>
      </c>
      <c r="C25" s="1469" t="s">
        <v>1024</v>
      </c>
      <c r="D25" s="416">
        <f>D75</f>
        <v>14.1212316</v>
      </c>
      <c r="E25" s="417">
        <f>E75</f>
        <v>13.448792000000001</v>
      </c>
      <c r="F25" s="417">
        <f>F75</f>
        <v>12.837483272727273</v>
      </c>
      <c r="G25" s="417">
        <f>G75</f>
        <v>12.837483272727271</v>
      </c>
      <c r="H25" s="1658"/>
      <c r="I25" s="1576"/>
      <c r="J25" s="1472"/>
      <c r="K25" s="164"/>
    </row>
    <row r="26" spans="2:15">
      <c r="B26" s="122" t="s">
        <v>1026</v>
      </c>
      <c r="C26" s="1469" t="s">
        <v>1024</v>
      </c>
      <c r="D26" s="416"/>
      <c r="E26" s="417"/>
      <c r="F26" s="417"/>
      <c r="G26" s="417"/>
      <c r="H26" s="1658"/>
      <c r="I26" s="1576"/>
      <c r="J26" s="1472"/>
      <c r="K26" s="164"/>
    </row>
    <row r="27" spans="2:15">
      <c r="B27" s="1476" t="s">
        <v>98</v>
      </c>
      <c r="C27" s="1469" t="s">
        <v>259</v>
      </c>
      <c r="D27" s="1477">
        <v>6</v>
      </c>
      <c r="E27" s="1478">
        <v>6</v>
      </c>
      <c r="F27" s="1478">
        <v>6</v>
      </c>
      <c r="G27" s="1478">
        <v>6</v>
      </c>
      <c r="H27" s="1478"/>
      <c r="I27" s="1576" t="str">
        <f>Referencer!$B$74</f>
        <v>70, RAMMEVILKÅR FOR GAS TIL TUNG VEJTRANSPORT, Energistyrelsen, 2014</v>
      </c>
      <c r="J27" s="1472"/>
      <c r="K27" s="164"/>
    </row>
    <row r="28" spans="2:15">
      <c r="B28" s="1476" t="s">
        <v>260</v>
      </c>
      <c r="C28" s="1469" t="s">
        <v>261</v>
      </c>
      <c r="D28" s="1560">
        <f>+D67*D68/1000</f>
        <v>282.42463200000003</v>
      </c>
      <c r="E28" s="1561">
        <f>+E67*E68/1000</f>
        <v>282.42463200000003</v>
      </c>
      <c r="F28" s="1561">
        <f>+F67*F68/1000</f>
        <v>282.42463199999997</v>
      </c>
      <c r="G28" s="1561">
        <f>+G67*G68/1000</f>
        <v>282.42463199999992</v>
      </c>
      <c r="H28" s="1659"/>
      <c r="I28" s="1576"/>
      <c r="J28" s="1472"/>
      <c r="K28" s="164"/>
    </row>
    <row r="29" spans="2:15">
      <c r="B29" s="1484"/>
      <c r="C29" s="1485"/>
      <c r="D29" s="1562"/>
      <c r="E29" s="1486"/>
      <c r="F29" s="1486"/>
      <c r="G29" s="1486"/>
      <c r="H29" s="1486"/>
      <c r="I29" s="555"/>
      <c r="J29" s="1472"/>
      <c r="K29" s="164"/>
    </row>
    <row r="30" spans="2:15">
      <c r="B30" s="1468" t="s">
        <v>33</v>
      </c>
      <c r="C30" s="1469"/>
      <c r="D30" s="1562"/>
      <c r="E30" s="1486"/>
      <c r="F30" s="1486"/>
      <c r="G30" s="1486"/>
      <c r="H30" s="1486"/>
      <c r="I30" s="555"/>
      <c r="J30" s="1472"/>
      <c r="K30" s="164"/>
    </row>
    <row r="31" spans="2:15">
      <c r="B31" s="1476" t="s">
        <v>157</v>
      </c>
      <c r="C31" s="1469" t="s">
        <v>61</v>
      </c>
      <c r="D31" s="992">
        <f ca="1">HLOOKUP($H38,Supplementary!$C$44:$AF$46,3,FALSE)*D38</f>
        <v>779893.90271614201</v>
      </c>
      <c r="E31" s="992">
        <f ca="1">HLOOKUP($H38,Supplementary!$C$44:$AF$46,3,FALSE)*E38</f>
        <v>779893.90271614201</v>
      </c>
      <c r="F31" s="992">
        <f ca="1">HLOOKUP($H38,Supplementary!$C$44:$AF$46,3,FALSE)*F38</f>
        <v>779893.90271614201</v>
      </c>
      <c r="G31" s="992">
        <f ca="1">HLOOKUP($H38,Supplementary!$C$44:$AF$46,3,FALSE)*G38</f>
        <v>779893.90271614201</v>
      </c>
      <c r="H31" s="323">
        <f>priceYear</f>
        <v>2015</v>
      </c>
      <c r="I31" s="555"/>
      <c r="J31" s="1472"/>
    </row>
    <row r="32" spans="2:15">
      <c r="B32" s="1484" t="s">
        <v>262</v>
      </c>
      <c r="C32" s="1469" t="s">
        <v>263</v>
      </c>
      <c r="D32" s="992">
        <f ca="1">HLOOKUP($H39,Supplementary!$C$44:$AF$46,3,FALSE)*D39</f>
        <v>1117.6453318997922</v>
      </c>
      <c r="E32" s="992">
        <f ca="1">HLOOKUP($H39,Supplementary!$C$44:$AF$46,3,FALSE)*E39</f>
        <v>1117.6453318997922</v>
      </c>
      <c r="F32" s="992">
        <f ca="1">HLOOKUP($H39,Supplementary!$C$44:$AF$46,3,FALSE)*F39</f>
        <v>1117.6453318997924</v>
      </c>
      <c r="G32" s="992">
        <f ca="1">HLOOKUP($H39,Supplementary!$C$44:$AF$46,3,FALSE)*G39</f>
        <v>1117.6453318997926</v>
      </c>
      <c r="H32" s="323">
        <f>priceYear</f>
        <v>2015</v>
      </c>
      <c r="I32" s="555"/>
      <c r="J32" s="1472"/>
    </row>
    <row r="33" spans="2:11">
      <c r="B33" s="1492" t="s">
        <v>162</v>
      </c>
      <c r="C33" s="1469" t="s">
        <v>263</v>
      </c>
      <c r="D33" s="992">
        <f ca="1">HLOOKUP($H40,Supplementary!$C$44:$AF$46,3,FALSE)*D40</f>
        <v>544.04858747486219</v>
      </c>
      <c r="E33" s="992">
        <f ca="1">HLOOKUP($H40,Supplementary!$C$44:$AF$46,3,FALSE)*E40</f>
        <v>544.04858747486219</v>
      </c>
      <c r="F33" s="992">
        <f ca="1">HLOOKUP($H40,Supplementary!$C$44:$AF$46,3,FALSE)*F40</f>
        <v>544.0485874748623</v>
      </c>
      <c r="G33" s="992">
        <f ca="1">HLOOKUP($H40,Supplementary!$C$44:$AF$46,3,FALSE)*G40</f>
        <v>544.04858747486253</v>
      </c>
      <c r="H33" s="323">
        <f>priceYear</f>
        <v>2015</v>
      </c>
      <c r="I33" s="555"/>
      <c r="J33" s="1472"/>
    </row>
    <row r="34" spans="2:11">
      <c r="B34" s="1492" t="s">
        <v>163</v>
      </c>
      <c r="C34" s="1469" t="s">
        <v>263</v>
      </c>
      <c r="D34" s="992">
        <f>HLOOKUP($H41,Supplementary!$C$44:$AF$46,3,FALSE)*D41</f>
        <v>573.59674442492985</v>
      </c>
      <c r="E34" s="992">
        <f>HLOOKUP($H41,Supplementary!$C$44:$AF$46,3,FALSE)*E41</f>
        <v>573.59674442492985</v>
      </c>
      <c r="F34" s="992">
        <f>HLOOKUP($H41,Supplementary!$C$44:$AF$46,3,FALSE)*F41</f>
        <v>573.59674442492997</v>
      </c>
      <c r="G34" s="992">
        <f>HLOOKUP($H41,Supplementary!$C$44:$AF$46,3,FALSE)*G41</f>
        <v>573.59674442493008</v>
      </c>
      <c r="H34" s="323">
        <f>priceYear</f>
        <v>2015</v>
      </c>
      <c r="I34" s="555"/>
      <c r="J34" s="1472"/>
    </row>
    <row r="35" spans="2:11">
      <c r="B35" s="1492"/>
      <c r="C35" s="1469"/>
      <c r="D35" s="992"/>
      <c r="E35" s="992"/>
      <c r="F35" s="992"/>
      <c r="G35" s="992"/>
      <c r="H35" s="323"/>
      <c r="I35" s="555"/>
      <c r="J35" s="1472"/>
    </row>
    <row r="36" spans="2:11">
      <c r="B36" s="1492" t="s">
        <v>264</v>
      </c>
      <c r="C36" s="1469" t="s">
        <v>263</v>
      </c>
      <c r="D36" s="992">
        <f>HLOOKUP($H43,Supplementary!$C$44:$AF$46,3,FALSE)*D43</f>
        <v>0</v>
      </c>
      <c r="E36" s="992">
        <f>HLOOKUP($H43,Supplementary!$C$44:$AF$46,3,FALSE)*E43</f>
        <v>0</v>
      </c>
      <c r="F36" s="992">
        <f>HLOOKUP($H43,Supplementary!$C$44:$AF$46,3,FALSE)*F43</f>
        <v>0</v>
      </c>
      <c r="G36" s="992">
        <f>HLOOKUP($H43,Supplementary!$C$44:$AF$46,3,FALSE)*G43</f>
        <v>0</v>
      </c>
      <c r="H36" s="323">
        <f>priceYear</f>
        <v>2015</v>
      </c>
      <c r="I36" s="555"/>
      <c r="J36" s="1472"/>
    </row>
    <row r="37" spans="2:11">
      <c r="B37" s="1468"/>
      <c r="C37" s="1469"/>
      <c r="D37" s="1562"/>
      <c r="E37" s="1486"/>
      <c r="F37" s="1486"/>
      <c r="G37" s="1486"/>
      <c r="H37" s="1486"/>
      <c r="I37" s="555"/>
      <c r="J37" s="1472"/>
    </row>
    <row r="38" spans="2:11">
      <c r="B38" s="1476" t="s">
        <v>157</v>
      </c>
      <c r="C38" s="1469" t="s">
        <v>61</v>
      </c>
      <c r="D38" s="311">
        <f ca="1">951180-268235/(1+rSØK)^D27</f>
        <v>751018.91308317415</v>
      </c>
      <c r="E38" s="311">
        <f ca="1">951180-268235/(1+rSØK)^D27</f>
        <v>751018.91308317415</v>
      </c>
      <c r="F38" s="311">
        <f ca="1">951180-268235/(1+rSØK)^D27</f>
        <v>751018.91308317415</v>
      </c>
      <c r="G38" s="311">
        <f ca="1">951180-268235/(1+rSØK)^D27</f>
        <v>751018.91308317415</v>
      </c>
      <c r="H38" s="407">
        <v>2013</v>
      </c>
      <c r="I38" s="1576" t="str">
        <f>Referencer!$B$23</f>
        <v>17, Oplysninger per email fra Steffen Müller, produktionschef i Volvo Danmark, november 2011</v>
      </c>
      <c r="J38" s="1472"/>
      <c r="K38" s="164"/>
    </row>
    <row r="39" spans="2:11">
      <c r="B39" s="1484" t="s">
        <v>262</v>
      </c>
      <c r="C39" s="1469" t="s">
        <v>263</v>
      </c>
      <c r="D39" s="312">
        <f ca="1">+SUM(D40:D43)</f>
        <v>1076.2653476999574</v>
      </c>
      <c r="E39" s="1490">
        <f ca="1">+SUM(E40:E43)</f>
        <v>1076.2653476999574</v>
      </c>
      <c r="F39" s="1490">
        <f ca="1">+SUM(F40:F43)</f>
        <v>1076.2653476999576</v>
      </c>
      <c r="G39" s="1490">
        <f ca="1">+SUM(G40:G43)</f>
        <v>1076.2653476999578</v>
      </c>
      <c r="H39" s="407">
        <v>2013</v>
      </c>
      <c r="I39" s="1576"/>
      <c r="J39" s="1472"/>
      <c r="K39" s="164"/>
    </row>
    <row r="40" spans="2:11">
      <c r="B40" s="1492" t="s">
        <v>162</v>
      </c>
      <c r="C40" s="1469" t="s">
        <v>263</v>
      </c>
      <c r="D40" s="312">
        <f ca="1">PMT(rSØK,D27,-D38)/D28</f>
        <v>523.90559460306747</v>
      </c>
      <c r="E40" s="1490">
        <f ca="1">PMT(rSØK,E27,-E38)/E28</f>
        <v>523.90559460306747</v>
      </c>
      <c r="F40" s="1490">
        <f ca="1">PMT(rSØK,F27,-F38)/F28</f>
        <v>523.90559460306758</v>
      </c>
      <c r="G40" s="1490">
        <f ca="1">PMT(rSØK,G27,-G38)/G28</f>
        <v>523.9055946030677</v>
      </c>
      <c r="H40" s="407">
        <v>2013</v>
      </c>
      <c r="I40" s="1576"/>
      <c r="J40" s="1472"/>
      <c r="K40" s="164"/>
    </row>
    <row r="41" spans="2:11">
      <c r="B41" s="1492" t="s">
        <v>163</v>
      </c>
      <c r="C41" s="1469" t="s">
        <v>263</v>
      </c>
      <c r="D41" s="312">
        <f>(D68*D69)/D28</f>
        <v>552.3597530968899</v>
      </c>
      <c r="E41" s="1490">
        <f>(E68*E69)/E28</f>
        <v>552.3597530968899</v>
      </c>
      <c r="F41" s="1490">
        <f>(F68*F69)/F28</f>
        <v>552.35975309689002</v>
      </c>
      <c r="G41" s="1490">
        <f>(G68*G69)/G28</f>
        <v>552.35975309689013</v>
      </c>
      <c r="H41" s="407">
        <v>2013</v>
      </c>
      <c r="I41" s="1576"/>
      <c r="J41" s="1574" t="s">
        <v>2630</v>
      </c>
      <c r="K41" s="164"/>
    </row>
    <row r="42" spans="2:11">
      <c r="B42" s="1492"/>
      <c r="C42" s="1469"/>
      <c r="D42" s="1562"/>
      <c r="E42" s="1486"/>
      <c r="F42" s="1486"/>
      <c r="G42" s="1486"/>
      <c r="H42" s="407"/>
      <c r="I42" s="1576"/>
      <c r="J42" s="1472"/>
      <c r="K42" s="164"/>
    </row>
    <row r="43" spans="2:11">
      <c r="B43" s="1492" t="s">
        <v>264</v>
      </c>
      <c r="C43" s="1469" t="s">
        <v>263</v>
      </c>
      <c r="D43" s="312">
        <v>0</v>
      </c>
      <c r="E43" s="300">
        <v>0</v>
      </c>
      <c r="F43" s="300">
        <v>0</v>
      </c>
      <c r="G43" s="300">
        <v>0</v>
      </c>
      <c r="H43" s="407">
        <v>2013</v>
      </c>
      <c r="I43" s="1576"/>
      <c r="J43" s="1574"/>
      <c r="K43" s="164"/>
    </row>
    <row r="44" spans="2:11">
      <c r="B44" s="1492"/>
      <c r="C44" s="1469"/>
      <c r="D44" s="1562"/>
      <c r="E44" s="1486"/>
      <c r="F44" s="1486"/>
      <c r="G44" s="1486"/>
      <c r="H44" s="1486"/>
      <c r="I44" s="1576"/>
      <c r="J44" s="1472"/>
      <c r="K44" s="164"/>
    </row>
    <row r="45" spans="2:11">
      <c r="B45" s="1468" t="s">
        <v>166</v>
      </c>
      <c r="C45" s="1469"/>
      <c r="D45" s="1562"/>
      <c r="E45" s="1486"/>
      <c r="F45" s="1486"/>
      <c r="G45" s="1486"/>
      <c r="H45" s="1489"/>
      <c r="I45" s="1576"/>
      <c r="J45" s="1472"/>
      <c r="K45" s="164"/>
    </row>
    <row r="46" spans="2:11">
      <c r="B46" s="418" t="s">
        <v>0</v>
      </c>
      <c r="C46" s="1469"/>
      <c r="D46" s="1562"/>
      <c r="E46" s="1486"/>
      <c r="F46" s="1486"/>
      <c r="G46" s="1486"/>
      <c r="H46" s="1566"/>
      <c r="I46" s="1576"/>
      <c r="J46" s="1472"/>
      <c r="K46" s="164"/>
    </row>
    <row r="47" spans="2:11">
      <c r="B47" s="1484" t="s">
        <v>24</v>
      </c>
      <c r="C47" s="1469" t="s">
        <v>265</v>
      </c>
      <c r="D47" s="421"/>
      <c r="E47" s="422"/>
      <c r="F47" s="422"/>
      <c r="G47" s="422"/>
      <c r="H47" s="1566"/>
      <c r="I47" s="1576"/>
      <c r="J47" s="1574" t="s">
        <v>850</v>
      </c>
      <c r="K47" s="164"/>
    </row>
    <row r="48" spans="2:11">
      <c r="B48" s="1484" t="s">
        <v>27</v>
      </c>
      <c r="C48" s="1469" t="s">
        <v>265</v>
      </c>
      <c r="D48" s="127">
        <f t="shared" ref="D48:G52" si="0">D78/D$75</f>
        <v>5.70067229895981E-4</v>
      </c>
      <c r="E48" s="127">
        <f t="shared" si="0"/>
        <v>1.6299243669067753E-4</v>
      </c>
      <c r="F48" s="127">
        <f t="shared" si="0"/>
        <v>1.6299243669067753E-4</v>
      </c>
      <c r="G48" s="127">
        <f t="shared" si="0"/>
        <v>1.6299243669067753E-4</v>
      </c>
      <c r="H48" s="1660"/>
      <c r="I48" s="1576"/>
      <c r="J48" s="1472"/>
      <c r="K48" s="164"/>
    </row>
    <row r="49" spans="2:11">
      <c r="B49" s="1484" t="s">
        <v>28</v>
      </c>
      <c r="C49" s="1469" t="s">
        <v>265</v>
      </c>
      <c r="D49" s="127">
        <f t="shared" si="0"/>
        <v>3.3862691824031407E-3</v>
      </c>
      <c r="E49" s="127">
        <f t="shared" si="0"/>
        <v>3.3862691824031407E-3</v>
      </c>
      <c r="F49" s="127">
        <f t="shared" si="0"/>
        <v>3.3862691824031402E-3</v>
      </c>
      <c r="G49" s="127">
        <f t="shared" si="0"/>
        <v>3.3862691824031407E-3</v>
      </c>
      <c r="H49" s="1486"/>
      <c r="I49" s="1576"/>
      <c r="J49" s="1472"/>
      <c r="K49" s="164"/>
    </row>
    <row r="50" spans="2:11">
      <c r="B50" s="1484" t="s">
        <v>26</v>
      </c>
      <c r="C50" s="1469" t="s">
        <v>265</v>
      </c>
      <c r="D50" s="127">
        <f t="shared" si="0"/>
        <v>4.6837408023728819E-4</v>
      </c>
      <c r="E50" s="127">
        <f t="shared" si="0"/>
        <v>4.6837408023728819E-4</v>
      </c>
      <c r="F50" s="127">
        <f t="shared" si="0"/>
        <v>4.6837408023728825E-4</v>
      </c>
      <c r="G50" s="127">
        <f t="shared" si="0"/>
        <v>4.6837408023728825E-4</v>
      </c>
      <c r="H50" s="1478"/>
      <c r="I50" s="1576"/>
      <c r="J50" s="1472"/>
      <c r="K50" s="164"/>
    </row>
    <row r="51" spans="2:11">
      <c r="B51" s="1484" t="s">
        <v>167</v>
      </c>
      <c r="C51" s="1469" t="s">
        <v>265</v>
      </c>
      <c r="D51" s="127">
        <f t="shared" si="0"/>
        <v>0.34889924166526276</v>
      </c>
      <c r="E51" s="127">
        <f t="shared" si="0"/>
        <v>3.6446302941253436E-2</v>
      </c>
      <c r="F51" s="127">
        <f t="shared" si="0"/>
        <v>3.6446302941253436E-2</v>
      </c>
      <c r="G51" s="127">
        <f t="shared" si="0"/>
        <v>3.6446302941253436E-2</v>
      </c>
      <c r="H51" s="1486"/>
      <c r="I51" s="1576"/>
      <c r="J51" s="1472"/>
      <c r="K51" s="164"/>
    </row>
    <row r="52" spans="2:11">
      <c r="B52" s="1484" t="s">
        <v>45</v>
      </c>
      <c r="C52" s="1469" t="s">
        <v>265</v>
      </c>
      <c r="D52" s="127">
        <f t="shared" si="0"/>
        <v>3.2979813853448933E-3</v>
      </c>
      <c r="E52" s="127">
        <f t="shared" si="0"/>
        <v>3.6064433411829615E-4</v>
      </c>
      <c r="F52" s="127">
        <f t="shared" si="0"/>
        <v>3.6064433411829615E-4</v>
      </c>
      <c r="G52" s="127">
        <f t="shared" si="0"/>
        <v>3.6064433411829615E-4</v>
      </c>
      <c r="H52" s="1486"/>
      <c r="I52" s="1576"/>
      <c r="J52" s="1472"/>
      <c r="K52" s="164"/>
    </row>
    <row r="53" spans="2:11">
      <c r="B53" s="1484"/>
      <c r="C53" s="1469"/>
      <c r="D53" s="1496"/>
      <c r="E53" s="1471"/>
      <c r="F53" s="1471"/>
      <c r="G53" s="1471"/>
      <c r="H53" s="1486"/>
      <c r="I53" s="1576"/>
      <c r="J53" s="1472"/>
      <c r="K53" s="164"/>
    </row>
    <row r="54" spans="2:11">
      <c r="B54" s="418" t="s">
        <v>20</v>
      </c>
      <c r="C54" s="1469"/>
      <c r="D54" s="1562"/>
      <c r="E54" s="1486"/>
      <c r="F54" s="1486"/>
      <c r="G54" s="1486"/>
      <c r="H54" s="1660"/>
      <c r="I54" s="1576"/>
      <c r="J54" s="1472"/>
      <c r="K54" s="164"/>
    </row>
    <row r="55" spans="2:11">
      <c r="B55" s="1484" t="s">
        <v>24</v>
      </c>
      <c r="C55" s="1469" t="s">
        <v>265</v>
      </c>
      <c r="D55" s="421"/>
      <c r="E55" s="422"/>
      <c r="F55" s="422"/>
      <c r="G55" s="422"/>
      <c r="H55" s="1169"/>
      <c r="I55" s="1576"/>
      <c r="J55" s="1574" t="s">
        <v>850</v>
      </c>
      <c r="K55" s="164"/>
    </row>
    <row r="56" spans="2:11">
      <c r="B56" s="1484" t="s">
        <v>27</v>
      </c>
      <c r="C56" s="1469" t="s">
        <v>265</v>
      </c>
      <c r="D56" s="419">
        <f t="shared" ref="D56:G60" si="1">D48</f>
        <v>5.70067229895981E-4</v>
      </c>
      <c r="E56" s="419">
        <f t="shared" si="1"/>
        <v>1.6299243669067753E-4</v>
      </c>
      <c r="F56" s="419">
        <f t="shared" si="1"/>
        <v>1.6299243669067753E-4</v>
      </c>
      <c r="G56" s="419">
        <f t="shared" si="1"/>
        <v>1.6299243669067753E-4</v>
      </c>
      <c r="H56" s="1169"/>
      <c r="I56" s="1576"/>
      <c r="J56" s="1472"/>
      <c r="K56" s="164"/>
    </row>
    <row r="57" spans="2:11">
      <c r="B57" s="1484" t="s">
        <v>28</v>
      </c>
      <c r="C57" s="1469" t="s">
        <v>265</v>
      </c>
      <c r="D57" s="419">
        <f t="shared" si="1"/>
        <v>3.3862691824031407E-3</v>
      </c>
      <c r="E57" s="419">
        <f t="shared" si="1"/>
        <v>3.3862691824031407E-3</v>
      </c>
      <c r="F57" s="419">
        <f t="shared" si="1"/>
        <v>3.3862691824031402E-3</v>
      </c>
      <c r="G57" s="419">
        <f t="shared" si="1"/>
        <v>3.3862691824031407E-3</v>
      </c>
      <c r="H57" s="1169"/>
      <c r="I57" s="1576"/>
      <c r="J57" s="1472"/>
      <c r="K57" s="164"/>
    </row>
    <row r="58" spans="2:11">
      <c r="B58" s="1484" t="s">
        <v>26</v>
      </c>
      <c r="C58" s="1469" t="s">
        <v>265</v>
      </c>
      <c r="D58" s="419">
        <f t="shared" si="1"/>
        <v>4.6837408023728819E-4</v>
      </c>
      <c r="E58" s="419">
        <f t="shared" si="1"/>
        <v>4.6837408023728819E-4</v>
      </c>
      <c r="F58" s="419">
        <f t="shared" si="1"/>
        <v>4.6837408023728825E-4</v>
      </c>
      <c r="G58" s="419">
        <f t="shared" si="1"/>
        <v>4.6837408023728825E-4</v>
      </c>
      <c r="H58" s="1169"/>
      <c r="I58" s="1576"/>
      <c r="J58" s="1472"/>
      <c r="K58" s="164"/>
    </row>
    <row r="59" spans="2:11">
      <c r="B59" s="1484" t="s">
        <v>167</v>
      </c>
      <c r="C59" s="1469" t="s">
        <v>265</v>
      </c>
      <c r="D59" s="419">
        <f t="shared" si="1"/>
        <v>0.34889924166526276</v>
      </c>
      <c r="E59" s="419">
        <f t="shared" si="1"/>
        <v>3.6446302941253436E-2</v>
      </c>
      <c r="F59" s="419">
        <f t="shared" si="1"/>
        <v>3.6446302941253436E-2</v>
      </c>
      <c r="G59" s="419">
        <f t="shared" si="1"/>
        <v>3.6446302941253436E-2</v>
      </c>
      <c r="H59" s="1169"/>
      <c r="I59" s="1576"/>
      <c r="J59" s="1472"/>
      <c r="K59" s="164"/>
    </row>
    <row r="60" spans="2:11">
      <c r="B60" s="1484" t="s">
        <v>45</v>
      </c>
      <c r="C60" s="1469" t="s">
        <v>265</v>
      </c>
      <c r="D60" s="419">
        <f t="shared" si="1"/>
        <v>3.2979813853448933E-3</v>
      </c>
      <c r="E60" s="419">
        <f t="shared" si="1"/>
        <v>3.6064433411829615E-4</v>
      </c>
      <c r="F60" s="419">
        <f t="shared" si="1"/>
        <v>3.6064433411829615E-4</v>
      </c>
      <c r="G60" s="419">
        <f t="shared" si="1"/>
        <v>3.6064433411829615E-4</v>
      </c>
      <c r="H60" s="323"/>
      <c r="I60" s="1576"/>
      <c r="J60" s="1472"/>
      <c r="K60" s="164"/>
    </row>
    <row r="61" spans="2:11" ht="13.5" thickBot="1">
      <c r="B61" s="1498"/>
      <c r="C61" s="1499"/>
      <c r="D61" s="1500"/>
      <c r="E61" s="1501"/>
      <c r="F61" s="1501"/>
      <c r="G61" s="1501"/>
      <c r="H61" s="1486"/>
      <c r="I61" s="1443"/>
      <c r="J61" s="1503"/>
      <c r="K61" s="164"/>
    </row>
    <row r="62" spans="2:11">
      <c r="I62" s="142"/>
      <c r="K62" s="164"/>
    </row>
    <row r="63" spans="2:11">
      <c r="I63" s="142"/>
      <c r="K63" s="164"/>
    </row>
    <row r="64" spans="2:11" ht="16.5" thickBot="1">
      <c r="B64" s="1504" t="s">
        <v>168</v>
      </c>
      <c r="I64" s="142"/>
      <c r="K64" s="164"/>
    </row>
    <row r="65" spans="2:11">
      <c r="B65" s="1455"/>
      <c r="C65" s="1456"/>
      <c r="D65" s="1449"/>
      <c r="E65" s="1449"/>
      <c r="F65" s="1449"/>
      <c r="G65" s="1449"/>
      <c r="H65" s="1449"/>
      <c r="I65" s="962"/>
      <c r="J65" s="1450"/>
      <c r="K65" s="164"/>
    </row>
    <row r="66" spans="2:11">
      <c r="B66" s="1460"/>
      <c r="C66" s="1461" t="s">
        <v>70</v>
      </c>
      <c r="D66" s="1506">
        <v>2015</v>
      </c>
      <c r="E66" s="1507">
        <v>2020</v>
      </c>
      <c r="F66" s="1507">
        <v>2035</v>
      </c>
      <c r="G66" s="1507">
        <v>2050</v>
      </c>
      <c r="H66" s="1507"/>
      <c r="I66" s="556"/>
      <c r="J66" s="1465"/>
      <c r="K66" s="164"/>
    </row>
    <row r="67" spans="2:11">
      <c r="B67" s="1484" t="s">
        <v>266</v>
      </c>
      <c r="C67" s="1509" t="s">
        <v>267</v>
      </c>
      <c r="D67" s="288">
        <f>D23*D75</f>
        <v>5.6484926400000006</v>
      </c>
      <c r="E67" s="288">
        <f>E23*E75</f>
        <v>5.6484926400000006</v>
      </c>
      <c r="F67" s="288">
        <f>F23*F75</f>
        <v>5.6484926399999997</v>
      </c>
      <c r="G67" s="288">
        <f>G23*G75</f>
        <v>5.6484926399999988</v>
      </c>
      <c r="H67" s="288"/>
      <c r="I67" s="555"/>
      <c r="J67" s="1472"/>
      <c r="K67" s="164"/>
    </row>
    <row r="68" spans="2:11">
      <c r="B68" s="1484" t="s">
        <v>268</v>
      </c>
      <c r="C68" s="1509" t="s">
        <v>269</v>
      </c>
      <c r="D68" s="311">
        <v>50000</v>
      </c>
      <c r="E68" s="311">
        <v>50000</v>
      </c>
      <c r="F68" s="311">
        <v>50000</v>
      </c>
      <c r="G68" s="311">
        <v>50000</v>
      </c>
      <c r="H68" s="311"/>
      <c r="I68" s="1576" t="str">
        <f>Referencer!$B$74</f>
        <v>70, RAMMEVILKÅR FOR GAS TIL TUNG VEJTRANSPORT, Energistyrelsen, 2014</v>
      </c>
      <c r="J68" s="1472"/>
      <c r="K68" s="164"/>
    </row>
    <row r="69" spans="2:11">
      <c r="B69" s="1484" t="s">
        <v>271</v>
      </c>
      <c r="C69" s="1573" t="s">
        <v>55</v>
      </c>
      <c r="D69" s="316">
        <f>156000/D68</f>
        <v>3.12</v>
      </c>
      <c r="E69" s="316">
        <f>156000/E68</f>
        <v>3.12</v>
      </c>
      <c r="F69" s="316">
        <f>156000/F68</f>
        <v>3.12</v>
      </c>
      <c r="G69" s="316">
        <f>156000/G68</f>
        <v>3.12</v>
      </c>
      <c r="H69" s="316"/>
      <c r="I69" s="1576" t="str">
        <f>Referencer!$B$74</f>
        <v>70, RAMMEVILKÅR FOR GAS TIL TUNG VEJTRANSPORT, Energistyrelsen, 2014</v>
      </c>
      <c r="J69" s="1574"/>
      <c r="K69" s="164"/>
    </row>
    <row r="70" spans="2:11">
      <c r="B70" s="1572" t="s">
        <v>563</v>
      </c>
      <c r="C70" s="1573" t="s">
        <v>32</v>
      </c>
      <c r="D70" s="2504">
        <f>100/39.37</f>
        <v>2.5400050800101601</v>
      </c>
      <c r="E70" s="378">
        <f>D70*E71/D71</f>
        <v>2.6670053340106681</v>
      </c>
      <c r="F70" s="378">
        <f>D70*F71/D71</f>
        <v>2.794005588011176</v>
      </c>
      <c r="G70" s="378">
        <f>E70*G71/E71</f>
        <v>2.7940055880111765</v>
      </c>
      <c r="H70" s="378"/>
      <c r="I70" s="1576" t="str">
        <f>Referencer!$B$74</f>
        <v>70, RAMMEVILKÅR FOR GAS TIL TUNG VEJTRANSPORT, Energistyrelsen, 2014</v>
      </c>
      <c r="J70" s="1472"/>
      <c r="K70" s="164"/>
    </row>
    <row r="71" spans="2:11">
      <c r="B71" s="1572" t="s">
        <v>564</v>
      </c>
      <c r="C71" s="1573" t="s">
        <v>29</v>
      </c>
      <c r="D71" s="319">
        <v>0.4</v>
      </c>
      <c r="E71" s="319">
        <v>0.42</v>
      </c>
      <c r="F71" s="319">
        <v>0.44</v>
      </c>
      <c r="G71" s="319">
        <v>0.44</v>
      </c>
      <c r="H71" s="319"/>
      <c r="I71" s="555"/>
      <c r="J71" s="1574" t="s">
        <v>668</v>
      </c>
      <c r="K71" s="164"/>
    </row>
    <row r="72" spans="2:11" ht="13.5" thickBot="1">
      <c r="B72" s="320"/>
      <c r="C72" s="321"/>
      <c r="D72" s="322"/>
      <c r="E72" s="322"/>
      <c r="F72" s="322"/>
      <c r="G72" s="322"/>
      <c r="H72" s="322"/>
      <c r="I72" s="1576"/>
      <c r="J72" s="1503"/>
      <c r="K72" s="164"/>
    </row>
    <row r="73" spans="2:11">
      <c r="D73" s="1580"/>
      <c r="E73" s="1580"/>
      <c r="F73" s="1580"/>
      <c r="G73" s="1580"/>
      <c r="H73" s="1580"/>
      <c r="K73" s="164"/>
    </row>
    <row r="74" spans="2:11" ht="16.5" thickBot="1">
      <c r="B74" s="1504" t="s">
        <v>172</v>
      </c>
      <c r="K74" s="164"/>
    </row>
    <row r="75" spans="2:11">
      <c r="B75" s="1455" t="s">
        <v>273</v>
      </c>
      <c r="C75" s="1449"/>
      <c r="D75" s="441">
        <f>Supplementary!$G$164/D70</f>
        <v>14.1212316</v>
      </c>
      <c r="E75" s="441">
        <f>Supplementary!$G$164/E70</f>
        <v>13.448792000000001</v>
      </c>
      <c r="F75" s="441">
        <f>Supplementary!$G$164/F70</f>
        <v>12.837483272727273</v>
      </c>
      <c r="G75" s="441">
        <f>Supplementary!$G$164/G70</f>
        <v>12.837483272727271</v>
      </c>
      <c r="H75" s="441"/>
      <c r="I75" s="1449"/>
      <c r="J75" s="1450"/>
      <c r="K75" s="164"/>
    </row>
    <row r="76" spans="2:11">
      <c r="B76" s="1484"/>
      <c r="C76" s="1471"/>
      <c r="D76" s="260"/>
      <c r="E76" s="260"/>
      <c r="F76" s="260"/>
      <c r="G76" s="260"/>
      <c r="H76" s="260"/>
      <c r="I76" s="1471"/>
      <c r="J76" s="1472"/>
      <c r="K76" s="164"/>
    </row>
    <row r="77" spans="2:11">
      <c r="B77" s="1484" t="s">
        <v>24</v>
      </c>
      <c r="C77" s="1471" t="s">
        <v>7</v>
      </c>
      <c r="D77" s="371">
        <f t="shared" ref="D77:G82" si="2">D87/1000*D$75</f>
        <v>1044.9711384</v>
      </c>
      <c r="E77" s="371">
        <f t="shared" si="2"/>
        <v>995.21060800000009</v>
      </c>
      <c r="F77" s="371">
        <f t="shared" si="2"/>
        <v>949.97376218181819</v>
      </c>
      <c r="G77" s="371">
        <f t="shared" si="2"/>
        <v>949.97376218181807</v>
      </c>
      <c r="H77" s="371"/>
      <c r="I77" s="1471"/>
      <c r="J77" s="1472"/>
      <c r="K77" s="164"/>
    </row>
    <row r="78" spans="2:11">
      <c r="B78" s="1484" t="s">
        <v>27</v>
      </c>
      <c r="C78" s="1471" t="s">
        <v>7</v>
      </c>
      <c r="D78" s="371">
        <f t="shared" si="2"/>
        <v>8.0500513809315909E-3</v>
      </c>
      <c r="E78" s="371">
        <f t="shared" si="2"/>
        <v>2.1920513786260905E-3</v>
      </c>
      <c r="F78" s="371">
        <f t="shared" si="2"/>
        <v>2.0924126795976317E-3</v>
      </c>
      <c r="G78" s="371">
        <f t="shared" si="2"/>
        <v>2.0924126795976313E-3</v>
      </c>
      <c r="H78" s="371"/>
      <c r="I78" s="1471"/>
      <c r="J78" s="1472"/>
      <c r="K78" s="164"/>
    </row>
    <row r="79" spans="2:11">
      <c r="B79" s="1484" t="s">
        <v>28</v>
      </c>
      <c r="C79" s="1471" t="s">
        <v>7</v>
      </c>
      <c r="D79" s="371">
        <f t="shared" si="2"/>
        <v>4.7818291384657395E-2</v>
      </c>
      <c r="E79" s="371">
        <f t="shared" si="2"/>
        <v>4.5541229890149901E-2</v>
      </c>
      <c r="F79" s="371">
        <f t="shared" si="2"/>
        <v>4.3471173986052172E-2</v>
      </c>
      <c r="G79" s="371">
        <f t="shared" si="2"/>
        <v>4.3471173986052172E-2</v>
      </c>
      <c r="H79" s="371"/>
      <c r="I79" s="1471"/>
      <c r="J79" s="1472"/>
      <c r="K79" s="164"/>
    </row>
    <row r="80" spans="2:11">
      <c r="B80" s="1484" t="s">
        <v>26</v>
      </c>
      <c r="C80" s="1471" t="s">
        <v>7</v>
      </c>
      <c r="D80" s="371">
        <f t="shared" si="2"/>
        <v>6.6140188624677293E-3</v>
      </c>
      <c r="E80" s="371">
        <f t="shared" si="2"/>
        <v>6.2990655833026002E-3</v>
      </c>
      <c r="F80" s="371">
        <f t="shared" si="2"/>
        <v>6.012744420425209E-3</v>
      </c>
      <c r="G80" s="371">
        <f t="shared" si="2"/>
        <v>6.0127444204252081E-3</v>
      </c>
      <c r="H80" s="371"/>
      <c r="I80" s="1471"/>
      <c r="J80" s="1472"/>
      <c r="K80" s="164"/>
    </row>
    <row r="81" spans="2:13">
      <c r="B81" s="1572" t="s">
        <v>25</v>
      </c>
      <c r="C81" s="1471" t="s">
        <v>7</v>
      </c>
      <c r="D81" s="371">
        <f t="shared" si="2"/>
        <v>4.9268869966195448</v>
      </c>
      <c r="E81" s="371">
        <f t="shared" si="2"/>
        <v>0.49015874742590571</v>
      </c>
      <c r="F81" s="371">
        <f t="shared" si="2"/>
        <v>0.4678788043610918</v>
      </c>
      <c r="G81" s="371">
        <f t="shared" si="2"/>
        <v>0.46787880436109169</v>
      </c>
      <c r="H81" s="371"/>
      <c r="I81" s="1471"/>
      <c r="J81" s="1574"/>
      <c r="K81" s="164"/>
    </row>
    <row r="82" spans="2:13">
      <c r="B82" s="1484" t="s">
        <v>45</v>
      </c>
      <c r="C82" s="1471" t="s">
        <v>7</v>
      </c>
      <c r="D82" s="371">
        <f t="shared" si="2"/>
        <v>4.6571558954944081E-2</v>
      </c>
      <c r="E82" s="371">
        <f t="shared" si="2"/>
        <v>4.8502306355354685E-3</v>
      </c>
      <c r="F82" s="371">
        <f t="shared" si="2"/>
        <v>4.6297656066474928E-3</v>
      </c>
      <c r="G82" s="371">
        <f t="shared" si="2"/>
        <v>4.6297656066474919E-3</v>
      </c>
      <c r="H82" s="371"/>
      <c r="I82" s="1471"/>
      <c r="J82" s="1574"/>
    </row>
    <row r="83" spans="2:13" ht="13.5" thickBot="1">
      <c r="B83" s="1521"/>
      <c r="C83" s="1501"/>
      <c r="D83" s="262"/>
      <c r="E83" s="262"/>
      <c r="F83" s="262"/>
      <c r="G83" s="262"/>
      <c r="H83" s="262"/>
      <c r="I83" s="1501"/>
      <c r="J83" s="1503"/>
    </row>
    <row r="85" spans="2:13" ht="13.5" thickBot="1">
      <c r="B85" s="1446" t="s">
        <v>521</v>
      </c>
    </row>
    <row r="86" spans="2:13">
      <c r="B86" s="1455"/>
      <c r="C86" s="1449"/>
      <c r="D86" s="367">
        <v>2015</v>
      </c>
      <c r="E86" s="367">
        <v>2020</v>
      </c>
      <c r="F86" s="367">
        <v>2035</v>
      </c>
      <c r="G86" s="367">
        <v>2050</v>
      </c>
      <c r="H86" s="367"/>
    </row>
    <row r="87" spans="2:13">
      <c r="B87" s="1487" t="s">
        <v>24</v>
      </c>
      <c r="C87" s="323" t="s">
        <v>203</v>
      </c>
      <c r="D87" s="324">
        <f>Supplementary!Z77</f>
        <v>74000</v>
      </c>
      <c r="E87" s="324">
        <f>Supplementary!AA77</f>
        <v>74000</v>
      </c>
      <c r="F87" s="324">
        <f>Supplementary!AB77</f>
        <v>74000</v>
      </c>
      <c r="G87" s="324">
        <f t="shared" ref="G87:G92" si="3">F87</f>
        <v>74000</v>
      </c>
      <c r="H87" s="324"/>
    </row>
    <row r="88" spans="2:13">
      <c r="B88" s="1487" t="s">
        <v>27</v>
      </c>
      <c r="C88" s="1471" t="s">
        <v>203</v>
      </c>
      <c r="D88" s="291">
        <f>Supplementary!Z78</f>
        <v>0.57006722989598102</v>
      </c>
      <c r="E88" s="291">
        <f>Supplementary!AA78</f>
        <v>0.16299243669067753</v>
      </c>
      <c r="F88" s="291">
        <f>Supplementary!AB78</f>
        <v>0.16299243669067753</v>
      </c>
      <c r="G88" s="324">
        <f t="shared" si="3"/>
        <v>0.16299243669067753</v>
      </c>
      <c r="H88" s="291"/>
      <c r="J88" s="334"/>
      <c r="K88" s="334"/>
      <c r="L88" s="334"/>
      <c r="M88" s="334"/>
    </row>
    <row r="89" spans="2:13">
      <c r="B89" s="1487" t="s">
        <v>28</v>
      </c>
      <c r="C89" s="1471" t="s">
        <v>203</v>
      </c>
      <c r="D89" s="291">
        <f>Supplementary!Z79</f>
        <v>3.3862691824031406</v>
      </c>
      <c r="E89" s="291">
        <f>Supplementary!AA79</f>
        <v>3.3862691824031406</v>
      </c>
      <c r="F89" s="291">
        <f>Supplementary!AB79</f>
        <v>3.3862691824031406</v>
      </c>
      <c r="G89" s="324">
        <f t="shared" si="3"/>
        <v>3.3862691824031406</v>
      </c>
      <c r="H89" s="291"/>
      <c r="J89" s="334"/>
      <c r="K89" s="334"/>
      <c r="L89" s="334"/>
      <c r="M89" s="334"/>
    </row>
    <row r="90" spans="2:13">
      <c r="B90" s="1487" t="s">
        <v>26</v>
      </c>
      <c r="C90" s="1471" t="s">
        <v>203</v>
      </c>
      <c r="D90" s="291">
        <f>Supplementary!Z80</f>
        <v>0.46837408023728822</v>
      </c>
      <c r="E90" s="291">
        <f>Supplementary!AA80</f>
        <v>0.46837408023728822</v>
      </c>
      <c r="F90" s="291">
        <f>Supplementary!AB80</f>
        <v>0.46837408023728822</v>
      </c>
      <c r="G90" s="324">
        <f t="shared" si="3"/>
        <v>0.46837408023728822</v>
      </c>
      <c r="H90" s="291"/>
      <c r="J90" s="334"/>
      <c r="K90" s="334"/>
      <c r="L90" s="334"/>
      <c r="M90" s="334"/>
    </row>
    <row r="91" spans="2:13">
      <c r="B91" s="1476" t="s">
        <v>25</v>
      </c>
      <c r="C91" s="1471" t="s">
        <v>203</v>
      </c>
      <c r="D91" s="324">
        <f>Supplementary!Z81</f>
        <v>348.89924166526276</v>
      </c>
      <c r="E91" s="324">
        <f>Supplementary!AA81</f>
        <v>36.446302941253435</v>
      </c>
      <c r="F91" s="324">
        <f>Supplementary!AB81</f>
        <v>36.446302941253435</v>
      </c>
      <c r="G91" s="324">
        <f t="shared" si="3"/>
        <v>36.446302941253435</v>
      </c>
      <c r="H91" s="324"/>
      <c r="J91" s="334"/>
      <c r="K91" s="334"/>
      <c r="L91" s="334"/>
      <c r="M91" s="334"/>
    </row>
    <row r="92" spans="2:13" ht="13.5" thickBot="1">
      <c r="B92" s="1578" t="s">
        <v>45</v>
      </c>
      <c r="C92" s="1501" t="s">
        <v>203</v>
      </c>
      <c r="D92" s="365">
        <f>Supplementary!Z82</f>
        <v>3.2979813853448934</v>
      </c>
      <c r="E92" s="365">
        <f>Supplementary!AA82</f>
        <v>0.36064433411829616</v>
      </c>
      <c r="F92" s="365">
        <f>Supplementary!AB82</f>
        <v>0.36064433411829616</v>
      </c>
      <c r="G92" s="365">
        <f t="shared" si="3"/>
        <v>0.36064433411829616</v>
      </c>
      <c r="H92" s="365"/>
      <c r="J92" s="334"/>
      <c r="K92" s="334"/>
      <c r="L92" s="334"/>
      <c r="M92" s="334"/>
    </row>
    <row r="96" spans="2:13">
      <c r="H96" s="1535"/>
    </row>
    <row r="97" spans="8:8">
      <c r="H97" s="1535"/>
    </row>
    <row r="98" spans="8:8">
      <c r="H98" s="1535"/>
    </row>
    <row r="99" spans="8:8">
      <c r="H99" s="1535"/>
    </row>
  </sheetData>
  <pageMargins left="0.15748031496062992" right="0.15748031496062992" top="1.25" bottom="0.19685039370078741" header="0.51181102362204722" footer="0.51181102362204722"/>
  <pageSetup paperSize="9" scale="60" orientation="landscape" r:id="rId1"/>
  <headerFooter alignWithMargins="0">
    <oddHeader>&amp;L&amp;"Arial"&amp;14&amp;BBeregningsmodel
&amp;"Arial"&amp;08&amp;B64329, Teknologivurdering af alternative drivmidler til transportsektoren&amp;R&amp;"Arial"&amp;08Page &amp;P of &amp;N</oddHeader>
    <oddFooter>&amp;L&amp;"Arial"&amp;08&amp;Z&amp;F
Sheet: &amp;A&amp;C&amp;"Arial"&amp;08Printed &amp;D &amp;T&amp;R&amp;G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494017" r:id="rId5" name="Button 1">
              <controlPr defaultSize="0" print="0" autoFill="0" autoPict="0" macro="[0]!GtOver">
                <anchor>
                  <from>
                    <xdr:col>13</xdr:col>
                    <xdr:colOff>342900</xdr:colOff>
                    <xdr:row>0</xdr:row>
                    <xdr:rowOff>38100</xdr:rowOff>
                  </from>
                  <to>
                    <xdr:col>15</xdr:col>
                    <xdr:colOff>219075</xdr:colOff>
                    <xdr:row>0</xdr:row>
                    <xdr:rowOff>238125</xdr:rowOff>
                  </to>
                </anchor>
              </controlPr>
            </control>
          </mc:Choice>
        </mc:AlternateContent>
        <mc:AlternateContent xmlns:mc="http://schemas.openxmlformats.org/markup-compatibility/2006">
          <mc:Choice Requires="x14">
            <control shapeId="1494018" r:id="rId6" name="Button 2">
              <controlPr defaultSize="0" print="0" autoFill="0" autoPict="0" macro="[0]!GtRes">
                <anchor>
                  <from>
                    <xdr:col>15</xdr:col>
                    <xdr:colOff>390525</xdr:colOff>
                    <xdr:row>0</xdr:row>
                    <xdr:rowOff>38100</xdr:rowOff>
                  </from>
                  <to>
                    <xdr:col>15</xdr:col>
                    <xdr:colOff>1447800</xdr:colOff>
                    <xdr:row>0</xdr:row>
                    <xdr:rowOff>238125</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2060"/>
    <pageSetUpPr fitToPage="1"/>
  </sheetPr>
  <dimension ref="B1:S99"/>
  <sheetViews>
    <sheetView topLeftCell="A37" zoomScale="80" zoomScaleNormal="80" workbookViewId="0">
      <selection activeCell="H31" sqref="H31"/>
    </sheetView>
  </sheetViews>
  <sheetFormatPr defaultColWidth="8.85546875" defaultRowHeight="12.75"/>
  <cols>
    <col min="1" max="1" width="2.85546875" style="1447" customWidth="1"/>
    <col min="2" max="2" width="35" style="1447" customWidth="1"/>
    <col min="3" max="3" width="18" style="1447" customWidth="1"/>
    <col min="4" max="8" width="15.85546875" style="1447" customWidth="1"/>
    <col min="9" max="9" width="7.140625" style="1447" customWidth="1"/>
    <col min="10" max="10" width="37.42578125" style="1447" customWidth="1"/>
    <col min="11" max="11" width="9" style="1447" customWidth="1"/>
    <col min="12" max="12" width="10.85546875" style="1447" customWidth="1"/>
    <col min="13" max="13" width="9.140625" style="1447" customWidth="1"/>
    <col min="14" max="14" width="9" style="1447" customWidth="1"/>
    <col min="15" max="15" width="8.85546875" style="1447"/>
    <col min="16" max="16" width="37.85546875" style="1447" customWidth="1"/>
    <col min="17" max="18" width="8.85546875" style="1447"/>
    <col min="19" max="19" width="9.140625" style="1447" customWidth="1"/>
    <col min="20" max="16384" width="8.85546875" style="1447"/>
  </cols>
  <sheetData>
    <row r="1" spans="2:19" s="2403" customFormat="1" ht="21">
      <c r="B1" s="2403" t="s">
        <v>466</v>
      </c>
      <c r="Q1" s="2403">
        <f ca="1">'Log2015'!M1</f>
        <v>-8.0112614142160741</v>
      </c>
      <c r="R1" s="2405">
        <f ca="1">'Log2015'!N1</f>
        <v>-160807.124977848</v>
      </c>
      <c r="S1" s="2406"/>
    </row>
    <row r="2" spans="2:19">
      <c r="R2" s="626">
        <f ca="1">R1</f>
        <v>-160807.124977848</v>
      </c>
      <c r="S2" s="626">
        <f>S1</f>
        <v>0</v>
      </c>
    </row>
    <row r="4" spans="2:19" ht="13.5" thickBot="1">
      <c r="B4" s="1446" t="s">
        <v>81</v>
      </c>
    </row>
    <row r="5" spans="2:19">
      <c r="B5" s="1448" t="s">
        <v>137</v>
      </c>
      <c r="C5" s="1449"/>
      <c r="D5" s="1449"/>
      <c r="E5" s="1449"/>
      <c r="F5" s="1449"/>
      <c r="G5" s="1449"/>
      <c r="H5" s="1449"/>
      <c r="I5" s="1449"/>
      <c r="J5" s="1449"/>
      <c r="K5" s="1449"/>
      <c r="L5" s="1449"/>
      <c r="M5" s="1449"/>
      <c r="N5" s="1449"/>
      <c r="O5" s="1450"/>
    </row>
    <row r="6" spans="2:19">
      <c r="B6" s="1476" t="s">
        <v>2631</v>
      </c>
      <c r="C6" s="1471"/>
      <c r="D6" s="1471"/>
      <c r="E6" s="1471"/>
      <c r="F6" s="1471"/>
      <c r="G6" s="1471"/>
      <c r="H6" s="1471"/>
      <c r="I6" s="1471"/>
      <c r="J6" s="1471"/>
      <c r="K6" s="1471"/>
      <c r="L6" s="1471"/>
      <c r="M6" s="1471"/>
      <c r="N6" s="1471"/>
      <c r="O6" s="1472"/>
    </row>
    <row r="7" spans="2:19">
      <c r="B7" s="1476"/>
      <c r="C7" s="1471"/>
      <c r="D7" s="1471"/>
      <c r="E7" s="1471"/>
      <c r="F7" s="1471"/>
      <c r="G7" s="1471"/>
      <c r="H7" s="1471"/>
      <c r="I7" s="1471"/>
      <c r="J7" s="1471"/>
      <c r="K7" s="1471"/>
      <c r="L7" s="1471"/>
      <c r="M7" s="1471"/>
      <c r="N7" s="1471"/>
      <c r="O7" s="1472"/>
    </row>
    <row r="8" spans="2:19">
      <c r="B8" s="1476"/>
      <c r="C8" s="1471"/>
      <c r="D8" s="1471"/>
      <c r="E8" s="1471"/>
      <c r="F8" s="1471"/>
      <c r="G8" s="1471"/>
      <c r="H8" s="1471"/>
      <c r="I8" s="1471"/>
      <c r="J8" s="1471"/>
      <c r="K8" s="1471"/>
      <c r="L8" s="1471"/>
      <c r="M8" s="1471"/>
      <c r="N8" s="1471"/>
      <c r="O8" s="1472"/>
    </row>
    <row r="9" spans="2:19">
      <c r="B9" s="1476"/>
      <c r="C9" s="1471"/>
      <c r="D9" s="1471"/>
      <c r="E9" s="1471"/>
      <c r="F9" s="1471"/>
      <c r="G9" s="1471"/>
      <c r="H9" s="1471"/>
      <c r="I9" s="1471"/>
      <c r="J9" s="1471"/>
      <c r="K9" s="1471"/>
      <c r="L9" s="1471"/>
      <c r="M9" s="1471"/>
      <c r="N9" s="1471"/>
      <c r="O9" s="1472"/>
    </row>
    <row r="10" spans="2:19">
      <c r="B10" s="1476"/>
      <c r="C10" s="1471"/>
      <c r="D10" s="1471"/>
      <c r="E10" s="1471"/>
      <c r="F10" s="1471"/>
      <c r="G10" s="1471"/>
      <c r="H10" s="1471"/>
      <c r="I10" s="1471"/>
      <c r="J10" s="1471"/>
      <c r="K10" s="1471"/>
      <c r="L10" s="1471"/>
      <c r="M10" s="1471"/>
      <c r="N10" s="1471"/>
      <c r="O10" s="1472"/>
    </row>
    <row r="11" spans="2:19">
      <c r="B11" s="1556" t="s">
        <v>256</v>
      </c>
      <c r="C11" s="1471"/>
      <c r="D11" s="1471"/>
      <c r="E11" s="1471"/>
      <c r="F11" s="1471"/>
      <c r="G11" s="1471"/>
      <c r="H11" s="1471"/>
      <c r="I11" s="1471"/>
      <c r="J11" s="1471"/>
      <c r="K11" s="1471"/>
      <c r="L11" s="1471"/>
      <c r="M11" s="1471"/>
      <c r="N11" s="1471"/>
      <c r="O11" s="1472"/>
    </row>
    <row r="12" spans="2:19">
      <c r="B12" s="1476" t="s">
        <v>575</v>
      </c>
      <c r="C12" s="1471"/>
      <c r="D12" s="1471"/>
      <c r="E12" s="1471"/>
      <c r="F12" s="1471"/>
      <c r="G12" s="1471"/>
      <c r="H12" s="1471"/>
      <c r="I12" s="1471"/>
      <c r="J12" s="1471"/>
      <c r="K12" s="1471"/>
      <c r="L12" s="1471"/>
      <c r="M12" s="1471"/>
      <c r="N12" s="1471"/>
      <c r="O12" s="1472"/>
    </row>
    <row r="13" spans="2:19">
      <c r="B13" s="1476" t="s">
        <v>576</v>
      </c>
      <c r="C13" s="1471"/>
      <c r="D13" s="1471"/>
      <c r="E13" s="1471"/>
      <c r="F13" s="1471"/>
      <c r="G13" s="1471"/>
      <c r="H13" s="1471"/>
      <c r="I13" s="1471"/>
      <c r="J13" s="1471"/>
      <c r="K13" s="1471"/>
      <c r="L13" s="1471"/>
      <c r="M13" s="1471"/>
      <c r="N13" s="1471"/>
      <c r="O13" s="1472"/>
    </row>
    <row r="14" spans="2:19">
      <c r="B14" s="1556" t="s">
        <v>143</v>
      </c>
      <c r="C14" s="1471"/>
      <c r="D14" s="1471"/>
      <c r="E14" s="1471"/>
      <c r="F14" s="1471"/>
      <c r="G14" s="1471"/>
      <c r="H14" s="1471"/>
      <c r="I14" s="1471"/>
      <c r="J14" s="1471"/>
      <c r="K14" s="1471"/>
      <c r="L14" s="1471"/>
      <c r="M14" s="1471"/>
      <c r="N14" s="1471"/>
      <c r="O14" s="1472"/>
    </row>
    <row r="15" spans="2:19">
      <c r="B15" s="1476"/>
      <c r="C15" s="1471"/>
      <c r="D15" s="1471"/>
      <c r="E15" s="1471"/>
      <c r="F15" s="1471"/>
      <c r="G15" s="1471"/>
      <c r="H15" s="1471"/>
      <c r="I15" s="1471"/>
      <c r="J15" s="1471"/>
      <c r="K15" s="1471"/>
      <c r="L15" s="1471"/>
      <c r="M15" s="1471"/>
      <c r="N15" s="1471"/>
      <c r="O15" s="1472"/>
    </row>
    <row r="16" spans="2:19">
      <c r="B16" s="1468"/>
      <c r="C16" s="1471"/>
      <c r="D16" s="1471"/>
      <c r="E16" s="1471"/>
      <c r="F16" s="1471"/>
      <c r="G16" s="1471"/>
      <c r="H16" s="1471"/>
      <c r="I16" s="1471"/>
      <c r="J16" s="1471"/>
      <c r="K16" s="1471"/>
      <c r="L16" s="1471"/>
      <c r="M16" s="1471"/>
      <c r="N16" s="1471"/>
      <c r="O16" s="1472"/>
    </row>
    <row r="17" spans="2:15" ht="13.5" thickBot="1">
      <c r="B17" s="1521"/>
      <c r="C17" s="1501"/>
      <c r="D17" s="1501"/>
      <c r="E17" s="1501"/>
      <c r="F17" s="1501"/>
      <c r="G17" s="1501"/>
      <c r="H17" s="1501"/>
      <c r="I17" s="1501"/>
      <c r="J17" s="1501"/>
      <c r="K17" s="1501"/>
      <c r="L17" s="1501"/>
      <c r="M17" s="1501"/>
      <c r="N17" s="1501"/>
      <c r="O17" s="1503"/>
    </row>
    <row r="19" spans="2:15" ht="13.5" thickBot="1">
      <c r="B19" s="1446" t="s">
        <v>144</v>
      </c>
      <c r="E19" s="1454"/>
      <c r="F19" s="1454"/>
      <c r="G19" s="1454"/>
    </row>
    <row r="20" spans="2:15">
      <c r="B20" s="1455"/>
      <c r="C20" s="1456"/>
      <c r="D20" s="1557"/>
      <c r="E20" s="1449"/>
      <c r="F20" s="1449"/>
      <c r="G20" s="1449"/>
      <c r="H20" s="1449"/>
      <c r="I20" s="1449" t="s">
        <v>145</v>
      </c>
      <c r="J20" s="1450" t="s">
        <v>146</v>
      </c>
    </row>
    <row r="21" spans="2:15">
      <c r="B21" s="1460"/>
      <c r="C21" s="1461" t="s">
        <v>70</v>
      </c>
      <c r="D21" s="1506">
        <v>2015</v>
      </c>
      <c r="E21" s="1507">
        <v>2020</v>
      </c>
      <c r="F21" s="1507">
        <v>2035</v>
      </c>
      <c r="G21" s="1507"/>
      <c r="H21" s="1507" t="s">
        <v>978</v>
      </c>
      <c r="I21" s="287" t="s">
        <v>1782</v>
      </c>
      <c r="J21" s="1465"/>
    </row>
    <row r="22" spans="2:15">
      <c r="B22" s="1468" t="s">
        <v>257</v>
      </c>
      <c r="C22" s="1469"/>
      <c r="D22" s="153"/>
      <c r="E22" s="1470"/>
      <c r="F22" s="1470"/>
      <c r="G22" s="1470"/>
      <c r="H22" s="1470"/>
      <c r="I22" s="1471"/>
      <c r="J22" s="1472"/>
    </row>
    <row r="23" spans="2:15">
      <c r="B23" s="122" t="s">
        <v>848</v>
      </c>
      <c r="C23" s="1469" t="s">
        <v>2643</v>
      </c>
      <c r="D23" s="308">
        <f>D71</f>
        <v>0.4</v>
      </c>
      <c r="E23" s="281">
        <f>E71</f>
        <v>0.42</v>
      </c>
      <c r="F23" s="281">
        <f>F71</f>
        <v>0.44</v>
      </c>
      <c r="G23" s="281">
        <f>G71</f>
        <v>0.44</v>
      </c>
      <c r="H23" s="1657"/>
      <c r="I23" s="1474"/>
      <c r="J23" s="1472"/>
      <c r="K23" s="164"/>
    </row>
    <row r="24" spans="2:15">
      <c r="B24" s="122" t="s">
        <v>849</v>
      </c>
      <c r="C24" s="1469" t="s">
        <v>2643</v>
      </c>
      <c r="D24" s="416">
        <f>D23</f>
        <v>0.4</v>
      </c>
      <c r="E24" s="417">
        <f>E23</f>
        <v>0.42</v>
      </c>
      <c r="F24" s="417">
        <f>F23</f>
        <v>0.44</v>
      </c>
      <c r="G24" s="417">
        <f>G23</f>
        <v>0.44</v>
      </c>
      <c r="H24" s="1657"/>
      <c r="I24" s="1474"/>
      <c r="J24" s="1472"/>
      <c r="K24" s="164"/>
    </row>
    <row r="25" spans="2:15">
      <c r="B25" s="122" t="s">
        <v>1025</v>
      </c>
      <c r="C25" s="1469" t="s">
        <v>1024</v>
      </c>
      <c r="D25" s="416">
        <f>D75</f>
        <v>14.121231600000002</v>
      </c>
      <c r="E25" s="417">
        <f>E75</f>
        <v>13.448792000000005</v>
      </c>
      <c r="F25" s="417">
        <f>F75</f>
        <v>12.837483272727274</v>
      </c>
      <c r="G25" s="417">
        <f>G75</f>
        <v>12.837483272727274</v>
      </c>
      <c r="H25" s="1658"/>
      <c r="I25" s="1474"/>
      <c r="J25" s="1472"/>
      <c r="K25" s="164"/>
    </row>
    <row r="26" spans="2:15">
      <c r="B26" s="122" t="s">
        <v>1026</v>
      </c>
      <c r="C26" s="1469" t="s">
        <v>1024</v>
      </c>
      <c r="D26" s="416"/>
      <c r="E26" s="417"/>
      <c r="F26" s="417"/>
      <c r="G26" s="417"/>
      <c r="H26" s="1658"/>
      <c r="I26" s="1474"/>
      <c r="J26" s="1472"/>
      <c r="K26" s="164"/>
    </row>
    <row r="27" spans="2:15">
      <c r="B27" s="1476" t="s">
        <v>98</v>
      </c>
      <c r="C27" s="1469" t="s">
        <v>259</v>
      </c>
      <c r="D27" s="1477">
        <v>6</v>
      </c>
      <c r="E27" s="1478">
        <v>6</v>
      </c>
      <c r="F27" s="1478">
        <v>6</v>
      </c>
      <c r="G27" s="1478">
        <v>6</v>
      </c>
      <c r="H27" s="1478"/>
      <c r="I27" s="1576" t="s">
        <v>2632</v>
      </c>
      <c r="J27" s="1472"/>
      <c r="K27" s="164"/>
    </row>
    <row r="28" spans="2:15">
      <c r="B28" s="1476" t="s">
        <v>260</v>
      </c>
      <c r="C28" s="1469" t="s">
        <v>261</v>
      </c>
      <c r="D28" s="1560">
        <f>+D67*D68/1000</f>
        <v>282.42463200000003</v>
      </c>
      <c r="E28" s="1561">
        <f>+E67*E68/1000</f>
        <v>282.42463200000003</v>
      </c>
      <c r="F28" s="1561">
        <f>+F67*F68/1000</f>
        <v>282.42463199999997</v>
      </c>
      <c r="G28" s="1561">
        <f>+G67*G68/1000</f>
        <v>282.42463199999992</v>
      </c>
      <c r="H28" s="1659"/>
      <c r="I28" s="1474"/>
      <c r="J28" s="1472"/>
      <c r="K28" s="164"/>
    </row>
    <row r="29" spans="2:15">
      <c r="B29" s="1484"/>
      <c r="C29" s="1485"/>
      <c r="D29" s="1562"/>
      <c r="E29" s="1486"/>
      <c r="F29" s="1486"/>
      <c r="G29" s="1486"/>
      <c r="H29" s="1486"/>
      <c r="I29" s="1471"/>
      <c r="J29" s="1472"/>
      <c r="K29" s="164"/>
    </row>
    <row r="30" spans="2:15">
      <c r="B30" s="1468" t="s">
        <v>33</v>
      </c>
      <c r="C30" s="1469"/>
      <c r="D30" s="1562"/>
      <c r="E30" s="1486"/>
      <c r="F30" s="1486"/>
      <c r="G30" s="1486"/>
      <c r="H30" s="1486"/>
      <c r="I30" s="1471"/>
      <c r="J30" s="1472"/>
      <c r="K30" s="164"/>
    </row>
    <row r="31" spans="2:15">
      <c r="B31" s="1476" t="s">
        <v>157</v>
      </c>
      <c r="C31" s="1469" t="s">
        <v>61</v>
      </c>
      <c r="D31" s="992">
        <f ca="1">HLOOKUP($H38,Supplementary!$C$44:$AF$46,3,FALSE)*D38</f>
        <v>779893.90271614201</v>
      </c>
      <c r="E31" s="992">
        <f ca="1">HLOOKUP($H38,Supplementary!$C$44:$AF$46,3,FALSE)*E38</f>
        <v>779893.90271614201</v>
      </c>
      <c r="F31" s="992">
        <f ca="1">HLOOKUP($H38,Supplementary!$C$44:$AF$46,3,FALSE)*F38</f>
        <v>779893.90271614201</v>
      </c>
      <c r="G31" s="992">
        <f ca="1">HLOOKUP($H38,Supplementary!$C$44:$AF$46,3,FALSE)*G38</f>
        <v>779893.90271614201</v>
      </c>
      <c r="H31" s="323">
        <f>priceYear</f>
        <v>2015</v>
      </c>
      <c r="I31" s="555"/>
      <c r="J31" s="1472"/>
    </row>
    <row r="32" spans="2:15">
      <c r="B32" s="1484" t="s">
        <v>262</v>
      </c>
      <c r="C32" s="1469" t="s">
        <v>263</v>
      </c>
      <c r="D32" s="992">
        <f ca="1">HLOOKUP($H39,Supplementary!$C$44:$AF$46,3,FALSE)*D39</f>
        <v>1117.6453318997922</v>
      </c>
      <c r="E32" s="992">
        <f ca="1">HLOOKUP($H39,Supplementary!$C$44:$AF$46,3,FALSE)*E39</f>
        <v>1117.6453318997922</v>
      </c>
      <c r="F32" s="992">
        <f ca="1">HLOOKUP($H39,Supplementary!$C$44:$AF$46,3,FALSE)*F39</f>
        <v>1117.6453318997924</v>
      </c>
      <c r="G32" s="992">
        <f ca="1">HLOOKUP($H39,Supplementary!$C$44:$AF$46,3,FALSE)*G39</f>
        <v>1117.6453318997926</v>
      </c>
      <c r="H32" s="323">
        <f>priceYear</f>
        <v>2015</v>
      </c>
      <c r="I32" s="555"/>
      <c r="J32" s="1472"/>
    </row>
    <row r="33" spans="2:11">
      <c r="B33" s="1492" t="s">
        <v>162</v>
      </c>
      <c r="C33" s="1469" t="s">
        <v>263</v>
      </c>
      <c r="D33" s="992">
        <f ca="1">HLOOKUP($H40,Supplementary!$C$44:$AF$46,3,FALSE)*D40</f>
        <v>544.04858747486219</v>
      </c>
      <c r="E33" s="992">
        <f ca="1">HLOOKUP($H40,Supplementary!$C$44:$AF$46,3,FALSE)*E40</f>
        <v>544.04858747486219</v>
      </c>
      <c r="F33" s="992">
        <f ca="1">HLOOKUP($H40,Supplementary!$C$44:$AF$46,3,FALSE)*F40</f>
        <v>544.0485874748623</v>
      </c>
      <c r="G33" s="992">
        <f ca="1">HLOOKUP($H40,Supplementary!$C$44:$AF$46,3,FALSE)*G40</f>
        <v>544.04858747486253</v>
      </c>
      <c r="H33" s="323">
        <f>priceYear</f>
        <v>2015</v>
      </c>
      <c r="I33" s="555"/>
      <c r="J33" s="1472"/>
    </row>
    <row r="34" spans="2:11">
      <c r="B34" s="1492" t="s">
        <v>163</v>
      </c>
      <c r="C34" s="1469" t="s">
        <v>263</v>
      </c>
      <c r="D34" s="992">
        <f>HLOOKUP($H41,Supplementary!$C$44:$AF$46,3,FALSE)*D41</f>
        <v>573.59674442492985</v>
      </c>
      <c r="E34" s="992">
        <f>HLOOKUP($H41,Supplementary!$C$44:$AF$46,3,FALSE)*E41</f>
        <v>573.59674442492985</v>
      </c>
      <c r="F34" s="992">
        <f>HLOOKUP($H41,Supplementary!$C$44:$AF$46,3,FALSE)*F41</f>
        <v>573.59674442492997</v>
      </c>
      <c r="G34" s="992">
        <f>HLOOKUP($H41,Supplementary!$C$44:$AF$46,3,FALSE)*G41</f>
        <v>573.59674442493008</v>
      </c>
      <c r="H34" s="323">
        <f>priceYear</f>
        <v>2015</v>
      </c>
      <c r="I34" s="555"/>
      <c r="J34" s="1472"/>
    </row>
    <row r="35" spans="2:11">
      <c r="B35" s="1492"/>
      <c r="C35" s="1469"/>
      <c r="D35" s="992"/>
      <c r="E35" s="992"/>
      <c r="F35" s="992"/>
      <c r="G35" s="992"/>
      <c r="H35" s="323"/>
      <c r="I35" s="555"/>
      <c r="J35" s="1472"/>
    </row>
    <row r="36" spans="2:11">
      <c r="B36" s="1492" t="s">
        <v>264</v>
      </c>
      <c r="C36" s="1469" t="s">
        <v>263</v>
      </c>
      <c r="D36" s="992">
        <f>HLOOKUP($H43,Supplementary!$C$44:$AF$46,3,FALSE)*D43</f>
        <v>0</v>
      </c>
      <c r="E36" s="992">
        <f>HLOOKUP($H43,Supplementary!$C$44:$AF$46,3,FALSE)*E43</f>
        <v>0</v>
      </c>
      <c r="F36" s="992">
        <f>HLOOKUP($H43,Supplementary!$C$44:$AF$46,3,FALSE)*F43</f>
        <v>0</v>
      </c>
      <c r="G36" s="992">
        <f>HLOOKUP($H43,Supplementary!$C$44:$AF$46,3,FALSE)*G43</f>
        <v>0</v>
      </c>
      <c r="H36" s="323">
        <f>priceYear</f>
        <v>2015</v>
      </c>
      <c r="I36" s="555"/>
      <c r="J36" s="1472"/>
    </row>
    <row r="37" spans="2:11">
      <c r="B37" s="1468"/>
      <c r="C37" s="1469"/>
      <c r="D37" s="1562"/>
      <c r="E37" s="1486"/>
      <c r="F37" s="1486"/>
      <c r="G37" s="1486"/>
      <c r="H37" s="1486"/>
      <c r="I37" s="555"/>
      <c r="J37" s="1472"/>
    </row>
    <row r="38" spans="2:11">
      <c r="B38" s="1476" t="s">
        <v>157</v>
      </c>
      <c r="C38" s="1469" t="s">
        <v>61</v>
      </c>
      <c r="D38" s="311">
        <f ca="1">951180-268235/(1+rSØK)^D27</f>
        <v>751018.91308317415</v>
      </c>
      <c r="E38" s="311">
        <f ca="1">951180-268235/(1+rSØK)^D27</f>
        <v>751018.91308317415</v>
      </c>
      <c r="F38" s="311">
        <f ca="1">951180-268235/(1+rSØK)^D27</f>
        <v>751018.91308317415</v>
      </c>
      <c r="G38" s="311">
        <f ca="1">951180-268235/(1+rSØK)^D27</f>
        <v>751018.91308317415</v>
      </c>
      <c r="H38" s="407">
        <v>2013</v>
      </c>
      <c r="I38" s="1576" t="s">
        <v>2632</v>
      </c>
      <c r="J38" s="1472"/>
      <c r="K38" s="164"/>
    </row>
    <row r="39" spans="2:11">
      <c r="B39" s="1484" t="s">
        <v>262</v>
      </c>
      <c r="C39" s="1469" t="s">
        <v>263</v>
      </c>
      <c r="D39" s="312">
        <f ca="1">+SUM(D40:D43)</f>
        <v>1076.2653476999574</v>
      </c>
      <c r="E39" s="1490">
        <f ca="1">+SUM(E40:E43)</f>
        <v>1076.2653476999574</v>
      </c>
      <c r="F39" s="1490">
        <f ca="1">+SUM(F40:F43)</f>
        <v>1076.2653476999576</v>
      </c>
      <c r="G39" s="1490">
        <f ca="1">+SUM(G40:G43)</f>
        <v>1076.2653476999578</v>
      </c>
      <c r="H39" s="407">
        <v>2013</v>
      </c>
      <c r="I39" s="1474"/>
      <c r="J39" s="1472"/>
      <c r="K39" s="164"/>
    </row>
    <row r="40" spans="2:11">
      <c r="B40" s="1492" t="s">
        <v>162</v>
      </c>
      <c r="C40" s="1469" t="s">
        <v>263</v>
      </c>
      <c r="D40" s="312">
        <f ca="1">PMT(rSØK,D27,-D38)/D28</f>
        <v>523.90559460306747</v>
      </c>
      <c r="E40" s="1490">
        <f ca="1">PMT(rSØK,E27,-E38)/E28</f>
        <v>523.90559460306747</v>
      </c>
      <c r="F40" s="1490">
        <f ca="1">PMT(rSØK,F27,-F38)/F28</f>
        <v>523.90559460306758</v>
      </c>
      <c r="G40" s="1490">
        <f ca="1">PMT(rSØK,G27,-G38)/G28</f>
        <v>523.9055946030677</v>
      </c>
      <c r="H40" s="407">
        <v>2013</v>
      </c>
      <c r="I40" s="1474"/>
      <c r="J40" s="1472"/>
      <c r="K40" s="164"/>
    </row>
    <row r="41" spans="2:11">
      <c r="B41" s="1492" t="s">
        <v>163</v>
      </c>
      <c r="C41" s="1469" t="s">
        <v>263</v>
      </c>
      <c r="D41" s="312">
        <f>(D68*D69)/D28</f>
        <v>552.3597530968899</v>
      </c>
      <c r="E41" s="1490">
        <f>(E68*E69)/E28</f>
        <v>552.3597530968899</v>
      </c>
      <c r="F41" s="1490">
        <f>(F68*F69)/F28</f>
        <v>552.35975309689002</v>
      </c>
      <c r="G41" s="1490">
        <f>(G68*G69)/G28</f>
        <v>552.35975309689013</v>
      </c>
      <c r="H41" s="407">
        <v>2013</v>
      </c>
      <c r="I41" s="1474"/>
      <c r="J41" s="1574" t="s">
        <v>2630</v>
      </c>
      <c r="K41" s="164"/>
    </row>
    <row r="42" spans="2:11">
      <c r="B42" s="1492"/>
      <c r="C42" s="1469"/>
      <c r="D42" s="1562"/>
      <c r="E42" s="1486"/>
      <c r="F42" s="1486"/>
      <c r="G42" s="1486"/>
      <c r="H42" s="407"/>
      <c r="I42" s="1474"/>
      <c r="J42" s="1472"/>
      <c r="K42" s="164"/>
    </row>
    <row r="43" spans="2:11">
      <c r="B43" s="1492" t="s">
        <v>264</v>
      </c>
      <c r="C43" s="1469" t="s">
        <v>263</v>
      </c>
      <c r="D43" s="312">
        <v>0</v>
      </c>
      <c r="E43" s="300">
        <v>0</v>
      </c>
      <c r="F43" s="300">
        <v>0</v>
      </c>
      <c r="G43" s="300">
        <v>0</v>
      </c>
      <c r="H43" s="407">
        <v>2013</v>
      </c>
      <c r="I43" s="1474"/>
      <c r="J43" s="1574"/>
      <c r="K43" s="164"/>
    </row>
    <row r="44" spans="2:11">
      <c r="B44" s="1492"/>
      <c r="C44" s="1469"/>
      <c r="D44" s="1562"/>
      <c r="E44" s="1486"/>
      <c r="F44" s="1486"/>
      <c r="G44" s="1486"/>
      <c r="H44" s="1486"/>
      <c r="I44" s="1474"/>
      <c r="J44" s="1472"/>
      <c r="K44" s="164"/>
    </row>
    <row r="45" spans="2:11">
      <c r="B45" s="1468" t="s">
        <v>166</v>
      </c>
      <c r="C45" s="1469"/>
      <c r="D45" s="1562"/>
      <c r="E45" s="1486"/>
      <c r="F45" s="1486"/>
      <c r="G45" s="1486"/>
      <c r="H45" s="1489"/>
      <c r="I45" s="1474"/>
      <c r="J45" s="1472"/>
      <c r="K45" s="164"/>
    </row>
    <row r="46" spans="2:11">
      <c r="B46" s="418" t="s">
        <v>0</v>
      </c>
      <c r="C46" s="1469"/>
      <c r="D46" s="1562"/>
      <c r="E46" s="1486"/>
      <c r="F46" s="1486"/>
      <c r="G46" s="1486"/>
      <c r="H46" s="1566"/>
      <c r="I46" s="1474"/>
      <c r="J46" s="1472"/>
      <c r="K46" s="164"/>
    </row>
    <row r="47" spans="2:11">
      <c r="B47" s="1484" t="s">
        <v>24</v>
      </c>
      <c r="C47" s="1469" t="s">
        <v>2644</v>
      </c>
      <c r="D47" s="421"/>
      <c r="E47" s="422"/>
      <c r="F47" s="422"/>
      <c r="G47" s="422"/>
      <c r="H47" s="1566"/>
      <c r="I47" s="1474"/>
      <c r="J47" s="1574" t="s">
        <v>850</v>
      </c>
      <c r="K47" s="164"/>
    </row>
    <row r="48" spans="2:11">
      <c r="B48" s="1484" t="s">
        <v>27</v>
      </c>
      <c r="C48" s="1469" t="s">
        <v>2644</v>
      </c>
      <c r="D48" s="127">
        <f t="shared" ref="D48:G52" si="0">D78/D$75</f>
        <v>5.70067229895981E-4</v>
      </c>
      <c r="E48" s="127">
        <f t="shared" si="0"/>
        <v>1.629924366906775E-4</v>
      </c>
      <c r="F48" s="127">
        <f t="shared" si="0"/>
        <v>1.6299243669067753E-4</v>
      </c>
      <c r="G48" s="127">
        <f t="shared" si="0"/>
        <v>1.6299243669067753E-4</v>
      </c>
      <c r="H48" s="1660"/>
      <c r="I48" s="1474"/>
      <c r="J48" s="1472"/>
      <c r="K48" s="164"/>
    </row>
    <row r="49" spans="2:11">
      <c r="B49" s="1484" t="s">
        <v>28</v>
      </c>
      <c r="C49" s="1469" t="s">
        <v>2644</v>
      </c>
      <c r="D49" s="127">
        <f t="shared" si="0"/>
        <v>3.3862691824031407E-3</v>
      </c>
      <c r="E49" s="127">
        <f t="shared" si="0"/>
        <v>3.3862691824031407E-3</v>
      </c>
      <c r="F49" s="127">
        <f t="shared" si="0"/>
        <v>3.3862691824031407E-3</v>
      </c>
      <c r="G49" s="127">
        <f t="shared" si="0"/>
        <v>3.3862691824031407E-3</v>
      </c>
      <c r="H49" s="1486"/>
      <c r="I49" s="1474"/>
      <c r="J49" s="1472"/>
      <c r="K49" s="164"/>
    </row>
    <row r="50" spans="2:11">
      <c r="B50" s="1484" t="s">
        <v>26</v>
      </c>
      <c r="C50" s="1469" t="s">
        <v>2644</v>
      </c>
      <c r="D50" s="127">
        <f t="shared" si="0"/>
        <v>4.6837408023728819E-4</v>
      </c>
      <c r="E50" s="127">
        <f t="shared" si="0"/>
        <v>4.6837408023728819E-4</v>
      </c>
      <c r="F50" s="127">
        <f t="shared" si="0"/>
        <v>4.6837408023728825E-4</v>
      </c>
      <c r="G50" s="127">
        <f t="shared" si="0"/>
        <v>4.6837408023728825E-4</v>
      </c>
      <c r="H50" s="1478"/>
      <c r="I50" s="1474"/>
      <c r="J50" s="1472"/>
      <c r="K50" s="164"/>
    </row>
    <row r="51" spans="2:11">
      <c r="B51" s="1484" t="s">
        <v>167</v>
      </c>
      <c r="C51" s="1469" t="s">
        <v>2644</v>
      </c>
      <c r="D51" s="127">
        <f t="shared" si="0"/>
        <v>0.34889924166526276</v>
      </c>
      <c r="E51" s="127">
        <f t="shared" si="0"/>
        <v>3.6446302941253436E-2</v>
      </c>
      <c r="F51" s="127">
        <f t="shared" si="0"/>
        <v>3.6446302941253436E-2</v>
      </c>
      <c r="G51" s="127">
        <f t="shared" si="0"/>
        <v>3.6446302941253436E-2</v>
      </c>
      <c r="H51" s="1486"/>
      <c r="I51" s="1474"/>
      <c r="J51" s="1472"/>
      <c r="K51" s="164"/>
    </row>
    <row r="52" spans="2:11">
      <c r="B52" s="1484" t="s">
        <v>45</v>
      </c>
      <c r="C52" s="1469" t="s">
        <v>2644</v>
      </c>
      <c r="D52" s="127">
        <f t="shared" si="0"/>
        <v>3.2979813853448933E-3</v>
      </c>
      <c r="E52" s="127">
        <f t="shared" si="0"/>
        <v>3.6064433411829615E-4</v>
      </c>
      <c r="F52" s="127">
        <f t="shared" si="0"/>
        <v>3.6064433411829615E-4</v>
      </c>
      <c r="G52" s="127">
        <f t="shared" si="0"/>
        <v>3.6064433411829615E-4</v>
      </c>
      <c r="H52" s="1486"/>
      <c r="I52" s="1474"/>
      <c r="J52" s="1472"/>
      <c r="K52" s="164"/>
    </row>
    <row r="53" spans="2:11">
      <c r="B53" s="1484"/>
      <c r="C53" s="1469"/>
      <c r="D53" s="1496"/>
      <c r="E53" s="1471"/>
      <c r="F53" s="1471"/>
      <c r="G53" s="1471"/>
      <c r="H53" s="1486"/>
      <c r="I53" s="1474"/>
      <c r="J53" s="1472"/>
      <c r="K53" s="164"/>
    </row>
    <row r="54" spans="2:11">
      <c r="B54" s="418" t="s">
        <v>20</v>
      </c>
      <c r="C54" s="1469"/>
      <c r="D54" s="1562"/>
      <c r="E54" s="1486"/>
      <c r="F54" s="1486"/>
      <c r="G54" s="1486"/>
      <c r="H54" s="1660"/>
      <c r="I54" s="1474"/>
      <c r="J54" s="1472"/>
      <c r="K54" s="164"/>
    </row>
    <row r="55" spans="2:11">
      <c r="B55" s="1484" t="s">
        <v>24</v>
      </c>
      <c r="C55" s="1469" t="s">
        <v>2644</v>
      </c>
      <c r="D55" s="421"/>
      <c r="E55" s="422"/>
      <c r="F55" s="422"/>
      <c r="G55" s="422"/>
      <c r="H55" s="1169"/>
      <c r="I55" s="1474"/>
      <c r="J55" s="1574" t="s">
        <v>850</v>
      </c>
      <c r="K55" s="164"/>
    </row>
    <row r="56" spans="2:11">
      <c r="B56" s="1484" t="s">
        <v>27</v>
      </c>
      <c r="C56" s="1469" t="s">
        <v>2644</v>
      </c>
      <c r="D56" s="419">
        <f t="shared" ref="D56:G60" si="1">D48</f>
        <v>5.70067229895981E-4</v>
      </c>
      <c r="E56" s="419">
        <f t="shared" si="1"/>
        <v>1.629924366906775E-4</v>
      </c>
      <c r="F56" s="419">
        <f t="shared" si="1"/>
        <v>1.6299243669067753E-4</v>
      </c>
      <c r="G56" s="419">
        <f t="shared" si="1"/>
        <v>1.6299243669067753E-4</v>
      </c>
      <c r="H56" s="1169"/>
      <c r="I56" s="1474"/>
      <c r="J56" s="1472"/>
      <c r="K56" s="164"/>
    </row>
    <row r="57" spans="2:11">
      <c r="B57" s="1484" t="s">
        <v>28</v>
      </c>
      <c r="C57" s="1469" t="s">
        <v>2644</v>
      </c>
      <c r="D57" s="419">
        <f t="shared" si="1"/>
        <v>3.3862691824031407E-3</v>
      </c>
      <c r="E57" s="419">
        <f t="shared" si="1"/>
        <v>3.3862691824031407E-3</v>
      </c>
      <c r="F57" s="419">
        <f t="shared" si="1"/>
        <v>3.3862691824031407E-3</v>
      </c>
      <c r="G57" s="419">
        <f t="shared" si="1"/>
        <v>3.3862691824031407E-3</v>
      </c>
      <c r="H57" s="1169"/>
      <c r="I57" s="1474"/>
      <c r="J57" s="1472"/>
      <c r="K57" s="164"/>
    </row>
    <row r="58" spans="2:11">
      <c r="B58" s="1484" t="s">
        <v>26</v>
      </c>
      <c r="C58" s="1469" t="s">
        <v>2644</v>
      </c>
      <c r="D58" s="419">
        <f t="shared" si="1"/>
        <v>4.6837408023728819E-4</v>
      </c>
      <c r="E58" s="419">
        <f t="shared" si="1"/>
        <v>4.6837408023728819E-4</v>
      </c>
      <c r="F58" s="419">
        <f t="shared" si="1"/>
        <v>4.6837408023728825E-4</v>
      </c>
      <c r="G58" s="419">
        <f t="shared" si="1"/>
        <v>4.6837408023728825E-4</v>
      </c>
      <c r="H58" s="1169"/>
      <c r="I58" s="1474"/>
      <c r="J58" s="1472"/>
      <c r="K58" s="164"/>
    </row>
    <row r="59" spans="2:11">
      <c r="B59" s="1484" t="s">
        <v>167</v>
      </c>
      <c r="C59" s="1469" t="s">
        <v>2644</v>
      </c>
      <c r="D59" s="419">
        <f t="shared" si="1"/>
        <v>0.34889924166526276</v>
      </c>
      <c r="E59" s="419">
        <f t="shared" si="1"/>
        <v>3.6446302941253436E-2</v>
      </c>
      <c r="F59" s="419">
        <f t="shared" si="1"/>
        <v>3.6446302941253436E-2</v>
      </c>
      <c r="G59" s="419">
        <f t="shared" si="1"/>
        <v>3.6446302941253436E-2</v>
      </c>
      <c r="H59" s="1169"/>
      <c r="I59" s="1474"/>
      <c r="J59" s="1472"/>
      <c r="K59" s="164"/>
    </row>
    <row r="60" spans="2:11">
      <c r="B60" s="1484" t="s">
        <v>45</v>
      </c>
      <c r="C60" s="1469" t="s">
        <v>2644</v>
      </c>
      <c r="D60" s="419">
        <f t="shared" si="1"/>
        <v>3.2979813853448933E-3</v>
      </c>
      <c r="E60" s="419">
        <f t="shared" si="1"/>
        <v>3.6064433411829615E-4</v>
      </c>
      <c r="F60" s="419">
        <f t="shared" si="1"/>
        <v>3.6064433411829615E-4</v>
      </c>
      <c r="G60" s="419">
        <f t="shared" si="1"/>
        <v>3.6064433411829615E-4</v>
      </c>
      <c r="H60" s="323"/>
      <c r="I60" s="1474"/>
      <c r="J60" s="1472"/>
      <c r="K60" s="164"/>
    </row>
    <row r="61" spans="2:11" ht="13.5" thickBot="1">
      <c r="B61" s="1498"/>
      <c r="C61" s="1499"/>
      <c r="D61" s="1500"/>
      <c r="E61" s="1501"/>
      <c r="F61" s="1501"/>
      <c r="G61" s="1501"/>
      <c r="H61" s="1501"/>
      <c r="I61" s="1502"/>
      <c r="J61" s="1503"/>
      <c r="K61" s="164"/>
    </row>
    <row r="62" spans="2:11">
      <c r="K62" s="164"/>
    </row>
    <row r="63" spans="2:11">
      <c r="K63" s="164"/>
    </row>
    <row r="64" spans="2:11" ht="16.5" thickBot="1">
      <c r="B64" s="1504" t="s">
        <v>168</v>
      </c>
      <c r="K64" s="164"/>
    </row>
    <row r="65" spans="2:11">
      <c r="B65" s="1455"/>
      <c r="C65" s="1456"/>
      <c r="D65" s="1449"/>
      <c r="E65" s="1449"/>
      <c r="F65" s="1449"/>
      <c r="G65" s="1449"/>
      <c r="H65" s="1449"/>
      <c r="I65" s="1449"/>
      <c r="J65" s="1450"/>
      <c r="K65" s="164"/>
    </row>
    <row r="66" spans="2:11">
      <c r="B66" s="1460"/>
      <c r="C66" s="1461" t="s">
        <v>70</v>
      </c>
      <c r="D66" s="1506">
        <v>2015</v>
      </c>
      <c r="E66" s="1507">
        <v>2020</v>
      </c>
      <c r="F66" s="1507">
        <v>2035</v>
      </c>
      <c r="G66" s="1507">
        <v>2050</v>
      </c>
      <c r="H66" s="1507"/>
      <c r="I66" s="1464"/>
      <c r="J66" s="1465"/>
      <c r="K66" s="164"/>
    </row>
    <row r="67" spans="2:11">
      <c r="B67" s="1484" t="s">
        <v>266</v>
      </c>
      <c r="C67" s="1509" t="s">
        <v>267</v>
      </c>
      <c r="D67" s="288">
        <f>Lastbil!D67</f>
        <v>5.6484926400000006</v>
      </c>
      <c r="E67" s="288">
        <f>Lastbil!E67</f>
        <v>5.6484926400000006</v>
      </c>
      <c r="F67" s="288">
        <f>Lastbil!F67</f>
        <v>5.6484926399999997</v>
      </c>
      <c r="G67" s="288">
        <f>Lastbil!G67</f>
        <v>5.6484926399999988</v>
      </c>
      <c r="H67" s="288"/>
      <c r="I67" s="1576" t="s">
        <v>2632</v>
      </c>
      <c r="J67" s="1472"/>
      <c r="K67" s="164"/>
    </row>
    <row r="68" spans="2:11">
      <c r="B68" s="1484" t="s">
        <v>268</v>
      </c>
      <c r="C68" s="1509" t="s">
        <v>269</v>
      </c>
      <c r="D68" s="311">
        <f>Lastbil!D68</f>
        <v>50000</v>
      </c>
      <c r="E68" s="311">
        <f>Lastbil!E68</f>
        <v>50000</v>
      </c>
      <c r="F68" s="311">
        <f>Lastbil!F68</f>
        <v>50000</v>
      </c>
      <c r="G68" s="311">
        <f>Lastbil!G68</f>
        <v>50000</v>
      </c>
      <c r="H68" s="311"/>
      <c r="I68" s="1576" t="s">
        <v>2632</v>
      </c>
      <c r="J68" s="1472"/>
      <c r="K68" s="164"/>
    </row>
    <row r="69" spans="2:11">
      <c r="B69" s="1484" t="s">
        <v>271</v>
      </c>
      <c r="C69" s="1573" t="s">
        <v>55</v>
      </c>
      <c r="D69" s="2504">
        <f>Lastbil!D69</f>
        <v>3.12</v>
      </c>
      <c r="E69" s="2504">
        <f>Lastbil!E69</f>
        <v>3.12</v>
      </c>
      <c r="F69" s="2504">
        <f>Lastbil!F69</f>
        <v>3.12</v>
      </c>
      <c r="G69" s="2504">
        <f>Lastbil!G69</f>
        <v>3.12</v>
      </c>
      <c r="H69" s="316"/>
      <c r="I69" s="1576" t="s">
        <v>2632</v>
      </c>
      <c r="J69" s="1574"/>
      <c r="K69" s="164"/>
    </row>
    <row r="70" spans="2:11">
      <c r="B70" s="1572" t="s">
        <v>563</v>
      </c>
      <c r="C70" s="1573" t="s">
        <v>32</v>
      </c>
      <c r="D70" s="318">
        <f>Lastbil!D70*Supplementary!G168/Supplementary!G164</f>
        <v>1.3474745361445666</v>
      </c>
      <c r="E70" s="378">
        <f>D70*E71/D71</f>
        <v>1.4148482629517947</v>
      </c>
      <c r="F70" s="378">
        <f>D70*F71/D71</f>
        <v>1.4822219897590232</v>
      </c>
      <c r="G70" s="378">
        <f>F70</f>
        <v>1.4822219897590232</v>
      </c>
      <c r="H70" s="378"/>
      <c r="I70" s="1576" t="s">
        <v>2632</v>
      </c>
      <c r="J70" s="1472"/>
      <c r="K70" s="164"/>
    </row>
    <row r="71" spans="2:11">
      <c r="B71" s="1572" t="s">
        <v>564</v>
      </c>
      <c r="C71" s="1573" t="s">
        <v>29</v>
      </c>
      <c r="D71" s="319">
        <v>0.4</v>
      </c>
      <c r="E71" s="319">
        <v>0.42</v>
      </c>
      <c r="F71" s="319">
        <v>0.44</v>
      </c>
      <c r="G71" s="319">
        <f>F71</f>
        <v>0.44</v>
      </c>
      <c r="H71" s="319"/>
      <c r="I71" s="1471"/>
      <c r="J71" s="1574" t="s">
        <v>668</v>
      </c>
      <c r="K71" s="164"/>
    </row>
    <row r="72" spans="2:11" ht="13.5" thickBot="1">
      <c r="B72" s="320"/>
      <c r="C72" s="321"/>
      <c r="D72" s="322"/>
      <c r="E72" s="322"/>
      <c r="F72" s="322"/>
      <c r="G72" s="322"/>
      <c r="H72" s="322"/>
      <c r="I72" s="1576"/>
      <c r="J72" s="1503"/>
      <c r="K72" s="164"/>
    </row>
    <row r="73" spans="2:11">
      <c r="D73" s="1580"/>
      <c r="E73" s="1580"/>
      <c r="F73" s="1580"/>
      <c r="G73" s="1580"/>
      <c r="H73" s="1580"/>
      <c r="K73" s="164"/>
    </row>
    <row r="74" spans="2:11" ht="16.5" thickBot="1">
      <c r="B74" s="1504" t="s">
        <v>172</v>
      </c>
      <c r="K74" s="164"/>
    </row>
    <row r="75" spans="2:11">
      <c r="B75" s="1455" t="s">
        <v>273</v>
      </c>
      <c r="C75" s="1449"/>
      <c r="D75" s="441">
        <f>Supplementary!G168/D70</f>
        <v>14.121231600000002</v>
      </c>
      <c r="E75" s="441">
        <f>Supplementary!$G$168/E70</f>
        <v>13.448792000000005</v>
      </c>
      <c r="F75" s="441">
        <f>Supplementary!$G$168/F70</f>
        <v>12.837483272727274</v>
      </c>
      <c r="G75" s="441">
        <f>Supplementary!$G$168/G70</f>
        <v>12.837483272727274</v>
      </c>
      <c r="H75" s="441"/>
      <c r="I75" s="1449"/>
      <c r="J75" s="1450"/>
      <c r="K75" s="164"/>
    </row>
    <row r="76" spans="2:11">
      <c r="B76" s="1484"/>
      <c r="C76" s="1471"/>
      <c r="D76" s="260"/>
      <c r="E76" s="260"/>
      <c r="F76" s="260"/>
      <c r="G76" s="260"/>
      <c r="H76" s="260"/>
      <c r="I76" s="1471"/>
      <c r="J76" s="1472"/>
      <c r="K76" s="164"/>
    </row>
    <row r="77" spans="2:11">
      <c r="B77" s="1484" t="s">
        <v>24</v>
      </c>
      <c r="C77" s="1471" t="s">
        <v>7</v>
      </c>
      <c r="D77" s="261">
        <f t="shared" ref="D77:G82" si="2">D87/1000*D$75</f>
        <v>1044.9711384000002</v>
      </c>
      <c r="E77" s="261">
        <f t="shared" si="2"/>
        <v>995.21060800000032</v>
      </c>
      <c r="F77" s="261">
        <f t="shared" si="2"/>
        <v>949.9737621818183</v>
      </c>
      <c r="G77" s="261">
        <f t="shared" si="2"/>
        <v>949.9737621818183</v>
      </c>
      <c r="H77" s="261"/>
      <c r="I77" s="1471"/>
      <c r="J77" s="1472"/>
      <c r="K77" s="164"/>
    </row>
    <row r="78" spans="2:11">
      <c r="B78" s="1484" t="s">
        <v>27</v>
      </c>
      <c r="C78" s="1471" t="s">
        <v>7</v>
      </c>
      <c r="D78" s="261">
        <f t="shared" si="2"/>
        <v>8.0500513809315926E-3</v>
      </c>
      <c r="E78" s="261">
        <f t="shared" si="2"/>
        <v>2.192051378626091E-3</v>
      </c>
      <c r="F78" s="261">
        <f t="shared" si="2"/>
        <v>2.0924126795976322E-3</v>
      </c>
      <c r="G78" s="261">
        <f t="shared" si="2"/>
        <v>2.0924126795976322E-3</v>
      </c>
      <c r="H78" s="261"/>
      <c r="I78" s="1471"/>
      <c r="J78" s="1472"/>
      <c r="K78" s="164"/>
    </row>
    <row r="79" spans="2:11">
      <c r="B79" s="1484" t="s">
        <v>28</v>
      </c>
      <c r="C79" s="1471" t="s">
        <v>7</v>
      </c>
      <c r="D79" s="261">
        <f t="shared" si="2"/>
        <v>4.7818291384657402E-2</v>
      </c>
      <c r="E79" s="261">
        <f t="shared" si="2"/>
        <v>4.5541229890149915E-2</v>
      </c>
      <c r="F79" s="261">
        <f t="shared" si="2"/>
        <v>4.3471173986052179E-2</v>
      </c>
      <c r="G79" s="261">
        <f t="shared" si="2"/>
        <v>4.3471173986052179E-2</v>
      </c>
      <c r="H79" s="261"/>
      <c r="I79" s="1471"/>
      <c r="J79" s="1472"/>
      <c r="K79" s="164"/>
    </row>
    <row r="80" spans="2:11">
      <c r="B80" s="1484" t="s">
        <v>26</v>
      </c>
      <c r="C80" s="1471" t="s">
        <v>7</v>
      </c>
      <c r="D80" s="261">
        <f t="shared" si="2"/>
        <v>6.6140188624677302E-3</v>
      </c>
      <c r="E80" s="261">
        <f t="shared" si="2"/>
        <v>6.2990655833026019E-3</v>
      </c>
      <c r="F80" s="261">
        <f t="shared" si="2"/>
        <v>6.0127444204252098E-3</v>
      </c>
      <c r="G80" s="261">
        <f t="shared" si="2"/>
        <v>6.0127444204252098E-3</v>
      </c>
      <c r="H80" s="261"/>
      <c r="I80" s="1471"/>
      <c r="J80" s="1472"/>
      <c r="K80" s="164"/>
    </row>
    <row r="81" spans="2:11">
      <c r="B81" s="1572" t="s">
        <v>25</v>
      </c>
      <c r="C81" s="1471" t="s">
        <v>7</v>
      </c>
      <c r="D81" s="261">
        <f t="shared" si="2"/>
        <v>4.9268869966195457</v>
      </c>
      <c r="E81" s="261">
        <f t="shared" si="2"/>
        <v>0.49015874742590587</v>
      </c>
      <c r="F81" s="261">
        <f t="shared" si="2"/>
        <v>0.46787880436109186</v>
      </c>
      <c r="G81" s="261">
        <f t="shared" si="2"/>
        <v>0.46787880436109186</v>
      </c>
      <c r="H81" s="261"/>
      <c r="I81" s="1471"/>
      <c r="J81" s="1574"/>
      <c r="K81" s="164"/>
    </row>
    <row r="82" spans="2:11">
      <c r="B82" s="1484" t="s">
        <v>45</v>
      </c>
      <c r="C82" s="1471" t="s">
        <v>7</v>
      </c>
      <c r="D82" s="261">
        <f t="shared" si="2"/>
        <v>4.6571558954944088E-2</v>
      </c>
      <c r="E82" s="261">
        <f t="shared" si="2"/>
        <v>4.8502306355354702E-3</v>
      </c>
      <c r="F82" s="261">
        <f t="shared" si="2"/>
        <v>4.6297656066474928E-3</v>
      </c>
      <c r="G82" s="261">
        <f t="shared" si="2"/>
        <v>4.6297656066474928E-3</v>
      </c>
      <c r="H82" s="261"/>
      <c r="I82" s="1471"/>
      <c r="J82" s="1574"/>
    </row>
    <row r="83" spans="2:11" ht="13.5" thickBot="1">
      <c r="B83" s="1521"/>
      <c r="C83" s="1501"/>
      <c r="D83" s="262"/>
      <c r="E83" s="262"/>
      <c r="F83" s="262"/>
      <c r="G83" s="262"/>
      <c r="H83" s="262"/>
      <c r="I83" s="1501"/>
      <c r="J83" s="1503"/>
    </row>
    <row r="85" spans="2:11" ht="13.5" thickBot="1">
      <c r="B85" s="1446" t="s">
        <v>521</v>
      </c>
    </row>
    <row r="86" spans="2:11">
      <c r="B86" s="1455"/>
      <c r="C86" s="1449"/>
      <c r="D86" s="367">
        <v>2015</v>
      </c>
      <c r="E86" s="367">
        <v>2020</v>
      </c>
      <c r="F86" s="367">
        <v>2035</v>
      </c>
      <c r="G86" s="367">
        <v>2050</v>
      </c>
      <c r="H86" s="368"/>
    </row>
    <row r="87" spans="2:11">
      <c r="B87" s="1487" t="s">
        <v>24</v>
      </c>
      <c r="C87" s="323" t="s">
        <v>203</v>
      </c>
      <c r="D87" s="324">
        <f>Supplementary!Z77</f>
        <v>74000</v>
      </c>
      <c r="E87" s="324">
        <f>Supplementary!AA77</f>
        <v>74000</v>
      </c>
      <c r="F87" s="324">
        <f>Supplementary!AB77</f>
        <v>74000</v>
      </c>
      <c r="G87" s="324">
        <f t="shared" ref="G87:G92" si="3">F87</f>
        <v>74000</v>
      </c>
      <c r="H87" s="363"/>
    </row>
    <row r="88" spans="2:11">
      <c r="B88" s="1487" t="s">
        <v>27</v>
      </c>
      <c r="C88" s="1471" t="s">
        <v>203</v>
      </c>
      <c r="D88" s="291">
        <f>Supplementary!Z78</f>
        <v>0.57006722989598102</v>
      </c>
      <c r="E88" s="291">
        <f>Supplementary!AA78</f>
        <v>0.16299243669067753</v>
      </c>
      <c r="F88" s="291">
        <f>Supplementary!AB78</f>
        <v>0.16299243669067753</v>
      </c>
      <c r="G88" s="291">
        <f t="shared" si="3"/>
        <v>0.16299243669067753</v>
      </c>
      <c r="H88" s="364"/>
    </row>
    <row r="89" spans="2:11">
      <c r="B89" s="1487" t="s">
        <v>28</v>
      </c>
      <c r="C89" s="1471" t="s">
        <v>203</v>
      </c>
      <c r="D89" s="291">
        <f>Supplementary!Z79</f>
        <v>3.3862691824031406</v>
      </c>
      <c r="E89" s="291">
        <f>Supplementary!AA79</f>
        <v>3.3862691824031406</v>
      </c>
      <c r="F89" s="291">
        <f>Supplementary!AB79</f>
        <v>3.3862691824031406</v>
      </c>
      <c r="G89" s="291">
        <f t="shared" si="3"/>
        <v>3.3862691824031406</v>
      </c>
      <c r="H89" s="364"/>
    </row>
    <row r="90" spans="2:11">
      <c r="B90" s="1487" t="s">
        <v>26</v>
      </c>
      <c r="C90" s="1471" t="s">
        <v>203</v>
      </c>
      <c r="D90" s="291">
        <f>Supplementary!Z80</f>
        <v>0.46837408023728822</v>
      </c>
      <c r="E90" s="291">
        <f>Supplementary!AA80</f>
        <v>0.46837408023728822</v>
      </c>
      <c r="F90" s="291">
        <f>Supplementary!AB80</f>
        <v>0.46837408023728822</v>
      </c>
      <c r="G90" s="291">
        <f t="shared" si="3"/>
        <v>0.46837408023728822</v>
      </c>
      <c r="H90" s="364"/>
    </row>
    <row r="91" spans="2:11">
      <c r="B91" s="1476" t="s">
        <v>25</v>
      </c>
      <c r="C91" s="1471" t="s">
        <v>203</v>
      </c>
      <c r="D91" s="324">
        <f>Supplementary!Z81</f>
        <v>348.89924166526276</v>
      </c>
      <c r="E91" s="324">
        <f>Supplementary!AA81</f>
        <v>36.446302941253435</v>
      </c>
      <c r="F91" s="324">
        <f>Supplementary!AB81</f>
        <v>36.446302941253435</v>
      </c>
      <c r="G91" s="324">
        <f t="shared" si="3"/>
        <v>36.446302941253435</v>
      </c>
      <c r="H91" s="363"/>
    </row>
    <row r="92" spans="2:11" ht="13.5" thickBot="1">
      <c r="B92" s="1578" t="s">
        <v>45</v>
      </c>
      <c r="C92" s="1501" t="s">
        <v>203</v>
      </c>
      <c r="D92" s="365">
        <f>Supplementary!Z82</f>
        <v>3.2979813853448934</v>
      </c>
      <c r="E92" s="365">
        <f>Supplementary!AA82</f>
        <v>0.36064433411829616</v>
      </c>
      <c r="F92" s="365">
        <f>Supplementary!AB82</f>
        <v>0.36064433411829616</v>
      </c>
      <c r="G92" s="365">
        <f t="shared" si="3"/>
        <v>0.36064433411829616</v>
      </c>
      <c r="H92" s="366"/>
    </row>
    <row r="95" spans="2:11">
      <c r="H95" s="1535"/>
    </row>
    <row r="96" spans="2:11">
      <c r="H96" s="1535"/>
    </row>
    <row r="97" spans="8:8">
      <c r="H97" s="1535"/>
    </row>
    <row r="98" spans="8:8">
      <c r="H98" s="1535"/>
    </row>
    <row r="99" spans="8:8">
      <c r="H99" s="1535"/>
    </row>
  </sheetData>
  <pageMargins left="0.15748031496062992" right="0.15748031496062992" top="1.25" bottom="0.19685039370078741" header="0.51181102362204722" footer="0.51181102362204722"/>
  <pageSetup paperSize="9" scale="60" orientation="landscape" r:id="rId1"/>
  <headerFooter alignWithMargins="0">
    <oddHeader>&amp;L&amp;"Arial"&amp;14&amp;BBeregningsmodel
&amp;"Arial"&amp;08&amp;B64329, Teknologivurdering af alternative drivmidler til transportsektoren&amp;R&amp;"Arial"&amp;08Page &amp;P of &amp;N</oddHeader>
    <oddFooter>&amp;L&amp;"Arial"&amp;08&amp;Z&amp;F
Sheet: &amp;A&amp;C&amp;"Arial"&amp;08Printed &amp;D &amp;T&amp;R&amp;G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495041" r:id="rId5" name="Button 1">
              <controlPr defaultSize="0" print="0" autoFill="0" autoPict="0" macro="[0]!GtOver">
                <anchor>
                  <from>
                    <xdr:col>13</xdr:col>
                    <xdr:colOff>342900</xdr:colOff>
                    <xdr:row>0</xdr:row>
                    <xdr:rowOff>38100</xdr:rowOff>
                  </from>
                  <to>
                    <xdr:col>15</xdr:col>
                    <xdr:colOff>219075</xdr:colOff>
                    <xdr:row>0</xdr:row>
                    <xdr:rowOff>238125</xdr:rowOff>
                  </to>
                </anchor>
              </controlPr>
            </control>
          </mc:Choice>
        </mc:AlternateContent>
        <mc:AlternateContent xmlns:mc="http://schemas.openxmlformats.org/markup-compatibility/2006">
          <mc:Choice Requires="x14">
            <control shapeId="1495042" r:id="rId6" name="Button 2">
              <controlPr defaultSize="0" print="0" autoFill="0" autoPict="0" macro="[0]!GtRes">
                <anchor>
                  <from>
                    <xdr:col>15</xdr:col>
                    <xdr:colOff>390525</xdr:colOff>
                    <xdr:row>0</xdr:row>
                    <xdr:rowOff>38100</xdr:rowOff>
                  </from>
                  <to>
                    <xdr:col>15</xdr:col>
                    <xdr:colOff>1447800</xdr:colOff>
                    <xdr:row>0</xdr:row>
                    <xdr:rowOff>238125</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002060"/>
  </sheetPr>
  <dimension ref="A1:U121"/>
  <sheetViews>
    <sheetView zoomScale="80" zoomScaleNormal="80" workbookViewId="0">
      <selection activeCell="T77" sqref="T77"/>
    </sheetView>
  </sheetViews>
  <sheetFormatPr defaultRowHeight="12.75"/>
  <cols>
    <col min="1" max="1" width="2.85546875" style="286" customWidth="1"/>
    <col min="2" max="2" width="35" style="286" customWidth="1"/>
    <col min="3" max="3" width="18" style="286" customWidth="1"/>
    <col min="4" max="7" width="15.85546875" style="286" customWidth="1"/>
    <col min="8" max="8" width="15.85546875" style="1447" customWidth="1"/>
    <col min="9" max="9" width="47.28515625" style="286" customWidth="1"/>
    <col min="10" max="10" width="37.42578125" style="286" customWidth="1"/>
    <col min="11" max="21" width="9.140625" style="286"/>
    <col min="22" max="22" width="15.5703125" style="286" customWidth="1"/>
    <col min="23" max="24" width="10" style="286" customWidth="1"/>
    <col min="25" max="16384" width="9.140625" style="286"/>
  </cols>
  <sheetData>
    <row r="1" spans="1:19" s="2403" customFormat="1" ht="21">
      <c r="B1" s="2403" t="s">
        <v>605</v>
      </c>
      <c r="Q1" s="2403">
        <f ca="1">'Log2015'!M1</f>
        <v>-8.0112614142160741</v>
      </c>
      <c r="R1" s="2405">
        <f ca="1">'Log2015'!N1</f>
        <v>-160807.124977848</v>
      </c>
      <c r="S1" s="2406"/>
    </row>
    <row r="2" spans="1:19">
      <c r="A2" s="1447"/>
      <c r="B2" s="1447"/>
      <c r="C2" s="1447"/>
      <c r="D2" s="1447"/>
      <c r="E2" s="1447"/>
      <c r="F2" s="1447"/>
      <c r="G2" s="1447"/>
      <c r="I2" s="1447"/>
      <c r="J2" s="1447"/>
      <c r="K2" s="1447"/>
      <c r="L2" s="1447"/>
      <c r="M2" s="1447"/>
      <c r="N2" s="1447"/>
      <c r="O2" s="1447"/>
      <c r="P2" s="1447"/>
      <c r="Q2" s="1447"/>
      <c r="R2" s="625">
        <f ca="1">R1</f>
        <v>-160807.124977848</v>
      </c>
      <c r="S2" s="625">
        <f>S1</f>
        <v>0</v>
      </c>
    </row>
    <row r="3" spans="1:19">
      <c r="A3" s="1447"/>
      <c r="B3" s="1447"/>
      <c r="C3" s="1447"/>
      <c r="D3" s="1447"/>
      <c r="E3" s="1447"/>
      <c r="F3" s="1447"/>
      <c r="G3" s="1447"/>
      <c r="I3" s="1447"/>
      <c r="J3" s="1447"/>
      <c r="K3" s="1447"/>
      <c r="L3" s="1447"/>
      <c r="M3" s="1447"/>
      <c r="N3" s="1447"/>
      <c r="O3" s="1447"/>
      <c r="P3" s="1447"/>
      <c r="Q3" s="1447"/>
    </row>
    <row r="4" spans="1:19" ht="13.5" thickBot="1">
      <c r="A4" s="1447"/>
      <c r="B4" s="1446" t="s">
        <v>81</v>
      </c>
      <c r="C4" s="1447"/>
      <c r="D4" s="1447"/>
      <c r="E4" s="1447"/>
      <c r="F4" s="1447"/>
      <c r="G4" s="1447"/>
      <c r="I4" s="1447"/>
      <c r="J4" s="1447"/>
      <c r="K4" s="1447"/>
      <c r="L4" s="1447"/>
      <c r="M4" s="1447"/>
      <c r="N4" s="1447"/>
      <c r="O4" s="1447"/>
      <c r="P4" s="1447"/>
      <c r="Q4" s="1447"/>
      <c r="R4" s="1447"/>
    </row>
    <row r="5" spans="1:19">
      <c r="A5" s="1447"/>
      <c r="B5" s="1448" t="s">
        <v>137</v>
      </c>
      <c r="C5" s="1449"/>
      <c r="D5" s="1449"/>
      <c r="E5" s="1449"/>
      <c r="F5" s="1449"/>
      <c r="G5" s="1449"/>
      <c r="H5" s="1449"/>
      <c r="I5" s="1449"/>
      <c r="J5" s="1449"/>
      <c r="K5" s="1449"/>
      <c r="L5" s="1449"/>
      <c r="M5" s="1449"/>
      <c r="N5" s="1449"/>
      <c r="O5" s="1450"/>
      <c r="P5" s="1447"/>
      <c r="Q5" s="1447"/>
      <c r="R5" s="1447"/>
    </row>
    <row r="6" spans="1:19">
      <c r="A6" s="1447"/>
      <c r="B6" s="1476" t="s">
        <v>573</v>
      </c>
      <c r="C6" s="1471"/>
      <c r="D6" s="1471"/>
      <c r="E6" s="1471"/>
      <c r="F6" s="1471"/>
      <c r="G6" s="1471"/>
      <c r="H6" s="1471"/>
      <c r="I6" s="1471"/>
      <c r="J6" s="1471"/>
      <c r="K6" s="1471"/>
      <c r="L6" s="1471"/>
      <c r="M6" s="1471"/>
      <c r="N6" s="1471"/>
      <c r="O6" s="1472"/>
      <c r="P6" s="1447"/>
      <c r="Q6" s="1447"/>
      <c r="R6" s="1447"/>
    </row>
    <row r="7" spans="1:19">
      <c r="A7" s="1447"/>
      <c r="B7" s="1476" t="s">
        <v>577</v>
      </c>
      <c r="C7" s="1471"/>
      <c r="D7" s="1471"/>
      <c r="E7" s="1471"/>
      <c r="F7" s="1471"/>
      <c r="G7" s="1471"/>
      <c r="H7" s="1471"/>
      <c r="I7" s="1471"/>
      <c r="J7" s="1471"/>
      <c r="K7" s="1471"/>
      <c r="L7" s="1471"/>
      <c r="M7" s="1471"/>
      <c r="N7" s="1471"/>
      <c r="O7" s="1472"/>
      <c r="P7" s="1447"/>
      <c r="Q7" s="1447"/>
      <c r="R7" s="1447"/>
    </row>
    <row r="8" spans="1:19">
      <c r="A8" s="1447"/>
      <c r="B8" s="1476" t="s">
        <v>574</v>
      </c>
      <c r="C8" s="1471"/>
      <c r="D8" s="1471"/>
      <c r="E8" s="1471"/>
      <c r="F8" s="1471"/>
      <c r="G8" s="1471"/>
      <c r="H8" s="1471"/>
      <c r="I8" s="1471"/>
      <c r="J8" s="1471"/>
      <c r="K8" s="1471"/>
      <c r="L8" s="1471"/>
      <c r="M8" s="1471"/>
      <c r="N8" s="1471"/>
      <c r="O8" s="1472"/>
      <c r="P8" s="1447"/>
      <c r="Q8" s="1447"/>
      <c r="R8" s="1447"/>
    </row>
    <row r="9" spans="1:19">
      <c r="A9" s="1447"/>
      <c r="B9" s="1476"/>
      <c r="C9" s="1471"/>
      <c r="D9" s="1471"/>
      <c r="E9" s="1471"/>
      <c r="F9" s="1471"/>
      <c r="G9" s="1471"/>
      <c r="H9" s="1471"/>
      <c r="I9" s="1471"/>
      <c r="J9" s="1471"/>
      <c r="K9" s="1471"/>
      <c r="L9" s="1471"/>
      <c r="M9" s="1471"/>
      <c r="N9" s="1471"/>
      <c r="O9" s="1472"/>
      <c r="P9" s="1447"/>
      <c r="Q9" s="1447"/>
      <c r="R9" s="1447"/>
    </row>
    <row r="10" spans="1:19">
      <c r="A10" s="1447"/>
      <c r="B10" s="1476"/>
      <c r="C10" s="1471"/>
      <c r="D10" s="1471"/>
      <c r="E10" s="1471"/>
      <c r="F10" s="1471"/>
      <c r="G10" s="1471"/>
      <c r="H10" s="1471"/>
      <c r="I10" s="1471"/>
      <c r="J10" s="1471"/>
      <c r="K10" s="1471"/>
      <c r="L10" s="1471"/>
      <c r="M10" s="1471"/>
      <c r="N10" s="1471"/>
      <c r="O10" s="1472"/>
      <c r="P10" s="1447"/>
      <c r="Q10" s="1447"/>
      <c r="R10" s="1447"/>
    </row>
    <row r="11" spans="1:19">
      <c r="A11" s="1447"/>
      <c r="B11" s="1556" t="s">
        <v>256</v>
      </c>
      <c r="C11" s="1471"/>
      <c r="D11" s="1471"/>
      <c r="E11" s="1471"/>
      <c r="F11" s="1471"/>
      <c r="G11" s="1471"/>
      <c r="H11" s="1471"/>
      <c r="I11" s="1471"/>
      <c r="J11" s="1471"/>
      <c r="K11" s="1471"/>
      <c r="L11" s="1471"/>
      <c r="M11" s="1471"/>
      <c r="N11" s="1471"/>
      <c r="O11" s="1472"/>
      <c r="P11" s="1447"/>
      <c r="Q11" s="1447"/>
      <c r="R11" s="1447"/>
    </row>
    <row r="12" spans="1:19">
      <c r="A12" s="1447"/>
      <c r="B12" s="1476" t="s">
        <v>578</v>
      </c>
      <c r="C12" s="1471"/>
      <c r="D12" s="1471"/>
      <c r="E12" s="1471"/>
      <c r="F12" s="1471"/>
      <c r="G12" s="1471"/>
      <c r="H12" s="1471"/>
      <c r="I12" s="1471"/>
      <c r="J12" s="1471"/>
      <c r="K12" s="1471"/>
      <c r="L12" s="1471"/>
      <c r="M12" s="1471"/>
      <c r="N12" s="1471"/>
      <c r="O12" s="1472"/>
      <c r="P12" s="1447"/>
      <c r="Q12" s="1447"/>
      <c r="R12" s="1447"/>
    </row>
    <row r="13" spans="1:19">
      <c r="A13" s="1447"/>
      <c r="B13" s="1476" t="s">
        <v>579</v>
      </c>
      <c r="C13" s="1471"/>
      <c r="D13" s="1471"/>
      <c r="E13" s="1471"/>
      <c r="F13" s="1471"/>
      <c r="G13" s="1471"/>
      <c r="H13" s="1471"/>
      <c r="I13" s="1471"/>
      <c r="J13" s="1471"/>
      <c r="K13" s="1471"/>
      <c r="L13" s="1471"/>
      <c r="M13" s="1471"/>
      <c r="N13" s="1471"/>
      <c r="O13" s="1472"/>
      <c r="P13" s="1447"/>
      <c r="Q13" s="1447"/>
      <c r="R13" s="1447"/>
    </row>
    <row r="14" spans="1:19">
      <c r="A14" s="1447"/>
      <c r="B14" s="1556" t="s">
        <v>143</v>
      </c>
      <c r="C14" s="1471"/>
      <c r="D14" s="1471"/>
      <c r="E14" s="1471"/>
      <c r="F14" s="1471"/>
      <c r="G14" s="1471"/>
      <c r="H14" s="1471"/>
      <c r="I14" s="1471"/>
      <c r="J14" s="1471"/>
      <c r="K14" s="1471"/>
      <c r="L14" s="1471"/>
      <c r="M14" s="1471"/>
      <c r="N14" s="1471"/>
      <c r="O14" s="1472"/>
      <c r="P14" s="1447"/>
      <c r="Q14" s="1447"/>
      <c r="R14" s="1447"/>
    </row>
    <row r="15" spans="1:19">
      <c r="A15" s="1447"/>
      <c r="B15" s="1476"/>
      <c r="C15" s="1471"/>
      <c r="D15" s="1471"/>
      <c r="E15" s="1471"/>
      <c r="F15" s="1471"/>
      <c r="G15" s="1471"/>
      <c r="H15" s="1471"/>
      <c r="I15" s="1471"/>
      <c r="J15" s="1471"/>
      <c r="K15" s="1471"/>
      <c r="L15" s="1471"/>
      <c r="M15" s="1471"/>
      <c r="N15" s="1471"/>
      <c r="O15" s="1472"/>
      <c r="P15" s="1447"/>
      <c r="Q15" s="1447"/>
      <c r="R15" s="1447"/>
    </row>
    <row r="16" spans="1:19">
      <c r="A16" s="1447"/>
      <c r="B16" s="1468"/>
      <c r="C16" s="1471"/>
      <c r="D16" s="1471"/>
      <c r="E16" s="1471"/>
      <c r="F16" s="1471"/>
      <c r="G16" s="1471"/>
      <c r="H16" s="1471"/>
      <c r="I16" s="1471"/>
      <c r="J16" s="1471"/>
      <c r="K16" s="1471"/>
      <c r="L16" s="1471"/>
      <c r="M16" s="1471"/>
      <c r="N16" s="1471"/>
      <c r="O16" s="1472"/>
      <c r="P16" s="1447"/>
      <c r="Q16" s="1447"/>
      <c r="R16" s="1447"/>
    </row>
    <row r="17" spans="1:18" ht="13.5" thickBot="1">
      <c r="A17" s="1447"/>
      <c r="B17" s="1521"/>
      <c r="C17" s="1501"/>
      <c r="D17" s="1501"/>
      <c r="E17" s="1501"/>
      <c r="F17" s="1501"/>
      <c r="G17" s="1501"/>
      <c r="H17" s="1501"/>
      <c r="I17" s="1501"/>
      <c r="J17" s="1501"/>
      <c r="K17" s="1501"/>
      <c r="L17" s="1501"/>
      <c r="M17" s="1501"/>
      <c r="N17" s="1501"/>
      <c r="O17" s="1503"/>
      <c r="P17" s="1447"/>
      <c r="Q17" s="1447"/>
      <c r="R17" s="1447"/>
    </row>
    <row r="18" spans="1:18">
      <c r="A18" s="1447"/>
      <c r="B18" s="1447"/>
      <c r="C18" s="1447"/>
      <c r="D18" s="1447"/>
      <c r="E18" s="1447"/>
      <c r="F18" s="1447"/>
      <c r="G18" s="1447"/>
      <c r="I18" s="1447"/>
      <c r="J18" s="1447"/>
      <c r="K18" s="1447"/>
      <c r="L18" s="1447"/>
      <c r="M18" s="1447"/>
      <c r="N18" s="1447"/>
      <c r="O18" s="1447"/>
      <c r="P18" s="1447"/>
      <c r="Q18" s="1447"/>
      <c r="R18" s="1447"/>
    </row>
    <row r="19" spans="1:18" ht="13.5" thickBot="1">
      <c r="A19" s="1447"/>
      <c r="B19" s="1446" t="s">
        <v>144</v>
      </c>
      <c r="C19" s="1447"/>
      <c r="D19" s="1447"/>
      <c r="E19" s="1454"/>
      <c r="F19" s="1454"/>
      <c r="G19" s="1454"/>
      <c r="I19" s="1447"/>
      <c r="J19" s="1447"/>
      <c r="K19" s="1447"/>
      <c r="L19" s="1447"/>
      <c r="M19" s="1447"/>
      <c r="N19" s="1447"/>
      <c r="O19" s="1447"/>
      <c r="P19" s="1447"/>
      <c r="Q19" s="1447"/>
      <c r="R19" s="1447"/>
    </row>
    <row r="20" spans="1:18">
      <c r="A20" s="1447"/>
      <c r="B20" s="1455"/>
      <c r="C20" s="1456"/>
      <c r="D20" s="1557"/>
      <c r="E20" s="1449"/>
      <c r="F20" s="1449"/>
      <c r="G20" s="1449"/>
      <c r="H20" s="1449"/>
      <c r="I20" s="1449" t="s">
        <v>145</v>
      </c>
      <c r="J20" s="1450" t="s">
        <v>146</v>
      </c>
      <c r="K20" s="1447"/>
      <c r="L20" s="1447"/>
      <c r="M20" s="1447"/>
      <c r="N20" s="1447"/>
      <c r="O20" s="1447"/>
      <c r="P20" s="1447"/>
      <c r="Q20" s="1447"/>
      <c r="R20" s="1447"/>
    </row>
    <row r="21" spans="1:18">
      <c r="A21" s="1447"/>
      <c r="B21" s="1460"/>
      <c r="C21" s="1461" t="s">
        <v>70</v>
      </c>
      <c r="D21" s="1506">
        <v>2015</v>
      </c>
      <c r="E21" s="1507">
        <v>2020</v>
      </c>
      <c r="F21" s="1507">
        <v>2035</v>
      </c>
      <c r="G21" s="1507">
        <v>2050</v>
      </c>
      <c r="H21" s="1507" t="s">
        <v>978</v>
      </c>
      <c r="I21" s="287"/>
      <c r="J21" s="1465"/>
      <c r="K21" s="1447"/>
      <c r="L21" s="1447"/>
      <c r="M21" s="1447"/>
      <c r="N21" s="1447"/>
      <c r="O21" s="1447"/>
      <c r="P21" s="1447"/>
      <c r="Q21" s="1447"/>
      <c r="R21" s="1447"/>
    </row>
    <row r="22" spans="1:18">
      <c r="A22" s="1447"/>
      <c r="B22" s="1468" t="s">
        <v>257</v>
      </c>
      <c r="C22" s="1469"/>
      <c r="D22" s="153"/>
      <c r="E22" s="1470"/>
      <c r="F22" s="1470"/>
      <c r="G22" s="1470"/>
      <c r="H22" s="1470"/>
      <c r="I22" s="1471"/>
      <c r="J22" s="1472"/>
      <c r="K22" s="1447"/>
      <c r="L22" s="1447"/>
      <c r="M22" s="1447"/>
      <c r="N22" s="1447"/>
      <c r="O22" s="1447"/>
      <c r="P22" s="1447"/>
      <c r="Q22" s="1447"/>
      <c r="R22" s="1447"/>
    </row>
    <row r="23" spans="1:18">
      <c r="A23" s="1447"/>
      <c r="B23" s="122" t="s">
        <v>848</v>
      </c>
      <c r="C23" s="1469" t="s">
        <v>258</v>
      </c>
      <c r="D23" s="325">
        <f>D71</f>
        <v>0.4</v>
      </c>
      <c r="E23" s="326">
        <f>E71</f>
        <v>0.42</v>
      </c>
      <c r="F23" s="326">
        <f>F71</f>
        <v>0.44</v>
      </c>
      <c r="G23" s="326">
        <f>G71</f>
        <v>0.44</v>
      </c>
      <c r="H23" s="1657"/>
      <c r="I23" s="1474"/>
      <c r="J23" s="1472"/>
      <c r="K23" s="164"/>
      <c r="L23" s="1447"/>
      <c r="M23" s="1447"/>
      <c r="N23" s="1447"/>
      <c r="O23" s="1447"/>
      <c r="P23" s="1447"/>
      <c r="Q23" s="1447"/>
      <c r="R23" s="1447"/>
    </row>
    <row r="24" spans="1:18">
      <c r="A24" s="1447"/>
      <c r="B24" s="122" t="s">
        <v>849</v>
      </c>
      <c r="C24" s="1469" t="s">
        <v>258</v>
      </c>
      <c r="D24" s="416">
        <f>D23</f>
        <v>0.4</v>
      </c>
      <c r="E24" s="417">
        <f>E23</f>
        <v>0.42</v>
      </c>
      <c r="F24" s="417">
        <f>F23</f>
        <v>0.44</v>
      </c>
      <c r="G24" s="417">
        <f>G23</f>
        <v>0.44</v>
      </c>
      <c r="H24" s="1657"/>
      <c r="I24" s="1474"/>
      <c r="J24" s="1472"/>
      <c r="K24" s="164"/>
      <c r="L24" s="1447"/>
      <c r="M24" s="1447"/>
      <c r="N24" s="1447"/>
      <c r="O24" s="1447"/>
      <c r="P24" s="1447"/>
      <c r="Q24" s="1447"/>
      <c r="R24" s="1447"/>
    </row>
    <row r="25" spans="1:18">
      <c r="A25" s="1447"/>
      <c r="B25" s="122" t="s">
        <v>1025</v>
      </c>
      <c r="C25" s="1469" t="s">
        <v>1024</v>
      </c>
      <c r="D25" s="416">
        <f>D75</f>
        <v>14.1212316</v>
      </c>
      <c r="E25" s="417">
        <f>E75</f>
        <v>13.448792000000003</v>
      </c>
      <c r="F25" s="417">
        <f>F75</f>
        <v>12.837483272727274</v>
      </c>
      <c r="G25" s="417">
        <f>G75</f>
        <v>12.837483272727274</v>
      </c>
      <c r="H25" s="1658"/>
      <c r="I25" s="1474"/>
      <c r="J25" s="1472"/>
      <c r="K25" s="164"/>
      <c r="L25" s="1447"/>
      <c r="M25" s="1447"/>
      <c r="N25" s="1447"/>
      <c r="O25" s="1447"/>
      <c r="P25" s="1447"/>
      <c r="Q25" s="1447"/>
      <c r="R25" s="1447"/>
    </row>
    <row r="26" spans="1:18">
      <c r="A26" s="1447"/>
      <c r="B26" s="122" t="s">
        <v>1026</v>
      </c>
      <c r="C26" s="1469" t="s">
        <v>1024</v>
      </c>
      <c r="D26" s="416"/>
      <c r="E26" s="417"/>
      <c r="F26" s="417"/>
      <c r="G26" s="417"/>
      <c r="H26" s="1658"/>
      <c r="I26" s="1474"/>
      <c r="J26" s="1472"/>
      <c r="K26" s="164"/>
      <c r="L26" s="1447"/>
      <c r="M26" s="1447"/>
      <c r="N26" s="1447"/>
      <c r="O26" s="1447"/>
      <c r="P26" s="1447"/>
      <c r="Q26" s="1447"/>
      <c r="R26" s="1447"/>
    </row>
    <row r="27" spans="1:18">
      <c r="A27" s="1447"/>
      <c r="B27" s="1476" t="s">
        <v>98</v>
      </c>
      <c r="C27" s="1469" t="s">
        <v>259</v>
      </c>
      <c r="D27" s="1477">
        <v>6</v>
      </c>
      <c r="E27" s="1478">
        <v>6</v>
      </c>
      <c r="F27" s="1478">
        <v>6</v>
      </c>
      <c r="G27" s="1478">
        <v>6</v>
      </c>
      <c r="H27" s="1478"/>
      <c r="I27" s="1576" t="s">
        <v>2632</v>
      </c>
      <c r="J27" s="1472"/>
      <c r="K27" s="164"/>
      <c r="L27" s="1447"/>
      <c r="M27" s="1447"/>
      <c r="N27" s="1447"/>
      <c r="O27" s="1447"/>
      <c r="P27" s="1447"/>
      <c r="Q27" s="1447"/>
      <c r="R27" s="1447"/>
    </row>
    <row r="28" spans="1:18">
      <c r="A28" s="1447"/>
      <c r="B28" s="1476" t="s">
        <v>260</v>
      </c>
      <c r="C28" s="1469" t="s">
        <v>261</v>
      </c>
      <c r="D28" s="1560">
        <f>+D67*D68/1000</f>
        <v>282.42463200000003</v>
      </c>
      <c r="E28" s="1561">
        <f>+E67*E68/1000</f>
        <v>282.42463200000003</v>
      </c>
      <c r="F28" s="1561">
        <f>+F67*F68/1000</f>
        <v>282.42463199999997</v>
      </c>
      <c r="G28" s="1561">
        <f>+G67*G68/1000</f>
        <v>282.42463199999992</v>
      </c>
      <c r="H28" s="1659"/>
      <c r="I28" s="1474"/>
      <c r="J28" s="1472"/>
      <c r="K28" s="164"/>
      <c r="L28" s="1447"/>
      <c r="M28" s="1447"/>
      <c r="N28" s="1447"/>
      <c r="O28" s="1447"/>
      <c r="P28" s="1447"/>
      <c r="Q28" s="1447"/>
      <c r="R28" s="1447"/>
    </row>
    <row r="29" spans="1:18">
      <c r="A29" s="1447"/>
      <c r="B29" s="1484"/>
      <c r="C29" s="1485"/>
      <c r="D29" s="1562"/>
      <c r="E29" s="1486"/>
      <c r="F29" s="1486"/>
      <c r="G29" s="1486"/>
      <c r="H29" s="1486"/>
      <c r="I29" s="1471"/>
      <c r="J29" s="1472"/>
      <c r="K29" s="164"/>
      <c r="L29" s="1447"/>
      <c r="M29" s="1447"/>
      <c r="N29" s="1447"/>
      <c r="O29" s="1447"/>
      <c r="P29" s="1447"/>
      <c r="Q29" s="1447"/>
      <c r="R29" s="1447"/>
    </row>
    <row r="30" spans="1:18">
      <c r="A30" s="1447"/>
      <c r="B30" s="1468" t="s">
        <v>33</v>
      </c>
      <c r="C30" s="1469"/>
      <c r="D30" s="1562"/>
      <c r="E30" s="1486"/>
      <c r="F30" s="1486"/>
      <c r="G30" s="1486"/>
      <c r="H30" s="1486"/>
      <c r="I30" s="1471"/>
      <c r="J30" s="1472"/>
      <c r="K30" s="164"/>
      <c r="L30" s="1447"/>
      <c r="M30" s="1447"/>
      <c r="N30" s="1447"/>
      <c r="O30" s="1447"/>
      <c r="P30" s="1447"/>
      <c r="Q30" s="1447"/>
      <c r="R30" s="1447"/>
    </row>
    <row r="31" spans="1:18" s="1447" customFormat="1">
      <c r="B31" s="1476" t="s">
        <v>157</v>
      </c>
      <c r="C31" s="1469" t="s">
        <v>61</v>
      </c>
      <c r="D31" s="992">
        <f ca="1">HLOOKUP($H38,Supplementary!$C$44:$AF$46,3,FALSE)*D38</f>
        <v>790278.38024566823</v>
      </c>
      <c r="E31" s="992">
        <f ca="1">HLOOKUP($H38,Supplementary!$C$44:$AF$46,3,FALSE)*E38</f>
        <v>790278.38024566823</v>
      </c>
      <c r="F31" s="992">
        <f ca="1">HLOOKUP($H38,Supplementary!$C$44:$AF$46,3,FALSE)*F38</f>
        <v>790278.38024566823</v>
      </c>
      <c r="G31" s="992">
        <f ca="1">HLOOKUP($H38,Supplementary!$C$44:$AF$46,3,FALSE)*G38</f>
        <v>790278.38024566823</v>
      </c>
      <c r="H31" s="323">
        <f>priceYear</f>
        <v>2015</v>
      </c>
      <c r="I31" s="555"/>
      <c r="J31" s="1472"/>
    </row>
    <row r="32" spans="1:18" s="1447" customFormat="1">
      <c r="B32" s="1484" t="s">
        <v>262</v>
      </c>
      <c r="C32" s="1469" t="s">
        <v>263</v>
      </c>
      <c r="D32" s="992">
        <f ca="1">HLOOKUP($H39,Supplementary!$C$44:$AF$46,3,FALSE)*D39</f>
        <v>1124.88947153459</v>
      </c>
      <c r="E32" s="992">
        <f ca="1">HLOOKUP($H39,Supplementary!$C$44:$AF$46,3,FALSE)*E39</f>
        <v>1124.88947153459</v>
      </c>
      <c r="F32" s="992">
        <f ca="1">HLOOKUP($H39,Supplementary!$C$44:$AF$46,3,FALSE)*F39</f>
        <v>1124.88947153459</v>
      </c>
      <c r="G32" s="992">
        <f ca="1">HLOOKUP($H39,Supplementary!$C$44:$AF$46,3,FALSE)*G39</f>
        <v>1124.8894715345905</v>
      </c>
      <c r="H32" s="323">
        <f>priceYear</f>
        <v>2015</v>
      </c>
      <c r="I32" s="555"/>
      <c r="J32" s="1472"/>
    </row>
    <row r="33" spans="1:18" s="1447" customFormat="1">
      <c r="B33" s="1492" t="s">
        <v>162</v>
      </c>
      <c r="C33" s="1469" t="s">
        <v>263</v>
      </c>
      <c r="D33" s="992">
        <f ca="1">HLOOKUP($H40,Supplementary!$C$44:$AF$46,3,FALSE)*D40</f>
        <v>551.29272710966006</v>
      </c>
      <c r="E33" s="992">
        <f ca="1">HLOOKUP($H40,Supplementary!$C$44:$AF$46,3,FALSE)*E40</f>
        <v>551.29272710966006</v>
      </c>
      <c r="F33" s="992">
        <f ca="1">HLOOKUP($H40,Supplementary!$C$44:$AF$46,3,FALSE)*F40</f>
        <v>551.29272710966018</v>
      </c>
      <c r="G33" s="992">
        <f ca="1">HLOOKUP($H40,Supplementary!$C$44:$AF$46,3,FALSE)*G40</f>
        <v>551.29272710966029</v>
      </c>
      <c r="H33" s="323">
        <f>priceYear</f>
        <v>2015</v>
      </c>
      <c r="I33" s="555"/>
      <c r="J33" s="1472"/>
    </row>
    <row r="34" spans="1:18" s="1447" customFormat="1">
      <c r="B34" s="1492" t="s">
        <v>163</v>
      </c>
      <c r="C34" s="1469" t="s">
        <v>263</v>
      </c>
      <c r="D34" s="992">
        <f>HLOOKUP($H41,Supplementary!$C$44:$AF$46,3,FALSE)*D41</f>
        <v>573.59674442492985</v>
      </c>
      <c r="E34" s="992">
        <f>HLOOKUP($H41,Supplementary!$C$44:$AF$46,3,FALSE)*E41</f>
        <v>573.59674442492985</v>
      </c>
      <c r="F34" s="992">
        <f>HLOOKUP($H41,Supplementary!$C$44:$AF$46,3,FALSE)*F41</f>
        <v>573.59674442492997</v>
      </c>
      <c r="G34" s="992">
        <f>HLOOKUP($H41,Supplementary!$C$44:$AF$46,3,FALSE)*G41</f>
        <v>573.59674442493008</v>
      </c>
      <c r="H34" s="323">
        <f>priceYear</f>
        <v>2015</v>
      </c>
      <c r="I34" s="555"/>
      <c r="J34" s="1472"/>
    </row>
    <row r="35" spans="1:18" s="1447" customFormat="1">
      <c r="B35" s="1492"/>
      <c r="C35" s="1469"/>
      <c r="D35" s="992"/>
      <c r="E35" s="992"/>
      <c r="F35" s="992"/>
      <c r="G35" s="992"/>
      <c r="H35" s="323"/>
      <c r="I35" s="555"/>
      <c r="J35" s="1472"/>
    </row>
    <row r="36" spans="1:18" s="1447" customFormat="1">
      <c r="B36" s="1492" t="s">
        <v>264</v>
      </c>
      <c r="C36" s="1469" t="s">
        <v>263</v>
      </c>
      <c r="D36" s="992">
        <f>HLOOKUP($H43,Supplementary!$C$44:$AF$46,3,FALSE)*D43</f>
        <v>0</v>
      </c>
      <c r="E36" s="992">
        <f>HLOOKUP($H43,Supplementary!$C$44:$AF$46,3,FALSE)*E43</f>
        <v>0</v>
      </c>
      <c r="F36" s="992">
        <f>HLOOKUP($H43,Supplementary!$C$44:$AF$46,3,FALSE)*F43</f>
        <v>0</v>
      </c>
      <c r="G36" s="992">
        <f>HLOOKUP($H43,Supplementary!$C$44:$AF$46,3,FALSE)*G43</f>
        <v>0</v>
      </c>
      <c r="H36" s="323">
        <f>priceYear</f>
        <v>2015</v>
      </c>
      <c r="I36" s="555"/>
      <c r="J36" s="1472"/>
    </row>
    <row r="37" spans="1:18" s="1447" customFormat="1">
      <c r="B37" s="1468"/>
      <c r="C37" s="1469"/>
      <c r="D37" s="1562"/>
      <c r="E37" s="1486"/>
      <c r="F37" s="1486"/>
      <c r="G37" s="1486"/>
      <c r="H37" s="1486"/>
      <c r="I37" s="555"/>
      <c r="J37" s="1472"/>
    </row>
    <row r="38" spans="1:18">
      <c r="A38" s="1447"/>
      <c r="B38" s="1476" t="s">
        <v>157</v>
      </c>
      <c r="C38" s="1469" t="s">
        <v>61</v>
      </c>
      <c r="D38" s="311">
        <f ca="1">Lastbil!D38+10000</f>
        <v>761018.91308317415</v>
      </c>
      <c r="E38" s="311">
        <f ca="1">Lastbil!E38+10000</f>
        <v>761018.91308317415</v>
      </c>
      <c r="F38" s="311">
        <f ca="1">Lastbil!F38+10000</f>
        <v>761018.91308317415</v>
      </c>
      <c r="G38" s="311">
        <f ca="1">Lastbil!G38+10000</f>
        <v>761018.91308317415</v>
      </c>
      <c r="H38" s="407">
        <v>2013</v>
      </c>
      <c r="I38" s="1576" t="s">
        <v>2633</v>
      </c>
      <c r="J38" s="1472"/>
      <c r="K38" s="164"/>
      <c r="L38" s="1447"/>
      <c r="M38" s="1447"/>
      <c r="N38" s="1447"/>
      <c r="O38" s="1447"/>
      <c r="P38" s="1447"/>
      <c r="Q38" s="1447"/>
      <c r="R38" s="1447"/>
    </row>
    <row r="39" spans="1:18">
      <c r="A39" s="1447"/>
      <c r="B39" s="1484" t="s">
        <v>262</v>
      </c>
      <c r="C39" s="1469" t="s">
        <v>263</v>
      </c>
      <c r="D39" s="312">
        <f ca="1">+SUM(D40:D43)</f>
        <v>1083.241278471824</v>
      </c>
      <c r="E39" s="1490">
        <f ca="1">+SUM(E40:E43)</f>
        <v>1083.241278471824</v>
      </c>
      <c r="F39" s="1490">
        <f ca="1">+SUM(F40:F43)</f>
        <v>1083.241278471824</v>
      </c>
      <c r="G39" s="1490">
        <f ca="1">+SUM(G40:G43)</f>
        <v>1083.2412784718244</v>
      </c>
      <c r="H39" s="407">
        <v>2013</v>
      </c>
      <c r="I39" s="1474"/>
      <c r="J39" s="1472"/>
      <c r="K39" s="164"/>
      <c r="L39" s="1447"/>
      <c r="M39" s="1447"/>
      <c r="N39" s="1447"/>
      <c r="O39" s="1447"/>
      <c r="P39" s="1447"/>
      <c r="Q39" s="1447"/>
      <c r="R39" s="1447"/>
    </row>
    <row r="40" spans="1:18">
      <c r="A40" s="1447"/>
      <c r="B40" s="1492" t="s">
        <v>162</v>
      </c>
      <c r="C40" s="1469" t="s">
        <v>263</v>
      </c>
      <c r="D40" s="312">
        <f ca="1">PMT(rSØK,D27,-D38)/D28</f>
        <v>530.88152537493397</v>
      </c>
      <c r="E40" s="1490">
        <f ca="1">PMT(rSØK,E27,-E38)/E28</f>
        <v>530.88152537493397</v>
      </c>
      <c r="F40" s="1490">
        <f ca="1">PMT(rSØK,F27,-F38)/F28</f>
        <v>530.88152537493409</v>
      </c>
      <c r="G40" s="1490">
        <f ca="1">PMT(rSØK,G27,-G38)/G28</f>
        <v>530.8815253749342</v>
      </c>
      <c r="H40" s="407">
        <v>2013</v>
      </c>
      <c r="I40" s="1474"/>
      <c r="J40" s="1472"/>
      <c r="K40" s="164"/>
      <c r="L40" s="1447"/>
      <c r="M40" s="1447"/>
      <c r="N40" s="1447"/>
      <c r="O40" s="1447"/>
      <c r="P40" s="1447"/>
      <c r="Q40" s="1447"/>
      <c r="R40" s="1447"/>
    </row>
    <row r="41" spans="1:18">
      <c r="A41" s="1447"/>
      <c r="B41" s="1492" t="s">
        <v>163</v>
      </c>
      <c r="C41" s="1469" t="s">
        <v>263</v>
      </c>
      <c r="D41" s="312">
        <f>(D68*D69)/D28</f>
        <v>552.3597530968899</v>
      </c>
      <c r="E41" s="1490">
        <f>(E68*E69)/E28</f>
        <v>552.3597530968899</v>
      </c>
      <c r="F41" s="1490">
        <f>(F68*F69)/F28</f>
        <v>552.35975309689002</v>
      </c>
      <c r="G41" s="1490">
        <f>(G68*G69)/G28</f>
        <v>552.35975309689013</v>
      </c>
      <c r="H41" s="407">
        <v>2013</v>
      </c>
      <c r="I41" s="1574" t="s">
        <v>2630</v>
      </c>
      <c r="J41" s="1574"/>
      <c r="K41" s="164"/>
      <c r="L41" s="1447"/>
      <c r="M41" s="1447"/>
      <c r="N41" s="1447"/>
      <c r="O41" s="1447"/>
      <c r="P41" s="1447"/>
      <c r="Q41" s="1447"/>
      <c r="R41" s="1447"/>
    </row>
    <row r="42" spans="1:18">
      <c r="A42" s="1447"/>
      <c r="B42" s="1492"/>
      <c r="C42" s="1469"/>
      <c r="D42" s="1562"/>
      <c r="E42" s="1486"/>
      <c r="F42" s="1486"/>
      <c r="G42" s="1486"/>
      <c r="H42" s="407"/>
      <c r="I42" s="1474"/>
      <c r="J42" s="1472"/>
      <c r="K42" s="164"/>
      <c r="L42" s="1447"/>
      <c r="M42" s="1447"/>
      <c r="N42" s="1447"/>
      <c r="O42" s="1447"/>
      <c r="P42" s="1447"/>
      <c r="Q42" s="1447"/>
      <c r="R42" s="1447"/>
    </row>
    <row r="43" spans="1:18">
      <c r="A43" s="1447"/>
      <c r="B43" s="1492" t="s">
        <v>264</v>
      </c>
      <c r="C43" s="1469" t="s">
        <v>263</v>
      </c>
      <c r="D43" s="312">
        <v>0</v>
      </c>
      <c r="E43" s="300">
        <v>0</v>
      </c>
      <c r="F43" s="300">
        <v>0</v>
      </c>
      <c r="G43" s="300">
        <v>0</v>
      </c>
      <c r="H43" s="407">
        <v>2013</v>
      </c>
      <c r="I43" s="1474"/>
      <c r="J43" s="1574"/>
      <c r="K43" s="164"/>
      <c r="L43" s="1447"/>
      <c r="M43" s="1447"/>
      <c r="N43" s="1447"/>
      <c r="O43" s="1447"/>
      <c r="P43" s="1447"/>
      <c r="Q43" s="1447"/>
      <c r="R43" s="1447"/>
    </row>
    <row r="44" spans="1:18">
      <c r="A44" s="1447"/>
      <c r="B44" s="1492"/>
      <c r="C44" s="1469"/>
      <c r="D44" s="1562"/>
      <c r="E44" s="1486"/>
      <c r="F44" s="1486"/>
      <c r="G44" s="1486"/>
      <c r="H44" s="1486"/>
      <c r="I44" s="1474"/>
      <c r="J44" s="1472"/>
      <c r="K44" s="164"/>
      <c r="L44" s="1447"/>
      <c r="M44" s="1447"/>
      <c r="N44" s="1447"/>
      <c r="O44" s="1447"/>
      <c r="P44" s="1447"/>
      <c r="Q44" s="1447"/>
      <c r="R44" s="1447"/>
    </row>
    <row r="45" spans="1:18">
      <c r="A45" s="1447"/>
      <c r="B45" s="1468" t="s">
        <v>166</v>
      </c>
      <c r="C45" s="1469"/>
      <c r="D45" s="1562"/>
      <c r="E45" s="1486"/>
      <c r="F45" s="1486"/>
      <c r="G45" s="1486"/>
      <c r="H45" s="1489"/>
      <c r="I45" s="1474"/>
      <c r="J45" s="1472"/>
      <c r="K45" s="164"/>
      <c r="L45" s="1447"/>
      <c r="M45" s="1447"/>
      <c r="N45" s="1447"/>
      <c r="O45" s="1447"/>
      <c r="P45" s="1447"/>
      <c r="Q45" s="1447"/>
      <c r="R45" s="1447"/>
    </row>
    <row r="46" spans="1:18">
      <c r="A46" s="1447"/>
      <c r="B46" s="418" t="s">
        <v>0</v>
      </c>
      <c r="C46" s="1469"/>
      <c r="D46" s="1562"/>
      <c r="E46" s="1486"/>
      <c r="F46" s="1486"/>
      <c r="G46" s="1486"/>
      <c r="H46" s="1566"/>
      <c r="I46" s="1474"/>
      <c r="J46" s="1472"/>
      <c r="K46" s="164"/>
      <c r="L46" s="1447"/>
      <c r="M46" s="1447"/>
      <c r="N46" s="1447"/>
      <c r="O46" s="1447"/>
      <c r="P46" s="1447"/>
      <c r="Q46" s="1447"/>
      <c r="R46" s="1447"/>
    </row>
    <row r="47" spans="1:18">
      <c r="A47" s="1447"/>
      <c r="B47" s="1484" t="s">
        <v>24</v>
      </c>
      <c r="C47" s="1469" t="s">
        <v>265</v>
      </c>
      <c r="D47" s="421"/>
      <c r="E47" s="422"/>
      <c r="F47" s="422"/>
      <c r="G47" s="422"/>
      <c r="H47" s="1566"/>
      <c r="I47" s="1474"/>
      <c r="J47" s="1574" t="s">
        <v>850</v>
      </c>
      <c r="K47" s="164"/>
      <c r="L47" s="1447"/>
      <c r="M47" s="1447"/>
      <c r="N47" s="1447"/>
      <c r="O47" s="1447"/>
      <c r="P47" s="1447"/>
      <c r="Q47" s="1447"/>
      <c r="R47" s="1447"/>
    </row>
    <row r="48" spans="1:18">
      <c r="A48" s="1447"/>
      <c r="B48" s="1484" t="s">
        <v>27</v>
      </c>
      <c r="C48" s="1469" t="s">
        <v>265</v>
      </c>
      <c r="D48" s="127">
        <f t="shared" ref="D48:G52" si="0">D78/D$75</f>
        <v>5.70067229895981E-4</v>
      </c>
      <c r="E48" s="127">
        <f t="shared" si="0"/>
        <v>1.6299243669067753E-4</v>
      </c>
      <c r="F48" s="127">
        <f t="shared" si="0"/>
        <v>1.6299243669067753E-4</v>
      </c>
      <c r="G48" s="127">
        <f t="shared" si="0"/>
        <v>1.6299243669067753E-4</v>
      </c>
      <c r="H48" s="1660"/>
      <c r="I48" s="1474"/>
      <c r="J48" s="1472"/>
      <c r="K48" s="164"/>
      <c r="L48" s="1447"/>
      <c r="M48" s="1447"/>
      <c r="N48" s="1447"/>
      <c r="O48" s="1447"/>
      <c r="P48" s="1447"/>
      <c r="Q48" s="1447"/>
      <c r="R48" s="1447"/>
    </row>
    <row r="49" spans="1:18">
      <c r="A49" s="1447"/>
      <c r="B49" s="1484" t="s">
        <v>28</v>
      </c>
      <c r="C49" s="1469" t="s">
        <v>265</v>
      </c>
      <c r="D49" s="127">
        <f t="shared" si="0"/>
        <v>3.3862691824031407E-3</v>
      </c>
      <c r="E49" s="127">
        <f t="shared" si="0"/>
        <v>3.3862691824031407E-3</v>
      </c>
      <c r="F49" s="127">
        <f t="shared" si="0"/>
        <v>3.3862691824031407E-3</v>
      </c>
      <c r="G49" s="127">
        <f t="shared" si="0"/>
        <v>3.3862691824031407E-3</v>
      </c>
      <c r="H49" s="1486"/>
      <c r="I49" s="1474"/>
      <c r="J49" s="1472"/>
      <c r="K49" s="164"/>
      <c r="L49" s="1447"/>
      <c r="M49" s="1447"/>
      <c r="N49" s="1447"/>
      <c r="O49" s="1447"/>
      <c r="P49" s="1447"/>
      <c r="Q49" s="1447"/>
      <c r="R49" s="1447"/>
    </row>
    <row r="50" spans="1:18">
      <c r="A50" s="1447"/>
      <c r="B50" s="1484" t="s">
        <v>26</v>
      </c>
      <c r="C50" s="1469" t="s">
        <v>265</v>
      </c>
      <c r="D50" s="127">
        <f t="shared" si="0"/>
        <v>4.2579461839753469E-4</v>
      </c>
      <c r="E50" s="127">
        <f t="shared" si="0"/>
        <v>4.2579461839753469E-4</v>
      </c>
      <c r="F50" s="127">
        <f t="shared" si="0"/>
        <v>4.2579461839753469E-4</v>
      </c>
      <c r="G50" s="127">
        <f t="shared" si="0"/>
        <v>4.2579461839753469E-4</v>
      </c>
      <c r="H50" s="1478"/>
      <c r="I50" s="1474"/>
      <c r="J50" s="1472"/>
      <c r="K50" s="164"/>
      <c r="L50" s="1447"/>
      <c r="M50" s="1447"/>
      <c r="N50" s="1447"/>
      <c r="O50" s="1447"/>
      <c r="P50" s="1447"/>
      <c r="Q50" s="1447"/>
      <c r="R50" s="1447"/>
    </row>
    <row r="51" spans="1:18">
      <c r="A51" s="1447"/>
      <c r="B51" s="1484" t="s">
        <v>167</v>
      </c>
      <c r="C51" s="1469" t="s">
        <v>265</v>
      </c>
      <c r="D51" s="127">
        <f t="shared" si="0"/>
        <v>0.41867908999831532</v>
      </c>
      <c r="E51" s="127">
        <f t="shared" si="0"/>
        <v>4.3735563529504126E-2</v>
      </c>
      <c r="F51" s="127">
        <f t="shared" si="0"/>
        <v>4.3735563529504119E-2</v>
      </c>
      <c r="G51" s="127">
        <f t="shared" si="0"/>
        <v>4.3735563529504119E-2</v>
      </c>
      <c r="H51" s="1486"/>
      <c r="I51" s="1474"/>
      <c r="J51" s="1472"/>
      <c r="K51" s="164"/>
      <c r="L51" s="1447"/>
      <c r="M51" s="1447"/>
      <c r="N51" s="1447"/>
      <c r="O51" s="1447"/>
      <c r="P51" s="1447"/>
      <c r="Q51" s="1447"/>
      <c r="R51" s="1447"/>
    </row>
    <row r="52" spans="1:18">
      <c r="A52" s="1447"/>
      <c r="B52" s="1484" t="s">
        <v>45</v>
      </c>
      <c r="C52" s="1469" t="s">
        <v>265</v>
      </c>
      <c r="D52" s="127">
        <f t="shared" si="0"/>
        <v>3.2979813853448933E-3</v>
      </c>
      <c r="E52" s="127">
        <f t="shared" si="0"/>
        <v>3.6064433411829615E-4</v>
      </c>
      <c r="F52" s="127">
        <f t="shared" si="0"/>
        <v>3.6064433411829615E-4</v>
      </c>
      <c r="G52" s="127">
        <f t="shared" si="0"/>
        <v>3.6064433411829615E-4</v>
      </c>
      <c r="H52" s="1486"/>
      <c r="I52" s="1474"/>
      <c r="J52" s="1472"/>
      <c r="K52" s="164"/>
      <c r="L52" s="1447"/>
      <c r="M52" s="1447"/>
      <c r="N52" s="1447"/>
      <c r="O52" s="1447"/>
      <c r="P52" s="1447"/>
      <c r="Q52" s="1447"/>
      <c r="R52" s="1447"/>
    </row>
    <row r="53" spans="1:18">
      <c r="A53" s="1447"/>
      <c r="B53" s="1484"/>
      <c r="C53" s="1469"/>
      <c r="D53" s="1496"/>
      <c r="E53" s="1471"/>
      <c r="F53" s="1471"/>
      <c r="G53" s="1471"/>
      <c r="H53" s="1486"/>
      <c r="I53" s="1474"/>
      <c r="J53" s="1472"/>
      <c r="K53" s="164"/>
      <c r="L53" s="1447"/>
      <c r="M53" s="1447"/>
      <c r="N53" s="1447"/>
      <c r="O53" s="1447"/>
      <c r="P53" s="1447"/>
      <c r="Q53" s="1447"/>
      <c r="R53" s="1447"/>
    </row>
    <row r="54" spans="1:18">
      <c r="A54" s="1447"/>
      <c r="B54" s="418" t="s">
        <v>20</v>
      </c>
      <c r="C54" s="1469"/>
      <c r="D54" s="1562"/>
      <c r="E54" s="1486"/>
      <c r="F54" s="1486"/>
      <c r="G54" s="1486"/>
      <c r="H54" s="1660"/>
      <c r="I54" s="1474"/>
      <c r="J54" s="1472"/>
      <c r="K54" s="164"/>
      <c r="L54" s="1447"/>
      <c r="M54" s="1447"/>
      <c r="N54" s="1447"/>
      <c r="O54" s="1447"/>
      <c r="P54" s="1447"/>
      <c r="Q54" s="1447"/>
      <c r="R54" s="1447"/>
    </row>
    <row r="55" spans="1:18">
      <c r="A55" s="1447"/>
      <c r="B55" s="1484" t="s">
        <v>24</v>
      </c>
      <c r="C55" s="1469" t="s">
        <v>265</v>
      </c>
      <c r="D55" s="421"/>
      <c r="E55" s="422"/>
      <c r="F55" s="422"/>
      <c r="G55" s="422"/>
      <c r="H55" s="1169"/>
      <c r="I55" s="1474"/>
      <c r="J55" s="1574" t="s">
        <v>850</v>
      </c>
      <c r="K55" s="164"/>
      <c r="L55" s="1447"/>
      <c r="M55" s="1447"/>
      <c r="N55" s="1447"/>
      <c r="O55" s="1447"/>
      <c r="P55" s="1447"/>
      <c r="Q55" s="1447"/>
      <c r="R55" s="1447"/>
    </row>
    <row r="56" spans="1:18">
      <c r="A56" s="1447"/>
      <c r="B56" s="1484" t="s">
        <v>27</v>
      </c>
      <c r="C56" s="1469" t="s">
        <v>265</v>
      </c>
      <c r="D56" s="419">
        <f t="shared" ref="D56:G60" si="1">D48</f>
        <v>5.70067229895981E-4</v>
      </c>
      <c r="E56" s="419">
        <f t="shared" si="1"/>
        <v>1.6299243669067753E-4</v>
      </c>
      <c r="F56" s="419">
        <f t="shared" si="1"/>
        <v>1.6299243669067753E-4</v>
      </c>
      <c r="G56" s="419">
        <f t="shared" si="1"/>
        <v>1.6299243669067753E-4</v>
      </c>
      <c r="H56" s="1169"/>
      <c r="I56" s="1474"/>
      <c r="J56" s="1472"/>
      <c r="K56" s="164"/>
      <c r="L56" s="1447"/>
      <c r="M56" s="1447"/>
      <c r="N56" s="1447"/>
      <c r="O56" s="1447"/>
      <c r="P56" s="1447"/>
      <c r="Q56" s="1447"/>
      <c r="R56" s="1447"/>
    </row>
    <row r="57" spans="1:18">
      <c r="A57" s="1447"/>
      <c r="B57" s="1484" t="s">
        <v>28</v>
      </c>
      <c r="C57" s="1469" t="s">
        <v>265</v>
      </c>
      <c r="D57" s="419">
        <f t="shared" si="1"/>
        <v>3.3862691824031407E-3</v>
      </c>
      <c r="E57" s="419">
        <f t="shared" si="1"/>
        <v>3.3862691824031407E-3</v>
      </c>
      <c r="F57" s="419">
        <f t="shared" si="1"/>
        <v>3.3862691824031407E-3</v>
      </c>
      <c r="G57" s="419">
        <f t="shared" si="1"/>
        <v>3.3862691824031407E-3</v>
      </c>
      <c r="H57" s="1169"/>
      <c r="I57" s="1474"/>
      <c r="J57" s="1472"/>
      <c r="K57" s="164"/>
      <c r="L57" s="1447"/>
      <c r="M57" s="1447"/>
      <c r="N57" s="1447"/>
      <c r="O57" s="1447"/>
      <c r="P57" s="1447"/>
      <c r="Q57" s="1447"/>
      <c r="R57" s="1447"/>
    </row>
    <row r="58" spans="1:18">
      <c r="A58" s="1447"/>
      <c r="B58" s="1484" t="s">
        <v>26</v>
      </c>
      <c r="C58" s="1469" t="s">
        <v>265</v>
      </c>
      <c r="D58" s="419">
        <f t="shared" si="1"/>
        <v>4.2579461839753469E-4</v>
      </c>
      <c r="E58" s="419">
        <f t="shared" si="1"/>
        <v>4.2579461839753469E-4</v>
      </c>
      <c r="F58" s="419">
        <f t="shared" si="1"/>
        <v>4.2579461839753469E-4</v>
      </c>
      <c r="G58" s="419">
        <f t="shared" si="1"/>
        <v>4.2579461839753469E-4</v>
      </c>
      <c r="H58" s="1169"/>
      <c r="I58" s="1474"/>
      <c r="J58" s="1472"/>
      <c r="K58" s="164"/>
      <c r="L58" s="1447"/>
      <c r="M58" s="1447"/>
      <c r="N58" s="1447"/>
      <c r="O58" s="1447"/>
      <c r="P58" s="1447"/>
      <c r="Q58" s="1447"/>
      <c r="R58" s="1447"/>
    </row>
    <row r="59" spans="1:18">
      <c r="A59" s="1447"/>
      <c r="B59" s="1484" t="s">
        <v>167</v>
      </c>
      <c r="C59" s="1469" t="s">
        <v>265</v>
      </c>
      <c r="D59" s="419">
        <f t="shared" si="1"/>
        <v>0.41867908999831532</v>
      </c>
      <c r="E59" s="419">
        <f t="shared" si="1"/>
        <v>4.3735563529504126E-2</v>
      </c>
      <c r="F59" s="419">
        <f t="shared" si="1"/>
        <v>4.3735563529504119E-2</v>
      </c>
      <c r="G59" s="419">
        <f t="shared" si="1"/>
        <v>4.3735563529504119E-2</v>
      </c>
      <c r="H59" s="1169"/>
      <c r="I59" s="1474"/>
      <c r="J59" s="1472"/>
      <c r="K59" s="164"/>
      <c r="L59" s="1447"/>
      <c r="M59" s="1447"/>
      <c r="N59" s="1447"/>
      <c r="O59" s="1447"/>
      <c r="P59" s="1447"/>
      <c r="Q59" s="1447"/>
      <c r="R59" s="1447"/>
    </row>
    <row r="60" spans="1:18">
      <c r="A60" s="1447"/>
      <c r="B60" s="1484" t="s">
        <v>45</v>
      </c>
      <c r="C60" s="1469" t="s">
        <v>265</v>
      </c>
      <c r="D60" s="419">
        <f t="shared" si="1"/>
        <v>3.2979813853448933E-3</v>
      </c>
      <c r="E60" s="419">
        <f t="shared" si="1"/>
        <v>3.6064433411829615E-4</v>
      </c>
      <c r="F60" s="419">
        <f t="shared" si="1"/>
        <v>3.6064433411829615E-4</v>
      </c>
      <c r="G60" s="419">
        <f t="shared" si="1"/>
        <v>3.6064433411829615E-4</v>
      </c>
      <c r="H60" s="323"/>
      <c r="I60" s="1474"/>
      <c r="J60" s="1472"/>
      <c r="K60" s="164"/>
      <c r="L60" s="1447"/>
      <c r="M60" s="1447"/>
      <c r="N60" s="1447"/>
      <c r="O60" s="1447"/>
      <c r="P60" s="1447"/>
      <c r="Q60" s="1447"/>
      <c r="R60" s="1447"/>
    </row>
    <row r="61" spans="1:18" ht="13.5" thickBot="1">
      <c r="A61" s="1447"/>
      <c r="B61" s="1498"/>
      <c r="C61" s="1499"/>
      <c r="D61" s="1500"/>
      <c r="E61" s="1501"/>
      <c r="F61" s="1501"/>
      <c r="G61" s="1501"/>
      <c r="H61" s="1501"/>
      <c r="I61" s="1502"/>
      <c r="J61" s="1503"/>
      <c r="K61" s="164"/>
      <c r="L61" s="1447"/>
      <c r="M61" s="1447"/>
      <c r="N61" s="1447"/>
      <c r="O61" s="1447"/>
      <c r="P61" s="1447"/>
      <c r="Q61" s="1447"/>
      <c r="R61" s="1447"/>
    </row>
    <row r="62" spans="1:18">
      <c r="A62" s="1447"/>
      <c r="B62" s="1447"/>
      <c r="C62" s="1447"/>
      <c r="D62" s="1447"/>
      <c r="E62" s="1447"/>
      <c r="F62" s="1447"/>
      <c r="G62" s="1447"/>
      <c r="I62" s="1447"/>
      <c r="J62" s="1447"/>
      <c r="K62" s="164"/>
      <c r="L62" s="1447"/>
      <c r="M62" s="1447"/>
      <c r="N62" s="1447"/>
      <c r="O62" s="1447"/>
      <c r="P62" s="1447"/>
      <c r="Q62" s="1447"/>
      <c r="R62" s="1447"/>
    </row>
    <row r="63" spans="1:18">
      <c r="A63" s="1447"/>
      <c r="B63" s="1447"/>
      <c r="C63" s="1447"/>
      <c r="D63" s="1447"/>
      <c r="E63" s="1447"/>
      <c r="F63" s="1447"/>
      <c r="G63" s="1447"/>
      <c r="I63" s="1447"/>
      <c r="J63" s="1447"/>
      <c r="K63" s="164"/>
      <c r="L63" s="1447"/>
      <c r="M63" s="1447"/>
      <c r="N63" s="1447"/>
      <c r="O63" s="1447"/>
      <c r="P63" s="1447"/>
      <c r="Q63" s="1447"/>
      <c r="R63" s="1447"/>
    </row>
    <row r="64" spans="1:18" ht="16.5" thickBot="1">
      <c r="A64" s="1447"/>
      <c r="B64" s="1504" t="s">
        <v>168</v>
      </c>
      <c r="C64" s="1447"/>
      <c r="D64" s="1447"/>
      <c r="E64" s="1447"/>
      <c r="F64" s="1447"/>
      <c r="G64" s="1447"/>
      <c r="I64" s="1447"/>
      <c r="J64" s="1447"/>
      <c r="K64" s="164"/>
      <c r="L64" s="1447"/>
      <c r="M64" s="1447"/>
      <c r="N64" s="1447"/>
      <c r="O64" s="1447"/>
      <c r="P64" s="1447"/>
      <c r="Q64" s="1447"/>
      <c r="R64" s="1447"/>
    </row>
    <row r="65" spans="1:18">
      <c r="A65" s="1447"/>
      <c r="B65" s="1455"/>
      <c r="C65" s="1456"/>
      <c r="D65" s="1449"/>
      <c r="E65" s="1449"/>
      <c r="F65" s="1449"/>
      <c r="G65" s="1449"/>
      <c r="H65" s="1449"/>
      <c r="I65" s="1449"/>
      <c r="J65" s="1450"/>
      <c r="K65" s="164"/>
      <c r="L65" s="1447"/>
      <c r="M65" s="1447"/>
      <c r="N65" s="1447"/>
      <c r="O65" s="1447"/>
      <c r="P65" s="1447"/>
      <c r="Q65" s="1447"/>
      <c r="R65" s="1447"/>
    </row>
    <row r="66" spans="1:18">
      <c r="A66" s="1447"/>
      <c r="B66" s="1460"/>
      <c r="C66" s="1461" t="s">
        <v>70</v>
      </c>
      <c r="D66" s="1506">
        <v>2015</v>
      </c>
      <c r="E66" s="1507">
        <v>2020</v>
      </c>
      <c r="F66" s="1507">
        <v>2035</v>
      </c>
      <c r="G66" s="1507">
        <v>2050</v>
      </c>
      <c r="H66" s="1507"/>
      <c r="I66" s="1464"/>
      <c r="J66" s="1465"/>
      <c r="K66" s="164"/>
      <c r="L66" s="1447"/>
      <c r="M66" s="1447"/>
      <c r="N66" s="1447"/>
      <c r="O66" s="1447"/>
      <c r="P66" s="1447"/>
      <c r="Q66" s="1447"/>
      <c r="R66" s="1447"/>
    </row>
    <row r="67" spans="1:18">
      <c r="A67" s="1447"/>
      <c r="B67" s="1484" t="s">
        <v>266</v>
      </c>
      <c r="C67" s="1509" t="s">
        <v>267</v>
      </c>
      <c r="D67" s="288">
        <f>Lastbil!D67</f>
        <v>5.6484926400000006</v>
      </c>
      <c r="E67" s="288">
        <f>Lastbil!E67</f>
        <v>5.6484926400000006</v>
      </c>
      <c r="F67" s="288">
        <f>Lastbil!F67</f>
        <v>5.6484926399999997</v>
      </c>
      <c r="G67" s="288">
        <f>Lastbil!G67</f>
        <v>5.6484926399999988</v>
      </c>
      <c r="H67" s="288"/>
      <c r="I67" s="1576" t="s">
        <v>2632</v>
      </c>
      <c r="J67" s="1472"/>
      <c r="K67" s="164"/>
      <c r="L67" s="1447"/>
      <c r="M67" s="1447"/>
      <c r="N67" s="1447"/>
      <c r="O67" s="1447"/>
      <c r="P67" s="1447"/>
      <c r="Q67" s="1447"/>
      <c r="R67" s="1447"/>
    </row>
    <row r="68" spans="1:18">
      <c r="A68" s="1447"/>
      <c r="B68" s="1484" t="s">
        <v>268</v>
      </c>
      <c r="C68" s="1509" t="s">
        <v>269</v>
      </c>
      <c r="D68" s="311">
        <f>Lastbil!D68</f>
        <v>50000</v>
      </c>
      <c r="E68" s="311">
        <f>Lastbil!E68</f>
        <v>50000</v>
      </c>
      <c r="F68" s="311">
        <f>Lastbil!F68</f>
        <v>50000</v>
      </c>
      <c r="G68" s="311">
        <f>Lastbil!G68</f>
        <v>50000</v>
      </c>
      <c r="H68" s="311"/>
      <c r="I68" s="1576" t="s">
        <v>2632</v>
      </c>
      <c r="J68" s="1472"/>
      <c r="K68" s="164"/>
      <c r="L68" s="1447"/>
      <c r="M68" s="1447"/>
      <c r="N68" s="1447"/>
      <c r="O68" s="1447"/>
      <c r="P68" s="1447"/>
      <c r="Q68" s="1447"/>
      <c r="R68" s="1447"/>
    </row>
    <row r="69" spans="1:18">
      <c r="A69" s="1447"/>
      <c r="B69" s="1484" t="s">
        <v>271</v>
      </c>
      <c r="C69" s="1573" t="s">
        <v>55</v>
      </c>
      <c r="D69" s="2504">
        <f>Lastbil!D69</f>
        <v>3.12</v>
      </c>
      <c r="E69" s="2504">
        <f>Lastbil!E69</f>
        <v>3.12</v>
      </c>
      <c r="F69" s="2504">
        <f>Lastbil!F69</f>
        <v>3.12</v>
      </c>
      <c r="G69" s="2504">
        <f>Lastbil!G69</f>
        <v>3.12</v>
      </c>
      <c r="H69" s="316"/>
      <c r="I69" s="1576" t="s">
        <v>2632</v>
      </c>
      <c r="J69" s="1574"/>
      <c r="K69" s="164"/>
      <c r="L69" s="1447"/>
      <c r="M69" s="1447"/>
      <c r="N69" s="1447"/>
      <c r="O69" s="1447"/>
      <c r="P69" s="1447"/>
      <c r="Q69" s="1447"/>
      <c r="R69" s="1447"/>
    </row>
    <row r="70" spans="1:18">
      <c r="A70" s="1447"/>
      <c r="B70" s="1572" t="s">
        <v>563</v>
      </c>
      <c r="C70" s="1573" t="s">
        <v>32</v>
      </c>
      <c r="D70" s="318">
        <f>Lastbil!D70*Supplementary!G172/Supplementary!G164</f>
        <v>2.3319495730103315</v>
      </c>
      <c r="E70" s="378">
        <f>D70*E71/D71</f>
        <v>2.4485470516608476</v>
      </c>
      <c r="F70" s="378">
        <f>D70*F71/D71</f>
        <v>2.5651445303113642</v>
      </c>
      <c r="G70" s="378">
        <f>E70*G71/E71</f>
        <v>2.5651445303113642</v>
      </c>
      <c r="H70" s="378"/>
      <c r="I70" s="1576"/>
      <c r="J70" s="1574"/>
      <c r="K70" s="164"/>
      <c r="L70" s="1447"/>
      <c r="M70" s="333"/>
      <c r="N70" s="334"/>
      <c r="O70" s="334"/>
      <c r="P70" s="1447"/>
      <c r="Q70" s="1447"/>
      <c r="R70" s="1447"/>
    </row>
    <row r="71" spans="1:18">
      <c r="A71" s="1447"/>
      <c r="B71" s="1572" t="s">
        <v>564</v>
      </c>
      <c r="C71" s="1573" t="s">
        <v>29</v>
      </c>
      <c r="D71" s="319">
        <v>0.4</v>
      </c>
      <c r="E71" s="319">
        <v>0.42</v>
      </c>
      <c r="F71" s="319">
        <v>0.44</v>
      </c>
      <c r="G71" s="319">
        <v>0.44</v>
      </c>
      <c r="H71" s="319"/>
      <c r="I71" s="1576" t="s">
        <v>2632</v>
      </c>
      <c r="J71" s="1574"/>
      <c r="K71" s="164"/>
      <c r="L71" s="1447"/>
      <c r="M71" s="1447"/>
      <c r="N71" s="1447"/>
      <c r="O71" s="1447"/>
      <c r="P71" s="1447"/>
      <c r="Q71" s="1447"/>
      <c r="R71" s="1447"/>
    </row>
    <row r="72" spans="1:18" ht="13.5" thickBot="1">
      <c r="A72" s="1447"/>
      <c r="B72" s="320"/>
      <c r="C72" s="321"/>
      <c r="D72" s="322"/>
      <c r="E72" s="322"/>
      <c r="F72" s="322"/>
      <c r="G72" s="322"/>
      <c r="H72" s="322"/>
      <c r="I72" s="1576"/>
      <c r="J72" s="1503"/>
      <c r="K72" s="164"/>
      <c r="L72" s="1447"/>
      <c r="M72" s="1447"/>
      <c r="N72" s="1447"/>
      <c r="O72" s="1447"/>
      <c r="P72" s="1447"/>
      <c r="Q72" s="1447"/>
      <c r="R72" s="1447"/>
    </row>
    <row r="73" spans="1:18">
      <c r="A73" s="1447"/>
      <c r="B73" s="1447"/>
      <c r="C73" s="1447"/>
      <c r="D73" s="1580"/>
      <c r="E73" s="1580"/>
      <c r="F73" s="1580"/>
      <c r="G73" s="1580"/>
      <c r="H73" s="1580"/>
      <c r="I73" s="1447"/>
      <c r="J73" s="1447"/>
      <c r="K73" s="164"/>
      <c r="L73" s="1447"/>
      <c r="M73" s="1447"/>
      <c r="N73" s="1447"/>
      <c r="O73" s="1447"/>
      <c r="P73" s="1447"/>
      <c r="Q73" s="1447"/>
      <c r="R73" s="1447"/>
    </row>
    <row r="74" spans="1:18" ht="16.5" thickBot="1">
      <c r="A74" s="1447"/>
      <c r="B74" s="1504" t="s">
        <v>172</v>
      </c>
      <c r="C74" s="1447"/>
      <c r="D74" s="1447"/>
      <c r="E74" s="1447"/>
      <c r="F74" s="1447"/>
      <c r="G74" s="1447"/>
      <c r="I74" s="1447"/>
      <c r="J74" s="1447"/>
      <c r="K74" s="164"/>
      <c r="L74" s="1447"/>
      <c r="M74" s="1447"/>
      <c r="N74" s="1447"/>
      <c r="O74" s="1447"/>
      <c r="P74" s="1447"/>
      <c r="Q74" s="1447"/>
      <c r="R74" s="1447"/>
    </row>
    <row r="75" spans="1:18">
      <c r="A75" s="1447"/>
      <c r="B75" s="1455" t="s">
        <v>273</v>
      </c>
      <c r="C75" s="1449"/>
      <c r="D75" s="441">
        <f>Supplementary!$G$172/D70</f>
        <v>14.1212316</v>
      </c>
      <c r="E75" s="441">
        <f>Supplementary!$G$172/E70</f>
        <v>13.448792000000003</v>
      </c>
      <c r="F75" s="441">
        <f>Supplementary!$G$172/F70</f>
        <v>12.837483272727274</v>
      </c>
      <c r="G75" s="441">
        <f>Supplementary!$G$172/G70</f>
        <v>12.837483272727274</v>
      </c>
      <c r="H75" s="441"/>
      <c r="I75" s="1449"/>
      <c r="J75" s="1450"/>
      <c r="K75" s="164"/>
      <c r="L75" s="1447"/>
      <c r="M75" s="1447"/>
      <c r="N75" s="1447"/>
      <c r="O75" s="1447"/>
      <c r="P75" s="1447"/>
      <c r="Q75" s="1447"/>
      <c r="R75" s="1447"/>
    </row>
    <row r="76" spans="1:18">
      <c r="A76" s="1447"/>
      <c r="B76" s="1484"/>
      <c r="C76" s="1471"/>
      <c r="D76" s="260"/>
      <c r="E76" s="260"/>
      <c r="F76" s="260"/>
      <c r="G76" s="260"/>
      <c r="H76" s="260"/>
      <c r="I76" s="1471"/>
      <c r="J76" s="1472"/>
      <c r="K76" s="164"/>
      <c r="L76" s="1447"/>
      <c r="M76" s="1447"/>
      <c r="N76" s="1447"/>
      <c r="O76" s="1447"/>
      <c r="P76" s="1447"/>
      <c r="Q76" s="1447"/>
      <c r="R76" s="1447"/>
    </row>
    <row r="77" spans="1:18">
      <c r="A77" s="1447"/>
      <c r="B77" s="1484" t="s">
        <v>24</v>
      </c>
      <c r="C77" s="1471" t="s">
        <v>7</v>
      </c>
      <c r="D77" s="369">
        <f t="shared" ref="D77:G79" si="2">D87/1000*D$75</f>
        <v>1044.9711384</v>
      </c>
      <c r="E77" s="369">
        <f t="shared" si="2"/>
        <v>995.21060800000021</v>
      </c>
      <c r="F77" s="369">
        <f t="shared" si="2"/>
        <v>949.9737621818183</v>
      </c>
      <c r="G77" s="369">
        <f t="shared" si="2"/>
        <v>949.9737621818183</v>
      </c>
      <c r="H77" s="369"/>
      <c r="I77" s="1471"/>
      <c r="J77" s="1472"/>
      <c r="K77" s="164"/>
      <c r="L77" s="1447"/>
      <c r="M77" s="1447"/>
      <c r="N77" s="1447"/>
      <c r="O77" s="1447"/>
      <c r="P77" s="1447"/>
      <c r="Q77" s="1447"/>
      <c r="R77" s="1447"/>
    </row>
    <row r="78" spans="1:18">
      <c r="A78" s="1447"/>
      <c r="B78" s="1484" t="s">
        <v>27</v>
      </c>
      <c r="C78" s="1471" t="s">
        <v>7</v>
      </c>
      <c r="D78" s="369">
        <f t="shared" si="2"/>
        <v>8.0500513809315909E-3</v>
      </c>
      <c r="E78" s="369">
        <f t="shared" si="2"/>
        <v>2.192051378626091E-3</v>
      </c>
      <c r="F78" s="369">
        <f t="shared" si="2"/>
        <v>2.0924126795976322E-3</v>
      </c>
      <c r="G78" s="369">
        <f t="shared" si="2"/>
        <v>2.0924126795976322E-3</v>
      </c>
      <c r="H78" s="369"/>
      <c r="I78" s="1471"/>
      <c r="J78" s="1472"/>
      <c r="K78" s="164"/>
      <c r="L78" s="1447"/>
      <c r="M78" s="1447"/>
      <c r="N78" s="1447"/>
      <c r="O78" s="1447"/>
      <c r="P78" s="1447"/>
      <c r="Q78" s="1447"/>
      <c r="R78" s="1447"/>
    </row>
    <row r="79" spans="1:18">
      <c r="A79" s="1447"/>
      <c r="B79" s="1484" t="s">
        <v>28</v>
      </c>
      <c r="C79" s="1471" t="s">
        <v>7</v>
      </c>
      <c r="D79" s="369">
        <f t="shared" si="2"/>
        <v>4.7818291384657395E-2</v>
      </c>
      <c r="E79" s="369">
        <f t="shared" si="2"/>
        <v>4.5541229890149908E-2</v>
      </c>
      <c r="F79" s="369">
        <f t="shared" si="2"/>
        <v>4.3471173986052179E-2</v>
      </c>
      <c r="G79" s="369">
        <f t="shared" si="2"/>
        <v>4.3471173986052179E-2</v>
      </c>
      <c r="H79" s="369"/>
      <c r="I79" s="1471"/>
      <c r="J79" s="1472"/>
      <c r="K79" s="164"/>
      <c r="L79" s="1447"/>
      <c r="M79" s="1447"/>
      <c r="N79" s="1447"/>
      <c r="O79" s="1447"/>
      <c r="P79" s="1447"/>
      <c r="Q79" s="1447"/>
      <c r="R79" s="1447"/>
    </row>
    <row r="80" spans="1:18">
      <c r="A80" s="1447"/>
      <c r="B80" s="1484" t="s">
        <v>26</v>
      </c>
      <c r="C80" s="1471" t="s">
        <v>7</v>
      </c>
      <c r="D80" s="370">
        <f>D90/1000*D$75/1.1</f>
        <v>6.0127444204252081E-3</v>
      </c>
      <c r="E80" s="370">
        <f>E90/1000*E$75/1.1</f>
        <v>5.7264232575478186E-3</v>
      </c>
      <c r="F80" s="370">
        <f>F90/1000*F$75/1.1</f>
        <v>5.4661312912956447E-3</v>
      </c>
      <c r="G80" s="370">
        <f>G90/1000*G$75/1.1</f>
        <v>5.4661312912956447E-3</v>
      </c>
      <c r="H80" s="370"/>
      <c r="I80" s="1576" t="str">
        <f>Referencer!$B$23</f>
        <v>17, Oplysninger per email fra Steffen Müller, produktionschef i Volvo Danmark, november 2011</v>
      </c>
      <c r="J80" s="1574" t="s">
        <v>581</v>
      </c>
      <c r="K80" s="335"/>
      <c r="L80" s="1447"/>
      <c r="M80" s="1447"/>
      <c r="N80" s="1447"/>
      <c r="O80" s="1447"/>
      <c r="P80" s="1447"/>
      <c r="Q80" s="1447"/>
      <c r="R80" s="1447"/>
    </row>
    <row r="81" spans="1:21">
      <c r="A81" s="1447"/>
      <c r="B81" s="1572" t="s">
        <v>25</v>
      </c>
      <c r="C81" s="1471" t="s">
        <v>7</v>
      </c>
      <c r="D81" s="370">
        <f>1.2*$D91/1000*D$75</f>
        <v>5.9122643959434544</v>
      </c>
      <c r="E81" s="370">
        <f>1.2*$E91/1000*E$75</f>
        <v>0.58819049691108694</v>
      </c>
      <c r="F81" s="370">
        <f>1.2*$F91/1000*F$75</f>
        <v>0.56145456523331017</v>
      </c>
      <c r="G81" s="370">
        <f>1.2*$F91/1000*G$75</f>
        <v>0.56145456523331017</v>
      </c>
      <c r="H81" s="370"/>
      <c r="I81" s="1576" t="str">
        <f>Referencer!$B$23</f>
        <v>17, Oplysninger per email fra Steffen Müller, produktionschef i Volvo Danmark, november 2011</v>
      </c>
      <c r="J81" s="1574" t="s">
        <v>662</v>
      </c>
      <c r="K81" s="164"/>
      <c r="L81" s="1447"/>
      <c r="M81" s="1447"/>
      <c r="N81" s="1447"/>
      <c r="O81" s="1447"/>
      <c r="P81" s="1447"/>
      <c r="Q81" s="1447"/>
      <c r="R81" s="1447"/>
    </row>
    <row r="82" spans="1:21">
      <c r="A82" s="1447"/>
      <c r="B82" s="1484" t="s">
        <v>45</v>
      </c>
      <c r="C82" s="1471" t="s">
        <v>7</v>
      </c>
      <c r="D82" s="369">
        <f>D92/1000*D$75</f>
        <v>4.6571558954944081E-2</v>
      </c>
      <c r="E82" s="369">
        <f>E92/1000*E$75</f>
        <v>4.8502306355354694E-3</v>
      </c>
      <c r="F82" s="369">
        <f>F92/1000*F$75</f>
        <v>4.6297656066474928E-3</v>
      </c>
      <c r="G82" s="369">
        <f>G92/1000*G$75</f>
        <v>4.6297656066474928E-3</v>
      </c>
      <c r="H82" s="369"/>
      <c r="I82" s="1471"/>
      <c r="J82" s="1574"/>
      <c r="K82" s="335"/>
      <c r="L82" s="1447"/>
      <c r="M82" s="1447"/>
      <c r="N82" s="1447"/>
      <c r="O82" s="1447"/>
      <c r="P82" s="1447"/>
      <c r="Q82" s="1447"/>
      <c r="R82" s="1447"/>
    </row>
    <row r="83" spans="1:21" ht="13.5" thickBot="1">
      <c r="A83" s="1447"/>
      <c r="B83" s="1521"/>
      <c r="C83" s="1501"/>
      <c r="D83" s="262"/>
      <c r="E83" s="262"/>
      <c r="F83" s="262"/>
      <c r="G83" s="262"/>
      <c r="H83" s="262"/>
      <c r="I83" s="1501"/>
      <c r="J83" s="1503"/>
      <c r="K83" s="1447"/>
      <c r="L83" s="1447"/>
      <c r="M83" s="1447"/>
      <c r="N83" s="1447"/>
      <c r="O83" s="1447"/>
      <c r="P83" s="1447"/>
      <c r="Q83" s="1447"/>
      <c r="R83" s="1447"/>
    </row>
    <row r="84" spans="1:21">
      <c r="A84" s="1447"/>
      <c r="B84" s="1447"/>
      <c r="C84" s="1447"/>
      <c r="D84" s="1447"/>
      <c r="E84" s="1447"/>
      <c r="F84" s="1447"/>
      <c r="G84" s="1447"/>
      <c r="I84" s="1447"/>
      <c r="J84" s="1447"/>
      <c r="K84" s="1447"/>
      <c r="L84" s="1447"/>
      <c r="M84" s="1447"/>
      <c r="N84" s="1447"/>
      <c r="O84" s="1447"/>
      <c r="P84" s="1447"/>
      <c r="Q84" s="1447"/>
      <c r="R84" s="1447"/>
    </row>
    <row r="85" spans="1:21" ht="13.5" thickBot="1">
      <c r="A85" s="1447"/>
      <c r="B85" s="1446" t="s">
        <v>521</v>
      </c>
      <c r="C85" s="1447"/>
      <c r="D85" s="1447"/>
      <c r="E85" s="1447"/>
      <c r="F85" s="1447"/>
      <c r="G85" s="1447"/>
      <c r="I85" s="1447"/>
      <c r="J85" s="1447"/>
      <c r="K85" s="1447"/>
      <c r="L85" s="1447"/>
      <c r="M85" s="1447"/>
      <c r="N85" s="1447"/>
      <c r="O85" s="1447"/>
      <c r="P85" s="1447"/>
      <c r="Q85" s="1447"/>
      <c r="R85" s="1447"/>
    </row>
    <row r="86" spans="1:21">
      <c r="A86" s="1447"/>
      <c r="B86" s="1455"/>
      <c r="C86" s="1449"/>
      <c r="D86" s="367">
        <v>2015</v>
      </c>
      <c r="E86" s="367">
        <v>2020</v>
      </c>
      <c r="F86" s="367">
        <v>2035</v>
      </c>
      <c r="G86" s="367">
        <v>2050</v>
      </c>
      <c r="H86" s="367"/>
      <c r="I86" s="1447"/>
      <c r="J86" s="1447"/>
      <c r="K86" s="1447"/>
      <c r="L86" s="1447"/>
      <c r="M86" s="1447"/>
      <c r="N86" s="1447"/>
      <c r="O86" s="1447"/>
      <c r="P86" s="1447"/>
      <c r="Q86" s="1447"/>
      <c r="R86" s="1447"/>
    </row>
    <row r="87" spans="1:21">
      <c r="A87" s="1447"/>
      <c r="B87" s="1487" t="s">
        <v>24</v>
      </c>
      <c r="C87" s="323" t="s">
        <v>203</v>
      </c>
      <c r="D87" s="324">
        <f>Supplementary!Z77</f>
        <v>74000</v>
      </c>
      <c r="E87" s="324">
        <f>Supplementary!AA77</f>
        <v>74000</v>
      </c>
      <c r="F87" s="324">
        <f>Supplementary!AB77</f>
        <v>74000</v>
      </c>
      <c r="G87" s="324">
        <f t="shared" ref="G87:G92" si="3">F87</f>
        <v>74000</v>
      </c>
      <c r="H87" s="324"/>
      <c r="I87" s="1447"/>
      <c r="J87" s="1447"/>
      <c r="K87" s="1447"/>
      <c r="L87" s="1447"/>
      <c r="M87" s="1447"/>
      <c r="N87" s="1447"/>
      <c r="O87" s="1447"/>
      <c r="P87" s="1447"/>
      <c r="Q87" s="1447"/>
      <c r="R87" s="1447"/>
    </row>
    <row r="88" spans="1:21">
      <c r="A88" s="1447"/>
      <c r="B88" s="1487" t="s">
        <v>27</v>
      </c>
      <c r="C88" s="1471" t="s">
        <v>203</v>
      </c>
      <c r="D88" s="291">
        <f>Supplementary!Z78</f>
        <v>0.57006722989598102</v>
      </c>
      <c r="E88" s="291">
        <f>Supplementary!AA78</f>
        <v>0.16299243669067753</v>
      </c>
      <c r="F88" s="291">
        <f>Supplementary!AB78</f>
        <v>0.16299243669067753</v>
      </c>
      <c r="G88" s="291">
        <f t="shared" si="3"/>
        <v>0.16299243669067753</v>
      </c>
      <c r="H88" s="291"/>
      <c r="I88" s="1447"/>
      <c r="J88" s="1447"/>
      <c r="K88" s="1447"/>
      <c r="L88" s="1447"/>
      <c r="M88" s="1447"/>
      <c r="N88" s="1447"/>
      <c r="O88" s="1447"/>
      <c r="P88" s="1447"/>
      <c r="Q88" s="1447"/>
      <c r="R88" s="1447"/>
    </row>
    <row r="89" spans="1:21">
      <c r="A89" s="1447"/>
      <c r="B89" s="1487" t="s">
        <v>28</v>
      </c>
      <c r="C89" s="1471" t="s">
        <v>203</v>
      </c>
      <c r="D89" s="291">
        <f>Supplementary!Z79</f>
        <v>3.3862691824031406</v>
      </c>
      <c r="E89" s="291">
        <f>Supplementary!AA79</f>
        <v>3.3862691824031406</v>
      </c>
      <c r="F89" s="291">
        <f>Supplementary!AB79</f>
        <v>3.3862691824031406</v>
      </c>
      <c r="G89" s="291">
        <f t="shared" si="3"/>
        <v>3.3862691824031406</v>
      </c>
      <c r="H89" s="291"/>
      <c r="I89" s="1447"/>
      <c r="J89" s="1447"/>
      <c r="K89" s="1447"/>
      <c r="L89" s="1447"/>
      <c r="M89" s="1447"/>
      <c r="N89" s="1447"/>
      <c r="O89" s="1447"/>
      <c r="P89" s="1447"/>
      <c r="Q89" s="1447"/>
      <c r="R89" s="1447"/>
    </row>
    <row r="90" spans="1:21">
      <c r="A90" s="1447"/>
      <c r="B90" s="1487" t="s">
        <v>26</v>
      </c>
      <c r="C90" s="1471" t="s">
        <v>203</v>
      </c>
      <c r="D90" s="291">
        <f>Supplementary!Z80</f>
        <v>0.46837408023728822</v>
      </c>
      <c r="E90" s="291">
        <f>Supplementary!AA80</f>
        <v>0.46837408023728822</v>
      </c>
      <c r="F90" s="291">
        <f>Supplementary!AB80</f>
        <v>0.46837408023728822</v>
      </c>
      <c r="G90" s="291">
        <f t="shared" si="3"/>
        <v>0.46837408023728822</v>
      </c>
      <c r="H90" s="291"/>
      <c r="I90" s="1447"/>
      <c r="J90" s="1447"/>
      <c r="K90" s="1447"/>
      <c r="L90" s="1447"/>
      <c r="M90" s="1447"/>
      <c r="N90" s="1447"/>
      <c r="O90" s="1447"/>
      <c r="P90" s="1447"/>
      <c r="Q90" s="1447"/>
      <c r="R90" s="1447"/>
      <c r="T90" s="331"/>
      <c r="U90" s="331"/>
    </row>
    <row r="91" spans="1:21">
      <c r="A91" s="1447"/>
      <c r="B91" s="1476" t="s">
        <v>25</v>
      </c>
      <c r="C91" s="1471" t="s">
        <v>203</v>
      </c>
      <c r="D91" s="324">
        <f>Supplementary!Z81</f>
        <v>348.89924166526276</v>
      </c>
      <c r="E91" s="324">
        <f>Supplementary!AA81</f>
        <v>36.446302941253435</v>
      </c>
      <c r="F91" s="324">
        <f>Supplementary!AB81</f>
        <v>36.446302941253435</v>
      </c>
      <c r="G91" s="324">
        <f t="shared" si="3"/>
        <v>36.446302941253435</v>
      </c>
      <c r="H91" s="324"/>
      <c r="I91" s="1447"/>
      <c r="J91" s="1447"/>
      <c r="K91" s="1447"/>
      <c r="L91" s="1447"/>
      <c r="M91" s="1447"/>
      <c r="N91" s="1447"/>
      <c r="O91" s="1447"/>
      <c r="P91" s="1447"/>
      <c r="Q91" s="1447"/>
      <c r="R91" s="1447"/>
    </row>
    <row r="92" spans="1:21" ht="13.5" thickBot="1">
      <c r="A92" s="1447"/>
      <c r="B92" s="1578" t="s">
        <v>45</v>
      </c>
      <c r="C92" s="1501" t="s">
        <v>203</v>
      </c>
      <c r="D92" s="365">
        <f>Supplementary!Z82</f>
        <v>3.2979813853448934</v>
      </c>
      <c r="E92" s="365">
        <f>Supplementary!AA82</f>
        <v>0.36064433411829616</v>
      </c>
      <c r="F92" s="365">
        <f>Supplementary!AB82</f>
        <v>0.36064433411829616</v>
      </c>
      <c r="G92" s="365">
        <f t="shared" si="3"/>
        <v>0.36064433411829616</v>
      </c>
      <c r="H92" s="365"/>
      <c r="I92" s="1447"/>
      <c r="J92" s="1447"/>
      <c r="K92" s="1447"/>
      <c r="L92" s="1447"/>
      <c r="M92" s="1447"/>
      <c r="N92" s="1447"/>
      <c r="O92" s="1447"/>
      <c r="P92" s="1447"/>
      <c r="Q92" s="1447"/>
      <c r="R92" s="1447"/>
      <c r="T92" s="331"/>
    </row>
    <row r="93" spans="1:21">
      <c r="A93" s="1447"/>
      <c r="B93" s="1447"/>
      <c r="C93" s="1447"/>
      <c r="D93" s="1447"/>
      <c r="E93" s="1447"/>
      <c r="F93" s="1447"/>
      <c r="G93" s="1447"/>
      <c r="I93" s="1447"/>
      <c r="J93" s="1447"/>
      <c r="K93" s="1447"/>
      <c r="L93" s="1447"/>
      <c r="M93" s="1447"/>
      <c r="N93" s="1447"/>
      <c r="O93" s="1447"/>
      <c r="P93" s="1447"/>
      <c r="Q93" s="1447"/>
      <c r="R93" s="1447"/>
      <c r="T93" s="331"/>
    </row>
    <row r="94" spans="1:21">
      <c r="A94" s="1447"/>
      <c r="B94" s="1447"/>
      <c r="C94" s="1447"/>
      <c r="D94" s="1447"/>
      <c r="E94" s="1447"/>
      <c r="F94" s="1447"/>
      <c r="G94" s="1447"/>
      <c r="I94" s="1447"/>
      <c r="J94" s="1447"/>
      <c r="K94" s="1447"/>
      <c r="L94" s="1447"/>
      <c r="M94" s="1447"/>
      <c r="N94" s="1447"/>
      <c r="O94" s="1447"/>
      <c r="P94" s="1447"/>
      <c r="Q94" s="1447"/>
      <c r="R94" s="1447"/>
    </row>
    <row r="95" spans="1:21">
      <c r="A95" s="1447"/>
      <c r="B95" s="1447"/>
      <c r="C95" s="1447"/>
      <c r="D95" s="1447"/>
      <c r="E95" s="1447"/>
      <c r="F95" s="1447"/>
      <c r="G95" s="1447"/>
      <c r="H95" s="1535"/>
      <c r="I95" s="1447"/>
      <c r="J95" s="1447"/>
      <c r="K95" s="1447"/>
      <c r="L95" s="1447"/>
      <c r="M95" s="1447"/>
      <c r="N95" s="1447"/>
      <c r="O95" s="1447"/>
      <c r="P95" s="1447"/>
      <c r="Q95" s="1447"/>
      <c r="R95" s="1447"/>
    </row>
    <row r="96" spans="1:21">
      <c r="A96" s="1447"/>
      <c r="B96" s="1447"/>
      <c r="C96" s="1447"/>
      <c r="D96" s="1447"/>
      <c r="E96" s="1447"/>
      <c r="F96" s="1447"/>
      <c r="G96" s="1447"/>
      <c r="H96" s="1535"/>
      <c r="I96" s="1447"/>
      <c r="J96" s="1447"/>
      <c r="K96" s="1447"/>
      <c r="L96" s="1447"/>
      <c r="M96" s="1447"/>
      <c r="N96" s="1447"/>
      <c r="O96" s="1447"/>
      <c r="P96" s="1447"/>
      <c r="Q96" s="1447"/>
      <c r="R96" s="1447"/>
    </row>
    <row r="97" spans="1:18">
      <c r="A97" s="1447"/>
      <c r="B97" s="1447"/>
      <c r="C97" s="1447"/>
      <c r="D97" s="1447"/>
      <c r="E97" s="1447"/>
      <c r="F97" s="1447"/>
      <c r="G97" s="1447"/>
      <c r="H97" s="1535"/>
      <c r="I97" s="1447"/>
      <c r="J97" s="1447"/>
      <c r="K97" s="1447"/>
      <c r="L97" s="1447"/>
      <c r="M97" s="1447"/>
      <c r="N97" s="1447"/>
      <c r="O97" s="1447"/>
      <c r="P97" s="1447"/>
      <c r="Q97" s="1447"/>
      <c r="R97" s="1447"/>
    </row>
    <row r="98" spans="1:18">
      <c r="A98" s="1447"/>
      <c r="B98" s="1447"/>
      <c r="C98" s="1447"/>
      <c r="D98" s="1447"/>
      <c r="E98" s="1447"/>
      <c r="F98" s="1447"/>
      <c r="G98" s="1447"/>
      <c r="H98" s="1535"/>
      <c r="I98" s="1447"/>
      <c r="J98" s="1447"/>
      <c r="K98" s="1447"/>
      <c r="L98" s="1447"/>
      <c r="M98" s="1447"/>
      <c r="N98" s="1447"/>
      <c r="O98" s="1447"/>
      <c r="P98" s="1447"/>
      <c r="Q98" s="1447"/>
      <c r="R98" s="1447"/>
    </row>
    <row r="99" spans="1:18">
      <c r="A99" s="1447"/>
      <c r="B99" s="1447"/>
      <c r="C99" s="1447"/>
      <c r="D99" s="1447"/>
      <c r="E99" s="1447"/>
      <c r="F99" s="1447"/>
      <c r="G99" s="1447"/>
      <c r="H99" s="1535"/>
      <c r="I99" s="1447"/>
      <c r="J99" s="1447"/>
      <c r="K99" s="1447"/>
      <c r="L99" s="1447"/>
      <c r="M99" s="1447"/>
      <c r="N99" s="1447"/>
      <c r="O99" s="1447"/>
      <c r="P99" s="1447"/>
      <c r="Q99" s="1447"/>
      <c r="R99" s="1447"/>
    </row>
    <row r="100" spans="1:18">
      <c r="A100" s="1447"/>
      <c r="B100" s="1447"/>
      <c r="C100" s="1447"/>
      <c r="D100" s="1447"/>
      <c r="E100" s="1447"/>
      <c r="F100" s="1447"/>
      <c r="G100" s="1447"/>
      <c r="I100" s="1447"/>
      <c r="J100" s="1447"/>
      <c r="K100" s="1447"/>
      <c r="L100" s="1447"/>
      <c r="M100" s="1447"/>
      <c r="N100" s="1447"/>
      <c r="O100" s="1447"/>
      <c r="P100" s="1447"/>
      <c r="Q100" s="1447"/>
      <c r="R100" s="1447"/>
    </row>
    <row r="101" spans="1:18">
      <c r="A101" s="1447"/>
      <c r="B101" s="1447"/>
      <c r="C101" s="1447"/>
      <c r="D101" s="1447"/>
      <c r="E101" s="1447"/>
      <c r="F101" s="1447"/>
      <c r="G101" s="1447"/>
      <c r="I101" s="1447"/>
      <c r="J101" s="1447"/>
      <c r="K101" s="1447"/>
      <c r="L101" s="1447"/>
      <c r="M101" s="1447"/>
      <c r="N101" s="1447"/>
      <c r="O101" s="1447"/>
      <c r="P101" s="1447"/>
      <c r="Q101" s="1447"/>
      <c r="R101" s="1447"/>
    </row>
    <row r="102" spans="1:18">
      <c r="A102" s="1447"/>
      <c r="B102" s="1447"/>
      <c r="C102" s="1447"/>
      <c r="D102" s="1447"/>
      <c r="E102" s="1447"/>
      <c r="F102" s="1447"/>
      <c r="G102" s="1447"/>
      <c r="I102" s="1447"/>
      <c r="J102" s="1447"/>
      <c r="K102" s="1447"/>
      <c r="L102" s="1447"/>
      <c r="M102" s="1447"/>
      <c r="N102" s="1447"/>
      <c r="O102" s="1447"/>
      <c r="P102" s="1447"/>
      <c r="Q102" s="1447"/>
      <c r="R102" s="1447"/>
    </row>
    <row r="103" spans="1:18">
      <c r="A103" s="1447"/>
      <c r="B103" s="1447"/>
      <c r="C103" s="1447"/>
      <c r="D103" s="1447"/>
      <c r="E103" s="1447"/>
      <c r="F103" s="1447"/>
      <c r="G103" s="1447"/>
      <c r="I103" s="1447"/>
      <c r="J103" s="1447"/>
      <c r="K103" s="1447"/>
      <c r="L103" s="1447"/>
      <c r="M103" s="1447"/>
      <c r="N103" s="1447"/>
      <c r="O103" s="1447"/>
      <c r="P103" s="1447"/>
      <c r="Q103" s="1447"/>
      <c r="R103" s="1447"/>
    </row>
    <row r="104" spans="1:18">
      <c r="A104" s="1447"/>
      <c r="B104" s="1447"/>
      <c r="C104" s="1447"/>
      <c r="D104" s="1447"/>
      <c r="E104" s="1447"/>
      <c r="F104" s="1447"/>
      <c r="G104" s="1447"/>
      <c r="I104" s="1447"/>
      <c r="J104" s="1447"/>
      <c r="K104" s="1447"/>
      <c r="L104" s="1447"/>
      <c r="M104" s="1447"/>
      <c r="N104" s="1447"/>
      <c r="O104" s="1447"/>
      <c r="P104" s="1447"/>
      <c r="Q104" s="1447"/>
      <c r="R104" s="1447"/>
    </row>
    <row r="105" spans="1:18">
      <c r="A105" s="1447"/>
      <c r="B105" s="1447"/>
      <c r="C105" s="1447"/>
      <c r="D105" s="1447"/>
      <c r="E105" s="1447"/>
      <c r="F105" s="1447"/>
      <c r="G105" s="1447"/>
      <c r="I105" s="1447"/>
      <c r="J105" s="1447"/>
      <c r="K105" s="1447"/>
      <c r="L105" s="1447"/>
      <c r="M105" s="1447"/>
      <c r="N105" s="1447"/>
      <c r="O105" s="1447"/>
      <c r="P105" s="1447"/>
      <c r="Q105" s="1447"/>
      <c r="R105" s="1447"/>
    </row>
    <row r="106" spans="1:18">
      <c r="A106" s="1447"/>
      <c r="B106" s="1447"/>
      <c r="C106" s="1447"/>
      <c r="D106" s="1447"/>
      <c r="E106" s="1447"/>
      <c r="F106" s="1447"/>
      <c r="G106" s="1447"/>
      <c r="I106" s="1447"/>
      <c r="J106" s="1447"/>
      <c r="K106" s="1447"/>
      <c r="L106" s="1447"/>
      <c r="M106" s="1447"/>
      <c r="N106" s="1447"/>
      <c r="O106" s="1447"/>
      <c r="P106" s="1447"/>
      <c r="Q106" s="1447"/>
      <c r="R106" s="1447"/>
    </row>
    <row r="107" spans="1:18">
      <c r="A107" s="1447"/>
      <c r="B107" s="1447"/>
      <c r="C107" s="1447"/>
      <c r="D107" s="1447"/>
      <c r="E107" s="1447"/>
      <c r="F107" s="1447"/>
      <c r="G107" s="1447"/>
      <c r="I107" s="1447"/>
      <c r="J107" s="1447"/>
      <c r="K107" s="1447"/>
      <c r="L107" s="1447"/>
      <c r="M107" s="1447"/>
      <c r="N107" s="1447"/>
      <c r="O107" s="1447"/>
      <c r="P107" s="1447"/>
      <c r="Q107" s="1447"/>
      <c r="R107" s="1447"/>
    </row>
    <row r="108" spans="1:18">
      <c r="A108" s="1447"/>
      <c r="B108" s="1447"/>
      <c r="C108" s="1447"/>
      <c r="D108" s="1447"/>
      <c r="E108" s="1447"/>
      <c r="F108" s="1447"/>
      <c r="G108" s="1447"/>
      <c r="I108" s="1447"/>
      <c r="J108" s="1447"/>
      <c r="K108" s="1447"/>
      <c r="L108" s="1447"/>
      <c r="M108" s="1447"/>
      <c r="N108" s="1447"/>
      <c r="O108" s="1447"/>
      <c r="P108" s="1447"/>
      <c r="Q108" s="1447"/>
      <c r="R108" s="1447"/>
    </row>
    <row r="109" spans="1:18">
      <c r="A109" s="1447"/>
      <c r="B109" s="1447"/>
      <c r="C109" s="1447"/>
      <c r="D109" s="1447"/>
      <c r="E109" s="1447"/>
      <c r="F109" s="1447"/>
      <c r="G109" s="1447"/>
      <c r="I109" s="1447"/>
      <c r="J109" s="1447"/>
      <c r="K109" s="1447"/>
      <c r="L109" s="1447"/>
      <c r="M109" s="1447"/>
      <c r="N109" s="1447"/>
      <c r="O109" s="1447"/>
      <c r="P109" s="1447"/>
      <c r="Q109" s="1447"/>
      <c r="R109" s="1447"/>
    </row>
    <row r="110" spans="1:18">
      <c r="A110" s="1447"/>
      <c r="B110" s="1447"/>
      <c r="C110" s="1447"/>
      <c r="D110" s="1447"/>
      <c r="E110" s="1447"/>
      <c r="F110" s="1447"/>
      <c r="G110" s="1447"/>
      <c r="I110" s="1447"/>
      <c r="J110" s="1447"/>
      <c r="K110" s="1447"/>
      <c r="L110" s="1447"/>
      <c r="M110" s="1447"/>
      <c r="N110" s="1447"/>
      <c r="O110" s="1447"/>
      <c r="P110" s="1447"/>
      <c r="Q110" s="1447"/>
      <c r="R110" s="1447"/>
    </row>
    <row r="111" spans="1:18">
      <c r="A111" s="1447"/>
      <c r="B111" s="1447"/>
      <c r="C111" s="1447"/>
      <c r="D111" s="1447"/>
      <c r="E111" s="1447"/>
      <c r="F111" s="1447"/>
      <c r="G111" s="1447"/>
      <c r="I111" s="1447"/>
      <c r="J111" s="1447"/>
      <c r="K111" s="1447"/>
      <c r="L111" s="1447"/>
      <c r="M111" s="1447"/>
      <c r="N111" s="1447"/>
      <c r="O111" s="1447"/>
      <c r="P111" s="1447"/>
      <c r="Q111" s="1447"/>
      <c r="R111" s="1447"/>
    </row>
    <row r="112" spans="1:18">
      <c r="A112" s="1447"/>
      <c r="B112" s="1447"/>
      <c r="C112" s="1447"/>
      <c r="D112" s="1447"/>
      <c r="E112" s="1447"/>
      <c r="F112" s="1447"/>
      <c r="G112" s="1447"/>
      <c r="I112" s="1447"/>
      <c r="J112" s="1447"/>
      <c r="K112" s="1447"/>
      <c r="L112" s="1447"/>
      <c r="M112" s="1447"/>
      <c r="N112" s="1447"/>
      <c r="O112" s="1447"/>
      <c r="P112" s="1447"/>
      <c r="Q112" s="1447"/>
    </row>
    <row r="113" spans="1:17">
      <c r="A113" s="1447"/>
      <c r="B113" s="1447"/>
      <c r="C113" s="1447"/>
      <c r="D113" s="1447"/>
      <c r="E113" s="1447"/>
      <c r="F113" s="1447"/>
      <c r="G113" s="1447"/>
      <c r="I113" s="1447"/>
      <c r="J113" s="1447"/>
      <c r="K113" s="1447"/>
      <c r="L113" s="1447"/>
      <c r="M113" s="1447"/>
      <c r="N113" s="1447"/>
      <c r="O113" s="1447"/>
      <c r="P113" s="1447"/>
      <c r="Q113" s="1447"/>
    </row>
    <row r="114" spans="1:17">
      <c r="A114" s="1447"/>
      <c r="B114" s="1447"/>
      <c r="C114" s="1447"/>
      <c r="D114" s="1447"/>
      <c r="E114" s="1447"/>
      <c r="F114" s="1447"/>
      <c r="G114" s="1447"/>
      <c r="I114" s="1447"/>
      <c r="J114" s="1447"/>
      <c r="K114" s="1447"/>
      <c r="L114" s="1447"/>
      <c r="M114" s="1447"/>
      <c r="N114" s="1447"/>
      <c r="O114" s="1447"/>
      <c r="P114" s="1447"/>
      <c r="Q114" s="1447"/>
    </row>
    <row r="115" spans="1:17">
      <c r="A115" s="1447"/>
      <c r="B115" s="1447"/>
      <c r="C115" s="1447"/>
      <c r="D115" s="1447"/>
      <c r="E115" s="1447"/>
      <c r="F115" s="1447"/>
      <c r="G115" s="1447"/>
      <c r="I115" s="1447"/>
      <c r="J115" s="1447"/>
      <c r="K115" s="1447"/>
      <c r="L115" s="1447"/>
      <c r="M115" s="1447"/>
      <c r="N115" s="1447"/>
      <c r="O115" s="1447"/>
      <c r="P115" s="1447"/>
      <c r="Q115" s="1447"/>
    </row>
    <row r="116" spans="1:17">
      <c r="A116" s="1447"/>
      <c r="B116" s="1447"/>
      <c r="C116" s="1447"/>
      <c r="D116" s="1447"/>
      <c r="E116" s="1447"/>
      <c r="F116" s="1447"/>
      <c r="G116" s="1447"/>
      <c r="I116" s="1447"/>
      <c r="J116" s="1447"/>
      <c r="K116" s="1447"/>
      <c r="L116" s="1447"/>
      <c r="M116" s="1447"/>
      <c r="N116" s="1447"/>
      <c r="O116" s="1447"/>
      <c r="P116" s="1447"/>
      <c r="Q116" s="1447"/>
    </row>
    <row r="117" spans="1:17">
      <c r="A117" s="1447"/>
      <c r="B117" s="1447"/>
      <c r="C117" s="1447"/>
      <c r="D117" s="1447"/>
      <c r="E117" s="1447"/>
      <c r="F117" s="1447"/>
      <c r="G117" s="1447"/>
      <c r="I117" s="1447"/>
      <c r="J117" s="1447"/>
      <c r="K117" s="1447"/>
      <c r="L117" s="1447"/>
      <c r="M117" s="1447"/>
      <c r="N117" s="1447"/>
      <c r="O117" s="1447"/>
      <c r="P117" s="1447"/>
      <c r="Q117" s="1447"/>
    </row>
    <row r="118" spans="1:17">
      <c r="A118" s="1447"/>
      <c r="B118" s="1447"/>
      <c r="C118" s="1447"/>
      <c r="D118" s="1447"/>
      <c r="E118" s="1447"/>
      <c r="F118" s="1447"/>
      <c r="G118" s="1447"/>
      <c r="I118" s="1447"/>
      <c r="J118" s="1447"/>
      <c r="K118" s="1447"/>
      <c r="L118" s="1447"/>
      <c r="M118" s="1447"/>
      <c r="N118" s="1447"/>
      <c r="O118" s="1447"/>
      <c r="P118" s="1447"/>
      <c r="Q118" s="1447"/>
    </row>
    <row r="119" spans="1:17">
      <c r="A119" s="1447"/>
      <c r="B119" s="1447"/>
      <c r="C119" s="1447"/>
      <c r="D119" s="1447"/>
      <c r="E119" s="1447"/>
      <c r="F119" s="1447"/>
      <c r="G119" s="1447"/>
      <c r="I119" s="1447"/>
      <c r="J119" s="1447"/>
      <c r="K119" s="1447"/>
      <c r="L119" s="1447"/>
      <c r="M119" s="1447"/>
      <c r="N119" s="1447"/>
      <c r="O119" s="1447"/>
      <c r="P119" s="1447"/>
      <c r="Q119" s="1447"/>
    </row>
    <row r="120" spans="1:17">
      <c r="A120" s="1447"/>
      <c r="B120" s="1447"/>
      <c r="C120" s="1447"/>
      <c r="D120" s="1447"/>
      <c r="E120" s="1447"/>
      <c r="F120" s="1447"/>
      <c r="G120" s="1447"/>
      <c r="I120" s="1447"/>
      <c r="J120" s="1447"/>
      <c r="K120" s="1447"/>
      <c r="L120" s="1447"/>
      <c r="M120" s="1447"/>
      <c r="N120" s="1447"/>
      <c r="O120" s="1447"/>
      <c r="P120" s="1447"/>
      <c r="Q120" s="1447"/>
    </row>
    <row r="121" spans="1:17">
      <c r="A121" s="1447"/>
      <c r="B121" s="1447"/>
      <c r="C121" s="1447"/>
      <c r="D121" s="1447"/>
      <c r="E121" s="1447"/>
      <c r="F121" s="1447"/>
      <c r="G121" s="1447"/>
      <c r="I121" s="1447"/>
      <c r="J121" s="1447"/>
      <c r="K121" s="1447"/>
      <c r="L121" s="1447"/>
      <c r="M121" s="1447"/>
      <c r="N121" s="1447"/>
      <c r="O121" s="1447"/>
      <c r="P121" s="1447"/>
      <c r="Q121" s="1447"/>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96065" r:id="rId3" name="Button 1">
              <controlPr defaultSize="0" print="0" autoFill="0" autoPict="0" macro="[0]!GtOver">
                <anchor>
                  <from>
                    <xdr:col>13</xdr:col>
                    <xdr:colOff>190500</xdr:colOff>
                    <xdr:row>0</xdr:row>
                    <xdr:rowOff>38100</xdr:rowOff>
                  </from>
                  <to>
                    <xdr:col>15</xdr:col>
                    <xdr:colOff>47625</xdr:colOff>
                    <xdr:row>0</xdr:row>
                    <xdr:rowOff>238125</xdr:rowOff>
                  </to>
                </anchor>
              </controlPr>
            </control>
          </mc:Choice>
        </mc:AlternateContent>
        <mc:AlternateContent xmlns:mc="http://schemas.openxmlformats.org/markup-compatibility/2006">
          <mc:Choice Requires="x14">
            <control shapeId="1496066" r:id="rId4" name="Button 2">
              <controlPr defaultSize="0" print="0" autoFill="0" autoPict="0" macro="[0]!GtRes">
                <anchor>
                  <from>
                    <xdr:col>15</xdr:col>
                    <xdr:colOff>228600</xdr:colOff>
                    <xdr:row>0</xdr:row>
                    <xdr:rowOff>38100</xdr:rowOff>
                  </from>
                  <to>
                    <xdr:col>17</xdr:col>
                    <xdr:colOff>57150</xdr:colOff>
                    <xdr:row>0</xdr:row>
                    <xdr:rowOff>238125</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002060"/>
    <pageSetUpPr fitToPage="1"/>
  </sheetPr>
  <dimension ref="A1:S99"/>
  <sheetViews>
    <sheetView topLeftCell="A16" zoomScale="80" zoomScaleNormal="80" workbookViewId="0">
      <selection activeCell="C55" sqref="C55:C60"/>
    </sheetView>
  </sheetViews>
  <sheetFormatPr defaultColWidth="8.85546875" defaultRowHeight="12.75"/>
  <cols>
    <col min="1" max="1" width="2.85546875" style="1447" customWidth="1"/>
    <col min="2" max="2" width="35" style="1447" customWidth="1"/>
    <col min="3" max="3" width="18" style="1447" customWidth="1"/>
    <col min="4" max="8" width="15.85546875" style="1447" customWidth="1"/>
    <col min="9" max="9" width="12.28515625" style="1447" customWidth="1"/>
    <col min="10" max="10" width="37.42578125" style="1447" customWidth="1"/>
    <col min="11" max="11" width="9" style="1447" customWidth="1"/>
    <col min="12" max="12" width="10.85546875" style="1447" customWidth="1"/>
    <col min="13" max="13" width="9.140625" style="1447" customWidth="1"/>
    <col min="14" max="14" width="9" style="1447" customWidth="1"/>
    <col min="15" max="15" width="8.85546875" style="1447"/>
    <col min="16" max="16" width="37.85546875" style="1447" customWidth="1"/>
    <col min="17" max="18" width="8.85546875" style="1447"/>
    <col min="19" max="19" width="9.140625" style="1447" customWidth="1"/>
    <col min="20" max="16384" width="8.85546875" style="1447"/>
  </cols>
  <sheetData>
    <row r="1" spans="2:19" s="2403" customFormat="1" ht="21">
      <c r="B1" s="2403" t="s">
        <v>642</v>
      </c>
      <c r="Q1" s="2403">
        <f ca="1">'Log2015'!M1</f>
        <v>-8.0112614142160741</v>
      </c>
      <c r="R1" s="2405">
        <f ca="1">'Log2015'!N1</f>
        <v>-160807.124977848</v>
      </c>
      <c r="S1" s="2406"/>
    </row>
    <row r="2" spans="2:19">
      <c r="R2" s="626">
        <f ca="1">R1</f>
        <v>-160807.124977848</v>
      </c>
      <c r="S2" s="626">
        <f>S1</f>
        <v>0</v>
      </c>
    </row>
    <row r="4" spans="2:19" ht="13.5" thickBot="1">
      <c r="B4" s="1446" t="s">
        <v>81</v>
      </c>
    </row>
    <row r="5" spans="2:19">
      <c r="B5" s="1448" t="s">
        <v>137</v>
      </c>
      <c r="C5" s="1449"/>
      <c r="D5" s="1449"/>
      <c r="E5" s="1449"/>
      <c r="F5" s="1449"/>
      <c r="G5" s="1449"/>
      <c r="H5" s="1449"/>
      <c r="I5" s="1449"/>
      <c r="J5" s="1449"/>
      <c r="K5" s="1449"/>
      <c r="L5" s="1449"/>
      <c r="M5" s="1449"/>
      <c r="N5" s="1449"/>
      <c r="O5" s="1450"/>
    </row>
    <row r="6" spans="2:19">
      <c r="B6" s="1476" t="s">
        <v>2631</v>
      </c>
      <c r="C6" s="1471"/>
      <c r="D6" s="1471"/>
      <c r="E6" s="1471"/>
      <c r="F6" s="1471"/>
      <c r="G6" s="1471"/>
      <c r="H6" s="1471"/>
      <c r="I6" s="1471"/>
      <c r="J6" s="1471"/>
      <c r="K6" s="1471"/>
      <c r="L6" s="1471"/>
      <c r="M6" s="1471"/>
      <c r="N6" s="1471"/>
      <c r="O6" s="1472"/>
    </row>
    <row r="7" spans="2:19">
      <c r="B7" s="1476"/>
      <c r="C7" s="1471"/>
      <c r="D7" s="1471"/>
      <c r="E7" s="1471"/>
      <c r="F7" s="1471"/>
      <c r="G7" s="1471"/>
      <c r="H7" s="1471"/>
      <c r="I7" s="1471"/>
      <c r="J7" s="1471"/>
      <c r="K7" s="1471"/>
      <c r="L7" s="1471"/>
      <c r="M7" s="1471"/>
      <c r="N7" s="1471"/>
      <c r="O7" s="1472"/>
    </row>
    <row r="8" spans="2:19">
      <c r="B8" s="1476"/>
      <c r="C8" s="1471"/>
      <c r="D8" s="1471"/>
      <c r="E8" s="1471"/>
      <c r="F8" s="1471"/>
      <c r="G8" s="1471"/>
      <c r="H8" s="1471"/>
      <c r="I8" s="1471"/>
      <c r="J8" s="1471"/>
      <c r="K8" s="1471"/>
      <c r="L8" s="1471"/>
      <c r="M8" s="1471"/>
      <c r="N8" s="1471"/>
      <c r="O8" s="1472"/>
    </row>
    <row r="9" spans="2:19">
      <c r="B9" s="1476"/>
      <c r="C9" s="1471"/>
      <c r="D9" s="1471"/>
      <c r="E9" s="1471"/>
      <c r="F9" s="1471"/>
      <c r="G9" s="1471"/>
      <c r="H9" s="1471"/>
      <c r="I9" s="1471"/>
      <c r="J9" s="1471"/>
      <c r="K9" s="1471"/>
      <c r="L9" s="1471"/>
      <c r="M9" s="1471"/>
      <c r="N9" s="1471"/>
      <c r="O9" s="1472"/>
    </row>
    <row r="10" spans="2:19">
      <c r="B10" s="1476"/>
      <c r="C10" s="1471"/>
      <c r="D10" s="1471"/>
      <c r="E10" s="1471"/>
      <c r="F10" s="1471"/>
      <c r="G10" s="1471"/>
      <c r="H10" s="1471"/>
      <c r="I10" s="1471"/>
      <c r="J10" s="1471"/>
      <c r="K10" s="1471"/>
      <c r="L10" s="1471"/>
      <c r="M10" s="1471"/>
      <c r="N10" s="1471"/>
      <c r="O10" s="1472"/>
    </row>
    <row r="11" spans="2:19">
      <c r="B11" s="1556" t="s">
        <v>256</v>
      </c>
      <c r="C11" s="1471"/>
      <c r="D11" s="1471"/>
      <c r="E11" s="1471"/>
      <c r="F11" s="1471"/>
      <c r="G11" s="1471"/>
      <c r="H11" s="1471"/>
      <c r="I11" s="1471"/>
      <c r="J11" s="1471"/>
      <c r="K11" s="1471"/>
      <c r="L11" s="1471"/>
      <c r="M11" s="1471"/>
      <c r="N11" s="1471"/>
      <c r="O11" s="1472"/>
    </row>
    <row r="12" spans="2:19">
      <c r="B12" s="1476"/>
      <c r="C12" s="1471"/>
      <c r="D12" s="1471"/>
      <c r="E12" s="1471"/>
      <c r="F12" s="1471"/>
      <c r="G12" s="1471"/>
      <c r="H12" s="1471"/>
      <c r="I12" s="1471"/>
      <c r="J12" s="1471"/>
      <c r="K12" s="1471"/>
      <c r="L12" s="1471"/>
      <c r="M12" s="1471"/>
      <c r="N12" s="1471"/>
      <c r="O12" s="1472"/>
    </row>
    <row r="13" spans="2:19">
      <c r="B13" s="1476"/>
      <c r="C13" s="1471"/>
      <c r="D13" s="1471"/>
      <c r="E13" s="1471"/>
      <c r="F13" s="1471"/>
      <c r="G13" s="1471"/>
      <c r="H13" s="1471"/>
      <c r="I13" s="1471"/>
      <c r="J13" s="1471"/>
      <c r="K13" s="1471"/>
      <c r="L13" s="1471"/>
      <c r="M13" s="1471"/>
      <c r="N13" s="1471"/>
      <c r="O13" s="1472"/>
    </row>
    <row r="14" spans="2:19">
      <c r="B14" s="1556" t="s">
        <v>143</v>
      </c>
      <c r="C14" s="1471"/>
      <c r="D14" s="1471"/>
      <c r="E14" s="1471"/>
      <c r="F14" s="1471"/>
      <c r="G14" s="1471"/>
      <c r="H14" s="1471"/>
      <c r="I14" s="1471"/>
      <c r="J14" s="1471"/>
      <c r="K14" s="1471"/>
      <c r="L14" s="1471"/>
      <c r="M14" s="1471"/>
      <c r="N14" s="1471"/>
      <c r="O14" s="1472"/>
    </row>
    <row r="15" spans="2:19">
      <c r="B15" s="1476"/>
      <c r="C15" s="1471"/>
      <c r="D15" s="1471"/>
      <c r="E15" s="1471"/>
      <c r="F15" s="1471"/>
      <c r="G15" s="1471"/>
      <c r="H15" s="1471"/>
      <c r="I15" s="1471"/>
      <c r="J15" s="1471"/>
      <c r="K15" s="1471"/>
      <c r="L15" s="1471"/>
      <c r="M15" s="1471"/>
      <c r="N15" s="1471"/>
      <c r="O15" s="1472"/>
    </row>
    <row r="16" spans="2:19">
      <c r="B16" s="1468"/>
      <c r="C16" s="1471"/>
      <c r="D16" s="1471"/>
      <c r="E16" s="1471"/>
      <c r="F16" s="1471"/>
      <c r="G16" s="1471"/>
      <c r="H16" s="1471"/>
      <c r="I16" s="1471"/>
      <c r="J16" s="1471"/>
      <c r="K16" s="1471"/>
      <c r="L16" s="1471"/>
      <c r="M16" s="1471"/>
      <c r="N16" s="1471"/>
      <c r="O16" s="1472"/>
    </row>
    <row r="17" spans="2:15" ht="13.5" thickBot="1">
      <c r="B17" s="1521"/>
      <c r="C17" s="1501"/>
      <c r="D17" s="1501"/>
      <c r="E17" s="1501"/>
      <c r="F17" s="1501"/>
      <c r="G17" s="1501"/>
      <c r="H17" s="1501"/>
      <c r="I17" s="1501"/>
      <c r="J17" s="1501"/>
      <c r="K17" s="1501"/>
      <c r="L17" s="1501"/>
      <c r="M17" s="1501"/>
      <c r="N17" s="1501"/>
      <c r="O17" s="1503"/>
    </row>
    <row r="19" spans="2:15" ht="13.5" thickBot="1">
      <c r="B19" s="1446" t="s">
        <v>144</v>
      </c>
      <c r="E19" s="1454"/>
      <c r="F19" s="1454"/>
      <c r="G19" s="1454"/>
    </row>
    <row r="20" spans="2:15">
      <c r="B20" s="1455"/>
      <c r="C20" s="1456"/>
      <c r="D20" s="1557"/>
      <c r="E20" s="1449"/>
      <c r="F20" s="1449"/>
      <c r="G20" s="1449"/>
      <c r="H20" s="1449"/>
      <c r="I20" s="1449" t="s">
        <v>145</v>
      </c>
      <c r="J20" s="1450" t="s">
        <v>146</v>
      </c>
    </row>
    <row r="21" spans="2:15">
      <c r="B21" s="1460"/>
      <c r="C21" s="1461" t="s">
        <v>70</v>
      </c>
      <c r="D21" s="1506">
        <v>2015</v>
      </c>
      <c r="E21" s="1507">
        <v>2020</v>
      </c>
      <c r="F21" s="1507">
        <v>2035</v>
      </c>
      <c r="G21" s="1507"/>
      <c r="H21" s="1507" t="s">
        <v>978</v>
      </c>
      <c r="I21" s="287" t="s">
        <v>1783</v>
      </c>
      <c r="J21" s="1465"/>
    </row>
    <row r="22" spans="2:15">
      <c r="B22" s="1468" t="s">
        <v>257</v>
      </c>
      <c r="C22" s="1469"/>
      <c r="D22" s="153"/>
      <c r="E22" s="1470"/>
      <c r="F22" s="1470"/>
      <c r="G22" s="1470"/>
      <c r="H22" s="1470"/>
      <c r="I22" s="1471"/>
      <c r="J22" s="1472"/>
    </row>
    <row r="23" spans="2:15">
      <c r="B23" s="122" t="s">
        <v>848</v>
      </c>
      <c r="C23" s="1469" t="s">
        <v>2641</v>
      </c>
      <c r="D23" s="308">
        <f>D72</f>
        <v>0.3110490447640275</v>
      </c>
      <c r="E23" s="281">
        <f>E72</f>
        <v>0.33789616031666431</v>
      </c>
      <c r="F23" s="281">
        <f>F72</f>
        <v>0.3666666666666667</v>
      </c>
      <c r="G23" s="281">
        <f>G72</f>
        <v>0.3666666666666667</v>
      </c>
      <c r="H23" s="1657"/>
      <c r="I23" s="1474"/>
      <c r="J23" s="1472"/>
      <c r="K23" s="164"/>
    </row>
    <row r="24" spans="2:15">
      <c r="B24" s="122" t="s">
        <v>849</v>
      </c>
      <c r="C24" s="1469" t="s">
        <v>2641</v>
      </c>
      <c r="D24" s="416">
        <f>D23</f>
        <v>0.3110490447640275</v>
      </c>
      <c r="E24" s="417">
        <f>E23</f>
        <v>0.33789616031666431</v>
      </c>
      <c r="F24" s="417">
        <f>F23</f>
        <v>0.3666666666666667</v>
      </c>
      <c r="G24" s="417">
        <f>G23</f>
        <v>0.3666666666666667</v>
      </c>
      <c r="H24" s="1657"/>
      <c r="I24" s="1474"/>
      <c r="J24" s="1472"/>
      <c r="K24" s="164"/>
    </row>
    <row r="25" spans="2:15">
      <c r="B25" s="122" t="s">
        <v>1025</v>
      </c>
      <c r="C25" s="1469" t="s">
        <v>1024</v>
      </c>
      <c r="D25" s="416">
        <f>D76</f>
        <v>18.159492</v>
      </c>
      <c r="E25" s="417">
        <f>E76</f>
        <v>16.716652342857142</v>
      </c>
      <c r="F25" s="417">
        <f>F76</f>
        <v>15.404979927272723</v>
      </c>
      <c r="G25" s="417">
        <f>G76</f>
        <v>15.404979927272722</v>
      </c>
      <c r="H25" s="1658"/>
      <c r="I25" s="1474"/>
      <c r="J25" s="1472"/>
      <c r="K25" s="164"/>
    </row>
    <row r="26" spans="2:15">
      <c r="B26" s="122" t="s">
        <v>1026</v>
      </c>
      <c r="C26" s="1469" t="s">
        <v>1024</v>
      </c>
      <c r="D26" s="416"/>
      <c r="E26" s="417"/>
      <c r="F26" s="417"/>
      <c r="G26" s="417"/>
      <c r="H26" s="1658"/>
      <c r="I26" s="1474"/>
      <c r="J26" s="1472"/>
      <c r="K26" s="164"/>
    </row>
    <row r="27" spans="2:15">
      <c r="B27" s="1476" t="s">
        <v>98</v>
      </c>
      <c r="C27" s="1469" t="s">
        <v>259</v>
      </c>
      <c r="D27" s="1477">
        <v>6</v>
      </c>
      <c r="E27" s="1478">
        <v>6</v>
      </c>
      <c r="F27" s="1478">
        <v>6</v>
      </c>
      <c r="G27" s="1478">
        <v>6</v>
      </c>
      <c r="H27" s="1478"/>
      <c r="I27" s="1471" t="str">
        <f>Referencer!$B$74</f>
        <v>70, RAMMEVILKÅR FOR GAS TIL TUNG VEJTRANSPORT, Energistyrelsen, 2014</v>
      </c>
      <c r="J27" s="1472"/>
      <c r="K27" s="164"/>
    </row>
    <row r="28" spans="2:15">
      <c r="B28" s="1476" t="s">
        <v>260</v>
      </c>
      <c r="C28" s="1469" t="s">
        <v>261</v>
      </c>
      <c r="D28" s="1560">
        <f>+D67*D69/1000</f>
        <v>282.42463199999997</v>
      </c>
      <c r="E28" s="1561">
        <f>+E67*E69/1000</f>
        <v>282.42463200000003</v>
      </c>
      <c r="F28" s="1561">
        <f>+F67*F69/1000</f>
        <v>282.42463199999997</v>
      </c>
      <c r="G28" s="1561">
        <f>+G67*G69/1000</f>
        <v>282.42463199999992</v>
      </c>
      <c r="H28" s="1659"/>
      <c r="I28" s="1474"/>
      <c r="J28" s="1472"/>
      <c r="K28" s="164"/>
    </row>
    <row r="29" spans="2:15">
      <c r="B29" s="1484"/>
      <c r="C29" s="1485"/>
      <c r="D29" s="1562"/>
      <c r="E29" s="1486"/>
      <c r="F29" s="1486"/>
      <c r="G29" s="1486"/>
      <c r="H29" s="1486"/>
      <c r="I29" s="1471"/>
      <c r="J29" s="1472"/>
      <c r="K29" s="164"/>
    </row>
    <row r="30" spans="2:15">
      <c r="B30" s="1468" t="s">
        <v>33</v>
      </c>
      <c r="C30" s="1469"/>
      <c r="D30" s="1562"/>
      <c r="E30" s="1486"/>
      <c r="F30" s="1486"/>
      <c r="G30" s="1486"/>
      <c r="H30" s="1486"/>
      <c r="I30" s="1471"/>
      <c r="J30" s="1472"/>
      <c r="K30" s="164"/>
    </row>
    <row r="31" spans="2:15">
      <c r="B31" s="1476" t="s">
        <v>157</v>
      </c>
      <c r="C31" s="1469" t="s">
        <v>61</v>
      </c>
      <c r="D31" s="992">
        <f ca="1">HLOOKUP($H38,Supplementary!$C$44:$AF$46,3,FALSE)*D38</f>
        <v>861886.33721906622</v>
      </c>
      <c r="E31" s="992">
        <f ca="1">HLOOKUP($H38,Supplementary!$C$44:$AF$46,3,FALSE)*E38</f>
        <v>861886.33721906622</v>
      </c>
      <c r="F31" s="992">
        <f ca="1">HLOOKUP($H38,Supplementary!$C$44:$AF$46,3,FALSE)*F38</f>
        <v>861886.33721906622</v>
      </c>
      <c r="G31" s="992">
        <f ca="1">HLOOKUP($H38,Supplementary!$C$44:$AF$46,3,FALSE)*G38</f>
        <v>861886.33721906622</v>
      </c>
      <c r="H31" s="323">
        <f>priceYear</f>
        <v>2015</v>
      </c>
      <c r="I31" s="555"/>
      <c r="J31" s="1472"/>
    </row>
    <row r="32" spans="2:15">
      <c r="B32" s="1484" t="s">
        <v>262</v>
      </c>
      <c r="C32" s="1469" t="s">
        <v>263</v>
      </c>
      <c r="D32" s="992">
        <f ca="1">HLOOKUP($H39,Supplementary!$C$44:$AF$46,3,FALSE)*D39</f>
        <v>1196.9040998378252</v>
      </c>
      <c r="E32" s="992">
        <f ca="1">HLOOKUP($H39,Supplementary!$C$44:$AF$46,3,FALSE)*E39</f>
        <v>1196.9040998378248</v>
      </c>
      <c r="F32" s="992">
        <f ca="1">HLOOKUP($H39,Supplementary!$C$44:$AF$46,3,FALSE)*F39</f>
        <v>1196.9040998378252</v>
      </c>
      <c r="G32" s="992">
        <f ca="1">HLOOKUP($H39,Supplementary!$C$44:$AF$46,3,FALSE)*G39</f>
        <v>1196.9040998378252</v>
      </c>
      <c r="H32" s="323">
        <f>priceYear</f>
        <v>2015</v>
      </c>
      <c r="I32" s="555"/>
      <c r="J32" s="1472"/>
    </row>
    <row r="33" spans="2:11">
      <c r="B33" s="1492" t="s">
        <v>162</v>
      </c>
      <c r="C33" s="1469" t="s">
        <v>263</v>
      </c>
      <c r="D33" s="992">
        <f ca="1">HLOOKUP($H40,Supplementary!$C$44:$AF$46,3,FALSE)*D40</f>
        <v>601.24594216578237</v>
      </c>
      <c r="E33" s="992">
        <f ca="1">HLOOKUP($H40,Supplementary!$C$44:$AF$46,3,FALSE)*E40</f>
        <v>601.24594216578225</v>
      </c>
      <c r="F33" s="992">
        <f ca="1">HLOOKUP($H40,Supplementary!$C$44:$AF$46,3,FALSE)*F40</f>
        <v>601.24594216578237</v>
      </c>
      <c r="G33" s="992">
        <f ca="1">HLOOKUP($H40,Supplementary!$C$44:$AF$46,3,FALSE)*G40</f>
        <v>601.24594216578248</v>
      </c>
      <c r="H33" s="323">
        <f>priceYear</f>
        <v>2015</v>
      </c>
      <c r="I33" s="555"/>
      <c r="J33" s="1472"/>
    </row>
    <row r="34" spans="2:11">
      <c r="B34" s="1492" t="s">
        <v>163</v>
      </c>
      <c r="C34" s="1469" t="s">
        <v>263</v>
      </c>
      <c r="D34" s="992">
        <f>HLOOKUP($H41,Supplementary!$C$44:$AF$46,3,FALSE)*D41</f>
        <v>595.65815767204265</v>
      </c>
      <c r="E34" s="992">
        <f>HLOOKUP($H41,Supplementary!$C$44:$AF$46,3,FALSE)*E41</f>
        <v>595.65815767204253</v>
      </c>
      <c r="F34" s="992">
        <f>HLOOKUP($H41,Supplementary!$C$44:$AF$46,3,FALSE)*F41</f>
        <v>595.65815767204265</v>
      </c>
      <c r="G34" s="992">
        <f>HLOOKUP($H41,Supplementary!$C$44:$AF$46,3,FALSE)*G41</f>
        <v>595.65815767204276</v>
      </c>
      <c r="H34" s="323">
        <f>priceYear</f>
        <v>2015</v>
      </c>
      <c r="I34" s="555"/>
      <c r="J34" s="1472"/>
    </row>
    <row r="35" spans="2:11">
      <c r="B35" s="1492"/>
      <c r="C35" s="1469"/>
      <c r="D35" s="992"/>
      <c r="E35" s="992"/>
      <c r="F35" s="992"/>
      <c r="G35" s="992"/>
      <c r="H35" s="323"/>
      <c r="I35" s="555"/>
      <c r="J35" s="1472"/>
    </row>
    <row r="36" spans="2:11">
      <c r="B36" s="1492" t="s">
        <v>264</v>
      </c>
      <c r="C36" s="1469" t="s">
        <v>263</v>
      </c>
      <c r="D36" s="992">
        <f>HLOOKUP($H43,Supplementary!$C$44:$AF$46,3,FALSE)*D43</f>
        <v>0</v>
      </c>
      <c r="E36" s="992">
        <f>HLOOKUP($H43,Supplementary!$C$44:$AF$46,3,FALSE)*E43</f>
        <v>0</v>
      </c>
      <c r="F36" s="992">
        <f>HLOOKUP($H43,Supplementary!$C$44:$AF$46,3,FALSE)*F43</f>
        <v>0</v>
      </c>
      <c r="G36" s="992">
        <f>HLOOKUP($H43,Supplementary!$C$44:$AF$46,3,FALSE)*G43</f>
        <v>0</v>
      </c>
      <c r="H36" s="323">
        <f>priceYear</f>
        <v>2015</v>
      </c>
      <c r="I36" s="555"/>
      <c r="J36" s="1472"/>
    </row>
    <row r="37" spans="2:11">
      <c r="B37" s="1468"/>
      <c r="C37" s="1469"/>
      <c r="D37" s="1562"/>
      <c r="E37" s="1486"/>
      <c r="F37" s="1486"/>
      <c r="G37" s="1486"/>
      <c r="H37" s="1486"/>
      <c r="I37" s="555"/>
      <c r="J37" s="1472"/>
    </row>
    <row r="38" spans="2:11">
      <c r="B38" s="1476" t="s">
        <v>157</v>
      </c>
      <c r="C38" s="1469" t="s">
        <v>61</v>
      </c>
      <c r="D38" s="311">
        <f ca="1">1051180-296435/(1+rSØK)^D27</f>
        <v>829975.63889802131</v>
      </c>
      <c r="E38" s="311">
        <f ca="1">1051180-296435/(1+rSØK)^E27</f>
        <v>829975.63889802131</v>
      </c>
      <c r="F38" s="311">
        <f ca="1">1051180-296435/(1+rSØK)^F27</f>
        <v>829975.63889802131</v>
      </c>
      <c r="G38" s="311">
        <f ca="1">1051180-296435/(1+rSØK)^G27</f>
        <v>829975.63889802131</v>
      </c>
      <c r="H38" s="407">
        <v>2013</v>
      </c>
      <c r="I38" s="1471" t="str">
        <f>Referencer!$B$74</f>
        <v>70, RAMMEVILKÅR FOR GAS TIL TUNG VEJTRANSPORT, Energistyrelsen, 2014</v>
      </c>
      <c r="J38" s="1574"/>
      <c r="K38" s="164"/>
    </row>
    <row r="39" spans="2:11">
      <c r="B39" s="1484" t="s">
        <v>262</v>
      </c>
      <c r="C39" s="1469" t="s">
        <v>263</v>
      </c>
      <c r="D39" s="312">
        <f ca="1">+SUM(D40:D43)</f>
        <v>1152.5896189140617</v>
      </c>
      <c r="E39" s="1490">
        <f ca="1">+SUM(E40:E43)</f>
        <v>1152.5896189140612</v>
      </c>
      <c r="F39" s="1490">
        <f ca="1">+SUM(F40:F43)</f>
        <v>1152.5896189140617</v>
      </c>
      <c r="G39" s="1490">
        <f ca="1">+SUM(G40:G43)</f>
        <v>1152.5896189140617</v>
      </c>
      <c r="H39" s="407">
        <v>2013</v>
      </c>
      <c r="I39" s="1474"/>
      <c r="J39" s="1472"/>
      <c r="K39" s="164"/>
    </row>
    <row r="40" spans="2:11">
      <c r="B40" s="1492" t="s">
        <v>162</v>
      </c>
      <c r="C40" s="1469" t="s">
        <v>263</v>
      </c>
      <c r="D40" s="312">
        <f ca="1">PMT(rSØK,D27,-D38)/D28</f>
        <v>578.98525992882969</v>
      </c>
      <c r="E40" s="1490">
        <f ca="1">PMT(rSØK,E27,-E38)/E28</f>
        <v>578.98525992882958</v>
      </c>
      <c r="F40" s="1490">
        <f ca="1">PMT(rSØK,F27,-F38)/F28</f>
        <v>578.98525992882969</v>
      </c>
      <c r="G40" s="1490">
        <f ca="1">PMT(rSØK,G27,-G38)/G28</f>
        <v>578.98525992882981</v>
      </c>
      <c r="H40" s="407">
        <v>2013</v>
      </c>
      <c r="I40" s="1474"/>
      <c r="J40" s="1472"/>
      <c r="K40" s="164"/>
    </row>
    <row r="41" spans="2:11">
      <c r="B41" s="1492" t="s">
        <v>163</v>
      </c>
      <c r="C41" s="1469" t="s">
        <v>263</v>
      </c>
      <c r="D41" s="312">
        <f>(D69*D70)/D28</f>
        <v>573.6043589852319</v>
      </c>
      <c r="E41" s="1490">
        <f>(E69*E70)/E28</f>
        <v>573.60435898523178</v>
      </c>
      <c r="F41" s="1490">
        <f>(F69*F70)/F28</f>
        <v>573.6043589852319</v>
      </c>
      <c r="G41" s="1490">
        <f>(G69*G70)/G28</f>
        <v>573.60435898523201</v>
      </c>
      <c r="H41" s="407">
        <v>2013</v>
      </c>
      <c r="I41" s="1474"/>
      <c r="J41" s="1574" t="s">
        <v>2630</v>
      </c>
      <c r="K41" s="164"/>
    </row>
    <row r="42" spans="2:11">
      <c r="B42" s="1492"/>
      <c r="C42" s="1469"/>
      <c r="D42" s="1562"/>
      <c r="E42" s="1486"/>
      <c r="F42" s="1486"/>
      <c r="G42" s="1486"/>
      <c r="H42" s="407"/>
      <c r="I42" s="1474"/>
      <c r="J42" s="1472"/>
      <c r="K42" s="164"/>
    </row>
    <row r="43" spans="2:11">
      <c r="B43" s="1492" t="s">
        <v>264</v>
      </c>
      <c r="C43" s="1469" t="s">
        <v>263</v>
      </c>
      <c r="D43" s="312">
        <v>0</v>
      </c>
      <c r="E43" s="300">
        <v>0</v>
      </c>
      <c r="F43" s="300">
        <v>0</v>
      </c>
      <c r="G43" s="300">
        <v>0</v>
      </c>
      <c r="H43" s="407">
        <v>2013</v>
      </c>
      <c r="I43" s="1474"/>
      <c r="J43" s="1574"/>
      <c r="K43" s="164"/>
    </row>
    <row r="44" spans="2:11">
      <c r="B44" s="1492"/>
      <c r="C44" s="1469"/>
      <c r="D44" s="1562"/>
      <c r="E44" s="1486"/>
      <c r="F44" s="1486"/>
      <c r="G44" s="1486"/>
      <c r="H44" s="1486"/>
      <c r="I44" s="1474"/>
      <c r="J44" s="1472"/>
      <c r="K44" s="164"/>
    </row>
    <row r="45" spans="2:11">
      <c r="B45" s="1468" t="s">
        <v>166</v>
      </c>
      <c r="C45" s="1469"/>
      <c r="D45" s="1562"/>
      <c r="E45" s="1486"/>
      <c r="F45" s="1486"/>
      <c r="G45" s="1486"/>
      <c r="H45" s="1489"/>
      <c r="I45" s="1474"/>
      <c r="J45" s="1472"/>
      <c r="K45" s="164"/>
    </row>
    <row r="46" spans="2:11">
      <c r="B46" s="418" t="s">
        <v>0</v>
      </c>
      <c r="C46" s="1469"/>
      <c r="D46" s="1562"/>
      <c r="E46" s="1486"/>
      <c r="F46" s="1486"/>
      <c r="G46" s="1486"/>
      <c r="H46" s="1566"/>
      <c r="I46" s="1474"/>
      <c r="J46" s="1472"/>
      <c r="K46" s="164"/>
    </row>
    <row r="47" spans="2:11">
      <c r="B47" s="1484" t="s">
        <v>24</v>
      </c>
      <c r="C47" s="1469" t="s">
        <v>2642</v>
      </c>
      <c r="D47" s="421"/>
      <c r="E47" s="422"/>
      <c r="F47" s="422"/>
      <c r="G47" s="422"/>
      <c r="H47" s="1566"/>
      <c r="I47" s="1474"/>
      <c r="J47" s="1574" t="s">
        <v>850</v>
      </c>
      <c r="K47" s="164"/>
    </row>
    <row r="48" spans="2:11">
      <c r="B48" s="1484" t="s">
        <v>27</v>
      </c>
      <c r="C48" s="1469" t="s">
        <v>2642</v>
      </c>
      <c r="D48" s="127">
        <f t="shared" ref="D48:G52" si="0">D79/D$76</f>
        <v>9.5042763677897296E-2</v>
      </c>
      <c r="E48" s="127">
        <f t="shared" si="0"/>
        <v>4.6930022266203394E-2</v>
      </c>
      <c r="F48" s="127">
        <f t="shared" si="0"/>
        <v>5.0925925925925937E-2</v>
      </c>
      <c r="G48" s="127">
        <f t="shared" si="0"/>
        <v>5.0925925925925937E-2</v>
      </c>
      <c r="H48" s="1660"/>
      <c r="I48" s="1474"/>
      <c r="J48" s="1472"/>
      <c r="K48" s="164"/>
    </row>
    <row r="49" spans="2:11">
      <c r="B49" s="1484" t="s">
        <v>28</v>
      </c>
      <c r="C49" s="1469" t="s">
        <v>2642</v>
      </c>
      <c r="D49" s="127">
        <f t="shared" si="0"/>
        <v>3.3862691824031407E-3</v>
      </c>
      <c r="E49" s="127">
        <f t="shared" si="0"/>
        <v>3.3862691824031407E-3</v>
      </c>
      <c r="F49" s="127">
        <f t="shared" si="0"/>
        <v>3.3862691824031407E-3</v>
      </c>
      <c r="G49" s="127">
        <f t="shared" si="0"/>
        <v>3.3862691824031407E-3</v>
      </c>
      <c r="H49" s="1486"/>
      <c r="I49" s="1474"/>
      <c r="J49" s="1472"/>
      <c r="K49" s="164"/>
    </row>
    <row r="50" spans="2:11">
      <c r="B50" s="1484" t="s">
        <v>26</v>
      </c>
      <c r="C50" s="1469" t="s">
        <v>2642</v>
      </c>
      <c r="D50" s="127">
        <f t="shared" si="0"/>
        <v>4.6837408023728814E-4</v>
      </c>
      <c r="E50" s="127">
        <f t="shared" si="0"/>
        <v>4.6837408023728814E-4</v>
      </c>
      <c r="F50" s="127">
        <f t="shared" si="0"/>
        <v>4.6837408023728819E-4</v>
      </c>
      <c r="G50" s="127">
        <f t="shared" si="0"/>
        <v>4.6837408023728819E-4</v>
      </c>
      <c r="H50" s="1478"/>
      <c r="I50" s="1474"/>
      <c r="J50" s="1472"/>
      <c r="K50" s="164"/>
    </row>
    <row r="51" spans="2:11">
      <c r="B51" s="1484" t="s">
        <v>167</v>
      </c>
      <c r="C51" s="1469" t="s">
        <v>2642</v>
      </c>
      <c r="D51" s="127">
        <f t="shared" si="0"/>
        <v>0.34889924166526276</v>
      </c>
      <c r="E51" s="127">
        <f t="shared" si="0"/>
        <v>3.6446302941253436E-2</v>
      </c>
      <c r="F51" s="127">
        <f t="shared" si="0"/>
        <v>3.6446302941253436E-2</v>
      </c>
      <c r="G51" s="127">
        <f t="shared" si="0"/>
        <v>3.6446302941253436E-2</v>
      </c>
      <c r="H51" s="1486"/>
      <c r="I51" s="1474"/>
      <c r="J51" s="1472"/>
      <c r="K51" s="164"/>
    </row>
    <row r="52" spans="2:11">
      <c r="B52" s="1484" t="s">
        <v>45</v>
      </c>
      <c r="C52" s="1469" t="s">
        <v>2642</v>
      </c>
      <c r="D52" s="127">
        <f t="shared" si="0"/>
        <v>3.2979813853448933E-3</v>
      </c>
      <c r="E52" s="127">
        <f t="shared" si="0"/>
        <v>3.6064433411829615E-4</v>
      </c>
      <c r="F52" s="127">
        <f t="shared" si="0"/>
        <v>3.6064433411829615E-4</v>
      </c>
      <c r="G52" s="127">
        <f t="shared" si="0"/>
        <v>3.6064433411829615E-4</v>
      </c>
      <c r="H52" s="1486"/>
      <c r="I52" s="1474"/>
      <c r="J52" s="1472"/>
      <c r="K52" s="164"/>
    </row>
    <row r="53" spans="2:11">
      <c r="B53" s="1484"/>
      <c r="C53" s="1469"/>
      <c r="D53" s="1496"/>
      <c r="E53" s="1471"/>
      <c r="F53" s="1471"/>
      <c r="G53" s="1471"/>
      <c r="H53" s="1486"/>
      <c r="I53" s="1474"/>
      <c r="J53" s="1472"/>
      <c r="K53" s="164"/>
    </row>
    <row r="54" spans="2:11">
      <c r="B54" s="418" t="s">
        <v>20</v>
      </c>
      <c r="C54" s="1469"/>
      <c r="D54" s="1562"/>
      <c r="E54" s="1486"/>
      <c r="F54" s="1486"/>
      <c r="G54" s="1486"/>
      <c r="H54" s="1660"/>
      <c r="I54" s="1474"/>
      <c r="J54" s="1472"/>
      <c r="K54" s="164"/>
    </row>
    <row r="55" spans="2:11">
      <c r="B55" s="1484" t="s">
        <v>24</v>
      </c>
      <c r="C55" s="1469" t="s">
        <v>2642</v>
      </c>
      <c r="D55" s="421"/>
      <c r="E55" s="422"/>
      <c r="F55" s="422"/>
      <c r="G55" s="422"/>
      <c r="H55" s="1674"/>
      <c r="I55" s="1474"/>
      <c r="J55" s="1574" t="s">
        <v>850</v>
      </c>
      <c r="K55" s="164"/>
    </row>
    <row r="56" spans="2:11">
      <c r="B56" s="1484" t="s">
        <v>27</v>
      </c>
      <c r="C56" s="1469" t="s">
        <v>2642</v>
      </c>
      <c r="D56" s="419">
        <f t="shared" ref="D56:G60" si="1">D48</f>
        <v>9.5042763677897296E-2</v>
      </c>
      <c r="E56" s="419">
        <f t="shared" si="1"/>
        <v>4.6930022266203394E-2</v>
      </c>
      <c r="F56" s="419">
        <f t="shared" si="1"/>
        <v>5.0925925925925937E-2</v>
      </c>
      <c r="G56" s="419">
        <f t="shared" si="1"/>
        <v>5.0925925925925937E-2</v>
      </c>
      <c r="H56" s="419"/>
      <c r="I56" s="1474"/>
      <c r="J56" s="1472"/>
      <c r="K56" s="164"/>
    </row>
    <row r="57" spans="2:11">
      <c r="B57" s="1484" t="s">
        <v>28</v>
      </c>
      <c r="C57" s="1469" t="s">
        <v>2642</v>
      </c>
      <c r="D57" s="419">
        <f t="shared" si="1"/>
        <v>3.3862691824031407E-3</v>
      </c>
      <c r="E57" s="419">
        <f t="shared" si="1"/>
        <v>3.3862691824031407E-3</v>
      </c>
      <c r="F57" s="419">
        <f t="shared" si="1"/>
        <v>3.3862691824031407E-3</v>
      </c>
      <c r="G57" s="419">
        <f t="shared" si="1"/>
        <v>3.3862691824031407E-3</v>
      </c>
      <c r="H57" s="419"/>
      <c r="I57" s="1474"/>
      <c r="J57" s="1472"/>
      <c r="K57" s="164"/>
    </row>
    <row r="58" spans="2:11">
      <c r="B58" s="1484" t="s">
        <v>26</v>
      </c>
      <c r="C58" s="1469" t="s">
        <v>2642</v>
      </c>
      <c r="D58" s="419">
        <f t="shared" si="1"/>
        <v>4.6837408023728814E-4</v>
      </c>
      <c r="E58" s="419">
        <f t="shared" si="1"/>
        <v>4.6837408023728814E-4</v>
      </c>
      <c r="F58" s="419">
        <f t="shared" si="1"/>
        <v>4.6837408023728819E-4</v>
      </c>
      <c r="G58" s="419">
        <f t="shared" si="1"/>
        <v>4.6837408023728819E-4</v>
      </c>
      <c r="H58" s="419"/>
      <c r="I58" s="1474"/>
      <c r="J58" s="1472"/>
      <c r="K58" s="164"/>
    </row>
    <row r="59" spans="2:11">
      <c r="B59" s="1484" t="s">
        <v>167</v>
      </c>
      <c r="C59" s="1469" t="s">
        <v>2642</v>
      </c>
      <c r="D59" s="419">
        <f t="shared" si="1"/>
        <v>0.34889924166526276</v>
      </c>
      <c r="E59" s="419">
        <f t="shared" si="1"/>
        <v>3.6446302941253436E-2</v>
      </c>
      <c r="F59" s="419">
        <f t="shared" si="1"/>
        <v>3.6446302941253436E-2</v>
      </c>
      <c r="G59" s="419">
        <f t="shared" si="1"/>
        <v>3.6446302941253436E-2</v>
      </c>
      <c r="H59" s="419"/>
      <c r="I59" s="1474"/>
      <c r="J59" s="1472"/>
      <c r="K59" s="164"/>
    </row>
    <row r="60" spans="2:11">
      <c r="B60" s="1484" t="s">
        <v>45</v>
      </c>
      <c r="C60" s="1469" t="s">
        <v>2642</v>
      </c>
      <c r="D60" s="419">
        <f t="shared" si="1"/>
        <v>3.2979813853448933E-3</v>
      </c>
      <c r="E60" s="419">
        <f t="shared" si="1"/>
        <v>3.6064433411829615E-4</v>
      </c>
      <c r="F60" s="419">
        <f t="shared" si="1"/>
        <v>3.6064433411829615E-4</v>
      </c>
      <c r="G60" s="419">
        <f t="shared" si="1"/>
        <v>3.6064433411829615E-4</v>
      </c>
      <c r="H60" s="419"/>
      <c r="I60" s="1474"/>
      <c r="J60" s="1472"/>
      <c r="K60" s="164"/>
    </row>
    <row r="61" spans="2:11" ht="13.5" thickBot="1">
      <c r="B61" s="1498"/>
      <c r="C61" s="1499"/>
      <c r="D61" s="1500"/>
      <c r="E61" s="1501"/>
      <c r="F61" s="1501"/>
      <c r="G61" s="1501"/>
      <c r="H61" s="1501"/>
      <c r="I61" s="1502"/>
      <c r="J61" s="1503"/>
      <c r="K61" s="164"/>
    </row>
    <row r="62" spans="2:11">
      <c r="K62" s="164"/>
    </row>
    <row r="63" spans="2:11">
      <c r="K63" s="164"/>
    </row>
    <row r="64" spans="2:11" ht="16.5" thickBot="1">
      <c r="B64" s="1504" t="s">
        <v>168</v>
      </c>
      <c r="K64" s="164"/>
    </row>
    <row r="65" spans="1:11">
      <c r="B65" s="1455"/>
      <c r="C65" s="1456"/>
      <c r="D65" s="1449"/>
      <c r="E65" s="1449"/>
      <c r="F65" s="1449"/>
      <c r="G65" s="1449"/>
      <c r="H65" s="1449"/>
      <c r="I65" s="1449"/>
      <c r="J65" s="1450"/>
      <c r="K65" s="164"/>
    </row>
    <row r="66" spans="1:11">
      <c r="B66" s="1460"/>
      <c r="C66" s="1461" t="s">
        <v>70</v>
      </c>
      <c r="D66" s="1506">
        <v>2015</v>
      </c>
      <c r="E66" s="1507">
        <v>2020</v>
      </c>
      <c r="F66" s="1507">
        <v>2035</v>
      </c>
      <c r="G66" s="1507">
        <v>2050</v>
      </c>
      <c r="H66" s="1507"/>
      <c r="I66" s="1464"/>
      <c r="J66" s="1465"/>
      <c r="K66" s="164"/>
    </row>
    <row r="67" spans="1:11">
      <c r="B67" s="1484" t="s">
        <v>266</v>
      </c>
      <c r="C67" s="1509" t="s">
        <v>267</v>
      </c>
      <c r="D67" s="288">
        <f>D23*D76</f>
        <v>5.6484926399999997</v>
      </c>
      <c r="E67" s="288">
        <f>Lastbil!E67</f>
        <v>5.6484926400000006</v>
      </c>
      <c r="F67" s="288">
        <f>Lastbil!F67</f>
        <v>5.6484926399999997</v>
      </c>
      <c r="G67" s="288">
        <f>Lastbil!G67</f>
        <v>5.6484926399999988</v>
      </c>
      <c r="H67" s="288"/>
      <c r="I67" s="1471" t="s">
        <v>2635</v>
      </c>
      <c r="J67" s="1472"/>
      <c r="K67" s="164"/>
    </row>
    <row r="68" spans="1:11">
      <c r="B68" s="1484" t="s">
        <v>692</v>
      </c>
      <c r="C68" s="1509" t="s">
        <v>29</v>
      </c>
      <c r="D68" s="319">
        <f>D76/Lastbil!D75-1</f>
        <v>0.28597083557499348</v>
      </c>
      <c r="E68" s="319">
        <f>(D68+F68)/2</f>
        <v>0.24298541778749674</v>
      </c>
      <c r="F68" s="319">
        <v>0.2</v>
      </c>
      <c r="G68" s="319">
        <v>0.2</v>
      </c>
      <c r="H68" s="319"/>
      <c r="I68" s="1471" t="str">
        <f>Referencer!$B$74</f>
        <v>70, RAMMEVILKÅR FOR GAS TIL TUNG VEJTRANSPORT, Energistyrelsen, 2014</v>
      </c>
      <c r="J68" s="1574"/>
      <c r="K68" s="164"/>
    </row>
    <row r="69" spans="1:11">
      <c r="B69" s="1484" t="s">
        <v>268</v>
      </c>
      <c r="C69" s="1509" t="s">
        <v>269</v>
      </c>
      <c r="D69" s="311">
        <v>50000</v>
      </c>
      <c r="E69" s="311">
        <v>50000</v>
      </c>
      <c r="F69" s="311">
        <v>50000</v>
      </c>
      <c r="G69" s="311">
        <v>50000</v>
      </c>
      <c r="H69" s="311"/>
      <c r="I69" s="1471" t="str">
        <f>Referencer!$B$74</f>
        <v>70, RAMMEVILKÅR FOR GAS TIL TUNG VEJTRANSPORT, Energistyrelsen, 2014</v>
      </c>
      <c r="J69" s="1472"/>
      <c r="K69" s="164"/>
    </row>
    <row r="70" spans="1:11">
      <c r="B70" s="1484" t="s">
        <v>271</v>
      </c>
      <c r="C70" s="1573" t="s">
        <v>55</v>
      </c>
      <c r="D70" s="316">
        <f>162000/D69</f>
        <v>3.24</v>
      </c>
      <c r="E70" s="316">
        <f>162000/E69</f>
        <v>3.24</v>
      </c>
      <c r="F70" s="316">
        <f>162000/F69</f>
        <v>3.24</v>
      </c>
      <c r="G70" s="316">
        <f>162000/G69</f>
        <v>3.24</v>
      </c>
      <c r="H70" s="316"/>
      <c r="I70" s="1471" t="str">
        <f>Referencer!$B$74</f>
        <v>70, RAMMEVILKÅR FOR GAS TIL TUNG VEJTRANSPORT, Energistyrelsen, 2014</v>
      </c>
      <c r="J70" s="1574"/>
      <c r="K70" s="164"/>
    </row>
    <row r="71" spans="1:11">
      <c r="B71" s="1572" t="s">
        <v>563</v>
      </c>
      <c r="C71" s="1573" t="s">
        <v>2634</v>
      </c>
      <c r="D71" s="387">
        <f>100/46.02</f>
        <v>2.17296827466319</v>
      </c>
      <c r="E71" s="378">
        <f>D71*E72/D72</f>
        <v>2.3605204672968427</v>
      </c>
      <c r="F71" s="378">
        <f>D71*F72/D72</f>
        <v>2.5615093421926933</v>
      </c>
      <c r="G71" s="378">
        <f>E71*G72/E72</f>
        <v>2.5615093421926938</v>
      </c>
      <c r="H71" s="378"/>
      <c r="I71" s="1471"/>
      <c r="J71" s="1472"/>
      <c r="K71" s="164"/>
    </row>
    <row r="72" spans="1:11">
      <c r="B72" s="1572" t="s">
        <v>564</v>
      </c>
      <c r="C72" s="1573" t="s">
        <v>29</v>
      </c>
      <c r="D72" s="379">
        <f>Lastbil!D71/(1+D68)</f>
        <v>0.3110490447640275</v>
      </c>
      <c r="E72" s="379">
        <f>Lastbil!E71/(1+E68)</f>
        <v>0.33789616031666431</v>
      </c>
      <c r="F72" s="379">
        <f>Lastbil!F71/(1+F68)</f>
        <v>0.3666666666666667</v>
      </c>
      <c r="G72" s="379">
        <f>Lastbil!G71/(1+G68)</f>
        <v>0.3666666666666667</v>
      </c>
      <c r="H72" s="379"/>
      <c r="I72" s="1471"/>
      <c r="J72" s="1574"/>
      <c r="K72" s="164"/>
    </row>
    <row r="73" spans="1:11" ht="13.5" thickBot="1">
      <c r="B73" s="320"/>
      <c r="C73" s="321"/>
      <c r="D73" s="322"/>
      <c r="E73" s="322"/>
      <c r="F73" s="322"/>
      <c r="G73" s="322"/>
      <c r="H73" s="322"/>
      <c r="I73" s="1576"/>
      <c r="J73" s="1503"/>
      <c r="K73" s="164"/>
    </row>
    <row r="74" spans="1:11">
      <c r="D74" s="1580"/>
      <c r="E74" s="1580"/>
      <c r="F74" s="1580"/>
      <c r="G74" s="1580"/>
      <c r="H74" s="1580"/>
      <c r="K74" s="164"/>
    </row>
    <row r="75" spans="1:11" ht="16.5" thickBot="1">
      <c r="B75" s="1504" t="s">
        <v>172</v>
      </c>
      <c r="K75" s="164"/>
    </row>
    <row r="76" spans="1:11">
      <c r="A76" s="1447" t="s">
        <v>2639</v>
      </c>
      <c r="B76" s="1455" t="s">
        <v>273</v>
      </c>
      <c r="C76" s="1449"/>
      <c r="D76" s="441">
        <f>Supplementary!$G$170/D71</f>
        <v>18.159492</v>
      </c>
      <c r="E76" s="441">
        <f>Supplementary!$G$170/E71</f>
        <v>16.716652342857142</v>
      </c>
      <c r="F76" s="441">
        <f>Supplementary!$G$170/F71</f>
        <v>15.404979927272723</v>
      </c>
      <c r="G76" s="441">
        <f>Supplementary!$G$170/G71</f>
        <v>15.404979927272722</v>
      </c>
      <c r="H76" s="441"/>
      <c r="I76" s="1449"/>
      <c r="J76" s="1450"/>
      <c r="K76" s="164"/>
    </row>
    <row r="77" spans="1:11">
      <c r="B77" s="1484"/>
      <c r="C77" s="1471"/>
      <c r="D77" s="260"/>
      <c r="E77" s="260"/>
      <c r="F77" s="260"/>
      <c r="G77" s="260"/>
      <c r="H77" s="260"/>
      <c r="I77" s="1471"/>
      <c r="J77" s="1472"/>
      <c r="K77" s="164"/>
    </row>
    <row r="78" spans="1:11">
      <c r="B78" s="1484" t="s">
        <v>24</v>
      </c>
      <c r="C78" s="1471" t="s">
        <v>7</v>
      </c>
      <c r="D78" s="261">
        <f>D88/1000*D$76</f>
        <v>1030.3695760800001</v>
      </c>
      <c r="E78" s="261">
        <f>E88/1000*E$76</f>
        <v>948.50285393371428</v>
      </c>
      <c r="F78" s="261">
        <f>F88/1000*F$76</f>
        <v>874.07856107345435</v>
      </c>
      <c r="G78" s="261">
        <f>G88/1000*G$76</f>
        <v>874.07856107345424</v>
      </c>
      <c r="H78" s="261"/>
      <c r="I78" s="1471"/>
      <c r="J78" s="1472"/>
      <c r="K78" s="164"/>
    </row>
    <row r="79" spans="1:11">
      <c r="B79" s="1484" t="s">
        <v>27</v>
      </c>
      <c r="C79" s="1471" t="s">
        <v>7</v>
      </c>
      <c r="D79" s="390">
        <f>D89/1000*D$67</f>
        <v>1.7259283066666666</v>
      </c>
      <c r="E79" s="390">
        <f>E89/1000*E$67</f>
        <v>0.78451286666666675</v>
      </c>
      <c r="F79" s="390">
        <f>F89/1000*F$67</f>
        <v>0.78451286666666664</v>
      </c>
      <c r="G79" s="390">
        <f>G89/1000*G$67</f>
        <v>0.78451286666666653</v>
      </c>
      <c r="H79" s="390"/>
      <c r="I79" s="1471"/>
      <c r="J79" s="1472" t="s">
        <v>695</v>
      </c>
      <c r="K79" s="164"/>
    </row>
    <row r="80" spans="1:11">
      <c r="B80" s="1484" t="s">
        <v>28</v>
      </c>
      <c r="C80" s="1471" t="s">
        <v>7</v>
      </c>
      <c r="D80" s="261">
        <f t="shared" ref="D80:G83" si="2">D90/1000*D$76</f>
        <v>6.1492928127696377E-2</v>
      </c>
      <c r="E80" s="261">
        <f t="shared" si="2"/>
        <v>5.6607084661564402E-2</v>
      </c>
      <c r="F80" s="261">
        <f t="shared" si="2"/>
        <v>5.2165408783262597E-2</v>
      </c>
      <c r="G80" s="261">
        <f t="shared" si="2"/>
        <v>5.216540878326259E-2</v>
      </c>
      <c r="H80" s="261"/>
      <c r="I80" s="1471"/>
      <c r="J80" s="1472"/>
      <c r="K80" s="164"/>
    </row>
    <row r="81" spans="2:11">
      <c r="B81" s="1484" t="s">
        <v>26</v>
      </c>
      <c r="C81" s="1471" t="s">
        <v>7</v>
      </c>
      <c r="D81" s="261">
        <f t="shared" si="2"/>
        <v>8.5054353630763923E-3</v>
      </c>
      <c r="E81" s="261">
        <f t="shared" si="2"/>
        <v>7.829646665732222E-3</v>
      </c>
      <c r="F81" s="261">
        <f t="shared" si="2"/>
        <v>7.2152933045102488E-3</v>
      </c>
      <c r="G81" s="261">
        <f t="shared" si="2"/>
        <v>7.215293304510248E-3</v>
      </c>
      <c r="H81" s="261"/>
      <c r="I81" s="1471"/>
      <c r="J81" s="1472"/>
      <c r="K81" s="164"/>
    </row>
    <row r="82" spans="2:11">
      <c r="B82" s="1572" t="s">
        <v>25</v>
      </c>
      <c r="C82" s="1471" t="s">
        <v>7</v>
      </c>
      <c r="D82" s="261">
        <f t="shared" si="2"/>
        <v>6.3358329878264055</v>
      </c>
      <c r="E82" s="261">
        <f t="shared" si="2"/>
        <v>0.60926017545138533</v>
      </c>
      <c r="F82" s="261">
        <f t="shared" si="2"/>
        <v>0.56145456523331005</v>
      </c>
      <c r="G82" s="261">
        <f t="shared" si="2"/>
        <v>0.56145456523330994</v>
      </c>
      <c r="H82" s="261"/>
      <c r="I82" s="1471"/>
      <c r="J82" s="1574"/>
      <c r="K82" s="164"/>
    </row>
    <row r="83" spans="2:11">
      <c r="B83" s="1484" t="s">
        <v>45</v>
      </c>
      <c r="C83" s="1471" t="s">
        <v>7</v>
      </c>
      <c r="D83" s="261">
        <f t="shared" si="2"/>
        <v>5.9889666583319505E-2</v>
      </c>
      <c r="E83" s="261">
        <f t="shared" si="2"/>
        <v>6.028765952876769E-3</v>
      </c>
      <c r="F83" s="261">
        <f t="shared" si="2"/>
        <v>5.5557187279769897E-3</v>
      </c>
      <c r="G83" s="261">
        <f t="shared" si="2"/>
        <v>5.5557187279769889E-3</v>
      </c>
      <c r="H83" s="261"/>
      <c r="I83" s="1471"/>
      <c r="J83" s="1574"/>
    </row>
    <row r="84" spans="2:11" ht="13.5" thickBot="1">
      <c r="B84" s="1521"/>
      <c r="C84" s="1501"/>
      <c r="D84" s="262"/>
      <c r="E84" s="262"/>
      <c r="F84" s="262"/>
      <c r="G84" s="262"/>
      <c r="H84" s="262"/>
      <c r="I84" s="1501"/>
      <c r="J84" s="1503"/>
    </row>
    <row r="86" spans="2:11" ht="13.5" thickBot="1">
      <c r="B86" s="1446" t="s">
        <v>521</v>
      </c>
    </row>
    <row r="87" spans="2:11">
      <c r="B87" s="1455"/>
      <c r="C87" s="1449"/>
      <c r="D87" s="367">
        <v>2015</v>
      </c>
      <c r="E87" s="367">
        <v>2020</v>
      </c>
      <c r="F87" s="367">
        <v>2035</v>
      </c>
      <c r="G87" s="367"/>
      <c r="H87" s="367"/>
      <c r="I87" s="1449"/>
      <c r="J87" s="1450"/>
    </row>
    <row r="88" spans="2:11">
      <c r="B88" s="1487" t="s">
        <v>24</v>
      </c>
      <c r="C88" s="323" t="s">
        <v>203</v>
      </c>
      <c r="D88" s="324">
        <f>Supplementary!$E$67</f>
        <v>56740</v>
      </c>
      <c r="E88" s="324">
        <f>Supplementary!$E$67</f>
        <v>56740</v>
      </c>
      <c r="F88" s="324">
        <f>Supplementary!$E$67</f>
        <v>56740</v>
      </c>
      <c r="G88" s="324">
        <f t="shared" ref="G88:G93" si="3">F88</f>
        <v>56740</v>
      </c>
      <c r="H88" s="324"/>
      <c r="I88" s="1471"/>
      <c r="J88" s="1472"/>
    </row>
    <row r="89" spans="2:11">
      <c r="B89" s="1487" t="s">
        <v>27</v>
      </c>
      <c r="C89" s="1471" t="s">
        <v>203</v>
      </c>
      <c r="D89" s="388">
        <f>Supplementary!$S$71</f>
        <v>305.5555555555556</v>
      </c>
      <c r="E89" s="388">
        <f>Supplementary!$U$71</f>
        <v>138.88888888888889</v>
      </c>
      <c r="F89" s="388">
        <f>Supplementary!$U$71</f>
        <v>138.88888888888889</v>
      </c>
      <c r="G89" s="388">
        <f t="shared" si="3"/>
        <v>138.88888888888889</v>
      </c>
      <c r="H89" s="388"/>
      <c r="I89" s="1471" t="str">
        <f>Referencer!$B$34</f>
        <v>28, Oplysninger per email fra Niels Frees, Trafikstyrelsen, bekræftet af ENS. 07-09-2012.</v>
      </c>
      <c r="J89" s="1574" t="s">
        <v>694</v>
      </c>
    </row>
    <row r="90" spans="2:11">
      <c r="B90" s="1487" t="s">
        <v>28</v>
      </c>
      <c r="C90" s="1471" t="s">
        <v>203</v>
      </c>
      <c r="D90" s="291">
        <f>Supplementary!Z79</f>
        <v>3.3862691824031406</v>
      </c>
      <c r="E90" s="291">
        <f>Supplementary!AA79</f>
        <v>3.3862691824031406</v>
      </c>
      <c r="F90" s="291">
        <f>Supplementary!AB79</f>
        <v>3.3862691824031406</v>
      </c>
      <c r="G90" s="291">
        <f t="shared" si="3"/>
        <v>3.3862691824031406</v>
      </c>
      <c r="H90" s="291"/>
      <c r="I90" s="1471"/>
      <c r="J90" s="1472"/>
    </row>
    <row r="91" spans="2:11">
      <c r="B91" s="1487" t="s">
        <v>26</v>
      </c>
      <c r="C91" s="1471" t="s">
        <v>203</v>
      </c>
      <c r="D91" s="291">
        <f>Supplementary!Z80</f>
        <v>0.46837408023728822</v>
      </c>
      <c r="E91" s="291">
        <f>Supplementary!AA80</f>
        <v>0.46837408023728822</v>
      </c>
      <c r="F91" s="291">
        <f>Supplementary!AB80</f>
        <v>0.46837408023728822</v>
      </c>
      <c r="G91" s="291">
        <f t="shared" si="3"/>
        <v>0.46837408023728822</v>
      </c>
      <c r="H91" s="291"/>
      <c r="I91" s="1471"/>
      <c r="J91" s="1472"/>
    </row>
    <row r="92" spans="2:11">
      <c r="B92" s="1476" t="s">
        <v>25</v>
      </c>
      <c r="C92" s="1471" t="s">
        <v>203</v>
      </c>
      <c r="D92" s="324">
        <f>Supplementary!Z81</f>
        <v>348.89924166526276</v>
      </c>
      <c r="E92" s="324">
        <f>Supplementary!AA81</f>
        <v>36.446302941253435</v>
      </c>
      <c r="F92" s="324">
        <f>Supplementary!AB81</f>
        <v>36.446302941253435</v>
      </c>
      <c r="G92" s="324">
        <f t="shared" si="3"/>
        <v>36.446302941253435</v>
      </c>
      <c r="H92" s="324"/>
      <c r="I92" s="1471"/>
      <c r="J92" s="1472"/>
    </row>
    <row r="93" spans="2:11" ht="13.5" thickBot="1">
      <c r="B93" s="1578" t="s">
        <v>45</v>
      </c>
      <c r="C93" s="1501" t="s">
        <v>203</v>
      </c>
      <c r="D93" s="365">
        <f>Supplementary!Z82</f>
        <v>3.2979813853448934</v>
      </c>
      <c r="E93" s="365">
        <f>Supplementary!AA82</f>
        <v>0.36064433411829616</v>
      </c>
      <c r="F93" s="365">
        <f>Supplementary!AB82</f>
        <v>0.36064433411829616</v>
      </c>
      <c r="G93" s="365">
        <f t="shared" si="3"/>
        <v>0.36064433411829616</v>
      </c>
      <c r="H93" s="365"/>
      <c r="I93" s="1501"/>
      <c r="J93" s="1503"/>
    </row>
    <row r="96" spans="2:11">
      <c r="H96" s="1535"/>
    </row>
    <row r="97" spans="8:8">
      <c r="H97" s="1535"/>
    </row>
    <row r="98" spans="8:8">
      <c r="H98" s="1535"/>
    </row>
    <row r="99" spans="8:8">
      <c r="H99" s="1535"/>
    </row>
  </sheetData>
  <pageMargins left="0.15748031496062992" right="0.15748031496062992" top="1.25" bottom="0.19685039370078741" header="0.51181102362204722" footer="0.51181102362204722"/>
  <pageSetup paperSize="9" scale="60" orientation="landscape" r:id="rId1"/>
  <headerFooter alignWithMargins="0">
    <oddHeader>&amp;L&amp;"Arial"&amp;14&amp;BBeregningsmodel
&amp;"Arial"&amp;08&amp;B64329, Teknologivurdering af alternative drivmidler til transportsektoren&amp;R&amp;"Arial"&amp;08Page &amp;P of &amp;N</oddHeader>
    <oddFooter>&amp;L&amp;"Arial"&amp;08&amp;Z&amp;F
Sheet: &amp;A&amp;C&amp;"Arial"&amp;08Printed &amp;D &amp;T&amp;R&amp;G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497089" r:id="rId5" name="Button 1">
              <controlPr defaultSize="0" print="0" autoFill="0" autoPict="0" macro="[0]!GtOver">
                <anchor>
                  <from>
                    <xdr:col>13</xdr:col>
                    <xdr:colOff>342900</xdr:colOff>
                    <xdr:row>0</xdr:row>
                    <xdr:rowOff>38100</xdr:rowOff>
                  </from>
                  <to>
                    <xdr:col>15</xdr:col>
                    <xdr:colOff>219075</xdr:colOff>
                    <xdr:row>0</xdr:row>
                    <xdr:rowOff>238125</xdr:rowOff>
                  </to>
                </anchor>
              </controlPr>
            </control>
          </mc:Choice>
        </mc:AlternateContent>
        <mc:AlternateContent xmlns:mc="http://schemas.openxmlformats.org/markup-compatibility/2006">
          <mc:Choice Requires="x14">
            <control shapeId="1497090" r:id="rId6" name="Button 2">
              <controlPr defaultSize="0" print="0" autoFill="0" autoPict="0" macro="[0]!GtRes">
                <anchor>
                  <from>
                    <xdr:col>15</xdr:col>
                    <xdr:colOff>390525</xdr:colOff>
                    <xdr:row>0</xdr:row>
                    <xdr:rowOff>38100</xdr:rowOff>
                  </from>
                  <to>
                    <xdr:col>15</xdr:col>
                    <xdr:colOff>1457325</xdr:colOff>
                    <xdr:row>0</xdr:row>
                    <xdr:rowOff>238125</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rgb="FF002060"/>
  </sheetPr>
  <dimension ref="A1:Y122"/>
  <sheetViews>
    <sheetView topLeftCell="A29" zoomScale="80" zoomScaleNormal="80" workbookViewId="0">
      <selection activeCell="I27" sqref="I27"/>
    </sheetView>
  </sheetViews>
  <sheetFormatPr defaultRowHeight="12.75"/>
  <cols>
    <col min="1" max="1" width="2.85546875" style="286" customWidth="1"/>
    <col min="2" max="2" width="35" style="286" customWidth="1"/>
    <col min="3" max="3" width="18" style="286" customWidth="1"/>
    <col min="4" max="7" width="15.85546875" style="286" customWidth="1"/>
    <col min="8" max="8" width="15.85546875" style="1447" customWidth="1"/>
    <col min="9" max="9" width="7.140625" style="286" customWidth="1"/>
    <col min="10" max="10" width="37.42578125" style="286" customWidth="1"/>
    <col min="11" max="16384" width="9.140625" style="286"/>
  </cols>
  <sheetData>
    <row r="1" spans="1:19" s="2403" customFormat="1" ht="21">
      <c r="B1" s="2403" t="s">
        <v>638</v>
      </c>
      <c r="Q1" s="2403">
        <f ca="1">'Log2015'!M1</f>
        <v>-8.0112614142160741</v>
      </c>
      <c r="R1" s="2405">
        <f ca="1">'Log2015'!N1</f>
        <v>-160807.124977848</v>
      </c>
      <c r="S1" s="2406"/>
    </row>
    <row r="2" spans="1:19">
      <c r="A2" s="1447"/>
      <c r="B2" s="1447"/>
      <c r="C2" s="1447"/>
      <c r="D2" s="1447"/>
      <c r="E2" s="1447"/>
      <c r="F2" s="1447"/>
      <c r="G2" s="1447"/>
      <c r="I2" s="1447"/>
      <c r="J2" s="1447"/>
      <c r="K2" s="1447"/>
      <c r="L2" s="1447"/>
      <c r="M2" s="1447"/>
      <c r="N2" s="1447"/>
      <c r="O2" s="1447"/>
      <c r="P2" s="1447"/>
      <c r="Q2" s="1447"/>
      <c r="R2" s="625">
        <f ca="1">R1</f>
        <v>-160807.124977848</v>
      </c>
      <c r="S2" s="625">
        <f>S1</f>
        <v>0</v>
      </c>
    </row>
    <row r="3" spans="1:19">
      <c r="A3" s="1447"/>
      <c r="B3" s="1447"/>
      <c r="C3" s="1447"/>
      <c r="D3" s="1447"/>
      <c r="E3" s="1447"/>
      <c r="F3" s="1447"/>
      <c r="G3" s="1447"/>
      <c r="I3" s="1447"/>
      <c r="J3" s="1447"/>
      <c r="K3" s="1447"/>
      <c r="L3" s="1447"/>
      <c r="M3" s="1447"/>
      <c r="N3" s="1447"/>
      <c r="O3" s="1447"/>
      <c r="P3" s="1447"/>
      <c r="Q3" s="1447"/>
    </row>
    <row r="4" spans="1:19" ht="13.5" thickBot="1">
      <c r="A4" s="1447"/>
      <c r="B4" s="1446" t="s">
        <v>81</v>
      </c>
      <c r="C4" s="1447"/>
      <c r="D4" s="1447"/>
      <c r="E4" s="1447"/>
      <c r="F4" s="1447"/>
      <c r="G4" s="1447"/>
      <c r="I4" s="1447"/>
      <c r="J4" s="1447"/>
      <c r="K4" s="1447"/>
      <c r="L4" s="1447"/>
      <c r="M4" s="1447"/>
      <c r="N4" s="1447"/>
      <c r="O4" s="1447"/>
      <c r="P4" s="1447"/>
      <c r="Q4" s="1447"/>
    </row>
    <row r="5" spans="1:19">
      <c r="A5" s="1447"/>
      <c r="B5" s="1448" t="s">
        <v>137</v>
      </c>
      <c r="C5" s="1449"/>
      <c r="D5" s="1449"/>
      <c r="E5" s="1449"/>
      <c r="F5" s="1449"/>
      <c r="G5" s="1449"/>
      <c r="H5" s="1449"/>
      <c r="I5" s="1449"/>
      <c r="J5" s="1449"/>
      <c r="K5" s="1449"/>
      <c r="L5" s="1449"/>
      <c r="M5" s="1449"/>
      <c r="N5" s="1449"/>
      <c r="O5" s="1450"/>
      <c r="P5" s="1447"/>
      <c r="Q5" s="1447"/>
    </row>
    <row r="6" spans="1:19">
      <c r="A6" s="1447"/>
      <c r="B6" s="1476" t="s">
        <v>2636</v>
      </c>
      <c r="C6" s="1471"/>
      <c r="D6" s="1471"/>
      <c r="E6" s="1471"/>
      <c r="F6" s="1471"/>
      <c r="G6" s="1471"/>
      <c r="H6" s="1471"/>
      <c r="I6" s="1471"/>
      <c r="J6" s="1471"/>
      <c r="K6" s="1471"/>
      <c r="L6" s="1471"/>
      <c r="M6" s="1471"/>
      <c r="N6" s="1471"/>
      <c r="O6" s="1472"/>
      <c r="P6" s="1447"/>
      <c r="Q6" s="1447"/>
    </row>
    <row r="7" spans="1:19">
      <c r="A7" s="1447"/>
      <c r="B7" s="1476"/>
      <c r="C7" s="1471"/>
      <c r="D7" s="1471"/>
      <c r="E7" s="1471"/>
      <c r="F7" s="1471"/>
      <c r="G7" s="1471"/>
      <c r="H7" s="1471"/>
      <c r="I7" s="1471"/>
      <c r="J7" s="1471"/>
      <c r="K7" s="1471"/>
      <c r="L7" s="1471"/>
      <c r="M7" s="1471"/>
      <c r="N7" s="1471"/>
      <c r="O7" s="1472"/>
      <c r="P7" s="1447"/>
      <c r="Q7" s="1447"/>
    </row>
    <row r="8" spans="1:19">
      <c r="A8" s="1447"/>
      <c r="B8" s="1476"/>
      <c r="C8" s="1471"/>
      <c r="D8" s="1471"/>
      <c r="E8" s="1471"/>
      <c r="F8" s="1471"/>
      <c r="G8" s="1471"/>
      <c r="H8" s="1471"/>
      <c r="I8" s="1471"/>
      <c r="J8" s="1471"/>
      <c r="K8" s="1471"/>
      <c r="L8" s="1471"/>
      <c r="M8" s="1471"/>
      <c r="N8" s="1471"/>
      <c r="O8" s="1472"/>
      <c r="P8" s="1447"/>
      <c r="Q8" s="1447"/>
    </row>
    <row r="9" spans="1:19">
      <c r="A9" s="1447"/>
      <c r="B9" s="1476"/>
      <c r="C9" s="1471"/>
      <c r="D9" s="1471"/>
      <c r="E9" s="1471"/>
      <c r="F9" s="1471"/>
      <c r="G9" s="1471"/>
      <c r="H9" s="1471"/>
      <c r="I9" s="1471"/>
      <c r="J9" s="1471"/>
      <c r="K9" s="1471"/>
      <c r="L9" s="1471"/>
      <c r="M9" s="1471"/>
      <c r="N9" s="1471"/>
      <c r="O9" s="1472"/>
      <c r="P9" s="1447"/>
      <c r="Q9" s="1447"/>
    </row>
    <row r="10" spans="1:19">
      <c r="A10" s="1447"/>
      <c r="B10" s="1476"/>
      <c r="C10" s="1471"/>
      <c r="D10" s="1471"/>
      <c r="E10" s="1471"/>
      <c r="F10" s="1471"/>
      <c r="G10" s="1471"/>
      <c r="H10" s="1471"/>
      <c r="I10" s="1471"/>
      <c r="J10" s="1471"/>
      <c r="K10" s="1471"/>
      <c r="L10" s="1471"/>
      <c r="M10" s="1471"/>
      <c r="N10" s="1471"/>
      <c r="O10" s="1472"/>
      <c r="P10" s="1447"/>
      <c r="Q10" s="1447"/>
    </row>
    <row r="11" spans="1:19">
      <c r="A11" s="1447"/>
      <c r="B11" s="1556" t="s">
        <v>256</v>
      </c>
      <c r="C11" s="1471"/>
      <c r="D11" s="1471"/>
      <c r="E11" s="1471"/>
      <c r="F11" s="1471"/>
      <c r="G11" s="1471"/>
      <c r="H11" s="1471"/>
      <c r="I11" s="1471"/>
      <c r="J11" s="1471"/>
      <c r="K11" s="1471"/>
      <c r="L11" s="1471"/>
      <c r="M11" s="1471"/>
      <c r="N11" s="1471"/>
      <c r="O11" s="1472"/>
      <c r="P11" s="1447"/>
      <c r="Q11" s="1447"/>
    </row>
    <row r="12" spans="1:19">
      <c r="A12" s="1447"/>
      <c r="B12" s="1476"/>
      <c r="C12" s="1471"/>
      <c r="D12" s="1471"/>
      <c r="E12" s="1471"/>
      <c r="F12" s="1471"/>
      <c r="G12" s="1471"/>
      <c r="H12" s="1471"/>
      <c r="I12" s="1471"/>
      <c r="J12" s="1471"/>
      <c r="K12" s="1471"/>
      <c r="L12" s="1471"/>
      <c r="M12" s="1471"/>
      <c r="N12" s="1471"/>
      <c r="O12" s="1472"/>
      <c r="P12" s="1447"/>
      <c r="Q12" s="1447"/>
    </row>
    <row r="13" spans="1:19">
      <c r="A13" s="1447"/>
      <c r="B13" s="1476"/>
      <c r="C13" s="1471"/>
      <c r="D13" s="1471"/>
      <c r="E13" s="1471"/>
      <c r="F13" s="1471"/>
      <c r="G13" s="1471"/>
      <c r="H13" s="1471"/>
      <c r="I13" s="1471"/>
      <c r="J13" s="1471"/>
      <c r="K13" s="1471"/>
      <c r="L13" s="1471"/>
      <c r="M13" s="1471"/>
      <c r="N13" s="1471"/>
      <c r="O13" s="1472"/>
      <c r="P13" s="1447"/>
      <c r="Q13" s="1447"/>
    </row>
    <row r="14" spans="1:19">
      <c r="A14" s="1447"/>
      <c r="B14" s="1556" t="s">
        <v>143</v>
      </c>
      <c r="C14" s="1471"/>
      <c r="D14" s="1471"/>
      <c r="E14" s="1471"/>
      <c r="F14" s="1471"/>
      <c r="G14" s="1471"/>
      <c r="H14" s="1471"/>
      <c r="I14" s="1471"/>
      <c r="J14" s="1471"/>
      <c r="K14" s="1471"/>
      <c r="L14" s="1471"/>
      <c r="M14" s="1471"/>
      <c r="N14" s="1471"/>
      <c r="O14" s="1472"/>
      <c r="P14" s="1447"/>
      <c r="Q14" s="1447"/>
    </row>
    <row r="15" spans="1:19">
      <c r="A15" s="1447"/>
      <c r="B15" s="1476"/>
      <c r="C15" s="1471"/>
      <c r="D15" s="1471"/>
      <c r="E15" s="1471"/>
      <c r="F15" s="1471"/>
      <c r="G15" s="1471"/>
      <c r="H15" s="1471"/>
      <c r="I15" s="1471"/>
      <c r="J15" s="1471"/>
      <c r="K15" s="1471"/>
      <c r="L15" s="1471"/>
      <c r="M15" s="1471"/>
      <c r="N15" s="1471"/>
      <c r="O15" s="1472"/>
      <c r="P15" s="1447"/>
      <c r="Q15" s="1447"/>
    </row>
    <row r="16" spans="1:19">
      <c r="A16" s="1447"/>
      <c r="B16" s="1468"/>
      <c r="C16" s="1471"/>
      <c r="D16" s="1471"/>
      <c r="E16" s="1471"/>
      <c r="F16" s="1471"/>
      <c r="G16" s="1471"/>
      <c r="H16" s="1471"/>
      <c r="I16" s="1471"/>
      <c r="J16" s="1471"/>
      <c r="K16" s="1471"/>
      <c r="L16" s="1471"/>
      <c r="M16" s="1471"/>
      <c r="N16" s="1471"/>
      <c r="O16" s="1472"/>
      <c r="P16" s="1447"/>
      <c r="Q16" s="1447"/>
    </row>
    <row r="17" spans="1:17" ht="13.5" thickBot="1">
      <c r="A17" s="1447"/>
      <c r="B17" s="1521"/>
      <c r="C17" s="1501"/>
      <c r="D17" s="1501"/>
      <c r="E17" s="1501"/>
      <c r="F17" s="1501"/>
      <c r="G17" s="1501"/>
      <c r="H17" s="1501"/>
      <c r="I17" s="1501"/>
      <c r="J17" s="1501"/>
      <c r="K17" s="1501"/>
      <c r="L17" s="1501"/>
      <c r="M17" s="1501"/>
      <c r="N17" s="1501"/>
      <c r="O17" s="1503"/>
      <c r="P17" s="1447"/>
      <c r="Q17" s="1447"/>
    </row>
    <row r="18" spans="1:17">
      <c r="A18" s="1447"/>
      <c r="B18" s="1447"/>
      <c r="C18" s="1447"/>
      <c r="D18" s="1447"/>
      <c r="E18" s="1447"/>
      <c r="F18" s="1447"/>
      <c r="G18" s="1447"/>
      <c r="I18" s="1447"/>
      <c r="J18" s="1447"/>
      <c r="K18" s="1447"/>
      <c r="L18" s="1447"/>
      <c r="M18" s="1447"/>
      <c r="N18" s="1447"/>
      <c r="O18" s="1447"/>
      <c r="P18" s="1447"/>
      <c r="Q18" s="1447"/>
    </row>
    <row r="19" spans="1:17" ht="13.5" thickBot="1">
      <c r="A19" s="1447"/>
      <c r="B19" s="1446" t="s">
        <v>144</v>
      </c>
      <c r="C19" s="1447"/>
      <c r="D19" s="1447"/>
      <c r="E19" s="1454"/>
      <c r="F19" s="1454"/>
      <c r="G19" s="1454"/>
      <c r="I19" s="1447"/>
      <c r="J19" s="1447"/>
      <c r="K19" s="1447"/>
      <c r="L19" s="1447"/>
      <c r="M19" s="1447"/>
      <c r="N19" s="1447"/>
      <c r="O19" s="1447"/>
      <c r="P19" s="1447"/>
      <c r="Q19" s="1447"/>
    </row>
    <row r="20" spans="1:17">
      <c r="A20" s="1447"/>
      <c r="B20" s="1455"/>
      <c r="C20" s="1456"/>
      <c r="D20" s="1557"/>
      <c r="E20" s="1449"/>
      <c r="F20" s="1449"/>
      <c r="G20" s="1449"/>
      <c r="H20" s="1449"/>
      <c r="I20" s="1449" t="s">
        <v>145</v>
      </c>
      <c r="J20" s="1450" t="s">
        <v>146</v>
      </c>
      <c r="K20" s="1447"/>
      <c r="L20" s="1447"/>
      <c r="M20" s="1447"/>
      <c r="N20" s="1447"/>
      <c r="O20" s="1447"/>
      <c r="P20" s="1447"/>
      <c r="Q20" s="1447"/>
    </row>
    <row r="21" spans="1:17">
      <c r="A21" s="1447"/>
      <c r="B21" s="1460"/>
      <c r="C21" s="1461" t="s">
        <v>70</v>
      </c>
      <c r="D21" s="1506">
        <v>2015</v>
      </c>
      <c r="E21" s="1507">
        <v>2020</v>
      </c>
      <c r="F21" s="1507">
        <v>2035</v>
      </c>
      <c r="G21" s="1507"/>
      <c r="H21" s="1507" t="s">
        <v>978</v>
      </c>
      <c r="I21" s="287"/>
      <c r="J21" s="1465"/>
      <c r="K21" s="1447"/>
      <c r="L21" s="1447"/>
      <c r="M21" s="1447"/>
      <c r="N21" s="1447"/>
      <c r="O21" s="1447"/>
      <c r="P21" s="1447"/>
      <c r="Q21" s="1447"/>
    </row>
    <row r="22" spans="1:17">
      <c r="A22" s="1447"/>
      <c r="B22" s="1468" t="s">
        <v>257</v>
      </c>
      <c r="C22" s="1469"/>
      <c r="D22" s="153"/>
      <c r="E22" s="1470"/>
      <c r="F22" s="1470"/>
      <c r="G22" s="1470"/>
      <c r="H22" s="1470"/>
      <c r="I22" s="1471"/>
      <c r="J22" s="1472"/>
      <c r="K22" s="1447"/>
      <c r="L22" s="1447"/>
      <c r="M22" s="1447"/>
      <c r="N22" s="1447"/>
      <c r="O22" s="1447"/>
      <c r="P22" s="1447"/>
      <c r="Q22" s="1447"/>
    </row>
    <row r="23" spans="1:17">
      <c r="A23" s="1447"/>
      <c r="B23" s="122" t="s">
        <v>848</v>
      </c>
      <c r="C23" s="1469" t="s">
        <v>258</v>
      </c>
      <c r="D23" s="325">
        <f>D71</f>
        <v>0.32307692307692304</v>
      </c>
      <c r="E23" s="326">
        <f>E71</f>
        <v>0.34</v>
      </c>
      <c r="F23" s="326">
        <f>F71</f>
        <v>0.36</v>
      </c>
      <c r="G23" s="326">
        <f>G71</f>
        <v>0.36</v>
      </c>
      <c r="H23" s="1657"/>
      <c r="I23" s="1474"/>
      <c r="J23" s="1472"/>
      <c r="K23" s="164"/>
      <c r="L23" s="1447"/>
      <c r="M23" s="1447"/>
      <c r="N23" s="1447"/>
      <c r="O23" s="1447"/>
      <c r="P23" s="1447"/>
      <c r="Q23" s="1447"/>
    </row>
    <row r="24" spans="1:17">
      <c r="A24" s="1447"/>
      <c r="B24" s="122" t="s">
        <v>849</v>
      </c>
      <c r="C24" s="1469" t="s">
        <v>258</v>
      </c>
      <c r="D24" s="416">
        <f>D23</f>
        <v>0.32307692307692304</v>
      </c>
      <c r="E24" s="417">
        <f>E23</f>
        <v>0.34</v>
      </c>
      <c r="F24" s="417">
        <f>F23</f>
        <v>0.36</v>
      </c>
      <c r="G24" s="417">
        <f>G23</f>
        <v>0.36</v>
      </c>
      <c r="H24" s="1657"/>
      <c r="I24" s="1474"/>
      <c r="J24" s="1472"/>
      <c r="K24" s="164"/>
      <c r="L24" s="1447"/>
      <c r="M24" s="1447"/>
      <c r="N24" s="1447"/>
      <c r="O24" s="1447"/>
      <c r="P24" s="1447"/>
      <c r="Q24" s="1447"/>
    </row>
    <row r="25" spans="1:17">
      <c r="A25" s="1447"/>
      <c r="B25" s="122" t="s">
        <v>1025</v>
      </c>
      <c r="C25" s="1469" t="s">
        <v>1024</v>
      </c>
      <c r="D25" s="416">
        <f>D75</f>
        <v>14.921088000000001</v>
      </c>
      <c r="E25" s="417">
        <f>E75</f>
        <v>14.178409411764704</v>
      </c>
      <c r="F25" s="417">
        <f>F75</f>
        <v>13.39072</v>
      </c>
      <c r="G25" s="417">
        <f>G75</f>
        <v>13.39072</v>
      </c>
      <c r="H25" s="1658"/>
      <c r="I25" s="1474"/>
      <c r="J25" s="1472"/>
      <c r="K25" s="164"/>
      <c r="L25" s="1447"/>
      <c r="M25" s="1447"/>
      <c r="N25" s="1447"/>
      <c r="O25" s="1447"/>
      <c r="P25" s="1447"/>
      <c r="Q25" s="1447"/>
    </row>
    <row r="26" spans="1:17">
      <c r="A26" s="1447"/>
      <c r="B26" s="122" t="s">
        <v>1026</v>
      </c>
      <c r="C26" s="1469" t="s">
        <v>1024</v>
      </c>
      <c r="D26" s="416"/>
      <c r="E26" s="417"/>
      <c r="F26" s="417"/>
      <c r="G26" s="417"/>
      <c r="H26" s="1658"/>
      <c r="I26" s="1474"/>
      <c r="J26" s="1472"/>
      <c r="K26" s="164"/>
      <c r="L26" s="1447"/>
      <c r="M26" s="1447"/>
      <c r="N26" s="1447"/>
      <c r="O26" s="1447"/>
      <c r="P26" s="1447"/>
      <c r="Q26" s="1447"/>
    </row>
    <row r="27" spans="1:17">
      <c r="A27" s="1447"/>
      <c r="B27" s="1476" t="s">
        <v>98</v>
      </c>
      <c r="C27" s="1469" t="s">
        <v>259</v>
      </c>
      <c r="D27" s="373">
        <v>6</v>
      </c>
      <c r="E27" s="374">
        <v>6</v>
      </c>
      <c r="F27" s="374">
        <v>6</v>
      </c>
      <c r="G27" s="374">
        <v>6</v>
      </c>
      <c r="H27" s="1478"/>
      <c r="I27" s="1576" t="str">
        <f>Referencer!$B$74</f>
        <v>70, RAMMEVILKÅR FOR GAS TIL TUNG VEJTRANSPORT, Energistyrelsen, 2014</v>
      </c>
      <c r="J27" s="1574"/>
      <c r="K27" s="164"/>
      <c r="L27" s="1447"/>
      <c r="M27" s="1447"/>
      <c r="N27" s="1447"/>
      <c r="O27" s="1447"/>
      <c r="P27" s="1447"/>
      <c r="Q27" s="1447"/>
    </row>
    <row r="28" spans="1:17">
      <c r="A28" s="1447"/>
      <c r="B28" s="1476" t="s">
        <v>260</v>
      </c>
      <c r="C28" s="1469" t="s">
        <v>261</v>
      </c>
      <c r="D28" s="1560">
        <f>+D67*D68/1000</f>
        <v>322.98416639999999</v>
      </c>
      <c r="E28" s="1561">
        <f>+E67*E68/1000</f>
        <v>322.98416639999999</v>
      </c>
      <c r="F28" s="1561">
        <f>+F67*F68/1000</f>
        <v>322.98416639999999</v>
      </c>
      <c r="G28" s="1561">
        <f>+G67*G68/1000</f>
        <v>322.98416639999999</v>
      </c>
      <c r="H28" s="1659"/>
      <c r="I28" s="1474"/>
      <c r="J28" s="1472"/>
      <c r="K28" s="164"/>
      <c r="L28" s="1447"/>
      <c r="M28" s="1447"/>
      <c r="N28" s="1447"/>
      <c r="O28" s="1447"/>
      <c r="P28" s="1447"/>
      <c r="Q28" s="1447"/>
    </row>
    <row r="29" spans="1:17">
      <c r="A29" s="1447"/>
      <c r="B29" s="1484"/>
      <c r="C29" s="1485"/>
      <c r="D29" s="1562"/>
      <c r="E29" s="1486"/>
      <c r="F29" s="1486"/>
      <c r="G29" s="1486"/>
      <c r="H29" s="1486"/>
      <c r="I29" s="1471"/>
      <c r="J29" s="1472"/>
      <c r="K29" s="164"/>
      <c r="L29" s="1447"/>
      <c r="M29" s="1447"/>
      <c r="N29" s="1447"/>
      <c r="O29" s="1447"/>
      <c r="P29" s="1447"/>
      <c r="Q29" s="1447"/>
    </row>
    <row r="30" spans="1:17">
      <c r="A30" s="1447"/>
      <c r="B30" s="1468" t="s">
        <v>33</v>
      </c>
      <c r="C30" s="1469"/>
      <c r="D30" s="1562"/>
      <c r="E30" s="1486"/>
      <c r="F30" s="1486"/>
      <c r="G30" s="1486"/>
      <c r="H30" s="1486"/>
      <c r="I30" s="1471"/>
      <c r="J30" s="1472"/>
      <c r="K30" s="164"/>
      <c r="L30" s="1447"/>
      <c r="M30" s="1447"/>
      <c r="N30" s="1447"/>
      <c r="O30" s="1447"/>
      <c r="P30" s="1447"/>
      <c r="Q30" s="1447"/>
    </row>
    <row r="31" spans="1:17" s="1447" customFormat="1">
      <c r="B31" s="1476" t="s">
        <v>157</v>
      </c>
      <c r="C31" s="1469" t="s">
        <v>61</v>
      </c>
      <c r="D31" s="992">
        <f ca="1">HLOOKUP($H38,Supplementary!$C$44:$AF$46,3,FALSE)*D38</f>
        <v>1384169.5414063041</v>
      </c>
      <c r="E31" s="992">
        <f ca="1">HLOOKUP($H38,Supplementary!$C$44:$AF$46,3,FALSE)*E38</f>
        <v>1384169.5414063041</v>
      </c>
      <c r="F31" s="992">
        <f ca="1">HLOOKUP($H38,Supplementary!$C$44:$AF$46,3,FALSE)*F38</f>
        <v>1384169.5414063041</v>
      </c>
      <c r="G31" s="992">
        <f ca="1">HLOOKUP($H38,Supplementary!$C$44:$AF$46,3,FALSE)*G38</f>
        <v>1384169.5414063041</v>
      </c>
      <c r="H31" s="323">
        <f>priceYear</f>
        <v>2015</v>
      </c>
      <c r="I31" s="555"/>
      <c r="J31" s="1472"/>
    </row>
    <row r="32" spans="1:17" s="1447" customFormat="1">
      <c r="B32" s="1484" t="s">
        <v>262</v>
      </c>
      <c r="C32" s="1469" t="s">
        <v>263</v>
      </c>
      <c r="D32" s="992">
        <f ca="1">HLOOKUP($H39,Supplementary!$C$44:$AF$46,3,FALSE)*D39</f>
        <v>1232.0801416511686</v>
      </c>
      <c r="E32" s="992">
        <f ca="1">HLOOKUP($H39,Supplementary!$C$44:$AF$46,3,FALSE)*E39</f>
        <v>1232.0801416511686</v>
      </c>
      <c r="F32" s="992">
        <f ca="1">HLOOKUP($H39,Supplementary!$C$44:$AF$46,3,FALSE)*F39</f>
        <v>1232.0801416511686</v>
      </c>
      <c r="G32" s="992">
        <f ca="1">HLOOKUP($H39,Supplementary!$C$44:$AF$46,3,FALSE)*G39</f>
        <v>1232.0801416511686</v>
      </c>
      <c r="H32" s="323">
        <f>priceYear</f>
        <v>2015</v>
      </c>
      <c r="I32" s="555"/>
      <c r="J32" s="1472"/>
    </row>
    <row r="33" spans="1:17" s="1447" customFormat="1">
      <c r="B33" s="1492" t="s">
        <v>162</v>
      </c>
      <c r="C33" s="1469" t="s">
        <v>263</v>
      </c>
      <c r="D33" s="992">
        <f ca="1">HLOOKUP($H40,Supplementary!$C$44:$AF$46,3,FALSE)*D40</f>
        <v>844.33110614276382</v>
      </c>
      <c r="E33" s="992">
        <f ca="1">HLOOKUP($H40,Supplementary!$C$44:$AF$46,3,FALSE)*E40</f>
        <v>844.33110614276382</v>
      </c>
      <c r="F33" s="992">
        <f ca="1">HLOOKUP($H40,Supplementary!$C$44:$AF$46,3,FALSE)*F40</f>
        <v>844.33110614276382</v>
      </c>
      <c r="G33" s="992">
        <f ca="1">HLOOKUP($H40,Supplementary!$C$44:$AF$46,3,FALSE)*G40</f>
        <v>844.33110614276382</v>
      </c>
      <c r="H33" s="323">
        <f>priceYear</f>
        <v>2015</v>
      </c>
      <c r="I33" s="555"/>
      <c r="J33" s="1472"/>
    </row>
    <row r="34" spans="1:17" s="1447" customFormat="1">
      <c r="B34" s="1492" t="s">
        <v>163</v>
      </c>
      <c r="C34" s="1469" t="s">
        <v>263</v>
      </c>
      <c r="D34" s="992">
        <f>HLOOKUP($H41,Supplementary!$C$44:$AF$46,3,FALSE)*D41</f>
        <v>387.74903550840475</v>
      </c>
      <c r="E34" s="992">
        <f>HLOOKUP($H41,Supplementary!$C$44:$AF$46,3,FALSE)*E41</f>
        <v>387.74903550840475</v>
      </c>
      <c r="F34" s="992">
        <f>HLOOKUP($H41,Supplementary!$C$44:$AF$46,3,FALSE)*F41</f>
        <v>387.74903550840475</v>
      </c>
      <c r="G34" s="992">
        <f>HLOOKUP($H41,Supplementary!$C$44:$AF$46,3,FALSE)*G41</f>
        <v>387.74903550840475</v>
      </c>
      <c r="H34" s="323">
        <f>priceYear</f>
        <v>2015</v>
      </c>
      <c r="I34" s="555"/>
      <c r="J34" s="1472"/>
    </row>
    <row r="35" spans="1:17" s="1447" customFormat="1">
      <c r="B35" s="1492"/>
      <c r="C35" s="1469"/>
      <c r="D35" s="992"/>
      <c r="E35" s="992"/>
      <c r="F35" s="992"/>
      <c r="G35" s="992"/>
      <c r="H35" s="323"/>
      <c r="I35" s="555"/>
      <c r="J35" s="1472"/>
    </row>
    <row r="36" spans="1:17" s="1447" customFormat="1">
      <c r="B36" s="1492" t="s">
        <v>264</v>
      </c>
      <c r="C36" s="1469" t="s">
        <v>263</v>
      </c>
      <c r="D36" s="992">
        <f>HLOOKUP($H43,Supplementary!$C$44:$AF$46,3,FALSE)*D43</f>
        <v>0</v>
      </c>
      <c r="E36" s="992">
        <f>HLOOKUP($H43,Supplementary!$C$44:$AF$46,3,FALSE)*E43</f>
        <v>0</v>
      </c>
      <c r="F36" s="992">
        <f>HLOOKUP($H43,Supplementary!$C$44:$AF$46,3,FALSE)*F43</f>
        <v>0</v>
      </c>
      <c r="G36" s="992">
        <f>HLOOKUP($H43,Supplementary!$C$44:$AF$46,3,FALSE)*G43</f>
        <v>0</v>
      </c>
      <c r="H36" s="323">
        <f>priceYear</f>
        <v>2015</v>
      </c>
      <c r="I36" s="555"/>
      <c r="J36" s="1472"/>
    </row>
    <row r="37" spans="1:17" s="1447" customFormat="1">
      <c r="B37" s="1468"/>
      <c r="C37" s="1469"/>
      <c r="D37" s="1562"/>
      <c r="E37" s="1486"/>
      <c r="F37" s="1486"/>
      <c r="G37" s="1486"/>
      <c r="H37" s="1486"/>
      <c r="I37" s="555"/>
      <c r="J37" s="1472"/>
    </row>
    <row r="38" spans="1:17">
      <c r="A38" s="1447"/>
      <c r="B38" s="1476" t="s">
        <v>157</v>
      </c>
      <c r="C38" s="1469" t="s">
        <v>61</v>
      </c>
      <c r="D38" s="359">
        <f ca="1">1551180-292487/(1+rSØK)^D27</f>
        <v>1332921.6972839427</v>
      </c>
      <c r="E38" s="359">
        <f ca="1">1551180-292487/(1+rSØK)^E27</f>
        <v>1332921.6972839427</v>
      </c>
      <c r="F38" s="359">
        <f ca="1">1551180-292487/(1+rSØK)^F27</f>
        <v>1332921.6972839427</v>
      </c>
      <c r="G38" s="359">
        <f ca="1">1551180-292487/(1+rSØK)^G27</f>
        <v>1332921.6972839427</v>
      </c>
      <c r="H38" s="407">
        <v>2013</v>
      </c>
      <c r="I38" s="1576" t="str">
        <f>Referencer!$B$74</f>
        <v>70, RAMMEVILKÅR FOR GAS TIL TUNG VEJTRANSPORT, Energistyrelsen, 2014</v>
      </c>
      <c r="J38" s="1574"/>
      <c r="K38" s="164"/>
      <c r="L38" s="1447"/>
      <c r="M38" s="1447"/>
      <c r="N38" s="1447"/>
      <c r="O38" s="1447"/>
      <c r="P38" s="1447"/>
      <c r="Q38" s="1447"/>
    </row>
    <row r="39" spans="1:17">
      <c r="A39" s="1447"/>
      <c r="B39" s="1484" t="s">
        <v>262</v>
      </c>
      <c r="C39" s="1469" t="s">
        <v>263</v>
      </c>
      <c r="D39" s="312">
        <f ca="1">+SUM(D40:D43)</f>
        <v>1186.4632940347669</v>
      </c>
      <c r="E39" s="1490">
        <f ca="1">+SUM(E40:E43)</f>
        <v>1186.4632940347669</v>
      </c>
      <c r="F39" s="1490">
        <f ca="1">+SUM(F40:F43)</f>
        <v>1186.4632940347669</v>
      </c>
      <c r="G39" s="1490">
        <f ca="1">+SUM(G40:G43)</f>
        <v>1186.4632940347669</v>
      </c>
      <c r="H39" s="407">
        <v>2013</v>
      </c>
      <c r="I39" s="1474"/>
      <c r="J39" s="1472"/>
      <c r="K39" s="164"/>
      <c r="L39" s="1447"/>
      <c r="M39" s="1447"/>
      <c r="N39" s="1447"/>
      <c r="O39" s="1447"/>
      <c r="P39" s="1447"/>
      <c r="Q39" s="1447"/>
    </row>
    <row r="40" spans="1:17">
      <c r="A40" s="1447"/>
      <c r="B40" s="1492" t="s">
        <v>162</v>
      </c>
      <c r="C40" s="1469" t="s">
        <v>263</v>
      </c>
      <c r="D40" s="312">
        <f ca="1">PMT(rSØK,D27,-D38)/D28</f>
        <v>813.070377149043</v>
      </c>
      <c r="E40" s="1490">
        <f ca="1">PMT(rSØK,E27,-E38)/E28</f>
        <v>813.070377149043</v>
      </c>
      <c r="F40" s="1490">
        <f ca="1">PMT(rSØK,F27,-F38)/F28</f>
        <v>813.070377149043</v>
      </c>
      <c r="G40" s="1490">
        <f ca="1">PMT(rSØK,G27,-G38)/G28</f>
        <v>813.070377149043</v>
      </c>
      <c r="H40" s="407">
        <v>2013</v>
      </c>
      <c r="I40" s="1474"/>
      <c r="J40" s="1472"/>
      <c r="K40" s="164"/>
      <c r="L40" s="1447"/>
      <c r="M40" s="1447"/>
      <c r="N40" s="1447"/>
      <c r="O40" s="1447"/>
      <c r="P40" s="1447"/>
      <c r="Q40" s="1447"/>
    </row>
    <row r="41" spans="1:17">
      <c r="A41" s="1447"/>
      <c r="B41" s="1492" t="s">
        <v>163</v>
      </c>
      <c r="C41" s="1469" t="s">
        <v>263</v>
      </c>
      <c r="D41" s="312">
        <f>(D68*D69)/D28</f>
        <v>373.39291688572388</v>
      </c>
      <c r="E41" s="1490">
        <f>(E68*E69)/E28</f>
        <v>373.39291688572388</v>
      </c>
      <c r="F41" s="1490">
        <f>(F68*F69)/F28</f>
        <v>373.39291688572388</v>
      </c>
      <c r="G41" s="1490">
        <f>(G68*G69)/G28</f>
        <v>373.39291688572388</v>
      </c>
      <c r="H41" s="407">
        <v>2013</v>
      </c>
      <c r="I41" s="1474"/>
      <c r="J41" s="1574" t="s">
        <v>2630</v>
      </c>
      <c r="K41" s="164"/>
      <c r="L41" s="1447"/>
      <c r="M41" s="1447"/>
      <c r="N41" s="1447"/>
      <c r="O41" s="1447"/>
      <c r="P41" s="1447"/>
      <c r="Q41" s="1447"/>
    </row>
    <row r="42" spans="1:17">
      <c r="A42" s="1447"/>
      <c r="B42" s="1492"/>
      <c r="C42" s="1469"/>
      <c r="D42" s="1562"/>
      <c r="E42" s="1486"/>
      <c r="F42" s="1486"/>
      <c r="G42" s="1486"/>
      <c r="H42" s="407"/>
      <c r="I42" s="1474"/>
      <c r="J42" s="1472"/>
      <c r="K42" s="164"/>
      <c r="L42" s="1447"/>
      <c r="M42" s="1447"/>
      <c r="N42" s="1447"/>
      <c r="O42" s="1447"/>
      <c r="P42" s="1447"/>
      <c r="Q42" s="1447"/>
    </row>
    <row r="43" spans="1:17">
      <c r="A43" s="1447"/>
      <c r="B43" s="1492" t="s">
        <v>264</v>
      </c>
      <c r="C43" s="1469" t="s">
        <v>263</v>
      </c>
      <c r="D43" s="312">
        <v>0</v>
      </c>
      <c r="E43" s="1490">
        <v>0</v>
      </c>
      <c r="F43" s="1490">
        <v>0</v>
      </c>
      <c r="G43" s="1490">
        <v>0</v>
      </c>
      <c r="H43" s="407">
        <v>2013</v>
      </c>
      <c r="I43" s="1474"/>
      <c r="J43" s="1574"/>
      <c r="K43" s="164"/>
      <c r="L43" s="1447"/>
      <c r="M43" s="1447"/>
      <c r="N43" s="1447"/>
      <c r="O43" s="1447"/>
      <c r="P43" s="1447"/>
      <c r="Q43" s="1447"/>
    </row>
    <row r="44" spans="1:17">
      <c r="A44" s="1447"/>
      <c r="B44" s="1492"/>
      <c r="C44" s="1469"/>
      <c r="D44" s="1562"/>
      <c r="E44" s="1486"/>
      <c r="F44" s="1486"/>
      <c r="G44" s="1486"/>
      <c r="H44" s="1486"/>
      <c r="I44" s="1474"/>
      <c r="J44" s="1472"/>
      <c r="K44" s="164"/>
      <c r="L44" s="1447"/>
      <c r="M44" s="1447"/>
      <c r="N44" s="1447"/>
      <c r="O44" s="1447"/>
      <c r="P44" s="1447"/>
      <c r="Q44" s="1447"/>
    </row>
    <row r="45" spans="1:17">
      <c r="A45" s="1447"/>
      <c r="B45" s="1468" t="s">
        <v>166</v>
      </c>
      <c r="C45" s="1469"/>
      <c r="D45" s="1562"/>
      <c r="E45" s="1486"/>
      <c r="F45" s="1486"/>
      <c r="G45" s="1486"/>
      <c r="H45" s="1489"/>
      <c r="I45" s="1474"/>
      <c r="J45" s="1472"/>
      <c r="K45" s="164"/>
      <c r="L45" s="1447"/>
      <c r="M45" s="1447"/>
      <c r="N45" s="1447"/>
      <c r="O45" s="1447"/>
      <c r="P45" s="1447"/>
      <c r="Q45" s="1447"/>
    </row>
    <row r="46" spans="1:17">
      <c r="A46" s="1447"/>
      <c r="B46" s="418" t="s">
        <v>0</v>
      </c>
      <c r="C46" s="1469"/>
      <c r="D46" s="1562"/>
      <c r="E46" s="1486"/>
      <c r="F46" s="1486"/>
      <c r="G46" s="1486"/>
      <c r="H46" s="1566"/>
      <c r="I46" s="1474"/>
      <c r="J46" s="1472"/>
      <c r="K46" s="164"/>
      <c r="L46" s="1447"/>
      <c r="M46" s="1447"/>
      <c r="N46" s="1447"/>
      <c r="O46" s="1447"/>
      <c r="P46" s="1447"/>
      <c r="Q46" s="1447"/>
    </row>
    <row r="47" spans="1:17">
      <c r="A47" s="1447"/>
      <c r="B47" s="1484" t="s">
        <v>24</v>
      </c>
      <c r="C47" s="1469" t="s">
        <v>265</v>
      </c>
      <c r="D47" s="421"/>
      <c r="E47" s="422"/>
      <c r="F47" s="422"/>
      <c r="G47" s="422"/>
      <c r="H47" s="1566"/>
      <c r="I47" s="1474"/>
      <c r="J47" s="1574" t="s">
        <v>850</v>
      </c>
      <c r="K47" s="164"/>
      <c r="L47" s="1447"/>
      <c r="M47" s="1447"/>
      <c r="N47" s="1447"/>
      <c r="O47" s="1447"/>
      <c r="P47" s="1447"/>
      <c r="Q47" s="1447"/>
    </row>
    <row r="48" spans="1:17">
      <c r="A48" s="1447"/>
      <c r="B48" s="1484" t="s">
        <v>27</v>
      </c>
      <c r="C48" s="1469" t="s">
        <v>265</v>
      </c>
      <c r="D48" s="127">
        <f t="shared" ref="D48:G52" si="0">D78/D$75</f>
        <v>3.6492051807463747E-4</v>
      </c>
      <c r="E48" s="127">
        <f t="shared" si="0"/>
        <v>1.3657553703384776E-4</v>
      </c>
      <c r="F48" s="127">
        <f t="shared" si="0"/>
        <v>1.3657553703384776E-4</v>
      </c>
      <c r="G48" s="127">
        <f t="shared" si="0"/>
        <v>1.3657553703384776E-4</v>
      </c>
      <c r="H48" s="1660"/>
      <c r="I48" s="1474"/>
      <c r="J48" s="1472"/>
      <c r="K48" s="164"/>
      <c r="L48" s="1447"/>
      <c r="M48" s="1447"/>
      <c r="N48" s="1447"/>
      <c r="O48" s="1447"/>
      <c r="P48" s="1447"/>
      <c r="Q48" s="1447"/>
    </row>
    <row r="49" spans="1:17">
      <c r="A49" s="1447"/>
      <c r="B49" s="1484" t="s">
        <v>28</v>
      </c>
      <c r="C49" s="1469" t="s">
        <v>265</v>
      </c>
      <c r="D49" s="127">
        <f t="shared" si="0"/>
        <v>2.8831426319335706E-3</v>
      </c>
      <c r="E49" s="127">
        <f t="shared" si="0"/>
        <v>3.8168443449451881E-3</v>
      </c>
      <c r="F49" s="127">
        <f t="shared" si="0"/>
        <v>3.8168443449451881E-3</v>
      </c>
      <c r="G49" s="127">
        <f t="shared" si="0"/>
        <v>3.8168443449451881E-3</v>
      </c>
      <c r="H49" s="1486"/>
      <c r="I49" s="1474"/>
      <c r="J49" s="1472"/>
      <c r="K49" s="164"/>
      <c r="L49" s="1447"/>
      <c r="M49" s="1447"/>
      <c r="N49" s="1447"/>
      <c r="O49" s="1447"/>
      <c r="P49" s="1447"/>
      <c r="Q49" s="1447"/>
    </row>
    <row r="50" spans="1:17">
      <c r="A50" s="1447"/>
      <c r="B50" s="1484" t="s">
        <v>26</v>
      </c>
      <c r="C50" s="1469" t="s">
        <v>265</v>
      </c>
      <c r="D50" s="127">
        <f t="shared" si="0"/>
        <v>4.6837408023728803E-4</v>
      </c>
      <c r="E50" s="127">
        <f t="shared" si="0"/>
        <v>4.6837408023728798E-4</v>
      </c>
      <c r="F50" s="127">
        <f t="shared" si="0"/>
        <v>4.6837408023728803E-4</v>
      </c>
      <c r="G50" s="127">
        <f t="shared" si="0"/>
        <v>4.6837408023728803E-4</v>
      </c>
      <c r="H50" s="1478"/>
      <c r="I50" s="1474"/>
      <c r="J50" s="1472"/>
      <c r="K50" s="164"/>
      <c r="L50" s="1447"/>
      <c r="M50" s="1447"/>
      <c r="N50" s="1447"/>
      <c r="O50" s="1447"/>
      <c r="P50" s="1447"/>
      <c r="Q50" s="1447"/>
    </row>
    <row r="51" spans="1:17">
      <c r="A51" s="1447"/>
      <c r="B51" s="1484" t="s">
        <v>167</v>
      </c>
      <c r="C51" s="1469" t="s">
        <v>265</v>
      </c>
      <c r="D51" s="127">
        <f t="shared" si="0"/>
        <v>0.42120742294108487</v>
      </c>
      <c r="E51" s="127">
        <f t="shared" si="0"/>
        <v>4.2913588351117742E-2</v>
      </c>
      <c r="F51" s="127">
        <f t="shared" si="0"/>
        <v>4.2913588351117742E-2</v>
      </c>
      <c r="G51" s="127">
        <f t="shared" si="0"/>
        <v>4.2913588351117742E-2</v>
      </c>
      <c r="H51" s="1486"/>
      <c r="I51" s="1474"/>
      <c r="J51" s="1472"/>
      <c r="K51" s="164"/>
      <c r="L51" s="1447"/>
      <c r="M51" s="1447"/>
      <c r="N51" s="1447"/>
      <c r="O51" s="1447"/>
      <c r="P51" s="1447"/>
      <c r="Q51" s="1447"/>
    </row>
    <row r="52" spans="1:17">
      <c r="A52" s="1447"/>
      <c r="B52" s="1484" t="s">
        <v>45</v>
      </c>
      <c r="C52" s="1469" t="s">
        <v>265</v>
      </c>
      <c r="D52" s="127">
        <f t="shared" si="0"/>
        <v>3.2868980174215008E-3</v>
      </c>
      <c r="E52" s="127">
        <f t="shared" si="0"/>
        <v>4.9158331190144507E-4</v>
      </c>
      <c r="F52" s="127">
        <f t="shared" si="0"/>
        <v>4.9158331190144507E-4</v>
      </c>
      <c r="G52" s="127">
        <f t="shared" si="0"/>
        <v>4.9158331190144507E-4</v>
      </c>
      <c r="H52" s="1486"/>
      <c r="I52" s="1474"/>
      <c r="J52" s="1472"/>
      <c r="K52" s="164"/>
      <c r="L52" s="1447"/>
      <c r="M52" s="1447"/>
      <c r="N52" s="1447"/>
      <c r="O52" s="1447"/>
      <c r="P52" s="1447"/>
      <c r="Q52" s="1447"/>
    </row>
    <row r="53" spans="1:17">
      <c r="A53" s="1447"/>
      <c r="B53" s="1484"/>
      <c r="C53" s="1469"/>
      <c r="D53" s="1496"/>
      <c r="E53" s="1471"/>
      <c r="F53" s="1471"/>
      <c r="G53" s="1471"/>
      <c r="H53" s="1486"/>
      <c r="I53" s="1474"/>
      <c r="J53" s="1472"/>
      <c r="K53" s="164"/>
      <c r="L53" s="1447"/>
      <c r="M53" s="1447"/>
      <c r="N53" s="1447"/>
      <c r="O53" s="1447"/>
      <c r="P53" s="1447"/>
      <c r="Q53" s="1447"/>
    </row>
    <row r="54" spans="1:17">
      <c r="A54" s="1447"/>
      <c r="B54" s="418" t="s">
        <v>20</v>
      </c>
      <c r="C54" s="1469"/>
      <c r="D54" s="1562"/>
      <c r="E54" s="1486"/>
      <c r="F54" s="1486"/>
      <c r="G54" s="1486"/>
      <c r="H54" s="1660"/>
      <c r="I54" s="1474"/>
      <c r="J54" s="1472"/>
      <c r="K54" s="164"/>
      <c r="L54" s="1447"/>
      <c r="M54" s="1447"/>
      <c r="N54" s="1447"/>
      <c r="O54" s="1447"/>
      <c r="P54" s="1447"/>
      <c r="Q54" s="1447"/>
    </row>
    <row r="55" spans="1:17">
      <c r="A55" s="1447"/>
      <c r="B55" s="1484" t="s">
        <v>24</v>
      </c>
      <c r="C55" s="1469" t="s">
        <v>265</v>
      </c>
      <c r="D55" s="421"/>
      <c r="E55" s="422"/>
      <c r="F55" s="422"/>
      <c r="G55" s="422"/>
      <c r="H55" s="1169"/>
      <c r="I55" s="1474"/>
      <c r="J55" s="1574" t="s">
        <v>850</v>
      </c>
      <c r="K55" s="164"/>
      <c r="L55" s="1447"/>
      <c r="M55" s="1447"/>
      <c r="N55" s="1447"/>
      <c r="O55" s="1447"/>
      <c r="P55" s="1447"/>
      <c r="Q55" s="1447"/>
    </row>
    <row r="56" spans="1:17">
      <c r="A56" s="1447"/>
      <c r="B56" s="1484" t="s">
        <v>27</v>
      </c>
      <c r="C56" s="1469" t="s">
        <v>265</v>
      </c>
      <c r="D56" s="419">
        <f t="shared" ref="D56:G60" si="1">D48</f>
        <v>3.6492051807463747E-4</v>
      </c>
      <c r="E56" s="419">
        <f t="shared" si="1"/>
        <v>1.3657553703384776E-4</v>
      </c>
      <c r="F56" s="419">
        <f t="shared" si="1"/>
        <v>1.3657553703384776E-4</v>
      </c>
      <c r="G56" s="419">
        <f t="shared" si="1"/>
        <v>1.3657553703384776E-4</v>
      </c>
      <c r="H56" s="1169"/>
      <c r="I56" s="1474"/>
      <c r="J56" s="1472"/>
      <c r="K56" s="164"/>
      <c r="L56" s="1447"/>
      <c r="M56" s="1447"/>
      <c r="N56" s="1447"/>
      <c r="O56" s="1447"/>
      <c r="P56" s="1447"/>
      <c r="Q56" s="1447"/>
    </row>
    <row r="57" spans="1:17">
      <c r="A57" s="1447"/>
      <c r="B57" s="1484" t="s">
        <v>28</v>
      </c>
      <c r="C57" s="1469" t="s">
        <v>265</v>
      </c>
      <c r="D57" s="419">
        <f t="shared" si="1"/>
        <v>2.8831426319335706E-3</v>
      </c>
      <c r="E57" s="419">
        <f t="shared" si="1"/>
        <v>3.8168443449451881E-3</v>
      </c>
      <c r="F57" s="419">
        <f t="shared" si="1"/>
        <v>3.8168443449451881E-3</v>
      </c>
      <c r="G57" s="419">
        <f t="shared" si="1"/>
        <v>3.8168443449451881E-3</v>
      </c>
      <c r="H57" s="1169"/>
      <c r="I57" s="1474"/>
      <c r="J57" s="1472"/>
      <c r="K57" s="164"/>
      <c r="L57" s="1447"/>
      <c r="M57" s="1447"/>
      <c r="N57" s="1447"/>
      <c r="O57" s="1447"/>
      <c r="P57" s="1447"/>
      <c r="Q57" s="1447"/>
    </row>
    <row r="58" spans="1:17">
      <c r="A58" s="1447"/>
      <c r="B58" s="1484" t="s">
        <v>26</v>
      </c>
      <c r="C58" s="1469" t="s">
        <v>265</v>
      </c>
      <c r="D58" s="419">
        <f t="shared" si="1"/>
        <v>4.6837408023728803E-4</v>
      </c>
      <c r="E58" s="419">
        <f t="shared" si="1"/>
        <v>4.6837408023728798E-4</v>
      </c>
      <c r="F58" s="419">
        <f t="shared" si="1"/>
        <v>4.6837408023728803E-4</v>
      </c>
      <c r="G58" s="419">
        <f t="shared" si="1"/>
        <v>4.6837408023728803E-4</v>
      </c>
      <c r="H58" s="1169"/>
      <c r="I58" s="1474"/>
      <c r="J58" s="1472"/>
      <c r="K58" s="164"/>
      <c r="L58" s="1447"/>
      <c r="M58" s="1447"/>
      <c r="N58" s="1447"/>
      <c r="O58" s="1447"/>
      <c r="P58" s="1447"/>
      <c r="Q58" s="1447"/>
    </row>
    <row r="59" spans="1:17">
      <c r="A59" s="1447"/>
      <c r="B59" s="1484" t="s">
        <v>167</v>
      </c>
      <c r="C59" s="1469" t="s">
        <v>265</v>
      </c>
      <c r="D59" s="419">
        <f t="shared" si="1"/>
        <v>0.42120742294108487</v>
      </c>
      <c r="E59" s="419">
        <f t="shared" si="1"/>
        <v>4.2913588351117742E-2</v>
      </c>
      <c r="F59" s="419">
        <f t="shared" si="1"/>
        <v>4.2913588351117742E-2</v>
      </c>
      <c r="G59" s="419">
        <f t="shared" si="1"/>
        <v>4.2913588351117742E-2</v>
      </c>
      <c r="H59" s="1169"/>
      <c r="I59" s="1474"/>
      <c r="J59" s="1472"/>
      <c r="K59" s="164"/>
      <c r="L59" s="1447"/>
      <c r="M59" s="1447"/>
      <c r="N59" s="1447"/>
      <c r="O59" s="1447"/>
      <c r="P59" s="1447"/>
      <c r="Q59" s="1447"/>
    </row>
    <row r="60" spans="1:17">
      <c r="A60" s="1447"/>
      <c r="B60" s="1484" t="s">
        <v>45</v>
      </c>
      <c r="C60" s="1469" t="s">
        <v>265</v>
      </c>
      <c r="D60" s="419">
        <f t="shared" si="1"/>
        <v>3.2868980174215008E-3</v>
      </c>
      <c r="E60" s="419">
        <f t="shared" si="1"/>
        <v>4.9158331190144507E-4</v>
      </c>
      <c r="F60" s="419">
        <f t="shared" si="1"/>
        <v>4.9158331190144507E-4</v>
      </c>
      <c r="G60" s="419">
        <f t="shared" si="1"/>
        <v>4.9158331190144507E-4</v>
      </c>
      <c r="H60" s="323"/>
      <c r="I60" s="1474"/>
      <c r="J60" s="1472"/>
      <c r="K60" s="164"/>
      <c r="L60" s="1447"/>
      <c r="M60" s="1447"/>
      <c r="N60" s="1447"/>
      <c r="O60" s="1447"/>
      <c r="P60" s="1447"/>
      <c r="Q60" s="1447"/>
    </row>
    <row r="61" spans="1:17" ht="13.5" thickBot="1">
      <c r="A61" s="1447"/>
      <c r="B61" s="1498"/>
      <c r="C61" s="1499"/>
      <c r="D61" s="1500"/>
      <c r="E61" s="1501"/>
      <c r="F61" s="1501"/>
      <c r="G61" s="1501"/>
      <c r="H61" s="1501"/>
      <c r="I61" s="1502"/>
      <c r="J61" s="1503"/>
      <c r="K61" s="164"/>
      <c r="L61" s="1447"/>
      <c r="M61" s="1447"/>
      <c r="N61" s="1447"/>
      <c r="O61" s="1447"/>
      <c r="P61" s="1447"/>
      <c r="Q61" s="1447"/>
    </row>
    <row r="62" spans="1:17">
      <c r="A62" s="1447"/>
      <c r="B62" s="1447"/>
      <c r="C62" s="1447"/>
      <c r="D62" s="1447"/>
      <c r="E62" s="1447"/>
      <c r="F62" s="1447"/>
      <c r="G62" s="1447"/>
      <c r="I62" s="1447"/>
      <c r="J62" s="1447"/>
      <c r="K62" s="164"/>
      <c r="L62" s="1447"/>
      <c r="M62" s="1447"/>
      <c r="N62" s="1447"/>
      <c r="O62" s="1447"/>
      <c r="P62" s="1447"/>
      <c r="Q62" s="1447"/>
    </row>
    <row r="63" spans="1:17">
      <c r="A63" s="1447"/>
      <c r="B63" s="1447"/>
      <c r="C63" s="1447"/>
      <c r="D63" s="1447"/>
      <c r="E63" s="1447"/>
      <c r="F63" s="1447"/>
      <c r="G63" s="1447"/>
      <c r="I63" s="1447"/>
      <c r="J63" s="1447"/>
      <c r="K63" s="164"/>
      <c r="L63" s="1447"/>
      <c r="M63" s="1447"/>
      <c r="N63" s="1447"/>
      <c r="O63" s="1447"/>
      <c r="P63" s="1447"/>
      <c r="Q63" s="1447"/>
    </row>
    <row r="64" spans="1:17" ht="16.5" thickBot="1">
      <c r="A64" s="1447"/>
      <c r="B64" s="1504" t="s">
        <v>168</v>
      </c>
      <c r="C64" s="1447"/>
      <c r="D64" s="1447"/>
      <c r="E64" s="1447"/>
      <c r="F64" s="1447"/>
      <c r="G64" s="1447"/>
      <c r="I64" s="1447"/>
      <c r="J64" s="1447"/>
      <c r="K64" s="164"/>
      <c r="L64" s="1447"/>
      <c r="M64" s="1447"/>
      <c r="N64" s="1447"/>
      <c r="O64" s="1447"/>
      <c r="P64" s="1447"/>
      <c r="Q64" s="1447"/>
    </row>
    <row r="65" spans="1:25" ht="13.5" thickBot="1">
      <c r="A65" s="1447"/>
      <c r="B65" s="1455"/>
      <c r="C65" s="1456"/>
      <c r="D65" s="1449"/>
      <c r="E65" s="1449"/>
      <c r="F65" s="1449"/>
      <c r="G65" s="1449"/>
      <c r="H65" s="1449"/>
      <c r="I65" s="1449"/>
      <c r="J65" s="1450"/>
      <c r="K65" s="164"/>
      <c r="L65" s="1447"/>
      <c r="M65" s="1447"/>
      <c r="N65" s="1447"/>
      <c r="O65" s="1447"/>
      <c r="P65" s="1447"/>
      <c r="Q65" s="1447"/>
      <c r="T65" s="355" t="s">
        <v>643</v>
      </c>
    </row>
    <row r="66" spans="1:25">
      <c r="A66" s="1447"/>
      <c r="B66" s="1460"/>
      <c r="C66" s="1461" t="s">
        <v>70</v>
      </c>
      <c r="D66" s="1506">
        <v>2015</v>
      </c>
      <c r="E66" s="1507">
        <v>2020</v>
      </c>
      <c r="F66" s="1507">
        <v>2035</v>
      </c>
      <c r="G66" s="1507">
        <v>2050</v>
      </c>
      <c r="H66" s="1507"/>
      <c r="I66" s="1464"/>
      <c r="J66" s="1465"/>
      <c r="K66" s="164"/>
      <c r="L66" s="1447"/>
      <c r="M66" s="1447"/>
      <c r="N66" s="1447"/>
      <c r="O66" s="1447"/>
      <c r="P66" s="1447"/>
      <c r="Q66" s="1447"/>
      <c r="T66" s="327">
        <v>2015</v>
      </c>
      <c r="U66" s="80"/>
      <c r="V66" s="328" t="s">
        <v>2</v>
      </c>
      <c r="W66" s="354" t="s">
        <v>169</v>
      </c>
      <c r="X66" s="354" t="s">
        <v>644</v>
      </c>
    </row>
    <row r="67" spans="1:25">
      <c r="A67" s="1447"/>
      <c r="B67" s="1484" t="s">
        <v>266</v>
      </c>
      <c r="C67" s="1509" t="s">
        <v>267</v>
      </c>
      <c r="D67" s="288">
        <f>D23*D75</f>
        <v>4.8206591999999997</v>
      </c>
      <c r="E67" s="288">
        <f>E23*E75</f>
        <v>4.8206591999999997</v>
      </c>
      <c r="F67" s="288">
        <f>F23*F75</f>
        <v>4.8206591999999997</v>
      </c>
      <c r="G67" s="288">
        <f>G23*G75</f>
        <v>4.8206591999999997</v>
      </c>
      <c r="H67" s="288"/>
      <c r="I67" s="1471"/>
      <c r="J67" s="1472"/>
      <c r="K67" s="164"/>
      <c r="L67" s="1447"/>
      <c r="M67" s="1447"/>
      <c r="N67" s="1447"/>
      <c r="O67" s="1447"/>
      <c r="P67" s="1447"/>
      <c r="Q67" s="1447"/>
      <c r="T67" s="1484" t="s">
        <v>493</v>
      </c>
      <c r="U67" s="1509"/>
      <c r="V67" s="330">
        <f ca="1">Bus!$D38</f>
        <v>1332921.6972839427</v>
      </c>
      <c r="W67" s="330">
        <f ca="1">'Bus Gas'!$D38</f>
        <v>1504780.4222459821</v>
      </c>
      <c r="X67" s="362">
        <v>900000</v>
      </c>
    </row>
    <row r="68" spans="1:25">
      <c r="A68" s="1447"/>
      <c r="B68" s="1484" t="s">
        <v>268</v>
      </c>
      <c r="C68" s="1509" t="s">
        <v>269</v>
      </c>
      <c r="D68" s="311">
        <v>67000</v>
      </c>
      <c r="E68" s="311">
        <v>67000</v>
      </c>
      <c r="F68" s="311">
        <v>67000</v>
      </c>
      <c r="G68" s="311">
        <v>67000</v>
      </c>
      <c r="H68" s="311"/>
      <c r="I68" s="1576" t="str">
        <f>Referencer!$B$74</f>
        <v>70, RAMMEVILKÅR FOR GAS TIL TUNG VEJTRANSPORT, Energistyrelsen, 2014</v>
      </c>
      <c r="J68" s="1574"/>
      <c r="K68" s="164"/>
      <c r="L68" s="1447"/>
      <c r="M68" s="1447"/>
      <c r="N68" s="1447"/>
      <c r="O68" s="1447"/>
      <c r="P68" s="1447"/>
      <c r="Q68" s="1447"/>
      <c r="T68" s="1484" t="s">
        <v>268</v>
      </c>
      <c r="U68" s="1509" t="s">
        <v>269</v>
      </c>
      <c r="V68" s="359">
        <f>Bus!$D68</f>
        <v>67000</v>
      </c>
      <c r="W68" s="359">
        <f>'Bus Gas'!$D69</f>
        <v>67000</v>
      </c>
      <c r="X68" s="359">
        <f>'Bus Hybrid'!$D68</f>
        <v>67000</v>
      </c>
      <c r="Y68" s="331" t="s">
        <v>647</v>
      </c>
    </row>
    <row r="69" spans="1:25">
      <c r="A69" s="1447"/>
      <c r="B69" s="1484" t="s">
        <v>271</v>
      </c>
      <c r="C69" s="1573" t="s">
        <v>55</v>
      </c>
      <c r="D69" s="370">
        <f>120600/D68</f>
        <v>1.8</v>
      </c>
      <c r="E69" s="370">
        <f>120600/E68</f>
        <v>1.8</v>
      </c>
      <c r="F69" s="370">
        <f>120600/F68</f>
        <v>1.8</v>
      </c>
      <c r="G69" s="370">
        <f>120600/G68</f>
        <v>1.8</v>
      </c>
      <c r="H69" s="370"/>
      <c r="I69" s="1576" t="str">
        <f>Referencer!$B$74</f>
        <v>70, RAMMEVILKÅR FOR GAS TIL TUNG VEJTRANSPORT, Energistyrelsen, 2014</v>
      </c>
      <c r="J69" s="353"/>
      <c r="K69" s="164"/>
      <c r="L69" s="1447"/>
      <c r="M69" s="1447"/>
      <c r="N69" s="1447"/>
      <c r="O69" s="1447"/>
      <c r="P69" s="1447"/>
      <c r="Q69" s="1447"/>
      <c r="T69" s="1572" t="s">
        <v>580</v>
      </c>
      <c r="U69" s="1573" t="s">
        <v>55</v>
      </c>
      <c r="V69" s="332">
        <f>Bus!$D69</f>
        <v>1.8</v>
      </c>
      <c r="W69" s="332">
        <f>'Bus Gas'!$D70</f>
        <v>1.85</v>
      </c>
      <c r="X69" s="332">
        <f>'Bus Hybrid'!$D69</f>
        <v>1.71</v>
      </c>
    </row>
    <row r="70" spans="1:25">
      <c r="A70" s="1447"/>
      <c r="B70" s="1572" t="s">
        <v>563</v>
      </c>
      <c r="C70" s="1573" t="s">
        <v>32</v>
      </c>
      <c r="D70" s="318">
        <f>100/41.6</f>
        <v>2.4038461538461537</v>
      </c>
      <c r="E70" s="378">
        <f>D70*E71/D71</f>
        <v>2.5297619047619051</v>
      </c>
      <c r="F70" s="378">
        <f>D70*F71/D71</f>
        <v>2.6785714285714288</v>
      </c>
      <c r="G70" s="378">
        <f>E70*G71/E71</f>
        <v>2.6785714285714288</v>
      </c>
      <c r="H70" s="378"/>
      <c r="I70" s="1576" t="str">
        <f>Referencer!$B$74</f>
        <v>70, RAMMEVILKÅR FOR GAS TIL TUNG VEJTRANSPORT, Energistyrelsen, 2014</v>
      </c>
      <c r="J70" s="1574"/>
      <c r="K70" s="164"/>
      <c r="L70" s="1447"/>
      <c r="M70" s="333"/>
      <c r="N70" s="334"/>
      <c r="O70" s="334"/>
      <c r="P70" s="1447"/>
      <c r="Q70" s="1447"/>
      <c r="T70" s="1572" t="s">
        <v>580</v>
      </c>
      <c r="U70" s="1573" t="s">
        <v>71</v>
      </c>
      <c r="V70" s="372">
        <f>V69*V68</f>
        <v>120600</v>
      </c>
      <c r="W70" s="372">
        <f>W69*W68</f>
        <v>123950</v>
      </c>
      <c r="X70" s="372">
        <f>X69*X68</f>
        <v>114570</v>
      </c>
    </row>
    <row r="71" spans="1:25">
      <c r="A71" s="1447"/>
      <c r="B71" s="1572" t="s">
        <v>564</v>
      </c>
      <c r="C71" s="1573" t="s">
        <v>29</v>
      </c>
      <c r="D71" s="358">
        <f>'Bus Hybrid'!D71/1.3</f>
        <v>0.32307692307692304</v>
      </c>
      <c r="E71" s="358">
        <v>0.34</v>
      </c>
      <c r="F71" s="358">
        <v>0.36</v>
      </c>
      <c r="G71" s="358">
        <v>0.36</v>
      </c>
      <c r="H71" s="358"/>
      <c r="I71" s="1471" t="str">
        <f>Referencer!$B$30</f>
        <v>24, Power Point præsentation "Alternative Fuels Volvo Busser Danmark A/S" fra Jens Ommen, Volvo (via mail fra Steffen Müller 15/12-2011 til Michael Rask)</v>
      </c>
      <c r="J71" s="1574" t="s">
        <v>648</v>
      </c>
      <c r="K71" s="164"/>
      <c r="L71" s="1447"/>
      <c r="M71" s="1447"/>
      <c r="N71" s="1447"/>
      <c r="O71" s="1447"/>
      <c r="P71" s="1447"/>
      <c r="Q71" s="1447"/>
      <c r="T71" s="1572" t="s">
        <v>563</v>
      </c>
      <c r="U71" s="1573" t="s">
        <v>32</v>
      </c>
      <c r="V71" s="360">
        <f>Bus!$D70</f>
        <v>2.4038461538461537</v>
      </c>
      <c r="W71" s="360">
        <f>'Bus Gas'!$D71</f>
        <v>1.9948134849391581</v>
      </c>
      <c r="X71" s="360">
        <f>'Bus Hybrid'!$D70</f>
        <v>3.125</v>
      </c>
    </row>
    <row r="72" spans="1:25" ht="13.5" thickBot="1">
      <c r="A72" s="1447"/>
      <c r="B72" s="320"/>
      <c r="C72" s="321"/>
      <c r="D72" s="376"/>
      <c r="E72" s="376"/>
      <c r="F72" s="376"/>
      <c r="G72" s="376"/>
      <c r="H72" s="376"/>
      <c r="I72" s="1501"/>
      <c r="J72" s="357"/>
      <c r="K72" s="164"/>
      <c r="L72" s="1447"/>
      <c r="M72" s="1447"/>
      <c r="N72" s="1447"/>
      <c r="O72" s="1447"/>
      <c r="P72" s="1447"/>
      <c r="Q72" s="1447"/>
      <c r="T72" s="1572" t="s">
        <v>567</v>
      </c>
      <c r="U72" s="1573" t="s">
        <v>568</v>
      </c>
      <c r="V72" s="330" t="e">
        <f>Bus!#REF!</f>
        <v>#REF!</v>
      </c>
      <c r="W72" s="330" t="e">
        <f>'Bus Gas'!#REF!</f>
        <v>#REF!</v>
      </c>
      <c r="X72" s="330" t="e">
        <f>'Bus Hybrid'!#REF!</f>
        <v>#REF!</v>
      </c>
    </row>
    <row r="73" spans="1:25" ht="13.5" thickBot="1">
      <c r="A73" s="1447"/>
      <c r="B73" s="1447"/>
      <c r="C73" s="1447"/>
      <c r="D73" s="1580"/>
      <c r="E73" s="1580"/>
      <c r="F73" s="1580"/>
      <c r="G73" s="1580"/>
      <c r="H73" s="1580"/>
      <c r="I73" s="1447"/>
      <c r="J73" s="1447"/>
      <c r="K73" s="164"/>
      <c r="L73" s="1447"/>
      <c r="M73" s="1447"/>
      <c r="N73" s="1447"/>
      <c r="O73" s="1447"/>
      <c r="P73" s="1447"/>
      <c r="Q73" s="1447"/>
      <c r="T73" s="320" t="s">
        <v>569</v>
      </c>
      <c r="U73" s="321" t="s">
        <v>320</v>
      </c>
      <c r="V73" s="351">
        <f>Bus!$D72</f>
        <v>0</v>
      </c>
      <c r="W73" s="351">
        <f>'Bus Gas'!$D73</f>
        <v>0</v>
      </c>
      <c r="X73" s="351">
        <f>'Bus Hybrid'!$D72</f>
        <v>0</v>
      </c>
    </row>
    <row r="74" spans="1:25" ht="16.5" thickBot="1">
      <c r="A74" s="1447"/>
      <c r="B74" s="1504" t="s">
        <v>172</v>
      </c>
      <c r="C74" s="1447"/>
      <c r="D74" s="1447"/>
      <c r="E74" s="1447"/>
      <c r="F74" s="1447"/>
      <c r="G74" s="1447"/>
      <c r="I74" s="1447"/>
      <c r="J74" s="1447"/>
      <c r="K74" s="164"/>
      <c r="L74" s="1447"/>
      <c r="M74" s="1447"/>
      <c r="N74" s="1447"/>
      <c r="O74" s="1447"/>
      <c r="P74" s="1447"/>
      <c r="Q74" s="1447"/>
    </row>
    <row r="75" spans="1:25" ht="13.5" thickBot="1">
      <c r="A75" s="1447"/>
      <c r="B75" s="1455" t="s">
        <v>273</v>
      </c>
      <c r="C75" s="1449"/>
      <c r="D75" s="441">
        <f>Supplementary!$G$164/D70</f>
        <v>14.921088000000001</v>
      </c>
      <c r="E75" s="441">
        <f>Supplementary!$G$164/E70</f>
        <v>14.178409411764704</v>
      </c>
      <c r="F75" s="441">
        <f>Supplementary!$G$164/F70</f>
        <v>13.39072</v>
      </c>
      <c r="G75" s="441">
        <f>Supplementary!$G$164/G70</f>
        <v>13.39072</v>
      </c>
      <c r="H75" s="441"/>
      <c r="I75" s="1449"/>
      <c r="J75" s="1450"/>
      <c r="K75" s="164"/>
      <c r="L75" s="1447"/>
      <c r="M75" s="1447"/>
      <c r="N75" s="1447"/>
      <c r="O75" s="1447"/>
      <c r="P75" s="1447"/>
      <c r="Q75" s="1447"/>
      <c r="T75" s="355" t="s">
        <v>643</v>
      </c>
    </row>
    <row r="76" spans="1:25">
      <c r="A76" s="1447"/>
      <c r="B76" s="1484"/>
      <c r="C76" s="1471"/>
      <c r="D76" s="260"/>
      <c r="E76" s="260"/>
      <c r="F76" s="260"/>
      <c r="G76" s="260"/>
      <c r="H76" s="260"/>
      <c r="I76" s="1471"/>
      <c r="J76" s="1472"/>
      <c r="K76" s="164"/>
      <c r="L76" s="1447"/>
      <c r="M76" s="1447"/>
      <c r="N76" s="1447"/>
      <c r="O76" s="1447"/>
      <c r="P76" s="1447"/>
      <c r="Q76" s="1447"/>
      <c r="T76" s="327">
        <v>2020</v>
      </c>
      <c r="U76" s="80"/>
      <c r="V76" s="328" t="s">
        <v>2</v>
      </c>
      <c r="W76" s="329" t="s">
        <v>169</v>
      </c>
      <c r="X76" s="354" t="s">
        <v>644</v>
      </c>
    </row>
    <row r="77" spans="1:25">
      <c r="A77" s="1447"/>
      <c r="B77" s="1484" t="s">
        <v>24</v>
      </c>
      <c r="C77" s="1471" t="s">
        <v>7</v>
      </c>
      <c r="D77" s="372">
        <f t="shared" ref="D77:G82" si="2">D87/1000*D$75</f>
        <v>1104.1605120000002</v>
      </c>
      <c r="E77" s="372">
        <f t="shared" si="2"/>
        <v>1049.2022964705884</v>
      </c>
      <c r="F77" s="372">
        <f t="shared" si="2"/>
        <v>990.91328000000021</v>
      </c>
      <c r="G77" s="372">
        <f t="shared" si="2"/>
        <v>990.91328000000021</v>
      </c>
      <c r="H77" s="372"/>
      <c r="I77" s="1471"/>
      <c r="J77" s="1472"/>
      <c r="K77" s="164"/>
      <c r="L77" s="1447"/>
      <c r="M77" s="1447"/>
      <c r="N77" s="1447"/>
      <c r="O77" s="1447"/>
      <c r="P77" s="1447"/>
      <c r="Q77" s="1447"/>
      <c r="T77" s="1484" t="s">
        <v>493</v>
      </c>
      <c r="U77" s="1509"/>
      <c r="V77" s="330">
        <f ca="1">Bus!$E38</f>
        <v>1332921.6972839427</v>
      </c>
      <c r="W77" s="330">
        <f ca="1">'Bus Gas'!$E38</f>
        <v>1504780.4222459821</v>
      </c>
      <c r="X77" s="362">
        <v>900000</v>
      </c>
    </row>
    <row r="78" spans="1:25">
      <c r="A78" s="1447"/>
      <c r="B78" s="1484" t="s">
        <v>27</v>
      </c>
      <c r="C78" s="1471" t="s">
        <v>7</v>
      </c>
      <c r="D78" s="372">
        <f t="shared" si="2"/>
        <v>5.4450111631972565E-3</v>
      </c>
      <c r="E78" s="372">
        <f t="shared" si="2"/>
        <v>1.936423879697526E-3</v>
      </c>
      <c r="F78" s="372">
        <f t="shared" si="2"/>
        <v>1.8288447752698859E-3</v>
      </c>
      <c r="G78" s="372">
        <f t="shared" si="2"/>
        <v>1.8288447752698859E-3</v>
      </c>
      <c r="H78" s="372"/>
      <c r="I78" s="1471"/>
      <c r="J78" s="1472"/>
      <c r="K78" s="164"/>
      <c r="L78" s="1447"/>
      <c r="M78" s="1447"/>
      <c r="N78" s="1447"/>
      <c r="O78" s="1447"/>
      <c r="P78" s="1447"/>
      <c r="Q78" s="1447"/>
      <c r="T78" s="1484" t="s">
        <v>268</v>
      </c>
      <c r="U78" s="1509" t="s">
        <v>269</v>
      </c>
      <c r="V78" s="359">
        <f>Bus!$E68</f>
        <v>67000</v>
      </c>
      <c r="W78" s="359">
        <f>'Bus Gas'!$E69</f>
        <v>67000</v>
      </c>
      <c r="X78" s="359">
        <f>'Bus Hybrid'!$E68</f>
        <v>67000</v>
      </c>
    </row>
    <row r="79" spans="1:25">
      <c r="A79" s="1447"/>
      <c r="B79" s="1484" t="s">
        <v>28</v>
      </c>
      <c r="C79" s="1471" t="s">
        <v>7</v>
      </c>
      <c r="D79" s="372">
        <f t="shared" si="2"/>
        <v>4.3019624927632422E-2</v>
      </c>
      <c r="E79" s="372">
        <f t="shared" si="2"/>
        <v>5.4116781783611741E-2</v>
      </c>
      <c r="F79" s="372">
        <f t="shared" si="2"/>
        <v>5.1110293906744431E-2</v>
      </c>
      <c r="G79" s="372">
        <f t="shared" si="2"/>
        <v>5.1110293906744431E-2</v>
      </c>
      <c r="H79" s="372"/>
      <c r="I79" s="1471"/>
      <c r="J79" s="1472"/>
      <c r="K79" s="164"/>
      <c r="L79" s="1447"/>
      <c r="M79" s="1447"/>
      <c r="N79" s="1447"/>
      <c r="O79" s="1447"/>
      <c r="P79" s="1447"/>
      <c r="Q79" s="1447"/>
      <c r="T79" s="1572" t="s">
        <v>580</v>
      </c>
      <c r="U79" s="1573" t="s">
        <v>55</v>
      </c>
      <c r="V79" s="332">
        <f>Bus!$E69</f>
        <v>1.8</v>
      </c>
      <c r="W79" s="332">
        <f>'Bus Gas'!$E70</f>
        <v>1.85</v>
      </c>
      <c r="X79" s="332">
        <f>'Bus Hybrid'!$E69</f>
        <v>1.71</v>
      </c>
    </row>
    <row r="80" spans="1:25">
      <c r="A80" s="1447"/>
      <c r="B80" s="1484" t="s">
        <v>26</v>
      </c>
      <c r="C80" s="1471" t="s">
        <v>7</v>
      </c>
      <c r="D80" s="372">
        <f t="shared" si="2"/>
        <v>6.9886508681396365E-3</v>
      </c>
      <c r="E80" s="372">
        <f t="shared" si="2"/>
        <v>6.6407994674630008E-3</v>
      </c>
      <c r="F80" s="372">
        <f t="shared" si="2"/>
        <v>6.2718661637150572E-3</v>
      </c>
      <c r="G80" s="372">
        <f t="shared" si="2"/>
        <v>6.2718661637150572E-3</v>
      </c>
      <c r="H80" s="372"/>
      <c r="I80" s="1471"/>
      <c r="J80" s="1574"/>
      <c r="K80" s="335"/>
      <c r="L80" s="1447"/>
      <c r="M80" s="1447"/>
      <c r="N80" s="1447"/>
      <c r="O80" s="1447"/>
      <c r="P80" s="1447"/>
      <c r="Q80" s="1447"/>
      <c r="T80" s="1572" t="s">
        <v>580</v>
      </c>
      <c r="U80" s="1573" t="s">
        <v>71</v>
      </c>
      <c r="V80" s="372">
        <f>V79*V78</f>
        <v>120600</v>
      </c>
      <c r="W80" s="372">
        <f>W79*W78</f>
        <v>123950</v>
      </c>
      <c r="X80" s="372">
        <f>X79*X78</f>
        <v>114570</v>
      </c>
    </row>
    <row r="81" spans="1:24">
      <c r="A81" s="1447"/>
      <c r="B81" s="1572" t="s">
        <v>25</v>
      </c>
      <c r="C81" s="1471" t="s">
        <v>7</v>
      </c>
      <c r="D81" s="372">
        <f t="shared" si="2"/>
        <v>6.2848730239571466</v>
      </c>
      <c r="E81" s="372">
        <f t="shared" si="2"/>
        <v>0.60844642497008394</v>
      </c>
      <c r="F81" s="372">
        <f t="shared" si="2"/>
        <v>0.57464384580507932</v>
      </c>
      <c r="G81" s="372">
        <f t="shared" si="2"/>
        <v>0.57464384580507932</v>
      </c>
      <c r="H81" s="372"/>
      <c r="I81" s="1471"/>
      <c r="J81" s="1574"/>
      <c r="K81" s="164"/>
      <c r="L81" s="1447"/>
      <c r="M81" s="1447"/>
      <c r="N81" s="1447"/>
      <c r="O81" s="1447"/>
      <c r="P81" s="1447"/>
      <c r="Q81" s="1447"/>
      <c r="T81" s="1572" t="s">
        <v>563</v>
      </c>
      <c r="U81" s="1573" t="s">
        <v>32</v>
      </c>
      <c r="V81" s="360">
        <f>Bus!$E70</f>
        <v>2.5297619047619051</v>
      </c>
      <c r="W81" s="360">
        <f>'Bus Gas'!$E71</f>
        <v>2.2038044511367101</v>
      </c>
      <c r="X81" s="360">
        <f>'Bus Hybrid'!$E70</f>
        <v>3.2886904761904767</v>
      </c>
    </row>
    <row r="82" spans="1:24">
      <c r="A82" s="1447"/>
      <c r="B82" s="1484" t="s">
        <v>45</v>
      </c>
      <c r="C82" s="1471" t="s">
        <v>7</v>
      </c>
      <c r="D82" s="372">
        <f t="shared" si="2"/>
        <v>4.9044094564971746E-2</v>
      </c>
      <c r="E82" s="372">
        <f t="shared" si="2"/>
        <v>6.9698694561299134E-3</v>
      </c>
      <c r="F82" s="372">
        <f t="shared" si="2"/>
        <v>6.5826544863449186E-3</v>
      </c>
      <c r="G82" s="372">
        <f t="shared" si="2"/>
        <v>6.5826544863449186E-3</v>
      </c>
      <c r="H82" s="372"/>
      <c r="I82" s="1471"/>
      <c r="J82" s="1574"/>
      <c r="K82" s="335"/>
      <c r="L82" s="1447"/>
      <c r="M82" s="1447"/>
      <c r="N82" s="1447"/>
      <c r="O82" s="1447"/>
      <c r="P82" s="1447"/>
      <c r="Q82" s="1447"/>
      <c r="T82" s="1572" t="s">
        <v>564</v>
      </c>
      <c r="U82" s="1573" t="s">
        <v>29</v>
      </c>
      <c r="V82" s="361">
        <f>Bus!$E71</f>
        <v>0.34</v>
      </c>
      <c r="W82" s="361">
        <f>'Bus Gas'!$E72</f>
        <v>0.26922935130190395</v>
      </c>
      <c r="X82" s="361">
        <f>'Bus Hybrid'!$E71</f>
        <v>0.43</v>
      </c>
    </row>
    <row r="83" spans="1:24" ht="13.5" thickBot="1">
      <c r="A83" s="1447"/>
      <c r="B83" s="1521"/>
      <c r="C83" s="1501"/>
      <c r="D83" s="262"/>
      <c r="E83" s="262"/>
      <c r="F83" s="262"/>
      <c r="G83" s="262"/>
      <c r="H83" s="262"/>
      <c r="I83" s="1501"/>
      <c r="J83" s="1503"/>
      <c r="K83" s="1447"/>
      <c r="L83" s="1447"/>
      <c r="M83" s="1447"/>
      <c r="N83" s="1447"/>
      <c r="O83" s="1447"/>
      <c r="P83" s="1447"/>
      <c r="Q83" s="1447"/>
      <c r="T83" s="1572" t="s">
        <v>565</v>
      </c>
      <c r="U83" s="1573" t="s">
        <v>566</v>
      </c>
      <c r="V83" s="330" t="e">
        <f>Bus!#REF!</f>
        <v>#REF!</v>
      </c>
      <c r="W83" s="330" t="e">
        <f>'Bus Gas'!#REF!</f>
        <v>#REF!</v>
      </c>
      <c r="X83" s="330" t="e">
        <f>'Bus Hybrid'!#REF!</f>
        <v>#REF!</v>
      </c>
    </row>
    <row r="84" spans="1:24">
      <c r="A84" s="1447"/>
      <c r="B84" s="1447"/>
      <c r="C84" s="1447"/>
      <c r="D84" s="1447"/>
      <c r="E84" s="1447"/>
      <c r="F84" s="1447"/>
      <c r="G84" s="1447"/>
      <c r="I84" s="1447"/>
      <c r="J84" s="1447"/>
      <c r="K84" s="1447"/>
      <c r="L84" s="1447"/>
      <c r="M84" s="1447"/>
      <c r="N84" s="1447"/>
      <c r="O84" s="1447"/>
      <c r="P84" s="1447"/>
      <c r="Q84" s="1447"/>
      <c r="T84" s="1572" t="s">
        <v>567</v>
      </c>
      <c r="U84" s="1573" t="s">
        <v>568</v>
      </c>
      <c r="V84" s="330" t="e">
        <f>Bus!#REF!</f>
        <v>#REF!</v>
      </c>
      <c r="W84" s="330" t="e">
        <f>'Bus Gas'!#REF!</f>
        <v>#REF!</v>
      </c>
      <c r="X84" s="330" t="e">
        <f>'Bus Hybrid'!#REF!</f>
        <v>#REF!</v>
      </c>
    </row>
    <row r="85" spans="1:24" ht="13.5" thickBot="1">
      <c r="A85" s="1447"/>
      <c r="B85" s="1446" t="s">
        <v>521</v>
      </c>
      <c r="C85" s="1447"/>
      <c r="D85" s="1447"/>
      <c r="E85" s="1447"/>
      <c r="F85" s="1447"/>
      <c r="G85" s="1447"/>
      <c r="I85" s="1447"/>
      <c r="J85" s="1447"/>
      <c r="K85" s="1447"/>
      <c r="L85" s="1447"/>
      <c r="M85" s="1447"/>
      <c r="N85" s="1447"/>
      <c r="O85" s="1447"/>
      <c r="P85" s="1447"/>
      <c r="Q85" s="1447"/>
      <c r="T85" s="320" t="s">
        <v>569</v>
      </c>
      <c r="U85" s="321" t="s">
        <v>320</v>
      </c>
      <c r="V85" s="351">
        <f>Bus!$E72</f>
        <v>0</v>
      </c>
      <c r="W85" s="351">
        <f>'Bus Gas'!$E73</f>
        <v>0</v>
      </c>
      <c r="X85" s="351">
        <f>'Bus Hybrid'!$E72</f>
        <v>0</v>
      </c>
    </row>
    <row r="86" spans="1:24">
      <c r="A86" s="1447"/>
      <c r="B86" s="1455"/>
      <c r="C86" s="1449"/>
      <c r="D86" s="367">
        <v>2015</v>
      </c>
      <c r="E86" s="367">
        <v>2020</v>
      </c>
      <c r="F86" s="367">
        <v>2035</v>
      </c>
      <c r="G86" s="367">
        <v>2050</v>
      </c>
      <c r="H86" s="367"/>
      <c r="I86" s="1447"/>
      <c r="J86" s="1447"/>
      <c r="K86" s="1447"/>
      <c r="L86" s="1447"/>
      <c r="M86" s="1447"/>
      <c r="N86" s="1447"/>
      <c r="O86" s="1447"/>
      <c r="P86" s="1447"/>
      <c r="Q86" s="1447"/>
    </row>
    <row r="87" spans="1:24">
      <c r="A87" s="1447"/>
      <c r="B87" s="1487" t="s">
        <v>24</v>
      </c>
      <c r="C87" s="323" t="s">
        <v>203</v>
      </c>
      <c r="D87" s="324">
        <f>Supplementary!AF77</f>
        <v>74000</v>
      </c>
      <c r="E87" s="324">
        <f>Supplementary!AG77</f>
        <v>74000.000000000015</v>
      </c>
      <c r="F87" s="324">
        <f>Supplementary!AH77</f>
        <v>74000.000000000015</v>
      </c>
      <c r="G87" s="324">
        <f t="shared" ref="G87:G92" si="3">F87</f>
        <v>74000.000000000015</v>
      </c>
      <c r="H87" s="324"/>
      <c r="I87" s="1447"/>
      <c r="J87" s="1447"/>
      <c r="K87" s="1447"/>
      <c r="L87" s="1447"/>
      <c r="M87" s="1447"/>
      <c r="N87" s="1447"/>
      <c r="O87" s="1447"/>
      <c r="P87" s="1447"/>
      <c r="Q87" s="1447"/>
      <c r="T87" s="355" t="s">
        <v>645</v>
      </c>
    </row>
    <row r="88" spans="1:24">
      <c r="A88" s="1447"/>
      <c r="B88" s="1487" t="s">
        <v>27</v>
      </c>
      <c r="C88" s="1471" t="s">
        <v>203</v>
      </c>
      <c r="D88" s="291">
        <f>Supplementary!AF78</f>
        <v>0.36492051807463749</v>
      </c>
      <c r="E88" s="291">
        <f>Supplementary!AG78</f>
        <v>0.13657553703384775</v>
      </c>
      <c r="F88" s="291">
        <f>Supplementary!AH78</f>
        <v>0.13657553703384775</v>
      </c>
      <c r="G88" s="291">
        <f t="shared" si="3"/>
        <v>0.13657553703384775</v>
      </c>
      <c r="H88" s="291"/>
      <c r="I88" s="1447"/>
      <c r="J88" s="1447"/>
      <c r="K88" s="1447"/>
      <c r="L88" s="1447"/>
      <c r="M88" s="1447"/>
      <c r="N88" s="1447"/>
      <c r="O88" s="1447"/>
      <c r="P88" s="1447"/>
      <c r="Q88" s="1447"/>
      <c r="T88" s="331" t="s">
        <v>652</v>
      </c>
    </row>
    <row r="89" spans="1:24">
      <c r="A89" s="1447"/>
      <c r="B89" s="1487" t="s">
        <v>28</v>
      </c>
      <c r="C89" s="1471" t="s">
        <v>203</v>
      </c>
      <c r="D89" s="291">
        <f>Supplementary!AF79</f>
        <v>2.8831426319335707</v>
      </c>
      <c r="E89" s="291">
        <f>Supplementary!AG79</f>
        <v>3.8168443449451881</v>
      </c>
      <c r="F89" s="291">
        <f>Supplementary!AH79</f>
        <v>3.8168443449451881</v>
      </c>
      <c r="G89" s="291">
        <f t="shared" si="3"/>
        <v>3.8168443449451881</v>
      </c>
      <c r="H89" s="291"/>
      <c r="I89" s="1447"/>
      <c r="J89" s="1447"/>
      <c r="K89" s="1447"/>
      <c r="L89" s="1447"/>
      <c r="M89" s="1447"/>
      <c r="N89" s="1447"/>
      <c r="O89" s="1447"/>
      <c r="P89" s="1447"/>
      <c r="Q89" s="1447"/>
      <c r="T89" s="331" t="s">
        <v>649</v>
      </c>
    </row>
    <row r="90" spans="1:24">
      <c r="A90" s="1447"/>
      <c r="B90" s="1487" t="s">
        <v>26</v>
      </c>
      <c r="C90" s="1471" t="s">
        <v>203</v>
      </c>
      <c r="D90" s="291">
        <f>Supplementary!AF80</f>
        <v>0.46837408023728805</v>
      </c>
      <c r="E90" s="291">
        <f>Supplementary!AG80</f>
        <v>0.46837408023728799</v>
      </c>
      <c r="F90" s="291">
        <f>Supplementary!AH80</f>
        <v>0.46837408023728799</v>
      </c>
      <c r="G90" s="291">
        <f t="shared" si="3"/>
        <v>0.46837408023728799</v>
      </c>
      <c r="H90" s="291"/>
      <c r="I90" s="1447"/>
      <c r="J90" s="1447"/>
      <c r="K90" s="1447"/>
      <c r="L90" s="1447"/>
      <c r="M90" s="1447"/>
      <c r="N90" s="1447"/>
      <c r="O90" s="1447"/>
      <c r="P90" s="1447"/>
      <c r="Q90" s="1447"/>
      <c r="T90" s="331" t="s">
        <v>651</v>
      </c>
    </row>
    <row r="91" spans="1:24">
      <c r="A91" s="1447"/>
      <c r="B91" s="1476" t="s">
        <v>25</v>
      </c>
      <c r="C91" s="1471" t="s">
        <v>203</v>
      </c>
      <c r="D91" s="324">
        <f>Supplementary!AF81</f>
        <v>421.20742294108487</v>
      </c>
      <c r="E91" s="324">
        <f>Supplementary!AG81</f>
        <v>42.913588351117738</v>
      </c>
      <c r="F91" s="324">
        <f>Supplementary!AH81</f>
        <v>42.913588351117738</v>
      </c>
      <c r="G91" s="324">
        <f t="shared" si="3"/>
        <v>42.913588351117738</v>
      </c>
      <c r="H91" s="324"/>
      <c r="I91" s="1447"/>
      <c r="J91" s="1447"/>
      <c r="K91" s="1447"/>
      <c r="L91" s="1447"/>
      <c r="M91" s="1447"/>
      <c r="N91" s="1447"/>
      <c r="O91" s="1447"/>
      <c r="P91" s="1447"/>
      <c r="Q91" s="1447"/>
      <c r="T91" s="331" t="s">
        <v>650</v>
      </c>
    </row>
    <row r="92" spans="1:24" ht="13.5" thickBot="1">
      <c r="A92" s="1447"/>
      <c r="B92" s="1578" t="s">
        <v>45</v>
      </c>
      <c r="C92" s="1501" t="s">
        <v>203</v>
      </c>
      <c r="D92" s="365">
        <f>Supplementary!AF82</f>
        <v>3.2868980174215006</v>
      </c>
      <c r="E92" s="365">
        <f>Supplementary!AG82</f>
        <v>0.49158331190144505</v>
      </c>
      <c r="F92" s="365">
        <f>Supplementary!AH82</f>
        <v>0.49158331190144505</v>
      </c>
      <c r="G92" s="365">
        <f t="shared" si="3"/>
        <v>0.49158331190144505</v>
      </c>
      <c r="H92" s="365"/>
      <c r="I92" s="1447"/>
      <c r="J92" s="1447"/>
      <c r="K92" s="1447"/>
      <c r="L92" s="1447"/>
      <c r="M92" s="1447"/>
      <c r="N92" s="1447"/>
      <c r="O92" s="1447"/>
      <c r="P92" s="1447"/>
      <c r="Q92" s="1447"/>
      <c r="T92" s="331" t="s">
        <v>653</v>
      </c>
    </row>
    <row r="93" spans="1:24">
      <c r="A93" s="1447"/>
      <c r="B93" s="1447"/>
      <c r="C93" s="1447"/>
      <c r="D93" s="1447"/>
      <c r="E93" s="1447"/>
      <c r="F93" s="1447"/>
      <c r="G93" s="1447"/>
      <c r="I93" s="1447"/>
      <c r="J93" s="1447"/>
      <c r="K93" s="1447"/>
      <c r="L93" s="1447"/>
      <c r="M93" s="1447"/>
      <c r="N93" s="1447"/>
      <c r="O93" s="1447"/>
      <c r="P93" s="1447"/>
      <c r="Q93" s="1447"/>
      <c r="T93" s="331" t="s">
        <v>654</v>
      </c>
    </row>
    <row r="94" spans="1:24">
      <c r="A94" s="1447"/>
      <c r="B94" s="1447"/>
      <c r="C94" s="1447"/>
      <c r="D94" s="1447"/>
      <c r="E94" s="1447"/>
      <c r="F94" s="1447"/>
      <c r="G94" s="1447"/>
      <c r="I94" s="1447"/>
      <c r="J94" s="1447"/>
      <c r="K94" s="1447"/>
      <c r="L94" s="1447"/>
      <c r="M94" s="1447"/>
      <c r="N94" s="1447"/>
      <c r="O94" s="1447"/>
      <c r="P94" s="1447"/>
      <c r="Q94" s="1447"/>
    </row>
    <row r="95" spans="1:24">
      <c r="A95" s="1447"/>
      <c r="B95" s="1447"/>
      <c r="C95" s="1447"/>
      <c r="D95" s="1447"/>
      <c r="E95" s="1447"/>
      <c r="F95" s="1447"/>
      <c r="G95" s="1447"/>
      <c r="H95" s="1535"/>
      <c r="I95" s="1447"/>
      <c r="J95" s="1447"/>
      <c r="K95" s="1447"/>
      <c r="L95" s="1447"/>
      <c r="M95" s="1447"/>
      <c r="N95" s="1447"/>
      <c r="O95" s="1447"/>
      <c r="P95" s="1447"/>
      <c r="Q95" s="1447"/>
    </row>
    <row r="96" spans="1:24">
      <c r="A96" s="1447"/>
      <c r="B96" s="1447"/>
      <c r="C96" s="1447"/>
      <c r="D96" s="1447"/>
      <c r="E96" s="1447"/>
      <c r="F96" s="1447"/>
      <c r="G96" s="1447"/>
      <c r="H96" s="1535"/>
      <c r="I96" s="1447"/>
      <c r="J96" s="1447"/>
      <c r="K96" s="1447"/>
      <c r="L96" s="1447"/>
      <c r="M96" s="1447"/>
      <c r="N96" s="1447"/>
      <c r="O96" s="1447"/>
      <c r="P96" s="1447"/>
      <c r="Q96" s="1447"/>
    </row>
    <row r="97" spans="1:17">
      <c r="A97" s="1447"/>
      <c r="B97" s="1447"/>
      <c r="C97" s="1447"/>
      <c r="D97" s="1447"/>
      <c r="E97" s="1447"/>
      <c r="F97" s="1447"/>
      <c r="G97" s="1447"/>
      <c r="H97" s="1535"/>
      <c r="I97" s="1447"/>
      <c r="J97" s="1447"/>
      <c r="K97" s="1447"/>
      <c r="L97" s="1447"/>
      <c r="M97" s="1447"/>
      <c r="N97" s="1447"/>
      <c r="O97" s="1447"/>
      <c r="P97" s="1447"/>
      <c r="Q97" s="1447"/>
    </row>
    <row r="98" spans="1:17">
      <c r="A98" s="1447"/>
      <c r="B98" s="1447"/>
      <c r="C98" s="1447"/>
      <c r="D98" s="1447"/>
      <c r="E98" s="1447"/>
      <c r="F98" s="1447"/>
      <c r="G98" s="1447"/>
      <c r="H98" s="1535"/>
      <c r="I98" s="1447"/>
      <c r="J98" s="1447"/>
      <c r="K98" s="1447"/>
      <c r="L98" s="1447"/>
      <c r="M98" s="1447"/>
      <c r="N98" s="1447"/>
      <c r="O98" s="1447"/>
      <c r="P98" s="1447"/>
      <c r="Q98" s="1447"/>
    </row>
    <row r="99" spans="1:17">
      <c r="A99" s="1447"/>
      <c r="B99" s="1447"/>
      <c r="C99" s="1447"/>
      <c r="D99" s="1447"/>
      <c r="E99" s="1447"/>
      <c r="F99" s="1447"/>
      <c r="G99" s="1447"/>
      <c r="H99" s="1535"/>
      <c r="I99" s="1447"/>
      <c r="J99" s="1447"/>
      <c r="K99" s="1447"/>
      <c r="L99" s="1447"/>
      <c r="M99" s="1447"/>
      <c r="N99" s="1447"/>
      <c r="O99" s="1447"/>
      <c r="P99" s="1447"/>
      <c r="Q99" s="1447"/>
    </row>
    <row r="100" spans="1:17">
      <c r="A100" s="1447"/>
      <c r="B100" s="1447"/>
      <c r="C100" s="1447"/>
      <c r="D100" s="1447"/>
      <c r="E100" s="1447"/>
      <c r="F100" s="1447"/>
      <c r="G100" s="1447"/>
      <c r="I100" s="1447"/>
      <c r="J100" s="1447"/>
      <c r="K100" s="1447"/>
      <c r="L100" s="1447"/>
      <c r="M100" s="1447"/>
      <c r="N100" s="1447"/>
      <c r="O100" s="1447"/>
      <c r="P100" s="1447"/>
      <c r="Q100" s="1447"/>
    </row>
    <row r="101" spans="1:17">
      <c r="A101" s="1447"/>
      <c r="B101" s="1447"/>
      <c r="C101" s="1447"/>
      <c r="D101" s="1447"/>
      <c r="E101" s="1447"/>
      <c r="F101" s="1447"/>
      <c r="G101" s="1447"/>
      <c r="I101" s="1447"/>
      <c r="J101" s="1447"/>
      <c r="K101" s="1447"/>
      <c r="L101" s="1447"/>
      <c r="M101" s="1447"/>
      <c r="N101" s="1447"/>
      <c r="O101" s="1447"/>
      <c r="P101" s="1447"/>
      <c r="Q101" s="1447"/>
    </row>
    <row r="102" spans="1:17">
      <c r="A102" s="1447"/>
      <c r="B102" s="1447"/>
      <c r="C102" s="1447"/>
      <c r="D102" s="1447"/>
      <c r="E102" s="1447"/>
      <c r="F102" s="1447"/>
      <c r="G102" s="1447"/>
      <c r="I102" s="1447"/>
      <c r="J102" s="1447"/>
      <c r="K102" s="1447"/>
      <c r="L102" s="1447"/>
      <c r="M102" s="1447"/>
      <c r="N102" s="1447"/>
      <c r="O102" s="1447"/>
      <c r="P102" s="1447"/>
      <c r="Q102" s="1447"/>
    </row>
    <row r="103" spans="1:17">
      <c r="A103" s="1447"/>
      <c r="B103" s="1447"/>
      <c r="C103" s="1447"/>
      <c r="D103" s="1447"/>
      <c r="E103" s="1447"/>
      <c r="F103" s="1447"/>
      <c r="G103" s="1447"/>
      <c r="I103" s="1447"/>
      <c r="J103" s="1447"/>
      <c r="K103" s="1447"/>
      <c r="L103" s="1447"/>
      <c r="M103" s="1447"/>
      <c r="N103" s="1447"/>
      <c r="O103" s="1447"/>
      <c r="P103" s="1447"/>
      <c r="Q103" s="1447"/>
    </row>
    <row r="104" spans="1:17">
      <c r="A104" s="1447"/>
      <c r="B104" s="1447"/>
      <c r="C104" s="1447"/>
      <c r="D104" s="1447"/>
      <c r="E104" s="1447"/>
      <c r="F104" s="1447"/>
      <c r="G104" s="1447"/>
      <c r="I104" s="1447"/>
      <c r="J104" s="1447"/>
      <c r="K104" s="1447"/>
      <c r="L104" s="1447"/>
      <c r="M104" s="1447"/>
      <c r="N104" s="1447"/>
      <c r="O104" s="1447"/>
      <c r="P104" s="1447"/>
      <c r="Q104" s="1447"/>
    </row>
    <row r="105" spans="1:17">
      <c r="A105" s="1447"/>
      <c r="B105" s="1447"/>
      <c r="C105" s="1447"/>
      <c r="D105" s="1447"/>
      <c r="E105" s="1447"/>
      <c r="F105" s="1447"/>
      <c r="G105" s="1447"/>
      <c r="I105" s="1447"/>
      <c r="J105" s="1447"/>
      <c r="K105" s="1447"/>
      <c r="L105" s="1447"/>
      <c r="M105" s="1447"/>
      <c r="N105" s="1447"/>
      <c r="O105" s="1447"/>
      <c r="P105" s="1447"/>
      <c r="Q105" s="1447"/>
    </row>
    <row r="106" spans="1:17">
      <c r="A106" s="1447"/>
      <c r="B106" s="1447"/>
      <c r="C106" s="1447"/>
      <c r="D106" s="1447"/>
      <c r="E106" s="1447"/>
      <c r="F106" s="1447"/>
      <c r="G106" s="1447"/>
      <c r="I106" s="1447"/>
      <c r="J106" s="1447"/>
      <c r="K106" s="1447"/>
      <c r="L106" s="1447"/>
      <c r="M106" s="1447"/>
      <c r="N106" s="1447"/>
      <c r="O106" s="1447"/>
      <c r="P106" s="1447"/>
      <c r="Q106" s="1447"/>
    </row>
    <row r="107" spans="1:17">
      <c r="A107" s="1447"/>
      <c r="B107" s="1447"/>
      <c r="C107" s="1447"/>
      <c r="D107" s="1447"/>
      <c r="E107" s="1447"/>
      <c r="F107" s="1447"/>
      <c r="G107" s="1447"/>
      <c r="I107" s="1447"/>
      <c r="J107" s="1447"/>
      <c r="K107" s="1447"/>
      <c r="L107" s="1447"/>
      <c r="M107" s="1447"/>
      <c r="N107" s="1447"/>
      <c r="O107" s="1447"/>
      <c r="P107" s="1447"/>
      <c r="Q107" s="1447"/>
    </row>
    <row r="108" spans="1:17">
      <c r="A108" s="1447"/>
      <c r="B108" s="1447"/>
      <c r="C108" s="1447"/>
      <c r="D108" s="1447"/>
      <c r="E108" s="1447"/>
      <c r="F108" s="1447"/>
      <c r="G108" s="1447"/>
      <c r="I108" s="1447"/>
      <c r="J108" s="1447"/>
      <c r="K108" s="1447"/>
      <c r="L108" s="1447"/>
      <c r="M108" s="1447"/>
      <c r="N108" s="1447"/>
      <c r="O108" s="1447"/>
      <c r="P108" s="1447"/>
      <c r="Q108" s="1447"/>
    </row>
    <row r="109" spans="1:17">
      <c r="A109" s="1447"/>
      <c r="B109" s="1447"/>
      <c r="C109" s="1447"/>
      <c r="D109" s="1447"/>
      <c r="E109" s="1447"/>
      <c r="F109" s="1447"/>
      <c r="G109" s="1447"/>
      <c r="I109" s="1447"/>
      <c r="J109" s="1447"/>
      <c r="K109" s="1447"/>
      <c r="L109" s="1447"/>
      <c r="M109" s="1447"/>
      <c r="N109" s="1447"/>
      <c r="O109" s="1447"/>
      <c r="P109" s="1447"/>
      <c r="Q109" s="1447"/>
    </row>
    <row r="110" spans="1:17">
      <c r="A110" s="1447"/>
      <c r="B110" s="1447"/>
      <c r="C110" s="1447"/>
      <c r="D110" s="1447"/>
      <c r="E110" s="1447"/>
      <c r="F110" s="1447"/>
      <c r="G110" s="1447"/>
      <c r="I110" s="1447"/>
      <c r="J110" s="1447"/>
      <c r="K110" s="1447"/>
      <c r="L110" s="1447"/>
      <c r="M110" s="1447"/>
      <c r="N110" s="1447"/>
      <c r="O110" s="1447"/>
      <c r="P110" s="1447"/>
      <c r="Q110" s="1447"/>
    </row>
    <row r="111" spans="1:17">
      <c r="A111" s="1447"/>
      <c r="B111" s="1447"/>
      <c r="C111" s="1447"/>
      <c r="D111" s="1447"/>
      <c r="E111" s="1447"/>
      <c r="F111" s="1447"/>
      <c r="G111" s="1447"/>
      <c r="I111" s="1447"/>
      <c r="J111" s="1447"/>
      <c r="K111" s="1447"/>
      <c r="L111" s="1447"/>
      <c r="M111" s="1447"/>
      <c r="N111" s="1447"/>
      <c r="O111" s="1447"/>
      <c r="P111" s="1447"/>
      <c r="Q111" s="1447"/>
    </row>
    <row r="112" spans="1:17">
      <c r="A112" s="1447"/>
      <c r="B112" s="1447"/>
      <c r="C112" s="1447"/>
      <c r="D112" s="1447"/>
      <c r="E112" s="1447"/>
      <c r="F112" s="1447"/>
      <c r="G112" s="1447"/>
      <c r="I112" s="1447"/>
      <c r="J112" s="1447"/>
      <c r="K112" s="1447"/>
      <c r="L112" s="1447"/>
      <c r="M112" s="1447"/>
      <c r="N112" s="1447"/>
      <c r="O112" s="1447"/>
      <c r="P112" s="1447"/>
      <c r="Q112" s="1447"/>
    </row>
    <row r="113" spans="1:17">
      <c r="A113" s="1447"/>
      <c r="B113" s="1447"/>
      <c r="C113" s="1447"/>
      <c r="D113" s="1447"/>
      <c r="E113" s="1447"/>
      <c r="F113" s="1447"/>
      <c r="G113" s="1447"/>
      <c r="I113" s="1447"/>
      <c r="J113" s="1447"/>
      <c r="K113" s="1447"/>
      <c r="L113" s="1447"/>
      <c r="M113" s="1447"/>
      <c r="N113" s="1447"/>
      <c r="O113" s="1447"/>
      <c r="P113" s="1447"/>
      <c r="Q113" s="1447"/>
    </row>
    <row r="114" spans="1:17">
      <c r="A114" s="1447"/>
      <c r="B114" s="1447"/>
      <c r="C114" s="1447"/>
      <c r="D114" s="1447"/>
      <c r="E114" s="1447"/>
      <c r="F114" s="1447"/>
      <c r="G114" s="1447"/>
      <c r="I114" s="1447"/>
      <c r="J114" s="1447"/>
      <c r="K114" s="1447"/>
      <c r="L114" s="1447"/>
      <c r="M114" s="1447"/>
      <c r="N114" s="1447"/>
      <c r="O114" s="1447"/>
      <c r="P114" s="1447"/>
      <c r="Q114" s="1447"/>
    </row>
    <row r="115" spans="1:17">
      <c r="A115" s="1447"/>
      <c r="B115" s="1447"/>
      <c r="C115" s="1447"/>
      <c r="D115" s="1447"/>
      <c r="E115" s="1447"/>
      <c r="F115" s="1447"/>
      <c r="G115" s="1447"/>
      <c r="I115" s="1447"/>
      <c r="J115" s="1447"/>
      <c r="K115" s="1447"/>
      <c r="L115" s="1447"/>
      <c r="M115" s="1447"/>
      <c r="N115" s="1447"/>
      <c r="O115" s="1447"/>
      <c r="P115" s="1447"/>
      <c r="Q115" s="1447"/>
    </row>
    <row r="116" spans="1:17">
      <c r="A116" s="1447"/>
      <c r="B116" s="1447"/>
      <c r="C116" s="1447"/>
      <c r="D116" s="1447"/>
      <c r="E116" s="1447"/>
      <c r="F116" s="1447"/>
      <c r="G116" s="1447"/>
      <c r="I116" s="1447"/>
      <c r="J116" s="1447"/>
      <c r="K116" s="1447"/>
      <c r="L116" s="1447"/>
      <c r="M116" s="1447"/>
      <c r="N116" s="1447"/>
      <c r="O116" s="1447"/>
      <c r="P116" s="1447"/>
      <c r="Q116" s="1447"/>
    </row>
    <row r="117" spans="1:17">
      <c r="A117" s="1447"/>
      <c r="B117" s="1447"/>
      <c r="C117" s="1447"/>
      <c r="D117" s="1447"/>
      <c r="E117" s="1447"/>
      <c r="F117" s="1447"/>
      <c r="G117" s="1447"/>
      <c r="I117" s="1447"/>
      <c r="J117" s="1447"/>
      <c r="K117" s="1447"/>
      <c r="L117" s="1447"/>
      <c r="M117" s="1447"/>
      <c r="N117" s="1447"/>
      <c r="O117" s="1447"/>
      <c r="P117" s="1447"/>
      <c r="Q117" s="1447"/>
    </row>
    <row r="118" spans="1:17">
      <c r="A118" s="1447"/>
      <c r="B118" s="1447"/>
      <c r="C118" s="1447"/>
      <c r="D118" s="1447"/>
      <c r="E118" s="1447"/>
      <c r="F118" s="1447"/>
      <c r="G118" s="1447"/>
      <c r="I118" s="1447"/>
      <c r="J118" s="1447"/>
      <c r="K118" s="1447"/>
      <c r="L118" s="1447"/>
      <c r="M118" s="1447"/>
      <c r="N118" s="1447"/>
      <c r="O118" s="1447"/>
      <c r="P118" s="1447"/>
      <c r="Q118" s="1447"/>
    </row>
    <row r="119" spans="1:17">
      <c r="A119" s="1447"/>
      <c r="B119" s="1447"/>
      <c r="C119" s="1447"/>
      <c r="D119" s="1447"/>
      <c r="E119" s="1447"/>
      <c r="F119" s="1447"/>
      <c r="G119" s="1447"/>
      <c r="I119" s="1447"/>
      <c r="J119" s="1447"/>
      <c r="K119" s="1447"/>
      <c r="L119" s="1447"/>
      <c r="M119" s="1447"/>
      <c r="N119" s="1447"/>
      <c r="O119" s="1447"/>
      <c r="P119" s="1447"/>
      <c r="Q119" s="1447"/>
    </row>
    <row r="120" spans="1:17">
      <c r="A120" s="1447"/>
      <c r="B120" s="1447"/>
      <c r="C120" s="1447"/>
      <c r="D120" s="1447"/>
      <c r="E120" s="1447"/>
      <c r="F120" s="1447"/>
      <c r="G120" s="1447"/>
      <c r="I120" s="1447"/>
      <c r="J120" s="1447"/>
      <c r="K120" s="1447"/>
      <c r="L120" s="1447"/>
      <c r="M120" s="1447"/>
      <c r="N120" s="1447"/>
      <c r="O120" s="1447"/>
      <c r="P120" s="1447"/>
      <c r="Q120" s="1447"/>
    </row>
    <row r="121" spans="1:17">
      <c r="A121" s="1447"/>
      <c r="B121" s="1447"/>
      <c r="C121" s="1447"/>
      <c r="D121" s="1447"/>
      <c r="E121" s="1447"/>
      <c r="F121" s="1447"/>
      <c r="G121" s="1447"/>
      <c r="I121" s="1447"/>
      <c r="J121" s="1447"/>
      <c r="K121" s="1447"/>
      <c r="L121" s="1447"/>
      <c r="M121" s="1447"/>
      <c r="N121" s="1447"/>
      <c r="O121" s="1447"/>
      <c r="P121" s="1447"/>
      <c r="Q121" s="1447"/>
    </row>
    <row r="122" spans="1:17">
      <c r="B122" s="1447"/>
      <c r="C122" s="1447"/>
      <c r="D122" s="1447"/>
      <c r="E122" s="144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98113" r:id="rId4" name="Button 1">
              <controlPr defaultSize="0" print="0" autoFill="0" autoPict="0" macro="[0]!GtOver">
                <anchor>
                  <from>
                    <xdr:col>13</xdr:col>
                    <xdr:colOff>190500</xdr:colOff>
                    <xdr:row>0</xdr:row>
                    <xdr:rowOff>38100</xdr:rowOff>
                  </from>
                  <to>
                    <xdr:col>15</xdr:col>
                    <xdr:colOff>47625</xdr:colOff>
                    <xdr:row>0</xdr:row>
                    <xdr:rowOff>238125</xdr:rowOff>
                  </to>
                </anchor>
              </controlPr>
            </control>
          </mc:Choice>
        </mc:AlternateContent>
        <mc:AlternateContent xmlns:mc="http://schemas.openxmlformats.org/markup-compatibility/2006">
          <mc:Choice Requires="x14">
            <control shapeId="1498114" r:id="rId5" name="Button 2">
              <controlPr defaultSize="0" print="0" autoFill="0" autoPict="0" macro="[0]!GtRes">
                <anchor>
                  <from>
                    <xdr:col>15</xdr:col>
                    <xdr:colOff>228600</xdr:colOff>
                    <xdr:row>0</xdr:row>
                    <xdr:rowOff>38100</xdr:rowOff>
                  </from>
                  <to>
                    <xdr:col>17</xdr:col>
                    <xdr:colOff>57150</xdr:colOff>
                    <xdr:row>0</xdr:row>
                    <xdr:rowOff>238125</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rgb="FF002060"/>
  </sheetPr>
  <dimension ref="A1:S123"/>
  <sheetViews>
    <sheetView topLeftCell="A25" zoomScale="80" zoomScaleNormal="80" workbookViewId="0">
      <selection activeCell="C56" sqref="C56"/>
    </sheetView>
  </sheetViews>
  <sheetFormatPr defaultRowHeight="12.75"/>
  <cols>
    <col min="1" max="1" width="2.85546875" style="286" customWidth="1"/>
    <col min="2" max="2" width="35" style="286" customWidth="1"/>
    <col min="3" max="3" width="18" style="286" customWidth="1"/>
    <col min="4" max="7" width="15.85546875" style="286" customWidth="1"/>
    <col min="8" max="8" width="15.85546875" style="1447" customWidth="1"/>
    <col min="9" max="9" width="7.140625" style="286" customWidth="1"/>
    <col min="10" max="10" width="37.42578125" style="286" customWidth="1"/>
    <col min="11" max="16384" width="9.140625" style="286"/>
  </cols>
  <sheetData>
    <row r="1" spans="1:19" s="2403" customFormat="1" ht="21">
      <c r="B1" s="2403" t="s">
        <v>639</v>
      </c>
      <c r="Q1" s="2403">
        <f ca="1">'Log2015'!M1</f>
        <v>-8.0112614142160741</v>
      </c>
      <c r="R1" s="2405">
        <f ca="1">'Log2015'!N1</f>
        <v>-160807.124977848</v>
      </c>
      <c r="S1" s="2406"/>
    </row>
    <row r="2" spans="1:19">
      <c r="A2" s="1447"/>
      <c r="B2" s="1447"/>
      <c r="C2" s="1447"/>
      <c r="D2" s="1447"/>
      <c r="E2" s="1447"/>
      <c r="F2" s="1447"/>
      <c r="G2" s="1447"/>
      <c r="I2" s="1447"/>
      <c r="J2" s="1447"/>
      <c r="K2" s="1447"/>
      <c r="L2" s="1447"/>
      <c r="M2" s="1447"/>
      <c r="N2" s="1447"/>
      <c r="O2" s="1447"/>
      <c r="P2" s="1447"/>
      <c r="Q2" s="1447"/>
      <c r="R2" s="625">
        <f ca="1">R1</f>
        <v>-160807.124977848</v>
      </c>
      <c r="S2" s="625">
        <f>S1</f>
        <v>0</v>
      </c>
    </row>
    <row r="3" spans="1:19">
      <c r="A3" s="1447"/>
      <c r="B3" s="1447"/>
      <c r="C3" s="1447"/>
      <c r="D3" s="1447"/>
      <c r="E3" s="1447"/>
      <c r="F3" s="1447"/>
      <c r="G3" s="1447"/>
      <c r="I3" s="1447"/>
      <c r="J3" s="1447"/>
      <c r="K3" s="1447"/>
      <c r="L3" s="1447"/>
      <c r="M3" s="1447"/>
      <c r="N3" s="1447"/>
      <c r="O3" s="1447"/>
      <c r="P3" s="1447"/>
      <c r="Q3" s="1447"/>
    </row>
    <row r="4" spans="1:19" ht="13.5" thickBot="1">
      <c r="A4" s="1447"/>
      <c r="B4" s="1446" t="s">
        <v>81</v>
      </c>
      <c r="C4" s="1447"/>
      <c r="D4" s="1447"/>
      <c r="E4" s="1447"/>
      <c r="F4" s="1447"/>
      <c r="G4" s="1447"/>
      <c r="I4" s="1447"/>
      <c r="J4" s="1447"/>
      <c r="K4" s="1447"/>
      <c r="L4" s="1447"/>
      <c r="M4" s="1447"/>
      <c r="N4" s="1447"/>
      <c r="O4" s="1447"/>
      <c r="P4" s="1447"/>
      <c r="Q4" s="1447"/>
    </row>
    <row r="5" spans="1:19">
      <c r="A5" s="1447"/>
      <c r="B5" s="1448" t="s">
        <v>137</v>
      </c>
      <c r="C5" s="1449"/>
      <c r="D5" s="1449"/>
      <c r="E5" s="1449"/>
      <c r="F5" s="1449"/>
      <c r="G5" s="1449"/>
      <c r="H5" s="1449"/>
      <c r="I5" s="1449"/>
      <c r="J5" s="1449"/>
      <c r="K5" s="1449"/>
      <c r="L5" s="1449"/>
      <c r="M5" s="1449"/>
      <c r="N5" s="1449"/>
      <c r="O5" s="1450"/>
      <c r="P5" s="1447"/>
      <c r="Q5" s="1447"/>
    </row>
    <row r="6" spans="1:19">
      <c r="A6" s="1447"/>
      <c r="B6" s="1476" t="s">
        <v>2636</v>
      </c>
      <c r="C6" s="1471"/>
      <c r="D6" s="1471"/>
      <c r="E6" s="1471"/>
      <c r="F6" s="1471"/>
      <c r="G6" s="1471"/>
      <c r="H6" s="1471"/>
      <c r="I6" s="1471"/>
      <c r="J6" s="1471"/>
      <c r="K6" s="1471"/>
      <c r="L6" s="1471"/>
      <c r="M6" s="1471"/>
      <c r="N6" s="1471"/>
      <c r="O6" s="1472"/>
      <c r="P6" s="1447"/>
      <c r="Q6" s="1447"/>
    </row>
    <row r="7" spans="1:19">
      <c r="A7" s="1447"/>
      <c r="B7" s="1476"/>
      <c r="C7" s="1471"/>
      <c r="D7" s="1471"/>
      <c r="E7" s="1471"/>
      <c r="F7" s="1471"/>
      <c r="G7" s="1471"/>
      <c r="H7" s="1471"/>
      <c r="I7" s="1471"/>
      <c r="J7" s="1471"/>
      <c r="K7" s="1471"/>
      <c r="L7" s="1471"/>
      <c r="M7" s="1471"/>
      <c r="N7" s="1471"/>
      <c r="O7" s="1472"/>
      <c r="P7" s="1447"/>
      <c r="Q7" s="1447"/>
    </row>
    <row r="8" spans="1:19">
      <c r="A8" s="1447"/>
      <c r="B8" s="1476"/>
      <c r="C8" s="1471"/>
      <c r="D8" s="1471"/>
      <c r="E8" s="1471"/>
      <c r="F8" s="1471"/>
      <c r="G8" s="1471"/>
      <c r="H8" s="1471"/>
      <c r="I8" s="1471"/>
      <c r="J8" s="1471"/>
      <c r="K8" s="1471"/>
      <c r="L8" s="1471"/>
      <c r="M8" s="1471"/>
      <c r="N8" s="1471"/>
      <c r="O8" s="1472"/>
      <c r="P8" s="1447"/>
      <c r="Q8" s="1447"/>
    </row>
    <row r="9" spans="1:19">
      <c r="A9" s="1447"/>
      <c r="B9" s="1476"/>
      <c r="C9" s="1471"/>
      <c r="D9" s="1471"/>
      <c r="E9" s="1471"/>
      <c r="F9" s="1471"/>
      <c r="G9" s="1471"/>
      <c r="H9" s="1471"/>
      <c r="I9" s="1471"/>
      <c r="J9" s="1471"/>
      <c r="K9" s="1471"/>
      <c r="L9" s="1471"/>
      <c r="M9" s="1471"/>
      <c r="N9" s="1471"/>
      <c r="O9" s="1472"/>
      <c r="P9" s="1447"/>
      <c r="Q9" s="1447"/>
    </row>
    <row r="10" spans="1:19">
      <c r="A10" s="1447"/>
      <c r="B10" s="1476"/>
      <c r="C10" s="1471"/>
      <c r="D10" s="1471"/>
      <c r="E10" s="1471"/>
      <c r="F10" s="1471"/>
      <c r="G10" s="1471"/>
      <c r="H10" s="1471"/>
      <c r="I10" s="1471"/>
      <c r="J10" s="1471"/>
      <c r="K10" s="1471"/>
      <c r="L10" s="1471"/>
      <c r="M10" s="1471"/>
      <c r="N10" s="1471"/>
      <c r="O10" s="1472"/>
      <c r="P10" s="1447"/>
      <c r="Q10" s="1447"/>
    </row>
    <row r="11" spans="1:19">
      <c r="A11" s="1447"/>
      <c r="B11" s="1556" t="s">
        <v>256</v>
      </c>
      <c r="C11" s="1471"/>
      <c r="D11" s="1471"/>
      <c r="E11" s="1471"/>
      <c r="F11" s="1471"/>
      <c r="G11" s="1471"/>
      <c r="H11" s="1471"/>
      <c r="I11" s="1471"/>
      <c r="J11" s="1471"/>
      <c r="K11" s="1471"/>
      <c r="L11" s="1471"/>
      <c r="M11" s="1471"/>
      <c r="N11" s="1471"/>
      <c r="O11" s="1472"/>
      <c r="P11" s="1447"/>
      <c r="Q11" s="1447"/>
    </row>
    <row r="12" spans="1:19">
      <c r="A12" s="1447"/>
      <c r="B12" s="1476"/>
      <c r="C12" s="1471"/>
      <c r="D12" s="1471"/>
      <c r="E12" s="1471"/>
      <c r="F12" s="1471"/>
      <c r="G12" s="1471"/>
      <c r="H12" s="1471"/>
      <c r="I12" s="1471"/>
      <c r="J12" s="1471"/>
      <c r="K12" s="1471"/>
      <c r="L12" s="1471"/>
      <c r="M12" s="1471"/>
      <c r="N12" s="1471"/>
      <c r="O12" s="1472"/>
      <c r="P12" s="1447"/>
      <c r="Q12" s="1447"/>
    </row>
    <row r="13" spans="1:19">
      <c r="A13" s="1447"/>
      <c r="B13" s="1476"/>
      <c r="C13" s="1471"/>
      <c r="D13" s="1471"/>
      <c r="E13" s="1471"/>
      <c r="F13" s="1471"/>
      <c r="G13" s="1471"/>
      <c r="H13" s="1471"/>
      <c r="I13" s="1471"/>
      <c r="J13" s="1471"/>
      <c r="K13" s="1471"/>
      <c r="L13" s="1471"/>
      <c r="M13" s="1471"/>
      <c r="N13" s="1471"/>
      <c r="O13" s="1472"/>
      <c r="P13" s="1447"/>
      <c r="Q13" s="1447"/>
    </row>
    <row r="14" spans="1:19">
      <c r="A14" s="1447"/>
      <c r="B14" s="1556" t="s">
        <v>143</v>
      </c>
      <c r="C14" s="1471"/>
      <c r="D14" s="1471"/>
      <c r="E14" s="1471"/>
      <c r="F14" s="1471"/>
      <c r="G14" s="1471"/>
      <c r="H14" s="1471"/>
      <c r="I14" s="1471"/>
      <c r="J14" s="1471"/>
      <c r="K14" s="1471"/>
      <c r="L14" s="1471"/>
      <c r="M14" s="1471"/>
      <c r="N14" s="1471"/>
      <c r="O14" s="1472"/>
      <c r="P14" s="1447"/>
      <c r="Q14" s="1447"/>
    </row>
    <row r="15" spans="1:19">
      <c r="A15" s="1447"/>
      <c r="B15" s="1476"/>
      <c r="C15" s="1471"/>
      <c r="D15" s="1471"/>
      <c r="E15" s="1471"/>
      <c r="F15" s="1471"/>
      <c r="G15" s="1471"/>
      <c r="H15" s="1471"/>
      <c r="I15" s="1471"/>
      <c r="J15" s="1471"/>
      <c r="K15" s="1471"/>
      <c r="L15" s="1471"/>
      <c r="M15" s="1471"/>
      <c r="N15" s="1471"/>
      <c r="O15" s="1472"/>
      <c r="P15" s="1447"/>
      <c r="Q15" s="1447"/>
    </row>
    <row r="16" spans="1:19">
      <c r="A16" s="1447"/>
      <c r="B16" s="1468"/>
      <c r="C16" s="1471"/>
      <c r="D16" s="1471"/>
      <c r="E16" s="1471"/>
      <c r="F16" s="1471"/>
      <c r="G16" s="1471"/>
      <c r="H16" s="1471"/>
      <c r="I16" s="1471"/>
      <c r="J16" s="1471"/>
      <c r="K16" s="1471"/>
      <c r="L16" s="1471"/>
      <c r="M16" s="1471"/>
      <c r="N16" s="1471"/>
      <c r="O16" s="1472"/>
      <c r="P16" s="1447"/>
      <c r="Q16" s="1447"/>
    </row>
    <row r="17" spans="1:17" ht="13.5" thickBot="1">
      <c r="A17" s="1447"/>
      <c r="B17" s="1521"/>
      <c r="C17" s="1501"/>
      <c r="D17" s="1501"/>
      <c r="E17" s="1501"/>
      <c r="F17" s="1501"/>
      <c r="G17" s="1501"/>
      <c r="H17" s="1501"/>
      <c r="I17" s="1501"/>
      <c r="J17" s="1501"/>
      <c r="K17" s="1501"/>
      <c r="L17" s="1501"/>
      <c r="M17" s="1501"/>
      <c r="N17" s="1501"/>
      <c r="O17" s="1503"/>
      <c r="P17" s="1447"/>
      <c r="Q17" s="1447"/>
    </row>
    <row r="18" spans="1:17">
      <c r="A18" s="1447"/>
      <c r="B18" s="1447"/>
      <c r="C18" s="1447"/>
      <c r="D18" s="1447"/>
      <c r="E18" s="1447"/>
      <c r="F18" s="1447"/>
      <c r="G18" s="1447"/>
      <c r="I18" s="1447"/>
      <c r="J18" s="1447"/>
      <c r="K18" s="1447"/>
      <c r="L18" s="1447"/>
      <c r="M18" s="1447"/>
      <c r="N18" s="1447"/>
      <c r="O18" s="1447"/>
      <c r="P18" s="1447"/>
      <c r="Q18" s="1447"/>
    </row>
    <row r="19" spans="1:17" ht="13.5" thickBot="1">
      <c r="A19" s="1447"/>
      <c r="B19" s="1446" t="s">
        <v>144</v>
      </c>
      <c r="C19" s="1447"/>
      <c r="D19" s="1447"/>
      <c r="E19" s="1454"/>
      <c r="F19" s="1454"/>
      <c r="G19" s="1454"/>
      <c r="I19" s="1447"/>
      <c r="J19" s="1447"/>
      <c r="K19" s="1447"/>
      <c r="L19" s="1447"/>
      <c r="M19" s="1447"/>
      <c r="N19" s="1447"/>
      <c r="O19" s="1447"/>
      <c r="P19" s="1447"/>
      <c r="Q19" s="1447"/>
    </row>
    <row r="20" spans="1:17">
      <c r="A20" s="1447"/>
      <c r="B20" s="1455"/>
      <c r="C20" s="1456"/>
      <c r="D20" s="1557"/>
      <c r="E20" s="1449"/>
      <c r="F20" s="1449"/>
      <c r="G20" s="1449"/>
      <c r="H20" s="1449"/>
      <c r="I20" s="1449" t="s">
        <v>145</v>
      </c>
      <c r="J20" s="1450" t="s">
        <v>146</v>
      </c>
      <c r="K20" s="1447"/>
      <c r="L20" s="1447"/>
      <c r="M20" s="1447"/>
      <c r="N20" s="1447"/>
      <c r="O20" s="1447"/>
      <c r="P20" s="1447"/>
      <c r="Q20" s="1447"/>
    </row>
    <row r="21" spans="1:17">
      <c r="A21" s="1447"/>
      <c r="B21" s="1460"/>
      <c r="C21" s="1461" t="s">
        <v>70</v>
      </c>
      <c r="D21" s="1506">
        <v>2015</v>
      </c>
      <c r="E21" s="1507">
        <v>2020</v>
      </c>
      <c r="F21" s="1507">
        <v>2035</v>
      </c>
      <c r="G21" s="1507"/>
      <c r="H21" s="1507" t="s">
        <v>978</v>
      </c>
      <c r="I21" s="1464"/>
      <c r="J21" s="1465"/>
      <c r="K21" s="1447"/>
      <c r="L21" s="1447"/>
      <c r="M21" s="1447"/>
      <c r="N21" s="1447"/>
      <c r="O21" s="1447"/>
      <c r="P21" s="1447"/>
      <c r="Q21" s="1447"/>
    </row>
    <row r="22" spans="1:17">
      <c r="A22" s="1447"/>
      <c r="B22" s="1468" t="s">
        <v>257</v>
      </c>
      <c r="C22" s="1469"/>
      <c r="D22" s="153"/>
      <c r="E22" s="1470"/>
      <c r="F22" s="1470"/>
      <c r="G22" s="1470"/>
      <c r="H22" s="1470"/>
      <c r="I22" s="1471"/>
      <c r="J22" s="1472"/>
      <c r="K22" s="1447"/>
      <c r="L22" s="1447"/>
      <c r="M22" s="1447"/>
      <c r="N22" s="1447"/>
      <c r="O22" s="1447"/>
      <c r="P22" s="1447"/>
      <c r="Q22" s="1447"/>
    </row>
    <row r="23" spans="1:17">
      <c r="A23" s="1447"/>
      <c r="B23" s="122" t="s">
        <v>848</v>
      </c>
      <c r="C23" s="1469" t="s">
        <v>2641</v>
      </c>
      <c r="D23" s="325">
        <f>D72</f>
        <v>0.24369782003183005</v>
      </c>
      <c r="E23" s="326">
        <f>E72</f>
        <v>0.26922935130190395</v>
      </c>
      <c r="F23" s="326">
        <f>F72</f>
        <v>0.30000000000000004</v>
      </c>
      <c r="G23" s="326">
        <f>G72</f>
        <v>0.30000000000000004</v>
      </c>
      <c r="H23" s="1657"/>
      <c r="I23" s="1474"/>
      <c r="J23" s="1472"/>
      <c r="K23" s="164"/>
      <c r="L23" s="1447"/>
      <c r="M23" s="1447"/>
      <c r="N23" s="1447"/>
      <c r="O23" s="1447"/>
      <c r="P23" s="1447"/>
      <c r="Q23" s="1447"/>
    </row>
    <row r="24" spans="1:17">
      <c r="A24" s="1447"/>
      <c r="B24" s="122" t="s">
        <v>849</v>
      </c>
      <c r="C24" s="1469" t="s">
        <v>2641</v>
      </c>
      <c r="D24" s="416">
        <f>D23</f>
        <v>0.24369782003183005</v>
      </c>
      <c r="E24" s="417">
        <f>E23</f>
        <v>0.26922935130190395</v>
      </c>
      <c r="F24" s="417">
        <f>F23</f>
        <v>0.30000000000000004</v>
      </c>
      <c r="G24" s="417">
        <f>G23</f>
        <v>0.30000000000000004</v>
      </c>
      <c r="H24" s="1657"/>
      <c r="I24" s="1474"/>
      <c r="J24" s="1472"/>
      <c r="K24" s="164"/>
      <c r="L24" s="1447"/>
      <c r="M24" s="1447"/>
      <c r="N24" s="1447"/>
      <c r="O24" s="1447"/>
      <c r="P24" s="1447"/>
      <c r="Q24" s="1447"/>
    </row>
    <row r="25" spans="1:17">
      <c r="A25" s="1447"/>
      <c r="B25" s="122" t="s">
        <v>1025</v>
      </c>
      <c r="C25" s="1469" t="s">
        <v>1024</v>
      </c>
      <c r="D25" s="416">
        <f>D76</f>
        <v>19.781298</v>
      </c>
      <c r="E25" s="417">
        <f>E76</f>
        <v>17.90539990045249</v>
      </c>
      <c r="F25" s="417">
        <f>F76</f>
        <v>16.068863999999998</v>
      </c>
      <c r="G25" s="417">
        <f>G76</f>
        <v>16.068863999999998</v>
      </c>
      <c r="H25" s="1658"/>
      <c r="I25" s="1474"/>
      <c r="J25" s="1472"/>
      <c r="K25" s="164"/>
      <c r="L25" s="1447"/>
      <c r="M25" s="1447"/>
      <c r="N25" s="1447"/>
      <c r="O25" s="1447"/>
      <c r="P25" s="1447"/>
      <c r="Q25" s="1447"/>
    </row>
    <row r="26" spans="1:17">
      <c r="A26" s="1447"/>
      <c r="B26" s="122" t="s">
        <v>1026</v>
      </c>
      <c r="C26" s="1469" t="s">
        <v>1024</v>
      </c>
      <c r="D26" s="416"/>
      <c r="E26" s="417"/>
      <c r="F26" s="417"/>
      <c r="G26" s="417"/>
      <c r="H26" s="1658"/>
      <c r="I26" s="1474"/>
      <c r="J26" s="1472"/>
      <c r="K26" s="164"/>
      <c r="L26" s="1447"/>
      <c r="M26" s="1447"/>
      <c r="N26" s="1447"/>
      <c r="O26" s="1447"/>
      <c r="P26" s="1447"/>
      <c r="Q26" s="1447"/>
    </row>
    <row r="27" spans="1:17">
      <c r="A27" s="1447"/>
      <c r="B27" s="1476" t="s">
        <v>98</v>
      </c>
      <c r="C27" s="1469" t="s">
        <v>259</v>
      </c>
      <c r="D27" s="373">
        <v>6</v>
      </c>
      <c r="E27" s="374">
        <v>6</v>
      </c>
      <c r="F27" s="374">
        <v>6</v>
      </c>
      <c r="G27" s="374">
        <v>6</v>
      </c>
      <c r="H27" s="1478"/>
      <c r="I27" s="1576" t="str">
        <f>Referencer!$B$74</f>
        <v>70, RAMMEVILKÅR FOR GAS TIL TUNG VEJTRANSPORT, Energistyrelsen, 2014</v>
      </c>
      <c r="J27" s="1574"/>
      <c r="K27" s="164"/>
      <c r="L27" s="1447"/>
      <c r="M27" s="1447"/>
      <c r="N27" s="1447"/>
      <c r="O27" s="1447"/>
      <c r="P27" s="1447"/>
      <c r="Q27" s="1447"/>
    </row>
    <row r="28" spans="1:17">
      <c r="A28" s="1447"/>
      <c r="B28" s="1476" t="s">
        <v>260</v>
      </c>
      <c r="C28" s="1469" t="s">
        <v>261</v>
      </c>
      <c r="D28" s="1560">
        <f>+D67*D69/1000</f>
        <v>322.98416639999999</v>
      </c>
      <c r="E28" s="1561">
        <f>+E67*E69/1000</f>
        <v>322.98416639999999</v>
      </c>
      <c r="F28" s="1561">
        <f>+F67*F69/1000</f>
        <v>322.98416639999999</v>
      </c>
      <c r="G28" s="1561">
        <f>+G67*G69/1000</f>
        <v>322.98416639999999</v>
      </c>
      <c r="H28" s="1659"/>
      <c r="I28" s="1474"/>
      <c r="J28" s="1472"/>
      <c r="K28" s="164"/>
      <c r="L28" s="1447"/>
      <c r="M28" s="1447"/>
      <c r="N28" s="1447"/>
      <c r="O28" s="1447"/>
      <c r="P28" s="1447"/>
      <c r="Q28" s="1447"/>
    </row>
    <row r="29" spans="1:17">
      <c r="A29" s="1447"/>
      <c r="B29" s="1484"/>
      <c r="C29" s="1485"/>
      <c r="D29" s="1562"/>
      <c r="E29" s="1486"/>
      <c r="F29" s="1486"/>
      <c r="G29" s="1486"/>
      <c r="H29" s="1486"/>
      <c r="I29" s="1471"/>
      <c r="J29" s="1472"/>
      <c r="K29" s="164"/>
      <c r="L29" s="1447"/>
      <c r="M29" s="1447"/>
      <c r="N29" s="1447"/>
      <c r="O29" s="1447"/>
      <c r="P29" s="1447"/>
      <c r="Q29" s="1447"/>
    </row>
    <row r="30" spans="1:17">
      <c r="A30" s="1447"/>
      <c r="B30" s="1468" t="s">
        <v>33</v>
      </c>
      <c r="C30" s="1469"/>
      <c r="D30" s="1562"/>
      <c r="E30" s="1486"/>
      <c r="F30" s="1486"/>
      <c r="G30" s="1486"/>
      <c r="H30" s="1486"/>
      <c r="I30" s="1471"/>
      <c r="J30" s="1472"/>
      <c r="K30" s="164"/>
      <c r="L30" s="1447"/>
      <c r="M30" s="1447"/>
      <c r="N30" s="1447"/>
      <c r="O30" s="1447"/>
      <c r="P30" s="1447"/>
      <c r="Q30" s="1447"/>
    </row>
    <row r="31" spans="1:17" s="1447" customFormat="1">
      <c r="B31" s="1476" t="s">
        <v>157</v>
      </c>
      <c r="C31" s="1469" t="s">
        <v>61</v>
      </c>
      <c r="D31" s="992">
        <f ca="1">HLOOKUP($H38,Supplementary!$C$44:$AF$46,3,FALSE)*D38</f>
        <v>1562635.8481684364</v>
      </c>
      <c r="E31" s="992">
        <f ca="1">HLOOKUP($H38,Supplementary!$C$44:$AF$46,3,FALSE)*E38</f>
        <v>1562635.8481684364</v>
      </c>
      <c r="F31" s="992">
        <f ca="1">HLOOKUP($H38,Supplementary!$C$44:$AF$46,3,FALSE)*F38</f>
        <v>1562635.8481684364</v>
      </c>
      <c r="G31" s="992">
        <f ca="1">HLOOKUP($H38,Supplementary!$C$44:$AF$46,3,FALSE)*G38</f>
        <v>1562635.8481684364</v>
      </c>
      <c r="H31" s="323">
        <f>priceYear</f>
        <v>2015</v>
      </c>
      <c r="I31" s="555"/>
      <c r="J31" s="1472"/>
    </row>
    <row r="32" spans="1:17" s="1447" customFormat="1">
      <c r="B32" s="1484" t="s">
        <v>262</v>
      </c>
      <c r="C32" s="1469" t="s">
        <v>263</v>
      </c>
      <c r="D32" s="992">
        <f ca="1">HLOOKUP($H39,Supplementary!$C$44:$AF$46,3,FALSE)*D39</f>
        <v>1351.7138076117137</v>
      </c>
      <c r="E32" s="992">
        <f ca="1">HLOOKUP($H39,Supplementary!$C$44:$AF$46,3,FALSE)*E39</f>
        <v>1351.7138076117137</v>
      </c>
      <c r="F32" s="992">
        <f ca="1">HLOOKUP($H39,Supplementary!$C$44:$AF$46,3,FALSE)*F39</f>
        <v>1351.7138076117137</v>
      </c>
      <c r="G32" s="992">
        <f ca="1">HLOOKUP($H39,Supplementary!$C$44:$AF$46,3,FALSE)*G39</f>
        <v>1351.7138076117137</v>
      </c>
      <c r="H32" s="323">
        <f>priceYear</f>
        <v>2015</v>
      </c>
      <c r="I32" s="555"/>
      <c r="J32" s="1472"/>
    </row>
    <row r="33" spans="1:17" s="1447" customFormat="1">
      <c r="B33" s="1492" t="s">
        <v>162</v>
      </c>
      <c r="C33" s="1469" t="s">
        <v>263</v>
      </c>
      <c r="D33" s="992">
        <f ca="1">HLOOKUP($H40,Supplementary!$C$44:$AF$46,3,FALSE)*D40</f>
        <v>953.19396556140885</v>
      </c>
      <c r="E33" s="992">
        <f ca="1">HLOOKUP($H40,Supplementary!$C$44:$AF$46,3,FALSE)*E40</f>
        <v>953.19396556140885</v>
      </c>
      <c r="F33" s="992">
        <f ca="1">HLOOKUP($H40,Supplementary!$C$44:$AF$46,3,FALSE)*F40</f>
        <v>953.19396556140885</v>
      </c>
      <c r="G33" s="992">
        <f ca="1">HLOOKUP($H40,Supplementary!$C$44:$AF$46,3,FALSE)*G40</f>
        <v>953.19396556140885</v>
      </c>
      <c r="H33" s="323">
        <f>priceYear</f>
        <v>2015</v>
      </c>
      <c r="I33" s="555"/>
      <c r="J33" s="1472"/>
    </row>
    <row r="34" spans="1:17" s="1447" customFormat="1">
      <c r="B34" s="1492" t="s">
        <v>163</v>
      </c>
      <c r="C34" s="1469" t="s">
        <v>263</v>
      </c>
      <c r="D34" s="992">
        <f>HLOOKUP($H41,Supplementary!$C$44:$AF$46,3,FALSE)*D41</f>
        <v>398.51984205030487</v>
      </c>
      <c r="E34" s="992">
        <f>HLOOKUP($H41,Supplementary!$C$44:$AF$46,3,FALSE)*E41</f>
        <v>398.51984205030487</v>
      </c>
      <c r="F34" s="992">
        <f>HLOOKUP($H41,Supplementary!$C$44:$AF$46,3,FALSE)*F41</f>
        <v>398.51984205030487</v>
      </c>
      <c r="G34" s="992">
        <f>HLOOKUP($H41,Supplementary!$C$44:$AF$46,3,FALSE)*G41</f>
        <v>398.51984205030487</v>
      </c>
      <c r="H34" s="323">
        <f>priceYear</f>
        <v>2015</v>
      </c>
      <c r="I34" s="555"/>
      <c r="J34" s="1472"/>
    </row>
    <row r="35" spans="1:17" s="1447" customFormat="1">
      <c r="B35" s="1492"/>
      <c r="C35" s="1469"/>
      <c r="D35" s="992"/>
      <c r="E35" s="992"/>
      <c r="F35" s="992"/>
      <c r="G35" s="992"/>
      <c r="H35" s="323"/>
      <c r="I35" s="555"/>
      <c r="J35" s="1472"/>
    </row>
    <row r="36" spans="1:17" s="1447" customFormat="1">
      <c r="B36" s="1492" t="s">
        <v>264</v>
      </c>
      <c r="C36" s="1469" t="s">
        <v>263</v>
      </c>
      <c r="D36" s="992">
        <f>HLOOKUP($H43,Supplementary!$C$44:$AF$46,3,FALSE)*D43</f>
        <v>0</v>
      </c>
      <c r="E36" s="992">
        <f>HLOOKUP($H43,Supplementary!$C$44:$AF$46,3,FALSE)*E43</f>
        <v>0</v>
      </c>
      <c r="F36" s="992">
        <f>HLOOKUP($H43,Supplementary!$C$44:$AF$46,3,FALSE)*F43</f>
        <v>0</v>
      </c>
      <c r="G36" s="992">
        <f>HLOOKUP($H43,Supplementary!$C$44:$AF$46,3,FALSE)*G43</f>
        <v>0</v>
      </c>
      <c r="H36" s="323">
        <f>priceYear</f>
        <v>2015</v>
      </c>
      <c r="I36" s="555"/>
      <c r="J36" s="1472"/>
    </row>
    <row r="37" spans="1:17" s="1447" customFormat="1">
      <c r="B37" s="1468"/>
      <c r="C37" s="1469"/>
      <c r="D37" s="1562"/>
      <c r="E37" s="1486"/>
      <c r="F37" s="1486"/>
      <c r="G37" s="1486"/>
      <c r="H37" s="1486"/>
      <c r="I37" s="555"/>
      <c r="J37" s="1472"/>
    </row>
    <row r="38" spans="1:17">
      <c r="A38" s="1447"/>
      <c r="B38" s="1476" t="s">
        <v>157</v>
      </c>
      <c r="C38" s="1469" t="s">
        <v>61</v>
      </c>
      <c r="D38" s="359">
        <f ca="1">1751180-330199/(1+rSØK)^D27</f>
        <v>1504780.4222459821</v>
      </c>
      <c r="E38" s="359">
        <f ca="1">1751180-330199/(1+rSØK)^D27</f>
        <v>1504780.4222459821</v>
      </c>
      <c r="F38" s="359">
        <f ca="1">1751180-330199/(1+rSØK)^D27</f>
        <v>1504780.4222459821</v>
      </c>
      <c r="G38" s="359">
        <f ca="1">1751180-330199/(1+rSØK)^D27</f>
        <v>1504780.4222459821</v>
      </c>
      <c r="H38" s="407">
        <v>2013</v>
      </c>
      <c r="I38" s="1576" t="str">
        <f>Referencer!$B$74</f>
        <v>70, RAMMEVILKÅR FOR GAS TIL TUNG VEJTRANSPORT, Energistyrelsen, 2014</v>
      </c>
      <c r="J38" s="353"/>
      <c r="K38" s="164"/>
      <c r="L38" s="1447"/>
      <c r="M38" s="1447"/>
      <c r="N38" s="1447"/>
      <c r="O38" s="1447"/>
      <c r="P38" s="1447"/>
      <c r="Q38" s="1447"/>
    </row>
    <row r="39" spans="1:17">
      <c r="A39" s="1447"/>
      <c r="B39" s="1484" t="s">
        <v>262</v>
      </c>
      <c r="C39" s="1469" t="s">
        <v>263</v>
      </c>
      <c r="D39" s="312">
        <f ca="1">+SUM(D40:D43)</f>
        <v>1301.6676128080421</v>
      </c>
      <c r="E39" s="1490">
        <f ca="1">+SUM(E40:E43)</f>
        <v>1301.6676128080421</v>
      </c>
      <c r="F39" s="1490">
        <f ca="1">+SUM(F40:F43)</f>
        <v>1301.6676128080421</v>
      </c>
      <c r="G39" s="1490">
        <f ca="1">+SUM(G40:G43)</f>
        <v>1301.6676128080421</v>
      </c>
      <c r="H39" s="407">
        <v>2013</v>
      </c>
      <c r="I39" s="1474"/>
      <c r="J39" s="1472"/>
      <c r="K39" s="164"/>
      <c r="L39" s="1447"/>
      <c r="M39" s="1447"/>
      <c r="N39" s="1447"/>
      <c r="O39" s="1447"/>
      <c r="P39" s="1447"/>
      <c r="Q39" s="1447"/>
    </row>
    <row r="40" spans="1:17">
      <c r="A40" s="1447"/>
      <c r="B40" s="1492" t="s">
        <v>162</v>
      </c>
      <c r="C40" s="1469" t="s">
        <v>263</v>
      </c>
      <c r="D40" s="312">
        <f ca="1">PMT(rSØK,D27,-D38)/D28</f>
        <v>917.90267045327039</v>
      </c>
      <c r="E40" s="1490">
        <f ca="1">PMT(rSØK,E27,-E38)/E28</f>
        <v>917.90267045327039</v>
      </c>
      <c r="F40" s="1490">
        <f ca="1">PMT(rSØK,F27,-F38)/F28</f>
        <v>917.90267045327039</v>
      </c>
      <c r="G40" s="1490">
        <f ca="1">PMT(rSØK,G27,-G38)/G28</f>
        <v>917.90267045327039</v>
      </c>
      <c r="H40" s="407">
        <v>2013</v>
      </c>
      <c r="I40" s="1474"/>
      <c r="J40" s="1472"/>
      <c r="K40" s="164"/>
      <c r="L40" s="1447"/>
      <c r="M40" s="1447"/>
      <c r="N40" s="1447"/>
      <c r="O40" s="1447"/>
      <c r="P40" s="1447"/>
      <c r="Q40" s="1447"/>
    </row>
    <row r="41" spans="1:17">
      <c r="A41" s="1447"/>
      <c r="B41" s="1492" t="s">
        <v>163</v>
      </c>
      <c r="C41" s="1469" t="s">
        <v>263</v>
      </c>
      <c r="D41" s="312">
        <f>(D69*D70)/D28</f>
        <v>383.76494235477173</v>
      </c>
      <c r="E41" s="1490">
        <f>(E69*E70)/E28</f>
        <v>383.76494235477173</v>
      </c>
      <c r="F41" s="1490">
        <f>(F69*F70)/F28</f>
        <v>383.76494235477173</v>
      </c>
      <c r="G41" s="1490">
        <f>(G69*G70)/G28</f>
        <v>383.76494235477173</v>
      </c>
      <c r="H41" s="407">
        <v>2013</v>
      </c>
      <c r="I41" s="1474"/>
      <c r="J41" s="1574" t="s">
        <v>2630</v>
      </c>
      <c r="K41" s="164"/>
      <c r="L41" s="1447"/>
      <c r="M41" s="1447"/>
      <c r="N41" s="1447"/>
      <c r="O41" s="1447"/>
      <c r="P41" s="1447"/>
      <c r="Q41" s="1447"/>
    </row>
    <row r="42" spans="1:17">
      <c r="A42" s="1447"/>
      <c r="B42" s="1492"/>
      <c r="C42" s="1469"/>
      <c r="D42" s="1562"/>
      <c r="E42" s="1486"/>
      <c r="F42" s="1486"/>
      <c r="G42" s="1486"/>
      <c r="H42" s="407"/>
      <c r="I42" s="1474"/>
      <c r="J42" s="1472"/>
      <c r="K42" s="164"/>
      <c r="L42" s="1447"/>
      <c r="M42" s="1447"/>
      <c r="N42" s="1447"/>
      <c r="O42" s="1447"/>
      <c r="P42" s="1447"/>
      <c r="Q42" s="1447"/>
    </row>
    <row r="43" spans="1:17">
      <c r="A43" s="1447"/>
      <c r="B43" s="1492" t="s">
        <v>264</v>
      </c>
      <c r="C43" s="1469" t="s">
        <v>263</v>
      </c>
      <c r="D43" s="312">
        <v>0</v>
      </c>
      <c r="E43" s="300">
        <v>0</v>
      </c>
      <c r="F43" s="300">
        <v>0</v>
      </c>
      <c r="G43" s="300">
        <v>0</v>
      </c>
      <c r="H43" s="407">
        <v>2013</v>
      </c>
      <c r="I43" s="1474"/>
      <c r="J43" s="1574"/>
      <c r="K43" s="164"/>
      <c r="L43" s="1447"/>
      <c r="M43" s="1447"/>
      <c r="N43" s="1447"/>
      <c r="O43" s="1447"/>
      <c r="P43" s="1447"/>
      <c r="Q43" s="1447"/>
    </row>
    <row r="44" spans="1:17">
      <c r="A44" s="1447"/>
      <c r="B44" s="1492"/>
      <c r="C44" s="1469"/>
      <c r="D44" s="1562"/>
      <c r="E44" s="1486"/>
      <c r="F44" s="1486"/>
      <c r="G44" s="1486"/>
      <c r="H44" s="1486"/>
      <c r="I44" s="1474"/>
      <c r="J44" s="1472"/>
      <c r="K44" s="164"/>
      <c r="L44" s="1447"/>
      <c r="M44" s="1447"/>
      <c r="N44" s="1447"/>
      <c r="O44" s="1447"/>
      <c r="P44" s="1447"/>
      <c r="Q44" s="1447"/>
    </row>
    <row r="45" spans="1:17">
      <c r="A45" s="1447"/>
      <c r="B45" s="1468" t="s">
        <v>166</v>
      </c>
      <c r="C45" s="1469"/>
      <c r="D45" s="1562"/>
      <c r="E45" s="1486"/>
      <c r="F45" s="1486"/>
      <c r="G45" s="1486"/>
      <c r="H45" s="1489"/>
      <c r="I45" s="1474"/>
      <c r="J45" s="1472"/>
      <c r="K45" s="164"/>
      <c r="L45" s="1447"/>
      <c r="M45" s="1447"/>
      <c r="N45" s="1447"/>
      <c r="O45" s="1447"/>
      <c r="P45" s="1447"/>
      <c r="Q45" s="1447"/>
    </row>
    <row r="46" spans="1:17">
      <c r="A46" s="1447"/>
      <c r="B46" s="418" t="s">
        <v>0</v>
      </c>
      <c r="C46" s="1469"/>
      <c r="D46" s="1562"/>
      <c r="E46" s="1486"/>
      <c r="F46" s="1486"/>
      <c r="G46" s="1486"/>
      <c r="H46" s="1566"/>
      <c r="I46" s="1474"/>
      <c r="J46" s="1472"/>
      <c r="K46" s="164"/>
      <c r="L46" s="1447"/>
      <c r="M46" s="1447"/>
      <c r="N46" s="1447"/>
      <c r="O46" s="1447"/>
      <c r="P46" s="1447"/>
      <c r="Q46" s="1447"/>
    </row>
    <row r="47" spans="1:17">
      <c r="A47" s="1447"/>
      <c r="B47" s="1484" t="s">
        <v>24</v>
      </c>
      <c r="C47" s="1469" t="s">
        <v>2642</v>
      </c>
      <c r="D47" s="421"/>
      <c r="E47" s="422"/>
      <c r="F47" s="422"/>
      <c r="G47" s="422"/>
      <c r="H47" s="1566"/>
      <c r="I47" s="1474"/>
      <c r="J47" s="1574" t="s">
        <v>850</v>
      </c>
      <c r="K47" s="164"/>
      <c r="L47" s="1447"/>
      <c r="M47" s="1447"/>
      <c r="N47" s="1447"/>
      <c r="O47" s="1447"/>
      <c r="P47" s="1447"/>
      <c r="Q47" s="1447"/>
    </row>
    <row r="48" spans="1:17">
      <c r="A48" s="1447"/>
      <c r="B48" s="1484" t="s">
        <v>27</v>
      </c>
      <c r="C48" s="1469" t="s">
        <v>2642</v>
      </c>
      <c r="D48" s="127">
        <f t="shared" ref="D48:G52" si="0">D79/D$76</f>
        <v>7.4463222787503627E-2</v>
      </c>
      <c r="E48" s="127">
        <f t="shared" si="0"/>
        <v>3.7392965458597778E-2</v>
      </c>
      <c r="F48" s="127">
        <f t="shared" si="0"/>
        <v>4.1666666666666671E-2</v>
      </c>
      <c r="G48" s="127">
        <f t="shared" si="0"/>
        <v>4.1666666666666671E-2</v>
      </c>
      <c r="H48" s="1660"/>
      <c r="I48" s="1474"/>
      <c r="J48" s="1472"/>
      <c r="K48" s="164"/>
      <c r="L48" s="1447"/>
      <c r="M48" s="1447"/>
      <c r="N48" s="1447"/>
      <c r="O48" s="1447"/>
      <c r="P48" s="1447"/>
      <c r="Q48" s="1447"/>
    </row>
    <row r="49" spans="1:17">
      <c r="A49" s="1447"/>
      <c r="B49" s="1484" t="s">
        <v>28</v>
      </c>
      <c r="C49" s="1469" t="s">
        <v>2642</v>
      </c>
      <c r="D49" s="127">
        <f t="shared" si="0"/>
        <v>2.8831426319335706E-3</v>
      </c>
      <c r="E49" s="127">
        <f t="shared" si="0"/>
        <v>3.8168443449451877E-3</v>
      </c>
      <c r="F49" s="127">
        <f t="shared" si="0"/>
        <v>3.8168443449451881E-3</v>
      </c>
      <c r="G49" s="127">
        <f t="shared" si="0"/>
        <v>3.8168443449451881E-3</v>
      </c>
      <c r="H49" s="1486"/>
      <c r="I49" s="1474"/>
      <c r="J49" s="1472"/>
      <c r="K49" s="164"/>
      <c r="L49" s="1447"/>
      <c r="M49" s="1447"/>
      <c r="N49" s="1447"/>
      <c r="O49" s="1447"/>
      <c r="P49" s="1447"/>
      <c r="Q49" s="1447"/>
    </row>
    <row r="50" spans="1:17">
      <c r="A50" s="1447"/>
      <c r="B50" s="1484" t="s">
        <v>26</v>
      </c>
      <c r="C50" s="1469" t="s">
        <v>2642</v>
      </c>
      <c r="D50" s="127">
        <f t="shared" si="0"/>
        <v>4.6837408023728803E-4</v>
      </c>
      <c r="E50" s="127">
        <f t="shared" si="0"/>
        <v>4.6837408023728798E-4</v>
      </c>
      <c r="F50" s="127">
        <f t="shared" si="0"/>
        <v>4.6837408023728798E-4</v>
      </c>
      <c r="G50" s="127">
        <f t="shared" si="0"/>
        <v>4.6837408023728798E-4</v>
      </c>
      <c r="H50" s="1478"/>
      <c r="I50" s="1474"/>
      <c r="J50" s="1472"/>
      <c r="K50" s="164"/>
      <c r="L50" s="1447"/>
      <c r="M50" s="1447"/>
      <c r="N50" s="1447"/>
      <c r="O50" s="1447"/>
      <c r="P50" s="1447"/>
      <c r="Q50" s="1447"/>
    </row>
    <row r="51" spans="1:17">
      <c r="A51" s="1447"/>
      <c r="B51" s="1484" t="s">
        <v>167</v>
      </c>
      <c r="C51" s="1469" t="s">
        <v>2642</v>
      </c>
      <c r="D51" s="127">
        <f t="shared" si="0"/>
        <v>0.42120742294108487</v>
      </c>
      <c r="E51" s="127">
        <f t="shared" si="0"/>
        <v>4.2913588351117742E-2</v>
      </c>
      <c r="F51" s="127">
        <f t="shared" si="0"/>
        <v>4.2913588351117742E-2</v>
      </c>
      <c r="G51" s="127">
        <f t="shared" si="0"/>
        <v>4.2913588351117742E-2</v>
      </c>
      <c r="H51" s="1486"/>
      <c r="I51" s="1474"/>
      <c r="J51" s="1472"/>
      <c r="K51" s="164"/>
      <c r="L51" s="1447"/>
      <c r="M51" s="1447"/>
      <c r="N51" s="1447"/>
      <c r="O51" s="1447"/>
      <c r="P51" s="1447"/>
      <c r="Q51" s="1447"/>
    </row>
    <row r="52" spans="1:17">
      <c r="A52" s="1447"/>
      <c r="B52" s="1484" t="s">
        <v>45</v>
      </c>
      <c r="C52" s="1469" t="s">
        <v>2642</v>
      </c>
      <c r="D52" s="127">
        <f t="shared" si="0"/>
        <v>3.2868980174215008E-3</v>
      </c>
      <c r="E52" s="127">
        <f t="shared" si="0"/>
        <v>4.9158331190144507E-4</v>
      </c>
      <c r="F52" s="127">
        <f t="shared" si="0"/>
        <v>4.9158331190144507E-4</v>
      </c>
      <c r="G52" s="127">
        <f t="shared" si="0"/>
        <v>4.9158331190144507E-4</v>
      </c>
      <c r="H52" s="1486"/>
      <c r="I52" s="1474"/>
      <c r="J52" s="1472"/>
      <c r="K52" s="164"/>
      <c r="L52" s="1447"/>
      <c r="M52" s="1447"/>
      <c r="N52" s="1447"/>
      <c r="O52" s="1447"/>
      <c r="P52" s="1447"/>
      <c r="Q52" s="1447"/>
    </row>
    <row r="53" spans="1:17">
      <c r="A53" s="1447"/>
      <c r="B53" s="1484"/>
      <c r="C53" s="1469"/>
      <c r="D53" s="1496"/>
      <c r="E53" s="1471"/>
      <c r="F53" s="1471"/>
      <c r="G53" s="1471"/>
      <c r="H53" s="1486"/>
      <c r="I53" s="1474"/>
      <c r="J53" s="1472"/>
      <c r="K53" s="164"/>
      <c r="L53" s="1447"/>
      <c r="M53" s="1447"/>
      <c r="N53" s="1447"/>
      <c r="O53" s="1447"/>
      <c r="P53" s="1447"/>
      <c r="Q53" s="1447"/>
    </row>
    <row r="54" spans="1:17">
      <c r="A54" s="1447"/>
      <c r="B54" s="418" t="s">
        <v>20</v>
      </c>
      <c r="C54" s="1469"/>
      <c r="D54" s="1562"/>
      <c r="E54" s="1486"/>
      <c r="F54" s="1486"/>
      <c r="G54" s="1486"/>
      <c r="H54" s="1660"/>
      <c r="I54" s="1474"/>
      <c r="J54" s="1472"/>
      <c r="K54" s="164"/>
      <c r="L54" s="1447"/>
      <c r="M54" s="1447"/>
      <c r="N54" s="1447"/>
      <c r="O54" s="1447"/>
      <c r="P54" s="1447"/>
      <c r="Q54" s="1447"/>
    </row>
    <row r="55" spans="1:17">
      <c r="A55" s="1447"/>
      <c r="B55" s="1484" t="s">
        <v>24</v>
      </c>
      <c r="C55" s="1469" t="s">
        <v>2642</v>
      </c>
      <c r="D55" s="421"/>
      <c r="E55" s="422"/>
      <c r="F55" s="422"/>
      <c r="G55" s="422"/>
      <c r="H55" s="1169"/>
      <c r="I55" s="1474"/>
      <c r="J55" s="1574" t="s">
        <v>850</v>
      </c>
      <c r="K55" s="164"/>
      <c r="L55" s="1447"/>
      <c r="M55" s="1447"/>
      <c r="N55" s="1447"/>
      <c r="O55" s="1447"/>
      <c r="P55" s="1447"/>
      <c r="Q55" s="1447"/>
    </row>
    <row r="56" spans="1:17">
      <c r="A56" s="1447"/>
      <c r="B56" s="1484" t="s">
        <v>27</v>
      </c>
      <c r="C56" s="1469" t="s">
        <v>2642</v>
      </c>
      <c r="D56" s="419">
        <f t="shared" ref="D56:G60" si="1">D48</f>
        <v>7.4463222787503627E-2</v>
      </c>
      <c r="E56" s="419">
        <f t="shared" si="1"/>
        <v>3.7392965458597778E-2</v>
      </c>
      <c r="F56" s="419">
        <f t="shared" si="1"/>
        <v>4.1666666666666671E-2</v>
      </c>
      <c r="G56" s="419">
        <f t="shared" si="1"/>
        <v>4.1666666666666671E-2</v>
      </c>
      <c r="H56" s="1169"/>
      <c r="I56" s="1474"/>
      <c r="J56" s="1472"/>
      <c r="K56" s="164"/>
      <c r="L56" s="1447"/>
      <c r="M56" s="1447"/>
      <c r="N56" s="1447"/>
      <c r="O56" s="1447"/>
      <c r="P56" s="1447"/>
      <c r="Q56" s="1447"/>
    </row>
    <row r="57" spans="1:17">
      <c r="A57" s="1447"/>
      <c r="B57" s="1484" t="s">
        <v>28</v>
      </c>
      <c r="C57" s="1469" t="s">
        <v>2642</v>
      </c>
      <c r="D57" s="419">
        <f t="shared" si="1"/>
        <v>2.8831426319335706E-3</v>
      </c>
      <c r="E57" s="419">
        <f t="shared" si="1"/>
        <v>3.8168443449451877E-3</v>
      </c>
      <c r="F57" s="419">
        <f t="shared" si="1"/>
        <v>3.8168443449451881E-3</v>
      </c>
      <c r="G57" s="419">
        <f t="shared" si="1"/>
        <v>3.8168443449451881E-3</v>
      </c>
      <c r="H57" s="1169"/>
      <c r="I57" s="1474"/>
      <c r="J57" s="1472"/>
      <c r="K57" s="164"/>
      <c r="L57" s="1447"/>
      <c r="M57" s="1447"/>
      <c r="N57" s="1447"/>
      <c r="O57" s="1447"/>
      <c r="P57" s="1447"/>
      <c r="Q57" s="1447"/>
    </row>
    <row r="58" spans="1:17">
      <c r="A58" s="1447"/>
      <c r="B58" s="1484" t="s">
        <v>26</v>
      </c>
      <c r="C58" s="1469" t="s">
        <v>2642</v>
      </c>
      <c r="D58" s="419">
        <f t="shared" si="1"/>
        <v>4.6837408023728803E-4</v>
      </c>
      <c r="E58" s="419">
        <f t="shared" si="1"/>
        <v>4.6837408023728798E-4</v>
      </c>
      <c r="F58" s="419">
        <f t="shared" si="1"/>
        <v>4.6837408023728798E-4</v>
      </c>
      <c r="G58" s="419">
        <f t="shared" si="1"/>
        <v>4.6837408023728798E-4</v>
      </c>
      <c r="H58" s="1169"/>
      <c r="I58" s="1474"/>
      <c r="J58" s="1472"/>
      <c r="K58" s="164"/>
      <c r="L58" s="1447"/>
      <c r="M58" s="1447"/>
      <c r="N58" s="1447"/>
      <c r="O58" s="1447"/>
      <c r="P58" s="1447"/>
      <c r="Q58" s="1447"/>
    </row>
    <row r="59" spans="1:17">
      <c r="A59" s="1447"/>
      <c r="B59" s="1484" t="s">
        <v>167</v>
      </c>
      <c r="C59" s="1469" t="s">
        <v>2642</v>
      </c>
      <c r="D59" s="419">
        <f t="shared" si="1"/>
        <v>0.42120742294108487</v>
      </c>
      <c r="E59" s="419">
        <f t="shared" si="1"/>
        <v>4.2913588351117742E-2</v>
      </c>
      <c r="F59" s="419">
        <f t="shared" si="1"/>
        <v>4.2913588351117742E-2</v>
      </c>
      <c r="G59" s="419">
        <f t="shared" si="1"/>
        <v>4.2913588351117742E-2</v>
      </c>
      <c r="H59" s="1169"/>
      <c r="I59" s="1474"/>
      <c r="J59" s="1472"/>
      <c r="K59" s="164"/>
      <c r="L59" s="1447"/>
      <c r="M59" s="1447"/>
      <c r="N59" s="1447"/>
      <c r="O59" s="1447"/>
      <c r="P59" s="1447"/>
      <c r="Q59" s="1447"/>
    </row>
    <row r="60" spans="1:17">
      <c r="A60" s="1447"/>
      <c r="B60" s="1484" t="s">
        <v>45</v>
      </c>
      <c r="C60" s="1469" t="s">
        <v>2642</v>
      </c>
      <c r="D60" s="419">
        <f t="shared" si="1"/>
        <v>3.2868980174215008E-3</v>
      </c>
      <c r="E60" s="419">
        <f t="shared" si="1"/>
        <v>4.9158331190144507E-4</v>
      </c>
      <c r="F60" s="419">
        <f t="shared" si="1"/>
        <v>4.9158331190144507E-4</v>
      </c>
      <c r="G60" s="419">
        <f t="shared" si="1"/>
        <v>4.9158331190144507E-4</v>
      </c>
      <c r="H60" s="323"/>
      <c r="I60" s="1474"/>
      <c r="J60" s="1472"/>
      <c r="K60" s="164"/>
      <c r="L60" s="1447"/>
      <c r="M60" s="1447"/>
      <c r="N60" s="1447"/>
      <c r="O60" s="1447"/>
      <c r="P60" s="1447"/>
      <c r="Q60" s="1447"/>
    </row>
    <row r="61" spans="1:17" ht="13.5" thickBot="1">
      <c r="A61" s="1447"/>
      <c r="B61" s="1498"/>
      <c r="C61" s="1499"/>
      <c r="D61" s="1500"/>
      <c r="E61" s="1501"/>
      <c r="F61" s="1501"/>
      <c r="G61" s="1501"/>
      <c r="H61" s="1501"/>
      <c r="I61" s="1502"/>
      <c r="J61" s="1503"/>
      <c r="K61" s="164"/>
      <c r="L61" s="1447"/>
      <c r="M61" s="1447"/>
      <c r="N61" s="1447"/>
      <c r="O61" s="1447"/>
      <c r="P61" s="1447"/>
      <c r="Q61" s="1447"/>
    </row>
    <row r="62" spans="1:17">
      <c r="A62" s="1447"/>
      <c r="B62" s="1447"/>
      <c r="C62" s="1447"/>
      <c r="D62" s="1447"/>
      <c r="E62" s="1447"/>
      <c r="F62" s="1447"/>
      <c r="G62" s="1447"/>
      <c r="I62" s="1447"/>
      <c r="J62" s="1447"/>
      <c r="K62" s="164"/>
      <c r="L62" s="1447"/>
      <c r="M62" s="1447"/>
      <c r="N62" s="1447"/>
      <c r="O62" s="1447"/>
      <c r="P62" s="1447"/>
      <c r="Q62" s="1447"/>
    </row>
    <row r="63" spans="1:17">
      <c r="A63" s="1447"/>
      <c r="B63" s="1447"/>
      <c r="C63" s="1447"/>
      <c r="D63" s="1447"/>
      <c r="E63" s="1447"/>
      <c r="F63" s="1447"/>
      <c r="G63" s="1447"/>
      <c r="I63" s="1447"/>
      <c r="J63" s="1447"/>
      <c r="K63" s="164"/>
      <c r="L63" s="1447"/>
      <c r="M63" s="1447"/>
      <c r="N63" s="1447"/>
      <c r="O63" s="1447"/>
      <c r="P63" s="1447"/>
      <c r="Q63" s="1447"/>
    </row>
    <row r="64" spans="1:17" ht="16.5" thickBot="1">
      <c r="A64" s="1447"/>
      <c r="B64" s="1504" t="s">
        <v>168</v>
      </c>
      <c r="C64" s="1447"/>
      <c r="D64" s="1447"/>
      <c r="E64" s="1447"/>
      <c r="F64" s="1447"/>
      <c r="G64" s="1447"/>
      <c r="I64" s="1447"/>
      <c r="J64" s="1447"/>
      <c r="K64" s="164"/>
      <c r="L64" s="1447"/>
      <c r="M64" s="1447"/>
      <c r="N64" s="1447"/>
      <c r="O64" s="1447"/>
      <c r="P64" s="1447"/>
      <c r="Q64" s="1447"/>
    </row>
    <row r="65" spans="1:17">
      <c r="A65" s="1447"/>
      <c r="B65" s="1455"/>
      <c r="C65" s="1456"/>
      <c r="D65" s="1449"/>
      <c r="E65" s="1449"/>
      <c r="F65" s="1449"/>
      <c r="G65" s="1449"/>
      <c r="H65" s="1449"/>
      <c r="I65" s="1449"/>
      <c r="J65" s="1450"/>
      <c r="K65" s="164"/>
      <c r="L65" s="1447"/>
      <c r="M65" s="1447"/>
      <c r="N65" s="1447"/>
      <c r="O65" s="1447"/>
      <c r="P65" s="1447"/>
      <c r="Q65" s="1447"/>
    </row>
    <row r="66" spans="1:17">
      <c r="A66" s="1447"/>
      <c r="B66" s="1460"/>
      <c r="C66" s="1461" t="s">
        <v>70</v>
      </c>
      <c r="D66" s="1506">
        <v>2015</v>
      </c>
      <c r="E66" s="1507">
        <v>2020</v>
      </c>
      <c r="F66" s="1507">
        <v>2035</v>
      </c>
      <c r="G66" s="1507">
        <v>2050</v>
      </c>
      <c r="H66" s="1507"/>
      <c r="I66" s="1464"/>
      <c r="J66" s="1465"/>
      <c r="K66" s="164"/>
      <c r="L66" s="1447"/>
      <c r="M66" s="1447"/>
      <c r="N66" s="1447"/>
      <c r="O66" s="1447"/>
      <c r="P66" s="1447"/>
      <c r="Q66" s="1447"/>
    </row>
    <row r="67" spans="1:17">
      <c r="A67" s="1447"/>
      <c r="B67" s="1484" t="s">
        <v>266</v>
      </c>
      <c r="C67" s="1509" t="s">
        <v>267</v>
      </c>
      <c r="D67" s="288">
        <f>Bus!D67</f>
        <v>4.8206591999999997</v>
      </c>
      <c r="E67" s="288">
        <f>Bus!E67</f>
        <v>4.8206591999999997</v>
      </c>
      <c r="F67" s="288">
        <f>Bus!F67</f>
        <v>4.8206591999999997</v>
      </c>
      <c r="G67" s="288">
        <f>Bus!G67</f>
        <v>4.8206591999999997</v>
      </c>
      <c r="H67" s="288"/>
      <c r="I67" s="1471" t="s">
        <v>2638</v>
      </c>
      <c r="J67" s="1472"/>
      <c r="K67" s="164"/>
      <c r="L67" s="1447"/>
      <c r="M67" s="1447"/>
      <c r="N67" s="1447"/>
      <c r="O67" s="1447"/>
      <c r="P67" s="1447"/>
      <c r="Q67" s="1447"/>
    </row>
    <row r="68" spans="1:17">
      <c r="A68" s="1447"/>
      <c r="B68" s="1484" t="s">
        <v>692</v>
      </c>
      <c r="C68" s="1509" t="s">
        <v>29</v>
      </c>
      <c r="D68" s="319">
        <f>D76/Bus!D75-1</f>
        <v>0.32572758769333698</v>
      </c>
      <c r="E68" s="319">
        <f>(D68+F68)/2</f>
        <v>0.26286379384666847</v>
      </c>
      <c r="F68" s="319">
        <v>0.2</v>
      </c>
      <c r="G68" s="319">
        <v>0.2</v>
      </c>
      <c r="H68" s="319"/>
      <c r="I68" s="1471" t="s">
        <v>2637</v>
      </c>
      <c r="J68" s="1574"/>
      <c r="K68" s="164"/>
      <c r="L68" s="1447"/>
      <c r="M68" s="1447"/>
      <c r="N68" s="1447"/>
      <c r="O68" s="1447"/>
      <c r="P68" s="1447"/>
      <c r="Q68" s="1447"/>
    </row>
    <row r="69" spans="1:17">
      <c r="A69" s="1447"/>
      <c r="B69" s="1484" t="s">
        <v>268</v>
      </c>
      <c r="C69" s="1509" t="s">
        <v>269</v>
      </c>
      <c r="D69" s="311">
        <v>67000</v>
      </c>
      <c r="E69" s="311">
        <v>67000</v>
      </c>
      <c r="F69" s="311">
        <v>67000</v>
      </c>
      <c r="G69" s="311">
        <v>67000</v>
      </c>
      <c r="H69" s="311"/>
      <c r="I69" s="1471" t="str">
        <f>Referencer!$B$74</f>
        <v>70, RAMMEVILKÅR FOR GAS TIL TUNG VEJTRANSPORT, Energistyrelsen, 2014</v>
      </c>
      <c r="J69" s="1574"/>
      <c r="K69" s="164"/>
      <c r="L69" s="1447"/>
      <c r="M69" s="1447"/>
      <c r="N69" s="1447"/>
      <c r="O69" s="1447"/>
      <c r="P69" s="1447"/>
      <c r="Q69" s="1447"/>
    </row>
    <row r="70" spans="1:17">
      <c r="A70" s="1447"/>
      <c r="B70" s="1484" t="s">
        <v>271</v>
      </c>
      <c r="C70" s="1573" t="s">
        <v>55</v>
      </c>
      <c r="D70" s="370">
        <f>123950/D69</f>
        <v>1.85</v>
      </c>
      <c r="E70" s="370">
        <f>123950/E69</f>
        <v>1.85</v>
      </c>
      <c r="F70" s="370">
        <f>123950/F69</f>
        <v>1.85</v>
      </c>
      <c r="G70" s="370">
        <f>123950/G69</f>
        <v>1.85</v>
      </c>
      <c r="H70" s="370"/>
      <c r="I70" s="1471" t="str">
        <f>Referencer!$B$74</f>
        <v>70, RAMMEVILKÅR FOR GAS TIL TUNG VEJTRANSPORT, Energistyrelsen, 2014</v>
      </c>
      <c r="J70" s="353"/>
      <c r="K70" s="164"/>
      <c r="L70" s="1447"/>
      <c r="M70" s="1447"/>
      <c r="N70" s="1447"/>
      <c r="O70" s="1447"/>
      <c r="P70" s="1447"/>
      <c r="Q70" s="1447"/>
    </row>
    <row r="71" spans="1:17">
      <c r="A71" s="1447"/>
      <c r="B71" s="1572" t="s">
        <v>563</v>
      </c>
      <c r="C71" s="1573" t="s">
        <v>2634</v>
      </c>
      <c r="D71" s="387">
        <f>100/50.13</f>
        <v>1.9948134849391581</v>
      </c>
      <c r="E71" s="387">
        <f>Bus!E70/(1+E68)*Supplementary!G170/Supplementary!G164</f>
        <v>2.2038044511367101</v>
      </c>
      <c r="F71" s="387">
        <f>Bus!F70/(1+F68)*Supplementary!G170/Supplementary!G164</f>
        <v>2.4556807500517777</v>
      </c>
      <c r="G71" s="387">
        <f>Bus!G70/(1+G68)*Supplementary!G170/Supplementary!G164</f>
        <v>2.4556807500517777</v>
      </c>
      <c r="H71" s="387"/>
      <c r="I71" s="1471"/>
      <c r="J71" s="1574"/>
      <c r="K71" s="164"/>
      <c r="L71" s="1447"/>
      <c r="M71" s="333"/>
      <c r="N71" s="334"/>
      <c r="O71" s="334"/>
      <c r="P71" s="1447"/>
      <c r="Q71" s="1447"/>
    </row>
    <row r="72" spans="1:17">
      <c r="A72" s="1447"/>
      <c r="B72" s="1572" t="s">
        <v>564</v>
      </c>
      <c r="C72" s="1573" t="s">
        <v>29</v>
      </c>
      <c r="D72" s="379">
        <f>D67/D76</f>
        <v>0.24369782003183005</v>
      </c>
      <c r="E72" s="379">
        <f>E67/E76</f>
        <v>0.26922935130190395</v>
      </c>
      <c r="F72" s="379">
        <f>F67/F76</f>
        <v>0.30000000000000004</v>
      </c>
      <c r="G72" s="379">
        <f>G67/G76</f>
        <v>0.30000000000000004</v>
      </c>
      <c r="H72" s="379"/>
      <c r="I72" s="1471"/>
      <c r="J72" s="1574"/>
      <c r="K72" s="164"/>
      <c r="L72" s="1447"/>
      <c r="M72" s="1447"/>
      <c r="N72" s="1447"/>
      <c r="O72" s="1447"/>
      <c r="P72" s="1447"/>
      <c r="Q72" s="1447"/>
    </row>
    <row r="73" spans="1:17" ht="13.5" thickBot="1">
      <c r="A73" s="1447"/>
      <c r="B73" s="320"/>
      <c r="C73" s="321"/>
      <c r="D73" s="376"/>
      <c r="E73" s="376"/>
      <c r="F73" s="376"/>
      <c r="G73" s="376"/>
      <c r="H73" s="376"/>
      <c r="I73" s="1471"/>
      <c r="J73" s="1534"/>
      <c r="K73" s="164"/>
      <c r="L73" s="1447"/>
      <c r="M73" s="1447"/>
      <c r="N73" s="1447"/>
      <c r="O73" s="1447"/>
      <c r="P73" s="1447"/>
      <c r="Q73" s="1447"/>
    </row>
    <row r="74" spans="1:17">
      <c r="A74" s="1447"/>
      <c r="B74" s="1447"/>
      <c r="C74" s="1447"/>
      <c r="D74" s="1580"/>
      <c r="E74" s="1580"/>
      <c r="F74" s="1580"/>
      <c r="G74" s="1580"/>
      <c r="H74" s="1580"/>
      <c r="I74" s="1447"/>
      <c r="J74" s="1447"/>
      <c r="K74" s="164"/>
      <c r="L74" s="1447"/>
      <c r="M74" s="1447"/>
      <c r="N74" s="1447"/>
      <c r="O74" s="1447"/>
      <c r="P74" s="1447"/>
      <c r="Q74" s="1447"/>
    </row>
    <row r="75" spans="1:17" ht="16.5" thickBot="1">
      <c r="A75" s="1447"/>
      <c r="B75" s="1504" t="s">
        <v>172</v>
      </c>
      <c r="C75" s="1447"/>
      <c r="D75" s="1447"/>
      <c r="E75" s="1447"/>
      <c r="F75" s="334"/>
      <c r="G75" s="1447"/>
      <c r="I75" s="1447"/>
      <c r="J75" s="1447"/>
      <c r="K75" s="164"/>
      <c r="L75" s="1447"/>
      <c r="M75" s="1447"/>
      <c r="N75" s="1447"/>
      <c r="O75" s="1447"/>
      <c r="P75" s="1447"/>
      <c r="Q75" s="1447"/>
    </row>
    <row r="76" spans="1:17">
      <c r="A76" s="1447"/>
      <c r="B76" s="1455" t="s">
        <v>273</v>
      </c>
      <c r="C76" s="1449"/>
      <c r="D76" s="441">
        <f>Supplementary!$G$170/D71</f>
        <v>19.781298</v>
      </c>
      <c r="E76" s="441">
        <f>Supplementary!$G$170/E71</f>
        <v>17.90539990045249</v>
      </c>
      <c r="F76" s="441">
        <f>Supplementary!$G$170/F71</f>
        <v>16.068863999999998</v>
      </c>
      <c r="G76" s="441">
        <f>Supplementary!$G$170/G71</f>
        <v>16.068863999999998</v>
      </c>
      <c r="H76" s="441"/>
      <c r="I76" s="1449"/>
      <c r="J76" s="1450"/>
      <c r="K76" s="164"/>
      <c r="L76" s="1447"/>
      <c r="M76" s="1447"/>
      <c r="N76" s="1447"/>
      <c r="O76" s="1447"/>
      <c r="P76" s="1447"/>
      <c r="Q76" s="1447"/>
    </row>
    <row r="77" spans="1:17">
      <c r="A77" s="1447"/>
      <c r="B77" s="1484"/>
      <c r="C77" s="1471"/>
      <c r="D77" s="260"/>
      <c r="E77" s="260"/>
      <c r="F77" s="260"/>
      <c r="G77" s="260"/>
      <c r="H77" s="260"/>
      <c r="I77" s="1471"/>
      <c r="J77" s="1472"/>
      <c r="K77" s="164"/>
      <c r="L77" s="1447"/>
      <c r="M77" s="1447"/>
      <c r="N77" s="1447"/>
      <c r="O77" s="1447"/>
      <c r="P77" s="1447"/>
      <c r="Q77" s="1447"/>
    </row>
    <row r="78" spans="1:17">
      <c r="A78" s="1447"/>
      <c r="B78" s="1484" t="s">
        <v>24</v>
      </c>
      <c r="C78" s="1471" t="s">
        <v>7</v>
      </c>
      <c r="D78" s="372">
        <f>D88/1000*D$76</f>
        <v>1122.39084852</v>
      </c>
      <c r="E78" s="372">
        <f>E88/1000*E$76</f>
        <v>1015.9523903516744</v>
      </c>
      <c r="F78" s="372">
        <f>F88/1000*F$76</f>
        <v>911.74734335999995</v>
      </c>
      <c r="G78" s="372">
        <f>G88/1000*G$76</f>
        <v>911.74734335999995</v>
      </c>
      <c r="H78" s="372"/>
      <c r="I78" s="1471"/>
      <c r="J78" s="1472"/>
      <c r="K78" s="164"/>
      <c r="L78" s="1447"/>
      <c r="M78" s="1447"/>
      <c r="N78" s="1447"/>
      <c r="O78" s="1447"/>
      <c r="P78" s="1447"/>
      <c r="Q78" s="1447"/>
    </row>
    <row r="79" spans="1:17">
      <c r="A79" s="1447"/>
      <c r="B79" s="1484" t="s">
        <v>27</v>
      </c>
      <c r="C79" s="1471" t="s">
        <v>7</v>
      </c>
      <c r="D79" s="389">
        <f>D89/1000*D$67</f>
        <v>1.4729791999999999</v>
      </c>
      <c r="E79" s="389">
        <f>E89/1000*E$67</f>
        <v>0.66953600000000002</v>
      </c>
      <c r="F79" s="389">
        <f>F89/1000*F$67</f>
        <v>0.66953600000000002</v>
      </c>
      <c r="G79" s="389">
        <f>G89/1000*G$67</f>
        <v>0.66953600000000002</v>
      </c>
      <c r="H79" s="389"/>
      <c r="I79" s="1471"/>
      <c r="J79" s="1472" t="s">
        <v>695</v>
      </c>
      <c r="K79" s="164"/>
      <c r="L79" s="1447"/>
      <c r="M79" s="1447"/>
      <c r="N79" s="1447"/>
      <c r="O79" s="1447"/>
      <c r="P79" s="1447"/>
      <c r="Q79" s="1447"/>
    </row>
    <row r="80" spans="1:17">
      <c r="A80" s="1447"/>
      <c r="B80" s="1484" t="s">
        <v>28</v>
      </c>
      <c r="C80" s="1471" t="s">
        <v>7</v>
      </c>
      <c r="D80" s="372">
        <f t="shared" ref="D80:G83" si="2">D90/1000*D$76</f>
        <v>5.7032303578782272E-2</v>
      </c>
      <c r="E80" s="372">
        <f t="shared" si="2"/>
        <v>6.8342124354024217E-2</v>
      </c>
      <c r="F80" s="372">
        <f t="shared" si="2"/>
        <v>6.1332352688093304E-2</v>
      </c>
      <c r="G80" s="372">
        <f t="shared" si="2"/>
        <v>6.1332352688093304E-2</v>
      </c>
      <c r="H80" s="372"/>
      <c r="I80" s="1471"/>
      <c r="J80" s="1472"/>
      <c r="K80" s="164"/>
      <c r="L80" s="1447"/>
      <c r="M80" s="1447"/>
      <c r="N80" s="1447"/>
      <c r="O80" s="1447"/>
      <c r="P80" s="1447"/>
      <c r="Q80" s="1447"/>
    </row>
    <row r="81" spans="1:17">
      <c r="A81" s="1447"/>
      <c r="B81" s="1484" t="s">
        <v>26</v>
      </c>
      <c r="C81" s="1471" t="s">
        <v>7</v>
      </c>
      <c r="D81" s="372">
        <f t="shared" si="2"/>
        <v>9.2650472566497052E-3</v>
      </c>
      <c r="E81" s="372">
        <f t="shared" si="2"/>
        <v>8.3864252096552631E-3</v>
      </c>
      <c r="F81" s="372">
        <f t="shared" si="2"/>
        <v>7.5262393964580674E-3</v>
      </c>
      <c r="G81" s="372">
        <f t="shared" si="2"/>
        <v>7.5262393964580674E-3</v>
      </c>
      <c r="H81" s="372"/>
      <c r="I81" s="1471"/>
      <c r="J81" s="1574"/>
      <c r="K81" s="335"/>
      <c r="L81" s="1447"/>
      <c r="M81" s="1447"/>
      <c r="N81" s="1447"/>
      <c r="O81" s="1447"/>
      <c r="P81" s="1447"/>
      <c r="Q81" s="1447"/>
    </row>
    <row r="82" spans="1:17">
      <c r="A82" s="1447"/>
      <c r="B82" s="1572" t="s">
        <v>25</v>
      </c>
      <c r="C82" s="1471" t="s">
        <v>7</v>
      </c>
      <c r="D82" s="372">
        <f t="shared" si="2"/>
        <v>8.3320295530096367</v>
      </c>
      <c r="E82" s="372">
        <f t="shared" si="2"/>
        <v>0.76838496059016281</v>
      </c>
      <c r="F82" s="372">
        <f t="shared" si="2"/>
        <v>0.68957261496609512</v>
      </c>
      <c r="G82" s="372">
        <f t="shared" si="2"/>
        <v>0.68957261496609512</v>
      </c>
      <c r="H82" s="372"/>
      <c r="I82" s="1471"/>
      <c r="J82" s="1574"/>
      <c r="K82" s="164"/>
      <c r="L82" s="1447"/>
      <c r="M82" s="1447"/>
      <c r="N82" s="1447"/>
      <c r="O82" s="1447"/>
      <c r="P82" s="1447"/>
      <c r="Q82" s="1447"/>
    </row>
    <row r="83" spans="1:17">
      <c r="A83" s="1447"/>
      <c r="B83" s="1484" t="s">
        <v>45</v>
      </c>
      <c r="C83" s="1471" t="s">
        <v>7</v>
      </c>
      <c r="D83" s="372">
        <f t="shared" si="2"/>
        <v>6.5019109178223899E-2</v>
      </c>
      <c r="E83" s="372">
        <f t="shared" si="2"/>
        <v>8.8019957839842403E-3</v>
      </c>
      <c r="F83" s="372">
        <f t="shared" si="2"/>
        <v>7.8991853836139006E-3</v>
      </c>
      <c r="G83" s="372">
        <f t="shared" si="2"/>
        <v>7.8991853836139006E-3</v>
      </c>
      <c r="H83" s="372"/>
      <c r="I83" s="1471"/>
      <c r="J83" s="1574"/>
      <c r="K83" s="335"/>
      <c r="L83" s="1447"/>
      <c r="M83" s="1447"/>
      <c r="N83" s="1447"/>
      <c r="O83" s="1447"/>
      <c r="P83" s="1447"/>
      <c r="Q83" s="1447"/>
    </row>
    <row r="84" spans="1:17" ht="13.5" thickBot="1">
      <c r="A84" s="1447"/>
      <c r="B84" s="1521"/>
      <c r="C84" s="1501"/>
      <c r="D84" s="262"/>
      <c r="E84" s="262"/>
      <c r="F84" s="262"/>
      <c r="G84" s="262"/>
      <c r="H84" s="262"/>
      <c r="I84" s="1501"/>
      <c r="J84" s="1503"/>
      <c r="K84" s="1447"/>
      <c r="L84" s="1447"/>
      <c r="M84" s="1447"/>
      <c r="N84" s="1447"/>
      <c r="O84" s="1447"/>
      <c r="P84" s="1447"/>
      <c r="Q84" s="1447"/>
    </row>
    <row r="85" spans="1:17">
      <c r="A85" s="1447"/>
      <c r="B85" s="1447"/>
      <c r="C85" s="1447"/>
      <c r="D85" s="1447"/>
      <c r="E85" s="1447"/>
      <c r="F85" s="1447"/>
      <c r="G85" s="1447"/>
      <c r="I85" s="1447"/>
      <c r="J85" s="1447"/>
      <c r="K85" s="1447"/>
      <c r="L85" s="1447"/>
      <c r="M85" s="1447"/>
      <c r="N85" s="1447"/>
      <c r="O85" s="1447"/>
      <c r="P85" s="1447"/>
      <c r="Q85" s="1447"/>
    </row>
    <row r="86" spans="1:17" ht="13.5" thickBot="1">
      <c r="A86" s="1447"/>
      <c r="B86" s="1446" t="s">
        <v>521</v>
      </c>
      <c r="C86" s="1447"/>
      <c r="D86" s="1447"/>
      <c r="E86" s="1447"/>
      <c r="F86" s="1447"/>
      <c r="G86" s="1447"/>
      <c r="I86" s="1447"/>
      <c r="J86" s="1447"/>
      <c r="K86" s="1447"/>
      <c r="L86" s="1447"/>
      <c r="M86" s="1447"/>
      <c r="N86" s="1447"/>
      <c r="O86" s="1447"/>
      <c r="P86" s="1447"/>
      <c r="Q86" s="1447"/>
    </row>
    <row r="87" spans="1:17">
      <c r="A87" s="1447"/>
      <c r="B87" s="1455"/>
      <c r="C87" s="1449"/>
      <c r="D87" s="367">
        <v>2015</v>
      </c>
      <c r="E87" s="367">
        <v>2020</v>
      </c>
      <c r="F87" s="367">
        <v>2035</v>
      </c>
      <c r="G87" s="367"/>
      <c r="H87" s="367"/>
      <c r="I87" s="1449"/>
      <c r="J87" s="1450"/>
      <c r="K87" s="1447"/>
      <c r="L87" s="1447"/>
      <c r="M87" s="1447"/>
      <c r="N87" s="1447"/>
      <c r="O87" s="1447"/>
      <c r="P87" s="1447"/>
      <c r="Q87" s="1447"/>
    </row>
    <row r="88" spans="1:17">
      <c r="A88" s="1447"/>
      <c r="B88" s="1487" t="s">
        <v>24</v>
      </c>
      <c r="C88" s="323" t="s">
        <v>203</v>
      </c>
      <c r="D88" s="324">
        <f>Supplementary!$E$67</f>
        <v>56740</v>
      </c>
      <c r="E88" s="324">
        <f>Supplementary!$E$67</f>
        <v>56740</v>
      </c>
      <c r="F88" s="324">
        <f>Supplementary!$E$67</f>
        <v>56740</v>
      </c>
      <c r="G88" s="324">
        <f t="shared" ref="G88:G93" si="3">F88</f>
        <v>56740</v>
      </c>
      <c r="H88" s="324"/>
      <c r="I88" s="1471"/>
      <c r="J88" s="1472"/>
      <c r="K88" s="1447"/>
      <c r="L88" s="1447"/>
      <c r="M88" s="1447"/>
      <c r="N88" s="1447"/>
      <c r="O88" s="1447"/>
      <c r="P88" s="1447"/>
      <c r="Q88" s="1447"/>
    </row>
    <row r="89" spans="1:17">
      <c r="A89" s="1447"/>
      <c r="B89" s="1487" t="s">
        <v>27</v>
      </c>
      <c r="C89" s="1471" t="s">
        <v>203</v>
      </c>
      <c r="D89" s="388">
        <f>Supplementary!$S$71</f>
        <v>305.5555555555556</v>
      </c>
      <c r="E89" s="388">
        <f>Supplementary!$U$71</f>
        <v>138.88888888888889</v>
      </c>
      <c r="F89" s="388">
        <f>Supplementary!$U$71</f>
        <v>138.88888888888889</v>
      </c>
      <c r="G89" s="388">
        <f t="shared" si="3"/>
        <v>138.88888888888889</v>
      </c>
      <c r="H89" s="388"/>
      <c r="I89" s="1471" t="str">
        <f>Referencer!$B$34</f>
        <v>28, Oplysninger per email fra Niels Frees, Trafikstyrelsen, bekræftet af ENS. 07-09-2012.</v>
      </c>
      <c r="J89" s="1574" t="s">
        <v>694</v>
      </c>
      <c r="K89" s="1447"/>
      <c r="L89" s="1447"/>
      <c r="M89" s="1447"/>
      <c r="N89" s="1447"/>
      <c r="O89" s="1447"/>
      <c r="P89" s="1447"/>
      <c r="Q89" s="1447"/>
    </row>
    <row r="90" spans="1:17">
      <c r="A90" s="1447"/>
      <c r="B90" s="1487" t="s">
        <v>28</v>
      </c>
      <c r="C90" s="1471" t="s">
        <v>203</v>
      </c>
      <c r="D90" s="291">
        <f>Supplementary!AF79</f>
        <v>2.8831426319335707</v>
      </c>
      <c r="E90" s="291">
        <f>Supplementary!AG79</f>
        <v>3.8168443449451881</v>
      </c>
      <c r="F90" s="291">
        <f>Supplementary!AH79</f>
        <v>3.8168443449451881</v>
      </c>
      <c r="G90" s="291">
        <f t="shared" si="3"/>
        <v>3.8168443449451881</v>
      </c>
      <c r="H90" s="291"/>
      <c r="I90" s="1471"/>
      <c r="J90" s="1472"/>
      <c r="K90" s="1447"/>
      <c r="L90" s="1447"/>
      <c r="M90" s="1447"/>
      <c r="N90" s="1447"/>
      <c r="O90" s="1447"/>
      <c r="P90" s="1447"/>
      <c r="Q90" s="1447"/>
    </row>
    <row r="91" spans="1:17">
      <c r="A91" s="1447"/>
      <c r="B91" s="1487" t="s">
        <v>26</v>
      </c>
      <c r="C91" s="1471" t="s">
        <v>203</v>
      </c>
      <c r="D91" s="291">
        <f>Supplementary!AF80</f>
        <v>0.46837408023728805</v>
      </c>
      <c r="E91" s="291">
        <f>Supplementary!AG80</f>
        <v>0.46837408023728799</v>
      </c>
      <c r="F91" s="291">
        <f>Supplementary!AH80</f>
        <v>0.46837408023728799</v>
      </c>
      <c r="G91" s="291">
        <f t="shared" si="3"/>
        <v>0.46837408023728799</v>
      </c>
      <c r="H91" s="291"/>
      <c r="I91" s="1471"/>
      <c r="J91" s="1472" t="s">
        <v>696</v>
      </c>
      <c r="K91" s="1447"/>
      <c r="L91" s="1447"/>
      <c r="M91" s="1447"/>
      <c r="N91" s="1447"/>
      <c r="O91" s="1447"/>
      <c r="P91" s="1447"/>
      <c r="Q91" s="1447"/>
    </row>
    <row r="92" spans="1:17">
      <c r="A92" s="1447"/>
      <c r="B92" s="1476" t="s">
        <v>25</v>
      </c>
      <c r="C92" s="1471" t="s">
        <v>203</v>
      </c>
      <c r="D92" s="324">
        <f>Supplementary!AF81</f>
        <v>421.20742294108487</v>
      </c>
      <c r="E92" s="324">
        <f>Supplementary!AG81</f>
        <v>42.913588351117738</v>
      </c>
      <c r="F92" s="324">
        <f>Supplementary!AH81</f>
        <v>42.913588351117738</v>
      </c>
      <c r="G92" s="324">
        <f t="shared" si="3"/>
        <v>42.913588351117738</v>
      </c>
      <c r="H92" s="324"/>
      <c r="I92" s="1471"/>
      <c r="J92" s="1472"/>
      <c r="K92" s="1447"/>
      <c r="L92" s="1447"/>
      <c r="M92" s="1447"/>
      <c r="N92" s="1447"/>
      <c r="O92" s="1447"/>
      <c r="P92" s="1447"/>
      <c r="Q92" s="1447"/>
    </row>
    <row r="93" spans="1:17" ht="13.5" thickBot="1">
      <c r="A93" s="1447"/>
      <c r="B93" s="1578" t="s">
        <v>45</v>
      </c>
      <c r="C93" s="1501" t="s">
        <v>203</v>
      </c>
      <c r="D93" s="365">
        <f>Supplementary!AF82</f>
        <v>3.2868980174215006</v>
      </c>
      <c r="E93" s="365">
        <f>Supplementary!AG82</f>
        <v>0.49158331190144505</v>
      </c>
      <c r="F93" s="365">
        <f>Supplementary!AH82</f>
        <v>0.49158331190144505</v>
      </c>
      <c r="G93" s="365">
        <f t="shared" si="3"/>
        <v>0.49158331190144505</v>
      </c>
      <c r="H93" s="365"/>
      <c r="I93" s="1501"/>
      <c r="J93" s="1503"/>
      <c r="K93" s="1447"/>
      <c r="L93" s="1447"/>
      <c r="M93" s="1447"/>
      <c r="N93" s="1447"/>
      <c r="O93" s="1447"/>
      <c r="P93" s="1447"/>
      <c r="Q93" s="1447"/>
    </row>
    <row r="94" spans="1:17">
      <c r="A94" s="1447"/>
      <c r="B94" s="1447"/>
      <c r="C94" s="1447"/>
      <c r="D94" s="1447"/>
      <c r="E94" s="1447"/>
      <c r="F94" s="1447"/>
      <c r="G94" s="1447"/>
      <c r="I94" s="1447"/>
      <c r="J94" s="1447"/>
      <c r="K94" s="1447"/>
      <c r="L94" s="1447"/>
      <c r="M94" s="1447"/>
      <c r="N94" s="1447"/>
      <c r="O94" s="1447"/>
      <c r="P94" s="1447"/>
      <c r="Q94" s="1447"/>
    </row>
    <row r="95" spans="1:17">
      <c r="A95" s="1447"/>
      <c r="B95" s="1447"/>
      <c r="C95" s="1447"/>
      <c r="D95" s="1447"/>
      <c r="E95" s="1447"/>
      <c r="F95" s="1447"/>
      <c r="G95" s="1447"/>
      <c r="H95" s="1535"/>
      <c r="I95" s="1447"/>
      <c r="J95" s="1447"/>
      <c r="K95" s="1447"/>
      <c r="L95" s="1447"/>
      <c r="M95" s="1447"/>
      <c r="N95" s="1447"/>
      <c r="O95" s="1447"/>
      <c r="P95" s="1447"/>
      <c r="Q95" s="1447"/>
    </row>
    <row r="96" spans="1:17">
      <c r="A96" s="1447"/>
      <c r="B96" s="1447"/>
      <c r="C96" s="1447"/>
      <c r="D96" s="1447"/>
      <c r="E96" s="1447"/>
      <c r="F96" s="1447"/>
      <c r="G96" s="1447"/>
      <c r="H96" s="1535"/>
      <c r="I96" s="1447"/>
      <c r="J96" s="1447"/>
      <c r="K96" s="1447"/>
      <c r="L96" s="1447"/>
      <c r="M96" s="1447"/>
      <c r="N96" s="1447"/>
      <c r="O96" s="1447"/>
      <c r="P96" s="1447"/>
      <c r="Q96" s="1447"/>
    </row>
    <row r="97" spans="1:17">
      <c r="A97" s="1447"/>
      <c r="B97" s="1447"/>
      <c r="C97" s="1447"/>
      <c r="D97" s="1447"/>
      <c r="E97" s="1447"/>
      <c r="F97" s="1447"/>
      <c r="G97" s="1447"/>
      <c r="H97" s="1535"/>
      <c r="I97" s="1447"/>
      <c r="J97" s="1447"/>
      <c r="K97" s="1447"/>
      <c r="L97" s="1447"/>
      <c r="M97" s="1447"/>
      <c r="N97" s="1447"/>
      <c r="O97" s="1447"/>
      <c r="P97" s="1447"/>
      <c r="Q97" s="1447"/>
    </row>
    <row r="98" spans="1:17">
      <c r="A98" s="1447"/>
      <c r="B98" s="1447"/>
      <c r="C98" s="1447"/>
      <c r="D98" s="1447"/>
      <c r="E98" s="1447"/>
      <c r="F98" s="1447"/>
      <c r="G98" s="1447"/>
      <c r="H98" s="1535"/>
      <c r="I98" s="1447"/>
      <c r="J98" s="1447"/>
      <c r="K98" s="1447"/>
      <c r="L98" s="1447"/>
      <c r="M98" s="1447"/>
      <c r="N98" s="1447"/>
      <c r="O98" s="1447"/>
      <c r="P98" s="1447"/>
      <c r="Q98" s="1447"/>
    </row>
    <row r="99" spans="1:17">
      <c r="A99" s="1447"/>
      <c r="B99" s="1447"/>
      <c r="C99" s="1447"/>
      <c r="D99" s="1447"/>
      <c r="E99" s="1447"/>
      <c r="F99" s="1447"/>
      <c r="G99" s="1447"/>
      <c r="H99" s="1535"/>
      <c r="I99" s="1447"/>
      <c r="J99" s="1447"/>
      <c r="K99" s="1447"/>
      <c r="L99" s="1447"/>
      <c r="M99" s="1447"/>
      <c r="N99" s="1447"/>
      <c r="O99" s="1447"/>
      <c r="P99" s="1447"/>
      <c r="Q99" s="1447"/>
    </row>
    <row r="100" spans="1:17">
      <c r="A100" s="1447"/>
      <c r="B100" s="1447"/>
      <c r="C100" s="1447"/>
      <c r="D100" s="1447"/>
      <c r="E100" s="1447"/>
      <c r="F100" s="1447"/>
      <c r="G100" s="1447"/>
      <c r="I100" s="1447"/>
      <c r="J100" s="1447"/>
      <c r="K100" s="1447"/>
      <c r="L100" s="1447"/>
      <c r="M100" s="1447"/>
      <c r="N100" s="1447"/>
      <c r="O100" s="1447"/>
      <c r="P100" s="1447"/>
      <c r="Q100" s="1447"/>
    </row>
    <row r="101" spans="1:17">
      <c r="A101" s="1447"/>
      <c r="B101" s="1447"/>
      <c r="C101" s="1447"/>
      <c r="D101" s="1447"/>
      <c r="E101" s="1447"/>
      <c r="F101" s="1447"/>
      <c r="G101" s="1447"/>
      <c r="I101" s="1447"/>
      <c r="J101" s="1447"/>
      <c r="K101" s="1447"/>
      <c r="L101" s="1447"/>
      <c r="M101" s="1447"/>
      <c r="N101" s="1447"/>
      <c r="O101" s="1447"/>
      <c r="P101" s="1447"/>
      <c r="Q101" s="1447"/>
    </row>
    <row r="102" spans="1:17">
      <c r="A102" s="1447"/>
      <c r="B102" s="1447"/>
      <c r="C102" s="1447"/>
      <c r="D102" s="1447"/>
      <c r="E102" s="1447"/>
      <c r="F102" s="1447"/>
      <c r="G102" s="1447"/>
      <c r="I102" s="1447"/>
      <c r="J102" s="1447"/>
      <c r="K102" s="1447"/>
      <c r="L102" s="1447"/>
      <c r="M102" s="1447"/>
      <c r="N102" s="1447"/>
      <c r="O102" s="1447"/>
      <c r="P102" s="1447"/>
      <c r="Q102" s="1447"/>
    </row>
    <row r="103" spans="1:17">
      <c r="A103" s="1447"/>
      <c r="B103" s="1447"/>
      <c r="C103" s="1447"/>
      <c r="D103" s="1447"/>
      <c r="E103" s="1447"/>
      <c r="F103" s="1447"/>
      <c r="G103" s="1447"/>
      <c r="I103" s="1447"/>
      <c r="J103" s="1447"/>
      <c r="K103" s="1447"/>
      <c r="L103" s="1447"/>
      <c r="M103" s="1447"/>
      <c r="N103" s="1447"/>
      <c r="O103" s="1447"/>
      <c r="P103" s="1447"/>
      <c r="Q103" s="1447"/>
    </row>
    <row r="104" spans="1:17">
      <c r="A104" s="1447"/>
      <c r="B104" s="1447"/>
      <c r="C104" s="1447"/>
      <c r="D104" s="1447"/>
      <c r="E104" s="1447"/>
      <c r="F104" s="1447"/>
      <c r="G104" s="1447"/>
      <c r="I104" s="1447"/>
      <c r="J104" s="1447"/>
      <c r="K104" s="1447"/>
      <c r="L104" s="1447"/>
      <c r="M104" s="1447"/>
      <c r="N104" s="1447"/>
      <c r="O104" s="1447"/>
      <c r="P104" s="1447"/>
      <c r="Q104" s="1447"/>
    </row>
    <row r="105" spans="1:17">
      <c r="A105" s="1447"/>
      <c r="B105" s="1447"/>
      <c r="C105" s="1447"/>
      <c r="D105" s="1447"/>
      <c r="E105" s="1447"/>
      <c r="F105" s="1447"/>
      <c r="G105" s="1447"/>
      <c r="I105" s="1447"/>
      <c r="J105" s="1447"/>
      <c r="K105" s="1447"/>
      <c r="L105" s="1447"/>
      <c r="M105" s="1447"/>
      <c r="N105" s="1447"/>
      <c r="O105" s="1447"/>
      <c r="P105" s="1447"/>
      <c r="Q105" s="1447"/>
    </row>
    <row r="106" spans="1:17">
      <c r="A106" s="1447"/>
      <c r="B106" s="1447"/>
      <c r="C106" s="1447"/>
      <c r="D106" s="1447"/>
      <c r="E106" s="1447"/>
      <c r="F106" s="1447"/>
      <c r="G106" s="1447"/>
      <c r="I106" s="1447"/>
      <c r="J106" s="1447"/>
      <c r="K106" s="1447"/>
      <c r="L106" s="1447"/>
      <c r="M106" s="1447"/>
      <c r="N106" s="1447"/>
      <c r="O106" s="1447"/>
      <c r="P106" s="1447"/>
      <c r="Q106" s="1447"/>
    </row>
    <row r="107" spans="1:17">
      <c r="A107" s="1447"/>
      <c r="B107" s="1447"/>
      <c r="C107" s="1447"/>
      <c r="D107" s="1447"/>
      <c r="E107" s="1447"/>
      <c r="F107" s="1447"/>
      <c r="G107" s="1447"/>
      <c r="I107" s="1447"/>
      <c r="J107" s="1447"/>
      <c r="K107" s="1447"/>
      <c r="L107" s="1447"/>
      <c r="M107" s="1447"/>
      <c r="N107" s="1447"/>
      <c r="O107" s="1447"/>
      <c r="P107" s="1447"/>
      <c r="Q107" s="1447"/>
    </row>
    <row r="108" spans="1:17">
      <c r="A108" s="1447"/>
      <c r="B108" s="1447"/>
      <c r="C108" s="1447"/>
      <c r="D108" s="1447"/>
      <c r="E108" s="1447"/>
      <c r="F108" s="1447"/>
      <c r="G108" s="1447"/>
      <c r="I108" s="1447"/>
      <c r="J108" s="1447"/>
      <c r="K108" s="1447"/>
      <c r="L108" s="1447"/>
      <c r="M108" s="1447"/>
      <c r="N108" s="1447"/>
      <c r="O108" s="1447"/>
      <c r="P108" s="1447"/>
      <c r="Q108" s="1447"/>
    </row>
    <row r="109" spans="1:17">
      <c r="A109" s="1447"/>
      <c r="B109" s="1447"/>
      <c r="C109" s="1447"/>
      <c r="D109" s="1447"/>
      <c r="E109" s="1447"/>
      <c r="F109" s="1447"/>
      <c r="G109" s="1447"/>
      <c r="I109" s="1447"/>
      <c r="J109" s="1447"/>
      <c r="K109" s="1447"/>
      <c r="L109" s="1447"/>
      <c r="M109" s="1447"/>
      <c r="N109" s="1447"/>
      <c r="O109" s="1447"/>
      <c r="P109" s="1447"/>
      <c r="Q109" s="1447"/>
    </row>
    <row r="110" spans="1:17">
      <c r="A110" s="1447"/>
      <c r="B110" s="1447"/>
      <c r="C110" s="1447"/>
      <c r="D110" s="1447"/>
      <c r="E110" s="1447"/>
      <c r="F110" s="1447"/>
      <c r="G110" s="1447"/>
      <c r="I110" s="1447"/>
      <c r="J110" s="1447"/>
      <c r="K110" s="1447"/>
      <c r="L110" s="1447"/>
      <c r="M110" s="1447"/>
      <c r="N110" s="1447"/>
      <c r="O110" s="1447"/>
      <c r="P110" s="1447"/>
      <c r="Q110" s="1447"/>
    </row>
    <row r="111" spans="1:17">
      <c r="A111" s="1447"/>
      <c r="B111" s="1447"/>
      <c r="C111" s="1447"/>
      <c r="D111" s="1447"/>
      <c r="E111" s="1447"/>
      <c r="F111" s="1447"/>
      <c r="G111" s="1447"/>
      <c r="I111" s="1447"/>
      <c r="J111" s="1447"/>
      <c r="K111" s="1447"/>
      <c r="L111" s="1447"/>
      <c r="M111" s="1447"/>
      <c r="N111" s="1447"/>
      <c r="O111" s="1447"/>
      <c r="P111" s="1447"/>
      <c r="Q111" s="1447"/>
    </row>
    <row r="112" spans="1:17">
      <c r="A112" s="1447"/>
      <c r="B112" s="1447"/>
      <c r="C112" s="1447"/>
      <c r="D112" s="1447"/>
      <c r="E112" s="1447"/>
      <c r="F112" s="1447"/>
      <c r="G112" s="1447"/>
      <c r="I112" s="1447"/>
      <c r="J112" s="1447"/>
      <c r="K112" s="1447"/>
      <c r="L112" s="1447"/>
      <c r="M112" s="1447"/>
      <c r="N112" s="1447"/>
      <c r="O112" s="1447"/>
      <c r="P112" s="1447"/>
      <c r="Q112" s="1447"/>
    </row>
    <row r="113" spans="1:17">
      <c r="A113" s="1447"/>
      <c r="B113" s="1447"/>
      <c r="C113" s="1447"/>
      <c r="D113" s="1447"/>
      <c r="E113" s="1447"/>
      <c r="F113" s="1447"/>
      <c r="G113" s="1447"/>
      <c r="I113" s="1447"/>
      <c r="J113" s="1447"/>
      <c r="K113" s="1447"/>
      <c r="L113" s="1447"/>
      <c r="M113" s="1447"/>
      <c r="N113" s="1447"/>
      <c r="O113" s="1447"/>
      <c r="P113" s="1447"/>
      <c r="Q113" s="1447"/>
    </row>
    <row r="114" spans="1:17">
      <c r="A114" s="1447"/>
      <c r="B114" s="1447"/>
      <c r="C114" s="1447"/>
      <c r="D114" s="1447"/>
      <c r="E114" s="1447"/>
      <c r="F114" s="1447"/>
      <c r="G114" s="1447"/>
      <c r="I114" s="1447"/>
      <c r="J114" s="1447"/>
      <c r="K114" s="1447"/>
      <c r="L114" s="1447"/>
      <c r="M114" s="1447"/>
      <c r="N114" s="1447"/>
      <c r="O114" s="1447"/>
      <c r="P114" s="1447"/>
      <c r="Q114" s="1447"/>
    </row>
    <row r="115" spans="1:17">
      <c r="A115" s="1447"/>
      <c r="B115" s="1447"/>
      <c r="C115" s="1447"/>
      <c r="D115" s="1447"/>
      <c r="E115" s="1447"/>
      <c r="F115" s="1447"/>
      <c r="G115" s="1447"/>
      <c r="I115" s="1447"/>
      <c r="J115" s="1447"/>
      <c r="K115" s="1447"/>
      <c r="L115" s="1447"/>
      <c r="M115" s="1447"/>
      <c r="N115" s="1447"/>
      <c r="O115" s="1447"/>
      <c r="P115" s="1447"/>
      <c r="Q115" s="1447"/>
    </row>
    <row r="116" spans="1:17">
      <c r="A116" s="1447"/>
      <c r="B116" s="1447"/>
      <c r="C116" s="1447"/>
      <c r="D116" s="1447"/>
      <c r="E116" s="1447"/>
      <c r="F116" s="1447"/>
      <c r="G116" s="1447"/>
      <c r="I116" s="1447"/>
      <c r="J116" s="1447"/>
      <c r="K116" s="1447"/>
      <c r="L116" s="1447"/>
      <c r="M116" s="1447"/>
      <c r="N116" s="1447"/>
      <c r="O116" s="1447"/>
      <c r="P116" s="1447"/>
      <c r="Q116" s="1447"/>
    </row>
    <row r="117" spans="1:17">
      <c r="A117" s="1447"/>
      <c r="B117" s="1447"/>
      <c r="C117" s="1447"/>
      <c r="D117" s="1447"/>
      <c r="E117" s="1447"/>
      <c r="F117" s="1447"/>
      <c r="G117" s="1447"/>
      <c r="I117" s="1447"/>
      <c r="J117" s="1447"/>
      <c r="K117" s="1447"/>
      <c r="L117" s="1447"/>
      <c r="M117" s="1447"/>
      <c r="N117" s="1447"/>
      <c r="O117" s="1447"/>
      <c r="P117" s="1447"/>
      <c r="Q117" s="1447"/>
    </row>
    <row r="118" spans="1:17">
      <c r="A118" s="1447"/>
      <c r="B118" s="1447"/>
      <c r="C118" s="1447"/>
      <c r="D118" s="1447"/>
      <c r="E118" s="1447"/>
      <c r="F118" s="1447"/>
      <c r="G118" s="1447"/>
      <c r="I118" s="1447"/>
      <c r="J118" s="1447"/>
      <c r="K118" s="1447"/>
      <c r="L118" s="1447"/>
      <c r="M118" s="1447"/>
      <c r="N118" s="1447"/>
      <c r="O118" s="1447"/>
      <c r="P118" s="1447"/>
      <c r="Q118" s="1447"/>
    </row>
    <row r="119" spans="1:17">
      <c r="A119" s="1447"/>
      <c r="B119" s="1447"/>
      <c r="C119" s="1447"/>
      <c r="D119" s="1447"/>
      <c r="E119" s="1447"/>
      <c r="F119" s="1447"/>
      <c r="G119" s="1447"/>
      <c r="I119" s="1447"/>
      <c r="J119" s="1447"/>
      <c r="K119" s="1447"/>
      <c r="L119" s="1447"/>
      <c r="M119" s="1447"/>
      <c r="N119" s="1447"/>
      <c r="O119" s="1447"/>
      <c r="P119" s="1447"/>
      <c r="Q119" s="1447"/>
    </row>
    <row r="120" spans="1:17">
      <c r="A120" s="1447"/>
      <c r="B120" s="1447"/>
      <c r="C120" s="1447"/>
      <c r="D120" s="1447"/>
      <c r="E120" s="1447"/>
      <c r="F120" s="1447"/>
      <c r="G120" s="1447"/>
      <c r="I120" s="1447"/>
      <c r="J120" s="1447"/>
      <c r="K120" s="1447"/>
      <c r="L120" s="1447"/>
      <c r="M120" s="1447"/>
      <c r="N120" s="1447"/>
      <c r="O120" s="1447"/>
      <c r="P120" s="1447"/>
      <c r="Q120" s="1447"/>
    </row>
    <row r="121" spans="1:17">
      <c r="A121" s="1447"/>
      <c r="B121" s="1447"/>
      <c r="C121" s="1447"/>
      <c r="D121" s="1447"/>
      <c r="E121" s="1447"/>
      <c r="F121" s="1447"/>
      <c r="G121" s="1447"/>
      <c r="I121" s="1447"/>
      <c r="J121" s="1447"/>
      <c r="K121" s="1447"/>
      <c r="L121" s="1447"/>
      <c r="M121" s="1447"/>
      <c r="N121" s="1447"/>
      <c r="O121" s="1447"/>
      <c r="P121" s="1447"/>
      <c r="Q121" s="1447"/>
    </row>
    <row r="122" spans="1:17">
      <c r="A122" s="1447"/>
      <c r="B122" s="1447"/>
      <c r="C122" s="1447"/>
      <c r="D122" s="1447"/>
      <c r="E122" s="1447"/>
      <c r="F122" s="1447"/>
      <c r="G122" s="1447"/>
      <c r="I122" s="1447"/>
      <c r="J122" s="1447"/>
      <c r="K122" s="1447"/>
      <c r="L122" s="1447"/>
      <c r="M122" s="1447"/>
      <c r="N122" s="1447"/>
      <c r="O122" s="1447"/>
      <c r="P122" s="1447"/>
      <c r="Q122" s="1447"/>
    </row>
    <row r="123" spans="1:17">
      <c r="B123" s="1447"/>
      <c r="C123" s="1447"/>
      <c r="D123" s="1447"/>
      <c r="E123" s="1447"/>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99137" r:id="rId3" name="Button 1">
              <controlPr defaultSize="0" print="0" autoFill="0" autoPict="0" macro="[0]!GtOver">
                <anchor>
                  <from>
                    <xdr:col>13</xdr:col>
                    <xdr:colOff>190500</xdr:colOff>
                    <xdr:row>0</xdr:row>
                    <xdr:rowOff>38100</xdr:rowOff>
                  </from>
                  <to>
                    <xdr:col>15</xdr:col>
                    <xdr:colOff>47625</xdr:colOff>
                    <xdr:row>0</xdr:row>
                    <xdr:rowOff>238125</xdr:rowOff>
                  </to>
                </anchor>
              </controlPr>
            </control>
          </mc:Choice>
        </mc:AlternateContent>
        <mc:AlternateContent xmlns:mc="http://schemas.openxmlformats.org/markup-compatibility/2006">
          <mc:Choice Requires="x14">
            <control shapeId="1499138" r:id="rId4" name="Button 2">
              <controlPr defaultSize="0" print="0" autoFill="0" autoPict="0" macro="[0]!GtRes">
                <anchor>
                  <from>
                    <xdr:col>15</xdr:col>
                    <xdr:colOff>228600</xdr:colOff>
                    <xdr:row>0</xdr:row>
                    <xdr:rowOff>38100</xdr:rowOff>
                  </from>
                  <to>
                    <xdr:col>17</xdr:col>
                    <xdr:colOff>57150</xdr:colOff>
                    <xdr:row>0</xdr:row>
                    <xdr:rowOff>238125</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002060"/>
  </sheetPr>
  <dimension ref="A1:S122"/>
  <sheetViews>
    <sheetView topLeftCell="A28" zoomScale="80" zoomScaleNormal="80" workbookViewId="0">
      <selection activeCell="D38" sqref="D38"/>
    </sheetView>
  </sheetViews>
  <sheetFormatPr defaultRowHeight="12.75"/>
  <cols>
    <col min="1" max="1" width="2.85546875" style="286" customWidth="1"/>
    <col min="2" max="2" width="35" style="286" customWidth="1"/>
    <col min="3" max="3" width="18" style="286" customWidth="1"/>
    <col min="4" max="7" width="15.85546875" style="286" customWidth="1"/>
    <col min="8" max="8" width="15.85546875" style="1447" customWidth="1"/>
    <col min="9" max="9" width="29.28515625" style="286" customWidth="1"/>
    <col min="10" max="10" width="37.42578125" style="286" customWidth="1"/>
    <col min="11" max="16384" width="9.140625" style="286"/>
  </cols>
  <sheetData>
    <row r="1" spans="1:19" s="2403" customFormat="1" ht="21">
      <c r="B1" s="2403" t="s">
        <v>640</v>
      </c>
      <c r="Q1" s="2403">
        <f ca="1">'Log2015'!M1</f>
        <v>-8.0112614142160741</v>
      </c>
      <c r="R1" s="2405">
        <f ca="1">'Log2015'!N1</f>
        <v>-160807.124977848</v>
      </c>
      <c r="S1" s="2406"/>
    </row>
    <row r="2" spans="1:19">
      <c r="A2" s="1447"/>
      <c r="B2" s="1447"/>
      <c r="C2" s="1447"/>
      <c r="D2" s="1447"/>
      <c r="E2" s="1447"/>
      <c r="F2" s="1447"/>
      <c r="G2" s="1447"/>
      <c r="I2" s="1447"/>
      <c r="J2" s="1447"/>
      <c r="K2" s="1447"/>
      <c r="L2" s="1447"/>
      <c r="M2" s="1447"/>
      <c r="N2" s="1447"/>
      <c r="O2" s="1447"/>
      <c r="P2" s="1447"/>
      <c r="Q2" s="1447"/>
      <c r="R2" s="625">
        <f ca="1">R1</f>
        <v>-160807.124977848</v>
      </c>
      <c r="S2" s="625">
        <f>S1</f>
        <v>0</v>
      </c>
    </row>
    <row r="3" spans="1:19">
      <c r="A3" s="1447"/>
      <c r="B3" s="1447"/>
      <c r="C3" s="1447"/>
      <c r="D3" s="1447"/>
      <c r="E3" s="1447"/>
      <c r="F3" s="1447"/>
      <c r="G3" s="1447"/>
      <c r="I3" s="1447"/>
      <c r="J3" s="1447"/>
      <c r="K3" s="1447"/>
      <c r="L3" s="1447"/>
      <c r="M3" s="1447"/>
      <c r="N3" s="1447"/>
      <c r="O3" s="1447"/>
      <c r="P3" s="1447"/>
      <c r="Q3" s="1447"/>
    </row>
    <row r="4" spans="1:19" ht="13.5" thickBot="1">
      <c r="A4" s="1447"/>
      <c r="B4" s="1446" t="s">
        <v>81</v>
      </c>
      <c r="C4" s="1447"/>
      <c r="D4" s="1447"/>
      <c r="E4" s="1447"/>
      <c r="F4" s="1447"/>
      <c r="G4" s="1447"/>
      <c r="I4" s="1447"/>
      <c r="J4" s="1447"/>
      <c r="K4" s="1447"/>
      <c r="L4" s="1447"/>
      <c r="M4" s="1447"/>
      <c r="N4" s="1447"/>
      <c r="O4" s="1447"/>
      <c r="P4" s="1447"/>
      <c r="Q4" s="1447"/>
    </row>
    <row r="5" spans="1:19">
      <c r="A5" s="1447"/>
      <c r="B5" s="1448" t="s">
        <v>137</v>
      </c>
      <c r="C5" s="1449"/>
      <c r="D5" s="1449"/>
      <c r="E5" s="1449"/>
      <c r="F5" s="1449"/>
      <c r="G5" s="1449"/>
      <c r="H5" s="1449"/>
      <c r="I5" s="1449"/>
      <c r="J5" s="1449"/>
      <c r="K5" s="1449"/>
      <c r="L5" s="1449"/>
      <c r="M5" s="1449"/>
      <c r="N5" s="1449"/>
      <c r="O5" s="1450"/>
      <c r="P5" s="1447"/>
      <c r="Q5" s="1447"/>
    </row>
    <row r="6" spans="1:19">
      <c r="A6" s="1447"/>
      <c r="B6" s="1476" t="s">
        <v>634</v>
      </c>
      <c r="C6" s="1471"/>
      <c r="D6" s="1471"/>
      <c r="E6" s="1471"/>
      <c r="F6" s="1471"/>
      <c r="G6" s="1471"/>
      <c r="H6" s="1471"/>
      <c r="I6" s="1471"/>
      <c r="J6" s="1471"/>
      <c r="K6" s="1471"/>
      <c r="L6" s="1471"/>
      <c r="M6" s="1471"/>
      <c r="N6" s="1471"/>
      <c r="O6" s="1472"/>
      <c r="P6" s="1447"/>
      <c r="Q6" s="1447"/>
    </row>
    <row r="7" spans="1:19">
      <c r="A7" s="1447"/>
      <c r="B7" s="1476" t="s">
        <v>635</v>
      </c>
      <c r="C7" s="1471"/>
      <c r="D7" s="1471"/>
      <c r="E7" s="1471"/>
      <c r="F7" s="1471"/>
      <c r="G7" s="1471"/>
      <c r="H7" s="1471"/>
      <c r="I7" s="1471"/>
      <c r="J7" s="1471"/>
      <c r="K7" s="1471"/>
      <c r="L7" s="1471"/>
      <c r="M7" s="1471"/>
      <c r="N7" s="1471"/>
      <c r="O7" s="1472"/>
      <c r="P7" s="1447"/>
      <c r="Q7" s="1447"/>
    </row>
    <row r="8" spans="1:19">
      <c r="A8" s="1447"/>
      <c r="B8" s="1476"/>
      <c r="C8" s="1471"/>
      <c r="D8" s="1471"/>
      <c r="E8" s="1471"/>
      <c r="F8" s="1471"/>
      <c r="G8" s="1471"/>
      <c r="H8" s="1471"/>
      <c r="I8" s="1471"/>
      <c r="J8" s="1471"/>
      <c r="K8" s="1471"/>
      <c r="L8" s="1471"/>
      <c r="M8" s="1471"/>
      <c r="N8" s="1471"/>
      <c r="O8" s="1472"/>
      <c r="P8" s="1447"/>
      <c r="Q8" s="1447"/>
    </row>
    <row r="9" spans="1:19">
      <c r="A9" s="1447"/>
      <c r="B9" s="1476"/>
      <c r="C9" s="1471"/>
      <c r="D9" s="1471"/>
      <c r="E9" s="1471"/>
      <c r="F9" s="1471"/>
      <c r="G9" s="1471"/>
      <c r="H9" s="1471"/>
      <c r="I9" s="1471"/>
      <c r="J9" s="1471"/>
      <c r="K9" s="1471"/>
      <c r="L9" s="1471"/>
      <c r="M9" s="1471"/>
      <c r="N9" s="1471"/>
      <c r="O9" s="1472"/>
      <c r="P9" s="1447"/>
      <c r="Q9" s="1447"/>
    </row>
    <row r="10" spans="1:19">
      <c r="A10" s="1447"/>
      <c r="B10" s="1476"/>
      <c r="C10" s="1471"/>
      <c r="D10" s="1471"/>
      <c r="E10" s="1471"/>
      <c r="F10" s="1471"/>
      <c r="G10" s="1471"/>
      <c r="H10" s="1471"/>
      <c r="I10" s="1471"/>
      <c r="J10" s="1471"/>
      <c r="K10" s="1471"/>
      <c r="L10" s="1471"/>
      <c r="M10" s="1471"/>
      <c r="N10" s="1471"/>
      <c r="O10" s="1472"/>
      <c r="P10" s="1447"/>
      <c r="Q10" s="1447"/>
    </row>
    <row r="11" spans="1:19">
      <c r="A11" s="1447"/>
      <c r="B11" s="1556" t="s">
        <v>256</v>
      </c>
      <c r="C11" s="1471"/>
      <c r="D11" s="1471"/>
      <c r="E11" s="1471"/>
      <c r="F11" s="1471"/>
      <c r="G11" s="1471"/>
      <c r="H11" s="1471"/>
      <c r="I11" s="1471"/>
      <c r="J11" s="1471"/>
      <c r="K11" s="1471"/>
      <c r="L11" s="1471"/>
      <c r="M11" s="1471"/>
      <c r="N11" s="1471"/>
      <c r="O11" s="1472"/>
      <c r="P11" s="1447"/>
      <c r="Q11" s="1447"/>
    </row>
    <row r="12" spans="1:19">
      <c r="A12" s="1447"/>
      <c r="B12" s="1476"/>
      <c r="C12" s="1471"/>
      <c r="D12" s="1471"/>
      <c r="E12" s="1471"/>
      <c r="F12" s="1471"/>
      <c r="G12" s="1471"/>
      <c r="H12" s="1471"/>
      <c r="I12" s="1471"/>
      <c r="J12" s="1471"/>
      <c r="K12" s="1471"/>
      <c r="L12" s="1471"/>
      <c r="M12" s="1471"/>
      <c r="N12" s="1471"/>
      <c r="O12" s="1472"/>
      <c r="P12" s="1447"/>
      <c r="Q12" s="1447"/>
    </row>
    <row r="13" spans="1:19">
      <c r="A13" s="1447"/>
      <c r="B13" s="1476"/>
      <c r="C13" s="1471"/>
      <c r="D13" s="1471"/>
      <c r="E13" s="1471"/>
      <c r="F13" s="1471"/>
      <c r="G13" s="1471"/>
      <c r="H13" s="1471"/>
      <c r="I13" s="1471"/>
      <c r="J13" s="1471"/>
      <c r="K13" s="1471"/>
      <c r="L13" s="1471"/>
      <c r="M13" s="1471"/>
      <c r="N13" s="1471"/>
      <c r="O13" s="1472"/>
      <c r="P13" s="1447"/>
      <c r="Q13" s="1447"/>
    </row>
    <row r="14" spans="1:19">
      <c r="A14" s="1447"/>
      <c r="B14" s="1556" t="s">
        <v>143</v>
      </c>
      <c r="C14" s="1471"/>
      <c r="D14" s="1471"/>
      <c r="E14" s="1471"/>
      <c r="F14" s="1471"/>
      <c r="G14" s="1471"/>
      <c r="H14" s="1471"/>
      <c r="I14" s="1471"/>
      <c r="J14" s="1471"/>
      <c r="K14" s="1471"/>
      <c r="L14" s="1471"/>
      <c r="M14" s="1471"/>
      <c r="N14" s="1471"/>
      <c r="O14" s="1472"/>
      <c r="P14" s="1447"/>
      <c r="Q14" s="1447"/>
    </row>
    <row r="15" spans="1:19">
      <c r="A15" s="1447"/>
      <c r="B15" s="1476"/>
      <c r="C15" s="1471"/>
      <c r="D15" s="1471"/>
      <c r="E15" s="1471"/>
      <c r="F15" s="1471"/>
      <c r="G15" s="1471"/>
      <c r="H15" s="1471"/>
      <c r="I15" s="1471"/>
      <c r="J15" s="1471"/>
      <c r="K15" s="1471"/>
      <c r="L15" s="1471"/>
      <c r="M15" s="1471"/>
      <c r="N15" s="1471"/>
      <c r="O15" s="1472"/>
      <c r="P15" s="1447"/>
      <c r="Q15" s="1447"/>
    </row>
    <row r="16" spans="1:19">
      <c r="A16" s="1447"/>
      <c r="B16" s="1468"/>
      <c r="C16" s="1471"/>
      <c r="D16" s="1471"/>
      <c r="E16" s="1471"/>
      <c r="F16" s="1471"/>
      <c r="G16" s="1471"/>
      <c r="H16" s="1471"/>
      <c r="I16" s="1471"/>
      <c r="J16" s="1471"/>
      <c r="K16" s="1471"/>
      <c r="L16" s="1471"/>
      <c r="M16" s="1471"/>
      <c r="N16" s="1471"/>
      <c r="O16" s="1472"/>
      <c r="P16" s="1447"/>
      <c r="Q16" s="1447"/>
    </row>
    <row r="17" spans="1:17" ht="13.5" thickBot="1">
      <c r="A17" s="1447"/>
      <c r="B17" s="1521"/>
      <c r="C17" s="1501"/>
      <c r="D17" s="1501"/>
      <c r="E17" s="1501"/>
      <c r="F17" s="1501"/>
      <c r="G17" s="1501"/>
      <c r="H17" s="1501"/>
      <c r="I17" s="1501"/>
      <c r="J17" s="1501"/>
      <c r="K17" s="1501"/>
      <c r="L17" s="1501"/>
      <c r="M17" s="1501"/>
      <c r="N17" s="1501"/>
      <c r="O17" s="1503"/>
      <c r="P17" s="1447"/>
      <c r="Q17" s="1447"/>
    </row>
    <row r="18" spans="1:17">
      <c r="A18" s="1447"/>
      <c r="B18" s="1447"/>
      <c r="C18" s="1447"/>
      <c r="D18" s="1447"/>
      <c r="E18" s="1447"/>
      <c r="F18" s="1447"/>
      <c r="G18" s="1447"/>
      <c r="I18" s="1447"/>
      <c r="J18" s="1447"/>
      <c r="K18" s="1447"/>
      <c r="L18" s="1447"/>
      <c r="M18" s="1447"/>
      <c r="N18" s="1447"/>
      <c r="O18" s="1447"/>
      <c r="P18" s="1447"/>
      <c r="Q18" s="1447"/>
    </row>
    <row r="19" spans="1:17" ht="13.5" thickBot="1">
      <c r="A19" s="1447"/>
      <c r="B19" s="1446" t="s">
        <v>144</v>
      </c>
      <c r="C19" s="1447"/>
      <c r="D19" s="1447"/>
      <c r="E19" s="1454"/>
      <c r="F19" s="1454"/>
      <c r="G19" s="1454"/>
      <c r="I19" s="1447"/>
      <c r="J19" s="1447"/>
      <c r="K19" s="1447"/>
      <c r="L19" s="1447"/>
      <c r="M19" s="1447"/>
      <c r="N19" s="1447"/>
      <c r="O19" s="1447"/>
      <c r="P19" s="1447"/>
      <c r="Q19" s="1447"/>
    </row>
    <row r="20" spans="1:17">
      <c r="A20" s="1447"/>
      <c r="B20" s="1455"/>
      <c r="C20" s="1456"/>
      <c r="D20" s="1557"/>
      <c r="E20" s="1449"/>
      <c r="F20" s="1449"/>
      <c r="G20" s="1449"/>
      <c r="H20" s="1449"/>
      <c r="I20" s="1449" t="s">
        <v>145</v>
      </c>
      <c r="J20" s="1450" t="s">
        <v>146</v>
      </c>
      <c r="K20" s="1447"/>
      <c r="L20" s="1447"/>
      <c r="M20" s="1447"/>
      <c r="N20" s="1447"/>
      <c r="O20" s="1447"/>
      <c r="P20" s="1447"/>
      <c r="Q20" s="1447"/>
    </row>
    <row r="21" spans="1:17">
      <c r="A21" s="1447"/>
      <c r="B21" s="1460"/>
      <c r="C21" s="1461" t="s">
        <v>70</v>
      </c>
      <c r="D21" s="1506">
        <v>2015</v>
      </c>
      <c r="E21" s="1507">
        <v>2020</v>
      </c>
      <c r="F21" s="1507">
        <v>2035</v>
      </c>
      <c r="G21" s="1507">
        <v>2050</v>
      </c>
      <c r="H21" s="1507" t="s">
        <v>978</v>
      </c>
      <c r="I21" s="1464"/>
      <c r="J21" s="1465"/>
      <c r="K21" s="1447"/>
      <c r="L21" s="1447"/>
      <c r="M21" s="1447"/>
      <c r="N21" s="1447"/>
      <c r="O21" s="1447"/>
      <c r="P21" s="1447"/>
      <c r="Q21" s="1447"/>
    </row>
    <row r="22" spans="1:17">
      <c r="A22" s="1447"/>
      <c r="B22" s="1468" t="s">
        <v>257</v>
      </c>
      <c r="C22" s="1469"/>
      <c r="D22" s="153"/>
      <c r="E22" s="1470"/>
      <c r="F22" s="1470"/>
      <c r="G22" s="1470"/>
      <c r="H22" s="1470"/>
      <c r="I22" s="1471"/>
      <c r="J22" s="1472"/>
      <c r="K22" s="1447"/>
      <c r="L22" s="1447"/>
      <c r="M22" s="1447"/>
      <c r="N22" s="1447"/>
      <c r="O22" s="1447"/>
      <c r="P22" s="1447"/>
      <c r="Q22" s="1447"/>
    </row>
    <row r="23" spans="1:17">
      <c r="A23" s="1447"/>
      <c r="B23" s="122" t="s">
        <v>848</v>
      </c>
      <c r="C23" s="1469" t="s">
        <v>258</v>
      </c>
      <c r="D23" s="325">
        <f>D71</f>
        <v>0.42</v>
      </c>
      <c r="E23" s="326">
        <f>E71</f>
        <v>0.43</v>
      </c>
      <c r="F23" s="326">
        <f>F71</f>
        <v>0.44</v>
      </c>
      <c r="G23" s="326">
        <f>G71</f>
        <v>0.44</v>
      </c>
      <c r="H23" s="1657"/>
      <c r="I23" s="1474"/>
      <c r="J23" s="1472"/>
      <c r="K23" s="164"/>
      <c r="L23" s="1447"/>
      <c r="M23" s="1447"/>
      <c r="N23" s="1447"/>
      <c r="O23" s="1447"/>
      <c r="P23" s="1447"/>
      <c r="Q23" s="1447"/>
    </row>
    <row r="24" spans="1:17">
      <c r="A24" s="1447"/>
      <c r="B24" s="122" t="s">
        <v>849</v>
      </c>
      <c r="C24" s="1469" t="s">
        <v>258</v>
      </c>
      <c r="D24" s="416">
        <f>D23</f>
        <v>0.42</v>
      </c>
      <c r="E24" s="417">
        <f>E23</f>
        <v>0.43</v>
      </c>
      <c r="F24" s="417">
        <f>F23</f>
        <v>0.44</v>
      </c>
      <c r="G24" s="417">
        <f>G23</f>
        <v>0.44</v>
      </c>
      <c r="H24" s="1657"/>
      <c r="I24" s="1474"/>
      <c r="J24" s="1472"/>
      <c r="K24" s="164"/>
      <c r="L24" s="1447"/>
      <c r="M24" s="1447"/>
      <c r="N24" s="1447"/>
      <c r="O24" s="1447"/>
      <c r="P24" s="1447"/>
      <c r="Q24" s="1447"/>
    </row>
    <row r="25" spans="1:17">
      <c r="A25" s="1447"/>
      <c r="B25" s="122" t="s">
        <v>1025</v>
      </c>
      <c r="C25" s="1469" t="s">
        <v>1024</v>
      </c>
      <c r="D25" s="416">
        <f>D75</f>
        <v>11.47776</v>
      </c>
      <c r="E25" s="417">
        <f>E75</f>
        <v>10.906468778280543</v>
      </c>
      <c r="F25" s="417">
        <f>F75</f>
        <v>10.300553846153845</v>
      </c>
      <c r="G25" s="417">
        <f>G75</f>
        <v>10.300553846153845</v>
      </c>
      <c r="H25" s="1658"/>
      <c r="I25" s="1474"/>
      <c r="J25" s="1472"/>
      <c r="K25" s="164"/>
      <c r="L25" s="1447"/>
      <c r="M25" s="1447"/>
      <c r="N25" s="1447"/>
      <c r="O25" s="1447"/>
      <c r="P25" s="1447"/>
      <c r="Q25" s="1447"/>
    </row>
    <row r="26" spans="1:17">
      <c r="A26" s="1447"/>
      <c r="B26" s="122" t="s">
        <v>1026</v>
      </c>
      <c r="C26" s="1469" t="s">
        <v>1024</v>
      </c>
      <c r="D26" s="416"/>
      <c r="E26" s="417"/>
      <c r="F26" s="417"/>
      <c r="G26" s="417"/>
      <c r="H26" s="1658"/>
      <c r="I26" s="1474"/>
      <c r="J26" s="1472"/>
      <c r="K26" s="164"/>
      <c r="L26" s="1447"/>
      <c r="M26" s="1447"/>
      <c r="N26" s="1447"/>
      <c r="O26" s="1447"/>
      <c r="P26" s="1447"/>
      <c r="Q26" s="1447"/>
    </row>
    <row r="27" spans="1:17">
      <c r="A27" s="1447"/>
      <c r="B27" s="1476" t="s">
        <v>98</v>
      </c>
      <c r="C27" s="1469" t="s">
        <v>259</v>
      </c>
      <c r="D27" s="373">
        <v>6</v>
      </c>
      <c r="E27" s="374">
        <v>6</v>
      </c>
      <c r="F27" s="374">
        <v>6</v>
      </c>
      <c r="G27" s="374">
        <v>6</v>
      </c>
      <c r="H27" s="1478"/>
      <c r="I27" s="1576" t="str">
        <f>Referencer!$B$74</f>
        <v>70, RAMMEVILKÅR FOR GAS TIL TUNG VEJTRANSPORT, Energistyrelsen, 2014</v>
      </c>
      <c r="J27" s="1574"/>
      <c r="K27" s="164"/>
      <c r="L27" s="1447"/>
      <c r="M27" s="1447"/>
      <c r="N27" s="1447"/>
      <c r="O27" s="1447"/>
      <c r="P27" s="1447"/>
      <c r="Q27" s="1447"/>
    </row>
    <row r="28" spans="1:17">
      <c r="A28" s="1447"/>
      <c r="B28" s="1476" t="s">
        <v>260</v>
      </c>
      <c r="C28" s="1469" t="s">
        <v>261</v>
      </c>
      <c r="D28" s="1560">
        <f>+D67*D68/1000</f>
        <v>322.98416639999999</v>
      </c>
      <c r="E28" s="1561">
        <f>+E67*E68/1000</f>
        <v>314.21536550226239</v>
      </c>
      <c r="F28" s="1561">
        <f>+F67*F68/1000</f>
        <v>303.6603273846153</v>
      </c>
      <c r="G28" s="1561">
        <f>+G67*G68/1000</f>
        <v>303.6603273846153</v>
      </c>
      <c r="H28" s="1659"/>
      <c r="I28" s="1474"/>
      <c r="J28" s="1472"/>
      <c r="K28" s="164"/>
      <c r="L28" s="1447"/>
      <c r="M28" s="1447"/>
      <c r="N28" s="1447"/>
      <c r="O28" s="1447"/>
      <c r="P28" s="1447"/>
      <c r="Q28" s="1447"/>
    </row>
    <row r="29" spans="1:17">
      <c r="A29" s="1447"/>
      <c r="B29" s="1484"/>
      <c r="C29" s="1485"/>
      <c r="D29" s="1562"/>
      <c r="E29" s="1486"/>
      <c r="F29" s="1486"/>
      <c r="G29" s="1486"/>
      <c r="H29" s="1486"/>
      <c r="I29" s="1471"/>
      <c r="J29" s="1472"/>
      <c r="K29" s="164"/>
      <c r="L29" s="1447"/>
      <c r="M29" s="1447"/>
      <c r="N29" s="1447"/>
      <c r="O29" s="1447"/>
      <c r="P29" s="1447"/>
      <c r="Q29" s="1447"/>
    </row>
    <row r="30" spans="1:17">
      <c r="A30" s="1447"/>
      <c r="B30" s="1468" t="s">
        <v>33</v>
      </c>
      <c r="C30" s="1469"/>
      <c r="D30" s="1562"/>
      <c r="E30" s="1486"/>
      <c r="F30" s="1486"/>
      <c r="G30" s="1486"/>
      <c r="H30" s="1486"/>
      <c r="I30" s="1471"/>
      <c r="J30" s="1472"/>
      <c r="K30" s="164"/>
      <c r="L30" s="1447"/>
      <c r="M30" s="1447"/>
      <c r="N30" s="1447"/>
      <c r="O30" s="1447"/>
      <c r="P30" s="1447"/>
      <c r="Q30" s="1447"/>
    </row>
    <row r="31" spans="1:17" s="1447" customFormat="1">
      <c r="B31" s="1476" t="s">
        <v>157</v>
      </c>
      <c r="C31" s="1469" t="s">
        <v>61</v>
      </c>
      <c r="D31" s="992">
        <f ca="1">HLOOKUP($H38,Supplementary!$C$44:$AF$46,3,FALSE)*D38</f>
        <v>1951075.3654441405</v>
      </c>
      <c r="E31" s="992">
        <f ca="1">HLOOKUP($H38,Supplementary!$C$44:$AF$46,3,FALSE)*E38</f>
        <v>1951075.3654441405</v>
      </c>
      <c r="F31" s="992">
        <f ca="1">HLOOKUP($H38,Supplementary!$C$44:$AF$46,3,FALSE)*F38</f>
        <v>1951075.3654441405</v>
      </c>
      <c r="G31" s="992">
        <f ca="1">HLOOKUP($H38,Supplementary!$C$44:$AF$46,3,FALSE)*G38</f>
        <v>1951075.3654441405</v>
      </c>
      <c r="H31" s="323">
        <f>priceYear</f>
        <v>2015</v>
      </c>
      <c r="I31" s="555"/>
      <c r="J31" s="1472"/>
    </row>
    <row r="32" spans="1:17" s="1447" customFormat="1">
      <c r="B32" s="1484" t="s">
        <v>262</v>
      </c>
      <c r="C32" s="1469" t="s">
        <v>263</v>
      </c>
      <c r="D32" s="992">
        <f ca="1">HLOOKUP($H39,Supplementary!$C$44:$AF$46,3,FALSE)*D39</f>
        <v>1567.7280327137157</v>
      </c>
      <c r="E32" s="992">
        <f ca="1">HLOOKUP($H39,Supplementary!$C$44:$AF$46,3,FALSE)*E39</f>
        <v>1611.4785824638661</v>
      </c>
      <c r="F32" s="992">
        <f ca="1">HLOOKUP($H39,Supplementary!$C$44:$AF$46,3,FALSE)*F39</f>
        <v>1667.4925438864075</v>
      </c>
      <c r="G32" s="992">
        <f ca="1">HLOOKUP($H39,Supplementary!$C$44:$AF$46,3,FALSE)*G39</f>
        <v>1667.4925438864075</v>
      </c>
      <c r="H32" s="323">
        <f>priceYear</f>
        <v>2015</v>
      </c>
      <c r="I32" s="555"/>
      <c r="J32" s="1472"/>
    </row>
    <row r="33" spans="1:17" s="1447" customFormat="1">
      <c r="B33" s="1492" t="s">
        <v>162</v>
      </c>
      <c r="C33" s="1469" t="s">
        <v>263</v>
      </c>
      <c r="D33" s="992">
        <f ca="1">HLOOKUP($H40,Supplementary!$C$44:$AF$46,3,FALSE)*D40</f>
        <v>1190.138615389305</v>
      </c>
      <c r="E33" s="992">
        <f ca="1">HLOOKUP($H40,Supplementary!$C$44:$AF$46,3,FALSE)*E40</f>
        <v>1223.3517860513323</v>
      </c>
      <c r="F33" s="992">
        <f ca="1">HLOOKUP($H40,Supplementary!$C$44:$AF$46,3,FALSE)*F40</f>
        <v>1265.8747090958975</v>
      </c>
      <c r="G33" s="992">
        <f ca="1">HLOOKUP($H40,Supplementary!$C$44:$AF$46,3,FALSE)*G40</f>
        <v>1265.8747090958975</v>
      </c>
      <c r="H33" s="323">
        <f>priceYear</f>
        <v>2015</v>
      </c>
      <c r="I33" s="555"/>
      <c r="J33" s="1472"/>
    </row>
    <row r="34" spans="1:17" s="1447" customFormat="1">
      <c r="B34" s="1492" t="s">
        <v>163</v>
      </c>
      <c r="C34" s="1469" t="s">
        <v>263</v>
      </c>
      <c r="D34" s="992">
        <f>HLOOKUP($H41,Supplementary!$C$44:$AF$46,3,FALSE)*D41</f>
        <v>377.5894173244107</v>
      </c>
      <c r="E34" s="992">
        <f>HLOOKUP($H41,Supplementary!$C$44:$AF$46,3,FALSE)*E41</f>
        <v>388.12679641253391</v>
      </c>
      <c r="F34" s="992">
        <f>HLOOKUP($H41,Supplementary!$C$44:$AF$46,3,FALSE)*F41</f>
        <v>401.61783479050973</v>
      </c>
      <c r="G34" s="992">
        <f>HLOOKUP($H41,Supplementary!$C$44:$AF$46,3,FALSE)*G41</f>
        <v>401.61783479050973</v>
      </c>
      <c r="H34" s="323">
        <f>priceYear</f>
        <v>2015</v>
      </c>
      <c r="I34" s="555"/>
      <c r="J34" s="1472"/>
    </row>
    <row r="35" spans="1:17" s="1447" customFormat="1">
      <c r="B35" s="1492"/>
      <c r="C35" s="1469"/>
      <c r="D35" s="992"/>
      <c r="E35" s="992"/>
      <c r="F35" s="992"/>
      <c r="G35" s="992"/>
      <c r="H35" s="323"/>
      <c r="I35" s="555"/>
      <c r="J35" s="1472"/>
    </row>
    <row r="36" spans="1:17" s="1447" customFormat="1">
      <c r="B36" s="1492" t="s">
        <v>264</v>
      </c>
      <c r="C36" s="1469" t="s">
        <v>263</v>
      </c>
      <c r="D36" s="992">
        <f>HLOOKUP($H43,Supplementary!$C$44:$AF$46,3,FALSE)*D43</f>
        <v>0</v>
      </c>
      <c r="E36" s="992">
        <f>HLOOKUP($H43,Supplementary!$C$44:$AF$46,3,FALSE)*E43</f>
        <v>0</v>
      </c>
      <c r="F36" s="992">
        <f>HLOOKUP($H43,Supplementary!$C$44:$AF$46,3,FALSE)*F43</f>
        <v>0</v>
      </c>
      <c r="G36" s="992">
        <f>HLOOKUP($H43,Supplementary!$C$44:$AF$46,3,FALSE)*G43</f>
        <v>0</v>
      </c>
      <c r="H36" s="323">
        <f>priceYear</f>
        <v>2015</v>
      </c>
      <c r="I36" s="555"/>
      <c r="J36" s="1472"/>
    </row>
    <row r="37" spans="1:17" s="1447" customFormat="1">
      <c r="B37" s="1468"/>
      <c r="C37" s="1469"/>
      <c r="D37" s="1562"/>
      <c r="E37" s="1486"/>
      <c r="F37" s="1486"/>
      <c r="G37" s="1486"/>
      <c r="H37" s="1486"/>
      <c r="I37" s="555"/>
      <c r="J37" s="1472"/>
    </row>
    <row r="38" spans="1:17">
      <c r="A38" s="1447"/>
      <c r="B38" s="1476" t="s">
        <v>157</v>
      </c>
      <c r="C38" s="1469" t="s">
        <v>61</v>
      </c>
      <c r="D38" s="359">
        <f ca="1">Bus!D38+500000</f>
        <v>1832921.6972839427</v>
      </c>
      <c r="E38" s="359">
        <f ca="1">Bus!E38+500000</f>
        <v>1832921.6972839427</v>
      </c>
      <c r="F38" s="359">
        <f ca="1">Bus!F38+500000</f>
        <v>1832921.6972839427</v>
      </c>
      <c r="G38" s="359">
        <f ca="1">Bus!G38+500000</f>
        <v>1832921.6972839427</v>
      </c>
      <c r="H38" s="407">
        <v>2011</v>
      </c>
      <c r="I38" s="1576" t="str">
        <f>Referencer!$B$33</f>
        <v>27, Emails fra Kurt Vinther (kurt.vinther@volvo.com), Volvo d. 23/1-2012</v>
      </c>
      <c r="J38" s="1574"/>
      <c r="K38" s="164"/>
      <c r="L38" s="1447"/>
      <c r="M38" s="1447"/>
      <c r="N38" s="1447"/>
      <c r="O38" s="1447"/>
      <c r="P38" s="1447"/>
      <c r="Q38" s="1447"/>
    </row>
    <row r="39" spans="1:17">
      <c r="A39" s="1447"/>
      <c r="B39" s="1484" t="s">
        <v>262</v>
      </c>
      <c r="C39" s="1469" t="s">
        <v>263</v>
      </c>
      <c r="D39" s="312">
        <f ca="1">+SUM(D40:D43)</f>
        <v>1472.7891999943913</v>
      </c>
      <c r="E39" s="1490">
        <f ca="1">+SUM(E40:E43)</f>
        <v>1513.8902939477234</v>
      </c>
      <c r="F39" s="1490">
        <f ca="1">+SUM(F40:F43)</f>
        <v>1566.5121490849442</v>
      </c>
      <c r="G39" s="1490">
        <f ca="1">+SUM(G40:G43)</f>
        <v>1566.5121490849442</v>
      </c>
      <c r="H39" s="407">
        <v>2011</v>
      </c>
      <c r="I39" s="1474"/>
      <c r="J39" s="1472"/>
      <c r="K39" s="164"/>
      <c r="L39" s="1447"/>
      <c r="M39" s="1447"/>
      <c r="N39" s="1447"/>
      <c r="O39" s="1447"/>
      <c r="P39" s="1447"/>
      <c r="Q39" s="1447"/>
    </row>
    <row r="40" spans="1:17">
      <c r="A40" s="1447"/>
      <c r="B40" s="1492" t="s">
        <v>162</v>
      </c>
      <c r="C40" s="1469" t="s">
        <v>263</v>
      </c>
      <c r="D40" s="312">
        <f ca="1">PMT(rSØK,D27,-D38)/D28</f>
        <v>1118.0659289529538</v>
      </c>
      <c r="E40" s="1490">
        <f ca="1">PMT(rSØK,E27,-E38)/E28</f>
        <v>1149.2677688307108</v>
      </c>
      <c r="F40" s="1490">
        <f ca="1">PMT(rSØK,F27,-F38)/F28</f>
        <v>1189.215578977233</v>
      </c>
      <c r="G40" s="1490">
        <f ca="1">PMT(rSØK,G27,-G38)/G28</f>
        <v>1189.215578977233</v>
      </c>
      <c r="H40" s="407">
        <v>2011</v>
      </c>
      <c r="I40" s="1474"/>
      <c r="J40" s="1472"/>
      <c r="K40" s="164"/>
      <c r="L40" s="1447"/>
      <c r="M40" s="1447"/>
      <c r="N40" s="1447"/>
      <c r="O40" s="1447"/>
      <c r="P40" s="1447"/>
      <c r="Q40" s="1447"/>
    </row>
    <row r="41" spans="1:17">
      <c r="A41" s="1447"/>
      <c r="B41" s="1492" t="s">
        <v>163</v>
      </c>
      <c r="C41" s="1469" t="s">
        <v>263</v>
      </c>
      <c r="D41" s="312">
        <f>(D68*D69)/D28</f>
        <v>354.72327104143767</v>
      </c>
      <c r="E41" s="1490">
        <f>(E68*E69)/E28</f>
        <v>364.62252511701274</v>
      </c>
      <c r="F41" s="1490">
        <f>(F68*F69)/F28</f>
        <v>377.29657010771109</v>
      </c>
      <c r="G41" s="1490">
        <f>(G68*G69)/G28</f>
        <v>377.29657010771109</v>
      </c>
      <c r="H41" s="407">
        <v>2011</v>
      </c>
      <c r="I41" s="1474"/>
      <c r="J41" s="1574" t="s">
        <v>561</v>
      </c>
      <c r="K41" s="164"/>
      <c r="L41" s="1447"/>
      <c r="M41" s="1447"/>
      <c r="N41" s="1447"/>
      <c r="O41" s="1447"/>
      <c r="P41" s="1447"/>
      <c r="Q41" s="1447"/>
    </row>
    <row r="42" spans="1:17">
      <c r="A42" s="1447"/>
      <c r="B42" s="1492"/>
      <c r="C42" s="1469"/>
      <c r="D42" s="1562"/>
      <c r="E42" s="1486"/>
      <c r="F42" s="1486"/>
      <c r="G42" s="1486"/>
      <c r="H42" s="407"/>
      <c r="I42" s="1474"/>
      <c r="J42" s="1472"/>
      <c r="K42" s="164"/>
      <c r="L42" s="1447"/>
      <c r="M42" s="1447"/>
      <c r="N42" s="1447"/>
      <c r="O42" s="1447"/>
      <c r="P42" s="1447"/>
      <c r="Q42" s="1447"/>
    </row>
    <row r="43" spans="1:17">
      <c r="A43" s="1447"/>
      <c r="B43" s="1492" t="s">
        <v>264</v>
      </c>
      <c r="C43" s="1469" t="s">
        <v>263</v>
      </c>
      <c r="D43" s="312">
        <v>0</v>
      </c>
      <c r="E43" s="300">
        <v>0</v>
      </c>
      <c r="F43" s="300">
        <v>0</v>
      </c>
      <c r="G43" s="300">
        <v>0</v>
      </c>
      <c r="H43" s="407">
        <v>2011</v>
      </c>
      <c r="I43" s="1474"/>
      <c r="J43" s="1574" t="s">
        <v>562</v>
      </c>
      <c r="K43" s="164"/>
      <c r="L43" s="1447"/>
      <c r="M43" s="1447"/>
      <c r="N43" s="1447"/>
      <c r="O43" s="1447"/>
      <c r="P43" s="1447"/>
      <c r="Q43" s="1447"/>
    </row>
    <row r="44" spans="1:17">
      <c r="A44" s="1447"/>
      <c r="B44" s="1492"/>
      <c r="C44" s="1469"/>
      <c r="D44" s="1562"/>
      <c r="E44" s="1486"/>
      <c r="F44" s="1486"/>
      <c r="G44" s="1486"/>
      <c r="H44" s="1486"/>
      <c r="I44" s="1474"/>
      <c r="J44" s="1472"/>
      <c r="K44" s="164"/>
      <c r="L44" s="1447"/>
      <c r="M44" s="1447"/>
      <c r="N44" s="1447"/>
      <c r="O44" s="1447"/>
      <c r="P44" s="1447"/>
      <c r="Q44" s="1447"/>
    </row>
    <row r="45" spans="1:17">
      <c r="A45" s="1447"/>
      <c r="B45" s="1468" t="s">
        <v>166</v>
      </c>
      <c r="C45" s="1469"/>
      <c r="D45" s="1562"/>
      <c r="E45" s="1486"/>
      <c r="F45" s="1486"/>
      <c r="G45" s="1486"/>
      <c r="H45" s="1489"/>
      <c r="I45" s="1474"/>
      <c r="J45" s="1472"/>
      <c r="K45" s="164"/>
      <c r="L45" s="1447"/>
      <c r="M45" s="1447"/>
      <c r="N45" s="1447"/>
      <c r="O45" s="1447"/>
      <c r="P45" s="1447"/>
      <c r="Q45" s="1447"/>
    </row>
    <row r="46" spans="1:17">
      <c r="A46" s="1447"/>
      <c r="B46" s="418" t="s">
        <v>0</v>
      </c>
      <c r="C46" s="1469"/>
      <c r="D46" s="1562"/>
      <c r="E46" s="1486"/>
      <c r="F46" s="1486"/>
      <c r="G46" s="1486"/>
      <c r="H46" s="1566"/>
      <c r="I46" s="1474"/>
      <c r="J46" s="1472"/>
      <c r="K46" s="164"/>
      <c r="L46" s="1447"/>
      <c r="M46" s="1447"/>
      <c r="N46" s="1447"/>
      <c r="O46" s="1447"/>
      <c r="P46" s="1447"/>
      <c r="Q46" s="1447"/>
    </row>
    <row r="47" spans="1:17">
      <c r="A47" s="1447"/>
      <c r="B47" s="1484" t="s">
        <v>24</v>
      </c>
      <c r="C47" s="1469" t="s">
        <v>265</v>
      </c>
      <c r="D47" s="421"/>
      <c r="E47" s="422"/>
      <c r="F47" s="422"/>
      <c r="G47" s="422"/>
      <c r="H47" s="1566"/>
      <c r="I47" s="1474"/>
      <c r="J47" s="1574" t="s">
        <v>850</v>
      </c>
      <c r="K47" s="164"/>
      <c r="L47" s="1447"/>
      <c r="M47" s="1447"/>
      <c r="N47" s="1447"/>
      <c r="O47" s="1447"/>
      <c r="P47" s="1447"/>
      <c r="Q47" s="1447"/>
    </row>
    <row r="48" spans="1:17">
      <c r="A48" s="1447"/>
      <c r="B48" s="1484" t="s">
        <v>27</v>
      </c>
      <c r="C48" s="1469" t="s">
        <v>265</v>
      </c>
      <c r="D48" s="127">
        <f t="shared" ref="D48:G52" si="0">D78/D$75</f>
        <v>3.6492051807463747E-4</v>
      </c>
      <c r="E48" s="127">
        <f t="shared" si="0"/>
        <v>1.3657553703384776E-4</v>
      </c>
      <c r="F48" s="127">
        <f t="shared" si="0"/>
        <v>1.3657553703384776E-4</v>
      </c>
      <c r="G48" s="127">
        <f t="shared" si="0"/>
        <v>1.3657553703384776E-4</v>
      </c>
      <c r="H48" s="1660"/>
      <c r="I48" s="1474"/>
      <c r="J48" s="1472"/>
      <c r="K48" s="164"/>
      <c r="L48" s="1447"/>
      <c r="M48" s="1447"/>
      <c r="N48" s="1447"/>
      <c r="O48" s="1447"/>
      <c r="P48" s="1447"/>
      <c r="Q48" s="1447"/>
    </row>
    <row r="49" spans="1:17">
      <c r="A49" s="1447"/>
      <c r="B49" s="1484" t="s">
        <v>28</v>
      </c>
      <c r="C49" s="1469" t="s">
        <v>265</v>
      </c>
      <c r="D49" s="127">
        <f t="shared" si="0"/>
        <v>2.8831426319335706E-3</v>
      </c>
      <c r="E49" s="127">
        <f t="shared" si="0"/>
        <v>3.8168443449451877E-3</v>
      </c>
      <c r="F49" s="127">
        <f t="shared" si="0"/>
        <v>3.8168443449451881E-3</v>
      </c>
      <c r="G49" s="127">
        <f t="shared" si="0"/>
        <v>3.8168443449451881E-3</v>
      </c>
      <c r="H49" s="1486"/>
      <c r="I49" s="1474"/>
      <c r="J49" s="1472"/>
      <c r="K49" s="164"/>
      <c r="L49" s="1447"/>
      <c r="M49" s="1447"/>
      <c r="N49" s="1447"/>
      <c r="O49" s="1447"/>
      <c r="P49" s="1447"/>
      <c r="Q49" s="1447"/>
    </row>
    <row r="50" spans="1:17">
      <c r="A50" s="1447"/>
      <c r="B50" s="1484" t="s">
        <v>26</v>
      </c>
      <c r="C50" s="1469" t="s">
        <v>265</v>
      </c>
      <c r="D50" s="127">
        <f t="shared" si="0"/>
        <v>4.6837408023728803E-4</v>
      </c>
      <c r="E50" s="127">
        <f t="shared" si="0"/>
        <v>4.6837408023728792E-4</v>
      </c>
      <c r="F50" s="127">
        <f t="shared" si="0"/>
        <v>4.6837408023728798E-4</v>
      </c>
      <c r="G50" s="127">
        <f t="shared" si="0"/>
        <v>4.6837408023728798E-4</v>
      </c>
      <c r="H50" s="1478"/>
      <c r="I50" s="1474"/>
      <c r="J50" s="1472"/>
      <c r="K50" s="164"/>
      <c r="L50" s="1447"/>
      <c r="M50" s="1447"/>
      <c r="N50" s="1447"/>
      <c r="O50" s="1447"/>
      <c r="P50" s="1447"/>
      <c r="Q50" s="1447"/>
    </row>
    <row r="51" spans="1:17">
      <c r="A51" s="1447"/>
      <c r="B51" s="1484" t="s">
        <v>167</v>
      </c>
      <c r="C51" s="1469" t="s">
        <v>265</v>
      </c>
      <c r="D51" s="127">
        <f t="shared" si="0"/>
        <v>0.42120742294108487</v>
      </c>
      <c r="E51" s="127">
        <f t="shared" si="0"/>
        <v>4.2913588351117742E-2</v>
      </c>
      <c r="F51" s="127">
        <f t="shared" si="0"/>
        <v>4.2913588351117742E-2</v>
      </c>
      <c r="G51" s="127">
        <f t="shared" si="0"/>
        <v>4.2913588351117742E-2</v>
      </c>
      <c r="H51" s="1486"/>
      <c r="I51" s="1474"/>
      <c r="J51" s="1472"/>
      <c r="K51" s="164"/>
      <c r="L51" s="1447"/>
      <c r="M51" s="1447"/>
      <c r="N51" s="1447"/>
      <c r="O51" s="1447"/>
      <c r="P51" s="1447"/>
      <c r="Q51" s="1447"/>
    </row>
    <row r="52" spans="1:17">
      <c r="A52" s="1447"/>
      <c r="B52" s="1484" t="s">
        <v>45</v>
      </c>
      <c r="C52" s="1469" t="s">
        <v>265</v>
      </c>
      <c r="D52" s="127">
        <f t="shared" si="0"/>
        <v>3.2868980174215008E-3</v>
      </c>
      <c r="E52" s="127">
        <f t="shared" si="0"/>
        <v>4.9158331190144507E-4</v>
      </c>
      <c r="F52" s="127">
        <f t="shared" si="0"/>
        <v>4.9158331190144507E-4</v>
      </c>
      <c r="G52" s="127">
        <f t="shared" si="0"/>
        <v>4.9158331190144507E-4</v>
      </c>
      <c r="H52" s="1486"/>
      <c r="I52" s="1474"/>
      <c r="J52" s="1472"/>
      <c r="K52" s="164"/>
      <c r="L52" s="1447"/>
      <c r="M52" s="1447"/>
      <c r="N52" s="1447"/>
      <c r="O52" s="1447"/>
      <c r="P52" s="1447"/>
      <c r="Q52" s="1447"/>
    </row>
    <row r="53" spans="1:17">
      <c r="A53" s="1447"/>
      <c r="B53" s="1484"/>
      <c r="C53" s="1469"/>
      <c r="D53" s="1496"/>
      <c r="E53" s="1471"/>
      <c r="F53" s="1471"/>
      <c r="G53" s="1471"/>
      <c r="H53" s="1486"/>
      <c r="I53" s="1474"/>
      <c r="J53" s="1472"/>
      <c r="K53" s="164"/>
      <c r="L53" s="1447"/>
      <c r="M53" s="1447"/>
      <c r="N53" s="1447"/>
      <c r="O53" s="1447"/>
      <c r="P53" s="1447"/>
      <c r="Q53" s="1447"/>
    </row>
    <row r="54" spans="1:17">
      <c r="A54" s="1447"/>
      <c r="B54" s="418" t="s">
        <v>20</v>
      </c>
      <c r="C54" s="1469"/>
      <c r="D54" s="1562"/>
      <c r="E54" s="1486"/>
      <c r="F54" s="1486"/>
      <c r="G54" s="1486"/>
      <c r="H54" s="1660"/>
      <c r="I54" s="1474"/>
      <c r="J54" s="1472"/>
      <c r="K54" s="164"/>
      <c r="L54" s="1447"/>
      <c r="M54" s="1447"/>
      <c r="N54" s="1447"/>
      <c r="O54" s="1447"/>
      <c r="P54" s="1447"/>
      <c r="Q54" s="1447"/>
    </row>
    <row r="55" spans="1:17">
      <c r="A55" s="1447"/>
      <c r="B55" s="1484" t="s">
        <v>24</v>
      </c>
      <c r="C55" s="1469" t="s">
        <v>265</v>
      </c>
      <c r="D55" s="421"/>
      <c r="E55" s="422"/>
      <c r="F55" s="422"/>
      <c r="G55" s="422"/>
      <c r="H55" s="1169"/>
      <c r="I55" s="1474"/>
      <c r="J55" s="1574" t="s">
        <v>850</v>
      </c>
      <c r="K55" s="164"/>
      <c r="L55" s="1447"/>
      <c r="M55" s="1447"/>
      <c r="N55" s="1447"/>
      <c r="O55" s="1447"/>
      <c r="P55" s="1447"/>
      <c r="Q55" s="1447"/>
    </row>
    <row r="56" spans="1:17">
      <c r="A56" s="1447"/>
      <c r="B56" s="1484" t="s">
        <v>27</v>
      </c>
      <c r="C56" s="1469" t="s">
        <v>265</v>
      </c>
      <c r="D56" s="419">
        <f t="shared" ref="D56:G60" si="1">D48</f>
        <v>3.6492051807463747E-4</v>
      </c>
      <c r="E56" s="419">
        <f t="shared" si="1"/>
        <v>1.3657553703384776E-4</v>
      </c>
      <c r="F56" s="419">
        <f t="shared" si="1"/>
        <v>1.3657553703384776E-4</v>
      </c>
      <c r="G56" s="419">
        <f t="shared" si="1"/>
        <v>1.3657553703384776E-4</v>
      </c>
      <c r="H56" s="1169"/>
      <c r="I56" s="1474"/>
      <c r="J56" s="1472"/>
      <c r="K56" s="164"/>
      <c r="L56" s="1447"/>
      <c r="M56" s="1447"/>
      <c r="N56" s="1447"/>
      <c r="O56" s="1447"/>
      <c r="P56" s="1447"/>
      <c r="Q56" s="1447"/>
    </row>
    <row r="57" spans="1:17">
      <c r="A57" s="1447"/>
      <c r="B57" s="1484" t="s">
        <v>28</v>
      </c>
      <c r="C57" s="1469" t="s">
        <v>265</v>
      </c>
      <c r="D57" s="419">
        <f t="shared" si="1"/>
        <v>2.8831426319335706E-3</v>
      </c>
      <c r="E57" s="419">
        <f t="shared" si="1"/>
        <v>3.8168443449451877E-3</v>
      </c>
      <c r="F57" s="419">
        <f t="shared" si="1"/>
        <v>3.8168443449451881E-3</v>
      </c>
      <c r="G57" s="419">
        <f t="shared" si="1"/>
        <v>3.8168443449451881E-3</v>
      </c>
      <c r="H57" s="1169"/>
      <c r="I57" s="1474"/>
      <c r="J57" s="1472"/>
      <c r="K57" s="164"/>
      <c r="L57" s="1447"/>
      <c r="M57" s="1447"/>
      <c r="N57" s="1447"/>
      <c r="O57" s="1447"/>
      <c r="P57" s="1447"/>
      <c r="Q57" s="1447"/>
    </row>
    <row r="58" spans="1:17">
      <c r="A58" s="1447"/>
      <c r="B58" s="1484" t="s">
        <v>26</v>
      </c>
      <c r="C58" s="1469" t="s">
        <v>265</v>
      </c>
      <c r="D58" s="419">
        <f t="shared" si="1"/>
        <v>4.6837408023728803E-4</v>
      </c>
      <c r="E58" s="419">
        <f t="shared" si="1"/>
        <v>4.6837408023728792E-4</v>
      </c>
      <c r="F58" s="419">
        <f t="shared" si="1"/>
        <v>4.6837408023728798E-4</v>
      </c>
      <c r="G58" s="419">
        <f t="shared" si="1"/>
        <v>4.6837408023728798E-4</v>
      </c>
      <c r="H58" s="1169"/>
      <c r="I58" s="1474"/>
      <c r="J58" s="1472"/>
      <c r="K58" s="164"/>
      <c r="L58" s="1447"/>
      <c r="M58" s="1447"/>
      <c r="N58" s="1447"/>
      <c r="O58" s="1447"/>
      <c r="P58" s="1447"/>
      <c r="Q58" s="1447"/>
    </row>
    <row r="59" spans="1:17">
      <c r="A59" s="1447"/>
      <c r="B59" s="1484" t="s">
        <v>167</v>
      </c>
      <c r="C59" s="1469" t="s">
        <v>265</v>
      </c>
      <c r="D59" s="419">
        <f t="shared" si="1"/>
        <v>0.42120742294108487</v>
      </c>
      <c r="E59" s="419">
        <f t="shared" si="1"/>
        <v>4.2913588351117742E-2</v>
      </c>
      <c r="F59" s="419">
        <f t="shared" si="1"/>
        <v>4.2913588351117742E-2</v>
      </c>
      <c r="G59" s="419">
        <f t="shared" si="1"/>
        <v>4.2913588351117742E-2</v>
      </c>
      <c r="H59" s="1169"/>
      <c r="I59" s="1474"/>
      <c r="J59" s="1472"/>
      <c r="K59" s="164"/>
      <c r="L59" s="1447"/>
      <c r="M59" s="1447"/>
      <c r="N59" s="1447"/>
      <c r="O59" s="1447"/>
      <c r="P59" s="1447"/>
      <c r="Q59" s="1447"/>
    </row>
    <row r="60" spans="1:17">
      <c r="A60" s="1447"/>
      <c r="B60" s="1484" t="s">
        <v>45</v>
      </c>
      <c r="C60" s="1469" t="s">
        <v>265</v>
      </c>
      <c r="D60" s="419">
        <f t="shared" si="1"/>
        <v>3.2868980174215008E-3</v>
      </c>
      <c r="E60" s="419">
        <f t="shared" si="1"/>
        <v>4.9158331190144507E-4</v>
      </c>
      <c r="F60" s="419">
        <f t="shared" si="1"/>
        <v>4.9158331190144507E-4</v>
      </c>
      <c r="G60" s="419">
        <f t="shared" si="1"/>
        <v>4.9158331190144507E-4</v>
      </c>
      <c r="H60" s="323"/>
      <c r="I60" s="1474"/>
      <c r="J60" s="1472"/>
      <c r="K60" s="164"/>
      <c r="L60" s="1447"/>
      <c r="M60" s="1447"/>
      <c r="N60" s="1447"/>
      <c r="O60" s="1447"/>
      <c r="P60" s="1447"/>
      <c r="Q60" s="1447"/>
    </row>
    <row r="61" spans="1:17" ht="13.5" thickBot="1">
      <c r="A61" s="1447"/>
      <c r="B61" s="1498"/>
      <c r="C61" s="1499"/>
      <c r="D61" s="1500"/>
      <c r="E61" s="1501"/>
      <c r="F61" s="1501"/>
      <c r="G61" s="1501"/>
      <c r="H61" s="1501"/>
      <c r="I61" s="1502"/>
      <c r="J61" s="1503"/>
      <c r="K61" s="164"/>
      <c r="L61" s="1447"/>
      <c r="M61" s="1447"/>
      <c r="N61" s="1447"/>
      <c r="O61" s="1447"/>
      <c r="P61" s="1447"/>
      <c r="Q61" s="1447"/>
    </row>
    <row r="62" spans="1:17">
      <c r="A62" s="1447"/>
      <c r="B62" s="1447"/>
      <c r="C62" s="1447"/>
      <c r="D62" s="1447"/>
      <c r="E62" s="1447"/>
      <c r="F62" s="1447"/>
      <c r="G62" s="1447"/>
      <c r="I62" s="1447"/>
      <c r="J62" s="1447"/>
      <c r="K62" s="164"/>
      <c r="L62" s="1447"/>
      <c r="M62" s="1447"/>
      <c r="N62" s="1447"/>
      <c r="O62" s="1447"/>
      <c r="P62" s="1447"/>
      <c r="Q62" s="1447"/>
    </row>
    <row r="63" spans="1:17">
      <c r="A63" s="1447"/>
      <c r="B63" s="1447"/>
      <c r="C63" s="1447"/>
      <c r="D63" s="1447"/>
      <c r="E63" s="1447"/>
      <c r="F63" s="1447"/>
      <c r="G63" s="1447"/>
      <c r="I63" s="1447"/>
      <c r="J63" s="1447"/>
      <c r="K63" s="164"/>
      <c r="L63" s="1447"/>
      <c r="M63" s="1447"/>
      <c r="N63" s="1447"/>
      <c r="O63" s="1447"/>
      <c r="P63" s="1447"/>
      <c r="Q63" s="1447"/>
    </row>
    <row r="64" spans="1:17" ht="16.5" thickBot="1">
      <c r="A64" s="1447"/>
      <c r="B64" s="1504" t="s">
        <v>168</v>
      </c>
      <c r="C64" s="1447"/>
      <c r="D64" s="1447"/>
      <c r="E64" s="1447"/>
      <c r="F64" s="1447"/>
      <c r="G64" s="1447"/>
      <c r="I64" s="1447"/>
      <c r="J64" s="1447"/>
      <c r="K64" s="164"/>
      <c r="L64" s="1447"/>
      <c r="M64" s="1447"/>
      <c r="N64" s="1447"/>
      <c r="O64" s="1447"/>
      <c r="P64" s="1447"/>
      <c r="Q64" s="1447"/>
    </row>
    <row r="65" spans="1:17">
      <c r="A65" s="1447"/>
      <c r="B65" s="1455"/>
      <c r="C65" s="1456"/>
      <c r="D65" s="1449"/>
      <c r="E65" s="1449"/>
      <c r="F65" s="1449"/>
      <c r="G65" s="1449"/>
      <c r="H65" s="1449"/>
      <c r="I65" s="1449"/>
      <c r="J65" s="1450"/>
      <c r="K65" s="164"/>
      <c r="L65" s="1447"/>
      <c r="M65" s="1447"/>
      <c r="N65" s="1447"/>
      <c r="O65" s="1447"/>
      <c r="P65" s="1447"/>
      <c r="Q65" s="1447"/>
    </row>
    <row r="66" spans="1:17">
      <c r="A66" s="1447"/>
      <c r="B66" s="1460"/>
      <c r="C66" s="1461" t="s">
        <v>70</v>
      </c>
      <c r="D66" s="1506">
        <v>2015</v>
      </c>
      <c r="E66" s="1507">
        <v>2020</v>
      </c>
      <c r="F66" s="1507">
        <v>2035</v>
      </c>
      <c r="G66" s="1507">
        <v>2050</v>
      </c>
      <c r="H66" s="1507"/>
      <c r="I66" s="1464"/>
      <c r="J66" s="1465"/>
      <c r="K66" s="164"/>
      <c r="L66" s="1447"/>
      <c r="M66" s="1447"/>
      <c r="N66" s="1447"/>
      <c r="O66" s="1447"/>
      <c r="P66" s="1447"/>
      <c r="Q66" s="1447"/>
    </row>
    <row r="67" spans="1:17">
      <c r="A67" s="1447"/>
      <c r="B67" s="1484" t="s">
        <v>266</v>
      </c>
      <c r="C67" s="1509" t="s">
        <v>267</v>
      </c>
      <c r="D67" s="288">
        <f>D23*D75</f>
        <v>4.8206591999999997</v>
      </c>
      <c r="E67" s="288">
        <f>E23*E75</f>
        <v>4.6897815746606328</v>
      </c>
      <c r="F67" s="288">
        <f>F23*F75</f>
        <v>4.5322436923076914</v>
      </c>
      <c r="G67" s="288">
        <f>G23*G75</f>
        <v>4.5322436923076914</v>
      </c>
      <c r="H67" s="288"/>
      <c r="I67" s="1471"/>
      <c r="J67" s="1472"/>
      <c r="K67" s="164"/>
      <c r="L67" s="1447"/>
      <c r="M67" s="1447"/>
      <c r="N67" s="1447"/>
      <c r="O67" s="1447"/>
      <c r="P67" s="1447"/>
      <c r="Q67" s="1447"/>
    </row>
    <row r="68" spans="1:17">
      <c r="A68" s="1447"/>
      <c r="B68" s="1484" t="s">
        <v>268</v>
      </c>
      <c r="C68" s="1509" t="s">
        <v>269</v>
      </c>
      <c r="D68" s="311">
        <v>67000</v>
      </c>
      <c r="E68" s="311">
        <v>67000</v>
      </c>
      <c r="F68" s="311">
        <v>67000</v>
      </c>
      <c r="G68" s="311">
        <v>67000</v>
      </c>
      <c r="H68" s="311"/>
      <c r="I68" s="1576" t="str">
        <f>Referencer!$B$74</f>
        <v>70, RAMMEVILKÅR FOR GAS TIL TUNG VEJTRANSPORT, Energistyrelsen, 2014</v>
      </c>
      <c r="J68" s="1574"/>
      <c r="K68" s="164"/>
      <c r="L68" s="1447"/>
      <c r="M68" s="1447"/>
      <c r="N68" s="1447"/>
      <c r="O68" s="1447"/>
      <c r="P68" s="1447"/>
      <c r="Q68" s="1447"/>
    </row>
    <row r="69" spans="1:17">
      <c r="A69" s="1447"/>
      <c r="B69" s="1484" t="s">
        <v>271</v>
      </c>
      <c r="C69" s="1573" t="s">
        <v>55</v>
      </c>
      <c r="D69" s="370">
        <f>Bus!D69*95%</f>
        <v>1.71</v>
      </c>
      <c r="E69" s="370">
        <f>Bus!E69*95%</f>
        <v>1.71</v>
      </c>
      <c r="F69" s="370">
        <f>Bus!F69*95%</f>
        <v>1.71</v>
      </c>
      <c r="G69" s="370">
        <f>Bus!G69*95%</f>
        <v>1.71</v>
      </c>
      <c r="H69" s="370"/>
      <c r="I69" s="1576" t="str">
        <f>Referencer!$B$33</f>
        <v>27, Emails fra Kurt Vinther (kurt.vinther@volvo.com), Volvo d. 23/1-2012</v>
      </c>
      <c r="J69" s="375" t="s">
        <v>670</v>
      </c>
      <c r="K69" s="164"/>
      <c r="L69" s="1447"/>
      <c r="M69" s="1447"/>
      <c r="N69" s="1447"/>
      <c r="O69" s="1447"/>
      <c r="P69" s="1447"/>
      <c r="Q69" s="1447"/>
    </row>
    <row r="70" spans="1:17">
      <c r="A70" s="1447"/>
      <c r="B70" s="1572" t="s">
        <v>563</v>
      </c>
      <c r="C70" s="1573" t="s">
        <v>32</v>
      </c>
      <c r="D70" s="356">
        <f>Bus!D70*1.3</f>
        <v>3.125</v>
      </c>
      <c r="E70" s="356">
        <f>Bus!E70*1.3</f>
        <v>3.2886904761904767</v>
      </c>
      <c r="F70" s="356">
        <f>Bus!F70*1.3</f>
        <v>3.4821428571428577</v>
      </c>
      <c r="G70" s="356">
        <f>Bus!G70*1.3</f>
        <v>3.4821428571428577</v>
      </c>
      <c r="H70" s="356"/>
      <c r="I70" s="1471" t="str">
        <f>Referencer!$B$30</f>
        <v>24, Power Point præsentation "Alternative Fuels Volvo Busser Danmark A/S" fra Jens Ommen, Volvo (via mail fra Steffen Müller 15/12-2011 til Michael Rask)</v>
      </c>
      <c r="J70" s="1574" t="s">
        <v>646</v>
      </c>
      <c r="K70" s="164"/>
      <c r="L70" s="1447"/>
      <c r="M70" s="333"/>
      <c r="N70" s="334">
        <f>42/37</f>
        <v>1.1351351351351351</v>
      </c>
      <c r="O70" s="334"/>
      <c r="P70" s="1447"/>
      <c r="Q70" s="1447"/>
    </row>
    <row r="71" spans="1:17">
      <c r="A71" s="1447"/>
      <c r="B71" s="1572" t="s">
        <v>564</v>
      </c>
      <c r="C71" s="1573" t="s">
        <v>29</v>
      </c>
      <c r="D71" s="379">
        <v>0.42</v>
      </c>
      <c r="E71" s="379">
        <v>0.43</v>
      </c>
      <c r="F71" s="379">
        <v>0.44</v>
      </c>
      <c r="G71" s="379">
        <v>0.44</v>
      </c>
      <c r="H71" s="379"/>
      <c r="I71" s="1471" t="str">
        <f>Referencer!$B$30</f>
        <v>24, Power Point præsentation "Alternative Fuels Volvo Busser Danmark A/S" fra Jens Ommen, Volvo (via mail fra Steffen Müller 15/12-2011 til Michael Rask)</v>
      </c>
      <c r="J71" s="1574" t="s">
        <v>682</v>
      </c>
      <c r="K71" s="164"/>
      <c r="L71" s="1447"/>
      <c r="M71" s="1447"/>
      <c r="N71" s="1447"/>
      <c r="O71" s="1447"/>
      <c r="P71" s="1447"/>
      <c r="Q71" s="1447"/>
    </row>
    <row r="72" spans="1:17" ht="13.5" thickBot="1">
      <c r="A72" s="1447"/>
      <c r="B72" s="320"/>
      <c r="C72" s="321"/>
      <c r="D72" s="376"/>
      <c r="E72" s="376"/>
      <c r="F72" s="376"/>
      <c r="G72" s="376"/>
      <c r="H72" s="376"/>
      <c r="I72" s="1471"/>
      <c r="J72" s="1534"/>
      <c r="K72" s="164"/>
      <c r="L72" s="1447"/>
      <c r="M72" s="1447"/>
      <c r="N72" s="1447"/>
      <c r="O72" s="1447"/>
      <c r="P72" s="1447"/>
      <c r="Q72" s="1447"/>
    </row>
    <row r="73" spans="1:17">
      <c r="A73" s="1447"/>
      <c r="B73" s="1447"/>
      <c r="C73" s="1447"/>
      <c r="D73" s="1580"/>
      <c r="E73" s="1580"/>
      <c r="F73" s="1580"/>
      <c r="G73" s="1580"/>
      <c r="H73" s="1580"/>
      <c r="I73" s="1447"/>
      <c r="J73" s="1447"/>
      <c r="K73" s="164"/>
      <c r="L73" s="1447"/>
      <c r="M73" s="1447"/>
      <c r="N73" s="1447"/>
      <c r="O73" s="1447"/>
      <c r="P73" s="1447"/>
      <c r="Q73" s="1447"/>
    </row>
    <row r="74" spans="1:17" ht="16.5" thickBot="1">
      <c r="A74" s="1447"/>
      <c r="B74" s="1504" t="s">
        <v>172</v>
      </c>
      <c r="C74" s="1447"/>
      <c r="D74" s="1447"/>
      <c r="E74" s="1447"/>
      <c r="F74" s="1447"/>
      <c r="G74" s="1447"/>
      <c r="I74" s="1447"/>
      <c r="J74" s="1447"/>
      <c r="K74" s="164"/>
      <c r="L74" s="1447"/>
      <c r="M74" s="1447"/>
      <c r="N74" s="1447"/>
      <c r="O74" s="1447"/>
      <c r="P74" s="1447"/>
      <c r="Q74" s="1447"/>
    </row>
    <row r="75" spans="1:17">
      <c r="A75" s="1447"/>
      <c r="B75" s="1455" t="s">
        <v>273</v>
      </c>
      <c r="C75" s="1449"/>
      <c r="D75" s="441">
        <f>Supplementary!$G$164/D70</f>
        <v>11.47776</v>
      </c>
      <c r="E75" s="441">
        <f>Supplementary!$G$164/E70</f>
        <v>10.906468778280543</v>
      </c>
      <c r="F75" s="441">
        <f>Supplementary!$G$164/F70</f>
        <v>10.300553846153845</v>
      </c>
      <c r="G75" s="441">
        <f>Supplementary!$G$164/G70</f>
        <v>10.300553846153845</v>
      </c>
      <c r="H75" s="441"/>
      <c r="I75" s="1449"/>
      <c r="J75" s="1450"/>
      <c r="K75" s="164"/>
      <c r="L75" s="1447"/>
      <c r="M75" s="1447"/>
      <c r="N75" s="1447"/>
      <c r="O75" s="1447"/>
      <c r="P75" s="1447"/>
      <c r="Q75" s="1447"/>
    </row>
    <row r="76" spans="1:17">
      <c r="A76" s="1447"/>
      <c r="B76" s="1484"/>
      <c r="C76" s="1471"/>
      <c r="D76" s="260"/>
      <c r="E76" s="260"/>
      <c r="F76" s="260"/>
      <c r="G76" s="260"/>
      <c r="H76" s="260"/>
      <c r="I76" s="1471"/>
      <c r="J76" s="1472"/>
      <c r="K76" s="164"/>
      <c r="L76" s="1447"/>
      <c r="M76" s="1447"/>
      <c r="N76" s="1447"/>
      <c r="O76" s="1447"/>
      <c r="P76" s="1447"/>
      <c r="Q76" s="1447"/>
    </row>
    <row r="77" spans="1:17">
      <c r="A77" s="1447"/>
      <c r="B77" s="1484" t="s">
        <v>24</v>
      </c>
      <c r="C77" s="1471" t="s">
        <v>7</v>
      </c>
      <c r="D77" s="372">
        <f t="shared" ref="D77:G82" si="2">D87/1000*D$75</f>
        <v>849.35424</v>
      </c>
      <c r="E77" s="372">
        <f t="shared" si="2"/>
        <v>807.07868959276027</v>
      </c>
      <c r="F77" s="372">
        <f t="shared" si="2"/>
        <v>762.2409846153846</v>
      </c>
      <c r="G77" s="372">
        <f t="shared" si="2"/>
        <v>762.2409846153846</v>
      </c>
      <c r="H77" s="372"/>
      <c r="I77" s="1471"/>
      <c r="J77" s="1472"/>
      <c r="K77" s="164"/>
      <c r="L77" s="1447"/>
      <c r="M77" s="1447"/>
      <c r="N77" s="1447"/>
      <c r="O77" s="1447"/>
      <c r="P77" s="1447"/>
      <c r="Q77" s="1447"/>
    </row>
    <row r="78" spans="1:17">
      <c r="A78" s="1447"/>
      <c r="B78" s="1484" t="s">
        <v>27</v>
      </c>
      <c r="C78" s="1471" t="s">
        <v>7</v>
      </c>
      <c r="D78" s="372">
        <f t="shared" si="2"/>
        <v>4.188470125536351E-3</v>
      </c>
      <c r="E78" s="372">
        <f t="shared" si="2"/>
        <v>1.4895568305365585E-3</v>
      </c>
      <c r="F78" s="372">
        <f t="shared" si="2"/>
        <v>1.4068036732845274E-3</v>
      </c>
      <c r="G78" s="372">
        <f t="shared" si="2"/>
        <v>1.4068036732845274E-3</v>
      </c>
      <c r="H78" s="372"/>
      <c r="I78" s="1471"/>
      <c r="J78" s="1472"/>
      <c r="K78" s="164"/>
      <c r="L78" s="1447"/>
      <c r="M78" s="1447"/>
      <c r="N78" s="1447"/>
      <c r="O78" s="1447"/>
      <c r="P78" s="1447"/>
      <c r="Q78" s="1447"/>
    </row>
    <row r="79" spans="1:17">
      <c r="A79" s="1447"/>
      <c r="B79" s="1484" t="s">
        <v>28</v>
      </c>
      <c r="C79" s="1471" t="s">
        <v>7</v>
      </c>
      <c r="D79" s="372">
        <f t="shared" si="2"/>
        <v>3.3092019175101857E-2</v>
      </c>
      <c r="E79" s="372">
        <f t="shared" si="2"/>
        <v>4.1628293679701341E-2</v>
      </c>
      <c r="F79" s="372">
        <f t="shared" si="2"/>
        <v>3.9315610697495708E-2</v>
      </c>
      <c r="G79" s="372">
        <f t="shared" si="2"/>
        <v>3.9315610697495708E-2</v>
      </c>
      <c r="H79" s="372"/>
      <c r="I79" s="1471"/>
      <c r="J79" s="1472"/>
      <c r="K79" s="164"/>
      <c r="L79" s="1447"/>
      <c r="M79" s="1447"/>
      <c r="N79" s="1447"/>
      <c r="O79" s="1447"/>
      <c r="P79" s="1447"/>
      <c r="Q79" s="1447"/>
    </row>
    <row r="80" spans="1:17">
      <c r="A80" s="1447"/>
      <c r="B80" s="1484" t="s">
        <v>26</v>
      </c>
      <c r="C80" s="1471" t="s">
        <v>7</v>
      </c>
      <c r="D80" s="372">
        <f t="shared" si="2"/>
        <v>5.3758852831843349E-3</v>
      </c>
      <c r="E80" s="372">
        <f t="shared" si="2"/>
        <v>5.1083072826638466E-3</v>
      </c>
      <c r="F80" s="372">
        <f t="shared" si="2"/>
        <v>4.8245124336269663E-3</v>
      </c>
      <c r="G80" s="372">
        <f t="shared" si="2"/>
        <v>4.8245124336269663E-3</v>
      </c>
      <c r="H80" s="372"/>
      <c r="I80" s="1471"/>
      <c r="J80" s="1574"/>
      <c r="K80" s="335"/>
      <c r="L80" s="1447"/>
      <c r="M80" s="1447"/>
      <c r="N80" s="1447"/>
      <c r="O80" s="1447"/>
      <c r="P80" s="1447"/>
      <c r="Q80" s="1447"/>
    </row>
    <row r="81" spans="1:17">
      <c r="A81" s="1447"/>
      <c r="B81" s="1572" t="s">
        <v>25</v>
      </c>
      <c r="C81" s="1471" t="s">
        <v>7</v>
      </c>
      <c r="D81" s="372">
        <f t="shared" si="2"/>
        <v>4.8345177107362662</v>
      </c>
      <c r="E81" s="372">
        <f t="shared" si="2"/>
        <v>0.46803571151544926</v>
      </c>
      <c r="F81" s="372">
        <f t="shared" si="2"/>
        <v>0.44203372754236869</v>
      </c>
      <c r="G81" s="372">
        <f t="shared" si="2"/>
        <v>0.44203372754236869</v>
      </c>
      <c r="H81" s="372"/>
      <c r="I81" s="1471"/>
      <c r="J81" s="1574"/>
      <c r="K81" s="164"/>
      <c r="L81" s="1447"/>
      <c r="M81" s="1447"/>
      <c r="N81" s="1447"/>
      <c r="O81" s="1447"/>
      <c r="P81" s="1447"/>
      <c r="Q81" s="1447"/>
    </row>
    <row r="82" spans="1:17">
      <c r="A82" s="1447"/>
      <c r="B82" s="1484" t="s">
        <v>45</v>
      </c>
      <c r="C82" s="1471" t="s">
        <v>7</v>
      </c>
      <c r="D82" s="372">
        <f t="shared" si="2"/>
        <v>3.7726226588439805E-2</v>
      </c>
      <c r="E82" s="372">
        <f t="shared" si="2"/>
        <v>5.3614380431768567E-3</v>
      </c>
      <c r="F82" s="372">
        <f t="shared" si="2"/>
        <v>5.0635803741114751E-3</v>
      </c>
      <c r="G82" s="372">
        <f t="shared" si="2"/>
        <v>5.0635803741114751E-3</v>
      </c>
      <c r="H82" s="372"/>
      <c r="I82" s="1471"/>
      <c r="J82" s="1574"/>
      <c r="K82" s="335"/>
      <c r="L82" s="1447"/>
      <c r="M82" s="1447"/>
      <c r="N82" s="1447"/>
      <c r="O82" s="1447"/>
      <c r="P82" s="1447"/>
      <c r="Q82" s="1447"/>
    </row>
    <row r="83" spans="1:17" ht="13.5" thickBot="1">
      <c r="A83" s="1447"/>
      <c r="B83" s="1521"/>
      <c r="C83" s="1501"/>
      <c r="D83" s="262"/>
      <c r="E83" s="262"/>
      <c r="F83" s="262"/>
      <c r="G83" s="262"/>
      <c r="H83" s="262"/>
      <c r="I83" s="1501"/>
      <c r="J83" s="1503"/>
      <c r="K83" s="1447"/>
      <c r="L83" s="1447"/>
      <c r="M83" s="1447"/>
      <c r="N83" s="1447"/>
      <c r="O83" s="1447"/>
      <c r="P83" s="1447"/>
      <c r="Q83" s="1447"/>
    </row>
    <row r="84" spans="1:17">
      <c r="A84" s="1447"/>
      <c r="B84" s="1447"/>
      <c r="C84" s="1447"/>
      <c r="D84" s="1447"/>
      <c r="E84" s="1447"/>
      <c r="F84" s="1447"/>
      <c r="G84" s="1447"/>
      <c r="I84" s="1447"/>
      <c r="J84" s="1447"/>
      <c r="K84" s="1447"/>
      <c r="L84" s="1447"/>
      <c r="M84" s="1447"/>
      <c r="N84" s="1447"/>
      <c r="O84" s="1447"/>
      <c r="P84" s="1447"/>
      <c r="Q84" s="1447"/>
    </row>
    <row r="85" spans="1:17" ht="13.5" thickBot="1">
      <c r="A85" s="1447"/>
      <c r="B85" s="1446" t="s">
        <v>521</v>
      </c>
      <c r="C85" s="1447"/>
      <c r="D85" s="1447"/>
      <c r="E85" s="1447"/>
      <c r="F85" s="1447"/>
      <c r="G85" s="1447"/>
      <c r="I85" s="1447"/>
      <c r="J85" s="1447"/>
      <c r="K85" s="1447"/>
      <c r="L85" s="1447"/>
      <c r="M85" s="1447"/>
      <c r="N85" s="1447"/>
      <c r="O85" s="1447"/>
      <c r="P85" s="1447"/>
      <c r="Q85" s="1447"/>
    </row>
    <row r="86" spans="1:17">
      <c r="A86" s="1447"/>
      <c r="B86" s="1455"/>
      <c r="C86" s="1449"/>
      <c r="D86" s="367">
        <v>2015</v>
      </c>
      <c r="E86" s="367">
        <v>2020</v>
      </c>
      <c r="F86" s="367">
        <v>2035</v>
      </c>
      <c r="G86" s="367"/>
      <c r="H86" s="367"/>
      <c r="I86" s="1447"/>
      <c r="J86" s="1447"/>
      <c r="K86" s="1447"/>
      <c r="L86" s="1447"/>
      <c r="M86" s="1447"/>
      <c r="N86" s="1447"/>
      <c r="O86" s="1447"/>
      <c r="P86" s="1447"/>
      <c r="Q86" s="1447"/>
    </row>
    <row r="87" spans="1:17">
      <c r="A87" s="1447"/>
      <c r="B87" s="1487" t="s">
        <v>24</v>
      </c>
      <c r="C87" s="323" t="s">
        <v>203</v>
      </c>
      <c r="D87" s="324">
        <f>Supplementary!AF77</f>
        <v>74000</v>
      </c>
      <c r="E87" s="324">
        <f>Supplementary!AG77</f>
        <v>74000.000000000015</v>
      </c>
      <c r="F87" s="324">
        <f>Supplementary!AH77</f>
        <v>74000.000000000015</v>
      </c>
      <c r="G87" s="324">
        <f t="shared" ref="G87:G92" si="3">F87</f>
        <v>74000.000000000015</v>
      </c>
      <c r="H87" s="324"/>
      <c r="I87" s="1447"/>
      <c r="J87" s="1447"/>
      <c r="K87" s="1447"/>
      <c r="L87" s="1447"/>
      <c r="M87" s="1447"/>
      <c r="N87" s="1447"/>
      <c r="O87" s="1447"/>
      <c r="P87" s="1447"/>
      <c r="Q87" s="1447"/>
    </row>
    <row r="88" spans="1:17">
      <c r="A88" s="1447"/>
      <c r="B88" s="1487" t="s">
        <v>27</v>
      </c>
      <c r="C88" s="1471" t="s">
        <v>203</v>
      </c>
      <c r="D88" s="291">
        <f>Supplementary!AF78</f>
        <v>0.36492051807463749</v>
      </c>
      <c r="E88" s="291">
        <f>Supplementary!AG78</f>
        <v>0.13657553703384775</v>
      </c>
      <c r="F88" s="291">
        <f>Supplementary!AH78</f>
        <v>0.13657553703384775</v>
      </c>
      <c r="G88" s="291">
        <f t="shared" si="3"/>
        <v>0.13657553703384775</v>
      </c>
      <c r="H88" s="291"/>
      <c r="I88" s="1447"/>
      <c r="J88" s="1447"/>
      <c r="K88" s="1447"/>
      <c r="L88" s="1447"/>
      <c r="M88" s="1447"/>
      <c r="N88" s="1447"/>
      <c r="O88" s="1447"/>
      <c r="P88" s="1447"/>
      <c r="Q88" s="1447"/>
    </row>
    <row r="89" spans="1:17">
      <c r="A89" s="1447"/>
      <c r="B89" s="1487" t="s">
        <v>28</v>
      </c>
      <c r="C89" s="1471" t="s">
        <v>203</v>
      </c>
      <c r="D89" s="291">
        <f>Supplementary!AF79</f>
        <v>2.8831426319335707</v>
      </c>
      <c r="E89" s="291">
        <f>Supplementary!AG79</f>
        <v>3.8168443449451881</v>
      </c>
      <c r="F89" s="291">
        <f>Supplementary!AH79</f>
        <v>3.8168443449451881</v>
      </c>
      <c r="G89" s="291">
        <f t="shared" si="3"/>
        <v>3.8168443449451881</v>
      </c>
      <c r="H89" s="291"/>
      <c r="I89" s="1447"/>
      <c r="J89" s="1447"/>
      <c r="K89" s="1447"/>
      <c r="L89" s="1447"/>
      <c r="M89" s="1447"/>
      <c r="N89" s="1447"/>
      <c r="O89" s="1447"/>
      <c r="P89" s="1447"/>
      <c r="Q89" s="1447"/>
    </row>
    <row r="90" spans="1:17">
      <c r="A90" s="1447"/>
      <c r="B90" s="1487" t="s">
        <v>26</v>
      </c>
      <c r="C90" s="1471" t="s">
        <v>203</v>
      </c>
      <c r="D90" s="291">
        <f>Supplementary!AF80</f>
        <v>0.46837408023728805</v>
      </c>
      <c r="E90" s="291">
        <f>Supplementary!AG80</f>
        <v>0.46837408023728799</v>
      </c>
      <c r="F90" s="291">
        <f>Supplementary!AH80</f>
        <v>0.46837408023728799</v>
      </c>
      <c r="G90" s="291">
        <f t="shared" si="3"/>
        <v>0.46837408023728799</v>
      </c>
      <c r="H90" s="291"/>
      <c r="I90" s="1447"/>
      <c r="J90" s="1447"/>
      <c r="K90" s="1447"/>
      <c r="L90" s="1447"/>
      <c r="M90" s="1447"/>
      <c r="N90" s="1447"/>
      <c r="O90" s="1447"/>
      <c r="P90" s="1447"/>
      <c r="Q90" s="1447"/>
    </row>
    <row r="91" spans="1:17">
      <c r="A91" s="1447"/>
      <c r="B91" s="1476" t="s">
        <v>25</v>
      </c>
      <c r="C91" s="1471" t="s">
        <v>203</v>
      </c>
      <c r="D91" s="324">
        <f>Supplementary!AF81</f>
        <v>421.20742294108487</v>
      </c>
      <c r="E91" s="324">
        <f>Supplementary!AG81</f>
        <v>42.913588351117738</v>
      </c>
      <c r="F91" s="324">
        <f>Supplementary!AH81</f>
        <v>42.913588351117738</v>
      </c>
      <c r="G91" s="324">
        <f t="shared" si="3"/>
        <v>42.913588351117738</v>
      </c>
      <c r="H91" s="324"/>
      <c r="I91" s="1447"/>
      <c r="J91" s="1447"/>
      <c r="K91" s="1447"/>
      <c r="L91" s="1447"/>
      <c r="M91" s="1447"/>
      <c r="N91" s="1447"/>
      <c r="O91" s="1447"/>
      <c r="P91" s="1447"/>
      <c r="Q91" s="1447"/>
    </row>
    <row r="92" spans="1:17" ht="13.5" thickBot="1">
      <c r="A92" s="1447"/>
      <c r="B92" s="1578" t="s">
        <v>45</v>
      </c>
      <c r="C92" s="1501" t="s">
        <v>203</v>
      </c>
      <c r="D92" s="365">
        <f>Supplementary!AF82</f>
        <v>3.2868980174215006</v>
      </c>
      <c r="E92" s="365">
        <f>Supplementary!AG82</f>
        <v>0.49158331190144505</v>
      </c>
      <c r="F92" s="365">
        <f>Supplementary!AH82</f>
        <v>0.49158331190144505</v>
      </c>
      <c r="G92" s="365">
        <f t="shared" si="3"/>
        <v>0.49158331190144505</v>
      </c>
      <c r="H92" s="365"/>
      <c r="I92" s="1447"/>
      <c r="J92" s="1447"/>
      <c r="K92" s="1447"/>
      <c r="L92" s="1447"/>
      <c r="M92" s="1447"/>
      <c r="N92" s="1447"/>
      <c r="O92" s="1447"/>
      <c r="P92" s="1447"/>
      <c r="Q92" s="1447"/>
    </row>
    <row r="93" spans="1:17">
      <c r="A93" s="1447"/>
      <c r="B93" s="1447"/>
      <c r="C93" s="1447"/>
      <c r="D93" s="1447"/>
      <c r="E93" s="1447"/>
      <c r="F93" s="1447"/>
      <c r="G93" s="1447"/>
      <c r="I93" s="1447"/>
      <c r="J93" s="1447"/>
      <c r="K93" s="1447"/>
      <c r="L93" s="1447"/>
      <c r="M93" s="1447"/>
      <c r="N93" s="1447"/>
      <c r="O93" s="1447"/>
      <c r="P93" s="1447"/>
      <c r="Q93" s="1447"/>
    </row>
    <row r="94" spans="1:17">
      <c r="A94" s="1447"/>
      <c r="B94" s="1447"/>
      <c r="C94" s="1447"/>
      <c r="D94" s="1447"/>
      <c r="E94" s="1447"/>
      <c r="F94" s="1447"/>
      <c r="G94" s="1447"/>
      <c r="I94" s="1447"/>
      <c r="J94" s="1447"/>
      <c r="K94" s="1447"/>
      <c r="L94" s="1447"/>
      <c r="M94" s="1447"/>
      <c r="N94" s="1447"/>
      <c r="O94" s="1447"/>
      <c r="P94" s="1447"/>
      <c r="Q94" s="1447"/>
    </row>
    <row r="95" spans="1:17">
      <c r="A95" s="1447"/>
      <c r="B95" s="1447"/>
      <c r="C95" s="1447"/>
      <c r="D95" s="1447"/>
      <c r="E95" s="1447"/>
      <c r="F95" s="1447"/>
      <c r="G95" s="1447"/>
      <c r="H95" s="1535"/>
      <c r="I95" s="1447"/>
      <c r="J95" s="1447"/>
      <c r="K95" s="1447"/>
      <c r="L95" s="1447"/>
      <c r="M95" s="1447"/>
      <c r="N95" s="1447"/>
      <c r="O95" s="1447"/>
      <c r="P95" s="1447"/>
      <c r="Q95" s="1447"/>
    </row>
    <row r="96" spans="1:17">
      <c r="A96" s="1447"/>
      <c r="B96" s="1447"/>
      <c r="C96" s="1447"/>
      <c r="D96" s="1447"/>
      <c r="E96" s="1447"/>
      <c r="F96" s="1447"/>
      <c r="G96" s="1447"/>
      <c r="H96" s="1535"/>
      <c r="I96" s="1447"/>
      <c r="J96" s="1447"/>
      <c r="K96" s="1447"/>
      <c r="L96" s="1447"/>
      <c r="M96" s="1447"/>
      <c r="N96" s="1447"/>
      <c r="O96" s="1447"/>
      <c r="P96" s="1447"/>
      <c r="Q96" s="1447"/>
    </row>
    <row r="97" spans="1:17">
      <c r="A97" s="1447"/>
      <c r="B97" s="1447"/>
      <c r="C97" s="1447"/>
      <c r="D97" s="1447"/>
      <c r="E97" s="1447"/>
      <c r="F97" s="1447"/>
      <c r="G97" s="1447"/>
      <c r="H97" s="1535"/>
      <c r="I97" s="1447"/>
      <c r="J97" s="1447"/>
      <c r="K97" s="1447"/>
      <c r="L97" s="1447"/>
      <c r="M97" s="1447"/>
      <c r="N97" s="1447"/>
      <c r="O97" s="1447"/>
      <c r="P97" s="1447"/>
      <c r="Q97" s="1447"/>
    </row>
    <row r="98" spans="1:17">
      <c r="A98" s="1447"/>
      <c r="B98" s="1447"/>
      <c r="C98" s="1447"/>
      <c r="D98" s="1447"/>
      <c r="E98" s="1447"/>
      <c r="F98" s="1447"/>
      <c r="G98" s="1447"/>
      <c r="H98" s="1535"/>
      <c r="I98" s="1447"/>
      <c r="J98" s="1447"/>
      <c r="K98" s="1447"/>
      <c r="L98" s="1447"/>
      <c r="M98" s="1447"/>
      <c r="N98" s="1447"/>
      <c r="O98" s="1447"/>
      <c r="P98" s="1447"/>
      <c r="Q98" s="1447"/>
    </row>
    <row r="99" spans="1:17">
      <c r="A99" s="1447"/>
      <c r="B99" s="1447"/>
      <c r="C99" s="1447"/>
      <c r="D99" s="1447"/>
      <c r="E99" s="1447"/>
      <c r="F99" s="1447"/>
      <c r="G99" s="1447"/>
      <c r="H99" s="1535"/>
      <c r="I99" s="1447"/>
      <c r="J99" s="1447"/>
      <c r="K99" s="1447"/>
      <c r="L99" s="1447"/>
      <c r="M99" s="1447"/>
      <c r="N99" s="1447"/>
      <c r="O99" s="1447"/>
      <c r="P99" s="1447"/>
      <c r="Q99" s="1447"/>
    </row>
    <row r="100" spans="1:17">
      <c r="A100" s="1447"/>
      <c r="B100" s="1447"/>
      <c r="C100" s="1447"/>
      <c r="D100" s="1447"/>
      <c r="E100" s="1447"/>
      <c r="F100" s="1447"/>
      <c r="G100" s="1447"/>
      <c r="I100" s="1447"/>
      <c r="J100" s="1447"/>
      <c r="K100" s="1447"/>
      <c r="L100" s="1447"/>
      <c r="M100" s="1447"/>
      <c r="N100" s="1447"/>
      <c r="O100" s="1447"/>
      <c r="P100" s="1447"/>
      <c r="Q100" s="1447"/>
    </row>
    <row r="101" spans="1:17">
      <c r="A101" s="1447"/>
      <c r="B101" s="1447"/>
      <c r="C101" s="1447"/>
      <c r="D101" s="1447"/>
      <c r="E101" s="1447"/>
      <c r="F101" s="1447"/>
      <c r="G101" s="1447"/>
      <c r="I101" s="1447"/>
      <c r="J101" s="1447"/>
      <c r="K101" s="1447"/>
      <c r="L101" s="1447"/>
      <c r="M101" s="1447"/>
      <c r="N101" s="1447"/>
      <c r="O101" s="1447"/>
      <c r="P101" s="1447"/>
      <c r="Q101" s="1447"/>
    </row>
    <row r="102" spans="1:17">
      <c r="A102" s="1447"/>
      <c r="B102" s="1447"/>
      <c r="C102" s="1447"/>
      <c r="D102" s="1447"/>
      <c r="E102" s="1447"/>
      <c r="F102" s="1447"/>
      <c r="G102" s="1447"/>
      <c r="I102" s="1447"/>
      <c r="J102" s="1447"/>
      <c r="K102" s="1447"/>
      <c r="L102" s="1447"/>
      <c r="M102" s="1447"/>
      <c r="N102" s="1447"/>
      <c r="O102" s="1447"/>
      <c r="P102" s="1447"/>
      <c r="Q102" s="1447"/>
    </row>
    <row r="103" spans="1:17">
      <c r="A103" s="1447"/>
      <c r="B103" s="1447"/>
      <c r="C103" s="1447"/>
      <c r="D103" s="1447"/>
      <c r="E103" s="1447"/>
      <c r="F103" s="1447"/>
      <c r="G103" s="1447"/>
      <c r="I103" s="1447"/>
      <c r="J103" s="1447"/>
      <c r="K103" s="1447"/>
      <c r="L103" s="1447"/>
      <c r="M103" s="1447"/>
      <c r="N103" s="1447"/>
      <c r="O103" s="1447"/>
      <c r="P103" s="1447"/>
      <c r="Q103" s="1447"/>
    </row>
    <row r="104" spans="1:17">
      <c r="A104" s="1447"/>
      <c r="B104" s="1447"/>
      <c r="C104" s="1447"/>
      <c r="D104" s="1447"/>
      <c r="E104" s="1447"/>
      <c r="F104" s="1447"/>
      <c r="G104" s="1447"/>
      <c r="I104" s="1447"/>
      <c r="J104" s="1447"/>
      <c r="K104" s="1447"/>
      <c r="L104" s="1447"/>
      <c r="M104" s="1447"/>
      <c r="N104" s="1447"/>
      <c r="O104" s="1447"/>
      <c r="P104" s="1447"/>
      <c r="Q104" s="1447"/>
    </row>
    <row r="105" spans="1:17">
      <c r="A105" s="1447"/>
      <c r="B105" s="1447"/>
      <c r="C105" s="1447"/>
      <c r="D105" s="1447"/>
      <c r="E105" s="1447"/>
      <c r="F105" s="1447"/>
      <c r="G105" s="1447"/>
      <c r="I105" s="1447"/>
      <c r="J105" s="1447"/>
      <c r="K105" s="1447"/>
      <c r="L105" s="1447"/>
      <c r="M105" s="1447"/>
      <c r="N105" s="1447"/>
      <c r="O105" s="1447"/>
      <c r="P105" s="1447"/>
      <c r="Q105" s="1447"/>
    </row>
    <row r="106" spans="1:17">
      <c r="A106" s="1447"/>
      <c r="B106" s="1447"/>
      <c r="C106" s="1447"/>
      <c r="D106" s="1447"/>
      <c r="E106" s="1447"/>
      <c r="F106" s="1447"/>
      <c r="G106" s="1447"/>
      <c r="I106" s="1447"/>
      <c r="J106" s="1447"/>
      <c r="K106" s="1447"/>
      <c r="L106" s="1447"/>
      <c r="M106" s="1447"/>
      <c r="N106" s="1447"/>
      <c r="O106" s="1447"/>
      <c r="P106" s="1447"/>
      <c r="Q106" s="1447"/>
    </row>
    <row r="107" spans="1:17">
      <c r="A107" s="1447"/>
      <c r="B107" s="1447"/>
      <c r="C107" s="1447"/>
      <c r="D107" s="1447"/>
      <c r="E107" s="1447"/>
      <c r="F107" s="1447"/>
      <c r="G107" s="1447"/>
      <c r="I107" s="1447"/>
      <c r="J107" s="1447"/>
      <c r="K107" s="1447"/>
      <c r="L107" s="1447"/>
      <c r="M107" s="1447"/>
      <c r="N107" s="1447"/>
      <c r="O107" s="1447"/>
      <c r="P107" s="1447"/>
      <c r="Q107" s="1447"/>
    </row>
    <row r="108" spans="1:17">
      <c r="A108" s="1447"/>
      <c r="B108" s="1447"/>
      <c r="C108" s="1447"/>
      <c r="D108" s="1447"/>
      <c r="E108" s="1447"/>
      <c r="F108" s="1447"/>
      <c r="G108" s="1447"/>
      <c r="I108" s="1447"/>
      <c r="J108" s="1447"/>
      <c r="K108" s="1447"/>
      <c r="L108" s="1447"/>
      <c r="M108" s="1447"/>
      <c r="N108" s="1447"/>
      <c r="O108" s="1447"/>
      <c r="P108" s="1447"/>
      <c r="Q108" s="1447"/>
    </row>
    <row r="109" spans="1:17">
      <c r="A109" s="1447"/>
      <c r="B109" s="1447"/>
      <c r="C109" s="1447"/>
      <c r="D109" s="1447"/>
      <c r="E109" s="1447"/>
      <c r="F109" s="1447"/>
      <c r="G109" s="1447"/>
      <c r="I109" s="1447"/>
      <c r="J109" s="1447"/>
      <c r="K109" s="1447"/>
      <c r="L109" s="1447"/>
      <c r="M109" s="1447"/>
      <c r="N109" s="1447"/>
      <c r="O109" s="1447"/>
      <c r="P109" s="1447"/>
      <c r="Q109" s="1447"/>
    </row>
    <row r="110" spans="1:17">
      <c r="A110" s="1447"/>
      <c r="B110" s="1447"/>
      <c r="C110" s="1447"/>
      <c r="D110" s="1447"/>
      <c r="E110" s="1447"/>
      <c r="F110" s="1447"/>
      <c r="G110" s="1447"/>
      <c r="I110" s="1447"/>
      <c r="J110" s="1447"/>
      <c r="K110" s="1447"/>
      <c r="L110" s="1447"/>
      <c r="M110" s="1447"/>
      <c r="N110" s="1447"/>
      <c r="O110" s="1447"/>
      <c r="P110" s="1447"/>
      <c r="Q110" s="1447"/>
    </row>
    <row r="111" spans="1:17">
      <c r="A111" s="1447"/>
      <c r="B111" s="1447"/>
      <c r="C111" s="1447"/>
      <c r="D111" s="1447"/>
      <c r="E111" s="1447"/>
      <c r="F111" s="1447"/>
      <c r="G111" s="1447"/>
      <c r="I111" s="1447"/>
      <c r="J111" s="1447"/>
      <c r="K111" s="1447"/>
      <c r="L111" s="1447"/>
      <c r="M111" s="1447"/>
      <c r="N111" s="1447"/>
      <c r="O111" s="1447"/>
      <c r="P111" s="1447"/>
      <c r="Q111" s="1447"/>
    </row>
    <row r="112" spans="1:17">
      <c r="A112" s="1447"/>
      <c r="B112" s="1447"/>
      <c r="C112" s="1447"/>
      <c r="D112" s="1447"/>
      <c r="E112" s="1447"/>
      <c r="F112" s="1447"/>
      <c r="G112" s="1447"/>
      <c r="I112" s="1447"/>
      <c r="J112" s="1447"/>
      <c r="K112" s="1447"/>
      <c r="L112" s="1447"/>
      <c r="M112" s="1447"/>
      <c r="N112" s="1447"/>
      <c r="O112" s="1447"/>
      <c r="P112" s="1447"/>
      <c r="Q112" s="1447"/>
    </row>
    <row r="113" spans="1:17">
      <c r="A113" s="1447"/>
      <c r="B113" s="1447"/>
      <c r="C113" s="1447"/>
      <c r="D113" s="1447"/>
      <c r="E113" s="1447"/>
      <c r="F113" s="1447"/>
      <c r="G113" s="1447"/>
      <c r="I113" s="1447"/>
      <c r="J113" s="1447"/>
      <c r="K113" s="1447"/>
      <c r="L113" s="1447"/>
      <c r="M113" s="1447"/>
      <c r="N113" s="1447"/>
      <c r="O113" s="1447"/>
      <c r="P113" s="1447"/>
      <c r="Q113" s="1447"/>
    </row>
    <row r="114" spans="1:17">
      <c r="A114" s="1447"/>
      <c r="B114" s="1447"/>
      <c r="C114" s="1447"/>
      <c r="D114" s="1447"/>
      <c r="E114" s="1447"/>
      <c r="F114" s="1447"/>
      <c r="G114" s="1447"/>
      <c r="I114" s="1447"/>
      <c r="J114" s="1447"/>
      <c r="K114" s="1447"/>
      <c r="L114" s="1447"/>
      <c r="M114" s="1447"/>
      <c r="N114" s="1447"/>
      <c r="O114" s="1447"/>
      <c r="P114" s="1447"/>
      <c r="Q114" s="1447"/>
    </row>
    <row r="115" spans="1:17">
      <c r="A115" s="1447"/>
      <c r="B115" s="1447"/>
      <c r="C115" s="1447"/>
      <c r="D115" s="1447"/>
      <c r="E115" s="1447"/>
      <c r="F115" s="1447"/>
      <c r="G115" s="1447"/>
      <c r="I115" s="1447"/>
      <c r="J115" s="1447"/>
      <c r="K115" s="1447"/>
      <c r="L115" s="1447"/>
      <c r="M115" s="1447"/>
      <c r="N115" s="1447"/>
      <c r="O115" s="1447"/>
      <c r="P115" s="1447"/>
      <c r="Q115" s="1447"/>
    </row>
    <row r="116" spans="1:17">
      <c r="A116" s="1447"/>
      <c r="B116" s="1447"/>
      <c r="C116" s="1447"/>
      <c r="D116" s="1447"/>
      <c r="E116" s="1447"/>
      <c r="F116" s="1447"/>
      <c r="G116" s="1447"/>
      <c r="I116" s="1447"/>
      <c r="J116" s="1447"/>
      <c r="K116" s="1447"/>
      <c r="L116" s="1447"/>
      <c r="M116" s="1447"/>
      <c r="N116" s="1447"/>
      <c r="O116" s="1447"/>
      <c r="P116" s="1447"/>
      <c r="Q116" s="1447"/>
    </row>
    <row r="117" spans="1:17">
      <c r="A117" s="1447"/>
      <c r="B117" s="1447"/>
      <c r="C117" s="1447"/>
      <c r="D117" s="1447"/>
      <c r="E117" s="1447"/>
      <c r="F117" s="1447"/>
      <c r="G117" s="1447"/>
      <c r="I117" s="1447"/>
      <c r="J117" s="1447"/>
      <c r="K117" s="1447"/>
      <c r="L117" s="1447"/>
      <c r="M117" s="1447"/>
      <c r="N117" s="1447"/>
      <c r="O117" s="1447"/>
      <c r="P117" s="1447"/>
      <c r="Q117" s="1447"/>
    </row>
    <row r="118" spans="1:17">
      <c r="A118" s="1447"/>
      <c r="B118" s="1447"/>
      <c r="C118" s="1447"/>
      <c r="D118" s="1447"/>
      <c r="E118" s="1447"/>
      <c r="F118" s="1447"/>
      <c r="G118" s="1447"/>
      <c r="I118" s="1447"/>
      <c r="J118" s="1447"/>
      <c r="K118" s="1447"/>
      <c r="L118" s="1447"/>
      <c r="M118" s="1447"/>
      <c r="N118" s="1447"/>
      <c r="O118" s="1447"/>
      <c r="P118" s="1447"/>
      <c r="Q118" s="1447"/>
    </row>
    <row r="119" spans="1:17">
      <c r="A119" s="1447"/>
      <c r="B119" s="1447"/>
      <c r="C119" s="1447"/>
      <c r="D119" s="1447"/>
      <c r="E119" s="1447"/>
      <c r="F119" s="1447"/>
      <c r="G119" s="1447"/>
      <c r="I119" s="1447"/>
      <c r="J119" s="1447"/>
      <c r="K119" s="1447"/>
      <c r="L119" s="1447"/>
      <c r="M119" s="1447"/>
      <c r="N119" s="1447"/>
      <c r="O119" s="1447"/>
      <c r="P119" s="1447"/>
      <c r="Q119" s="1447"/>
    </row>
    <row r="120" spans="1:17">
      <c r="A120" s="1447"/>
      <c r="B120" s="1447"/>
      <c r="C120" s="1447"/>
      <c r="D120" s="1447"/>
      <c r="E120" s="1447"/>
      <c r="F120" s="1447"/>
      <c r="G120" s="1447"/>
      <c r="I120" s="1447"/>
      <c r="J120" s="1447"/>
      <c r="K120" s="1447"/>
      <c r="L120" s="1447"/>
      <c r="M120" s="1447"/>
      <c r="N120" s="1447"/>
      <c r="O120" s="1447"/>
      <c r="P120" s="1447"/>
      <c r="Q120" s="1447"/>
    </row>
    <row r="121" spans="1:17">
      <c r="A121" s="1447"/>
      <c r="B121" s="1447"/>
      <c r="C121" s="1447"/>
      <c r="D121" s="1447"/>
      <c r="E121" s="1447"/>
      <c r="F121" s="1447"/>
      <c r="G121" s="1447"/>
      <c r="I121" s="1447"/>
      <c r="J121" s="1447"/>
      <c r="K121" s="1447"/>
      <c r="L121" s="1447"/>
      <c r="M121" s="1447"/>
      <c r="N121" s="1447"/>
      <c r="O121" s="1447"/>
      <c r="P121" s="1447"/>
      <c r="Q121" s="1447"/>
    </row>
    <row r="122" spans="1:17">
      <c r="B122" s="1447"/>
      <c r="C122" s="1447"/>
      <c r="D122" s="1447"/>
      <c r="E122" s="1447"/>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00161" r:id="rId3" name="Button 1">
              <controlPr defaultSize="0" print="0" autoFill="0" autoPict="0" macro="[0]!GtOver">
                <anchor>
                  <from>
                    <xdr:col>13</xdr:col>
                    <xdr:colOff>190500</xdr:colOff>
                    <xdr:row>0</xdr:row>
                    <xdr:rowOff>57150</xdr:rowOff>
                  </from>
                  <to>
                    <xdr:col>15</xdr:col>
                    <xdr:colOff>38100</xdr:colOff>
                    <xdr:row>0</xdr:row>
                    <xdr:rowOff>257175</xdr:rowOff>
                  </to>
                </anchor>
              </controlPr>
            </control>
          </mc:Choice>
        </mc:AlternateContent>
        <mc:AlternateContent xmlns:mc="http://schemas.openxmlformats.org/markup-compatibility/2006">
          <mc:Choice Requires="x14">
            <control shapeId="1500162" r:id="rId4" name="Button 2">
              <controlPr defaultSize="0" print="0" autoFill="0" autoPict="0" macro="[0]!GtRes">
                <anchor>
                  <from>
                    <xdr:col>15</xdr:col>
                    <xdr:colOff>219075</xdr:colOff>
                    <xdr:row>0</xdr:row>
                    <xdr:rowOff>57150</xdr:rowOff>
                  </from>
                  <to>
                    <xdr:col>17</xdr:col>
                    <xdr:colOff>57150</xdr:colOff>
                    <xdr:row>0</xdr:row>
                    <xdr:rowOff>257175</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rgb="FF002060"/>
    <pageSetUpPr fitToPage="1"/>
  </sheetPr>
  <dimension ref="B1:S105"/>
  <sheetViews>
    <sheetView topLeftCell="A31" zoomScale="80" zoomScaleNormal="80" workbookViewId="0">
      <selection activeCell="D38" sqref="D38"/>
    </sheetView>
  </sheetViews>
  <sheetFormatPr defaultColWidth="8.85546875" defaultRowHeight="12.75"/>
  <cols>
    <col min="1" max="1" width="2.85546875" style="1447" customWidth="1"/>
    <col min="2" max="2" width="35" style="1447" customWidth="1"/>
    <col min="3" max="3" width="18" style="1447" customWidth="1"/>
    <col min="4" max="4" width="13.42578125" style="1447" customWidth="1"/>
    <col min="5" max="8" width="15.85546875" style="1447" customWidth="1"/>
    <col min="9" max="9" width="9.7109375" style="1447" customWidth="1"/>
    <col min="10" max="10" width="37.42578125" style="1447" customWidth="1"/>
    <col min="11" max="14" width="8.85546875" style="1447"/>
    <col min="15" max="15" width="37.85546875" style="1447" customWidth="1"/>
    <col min="16" max="16" width="13.85546875" style="1447" bestFit="1" customWidth="1"/>
    <col min="17" max="17" width="8.85546875" style="1447"/>
    <col min="18" max="19" width="12" style="1447" customWidth="1"/>
    <col min="20" max="16384" width="8.85546875" style="1447"/>
  </cols>
  <sheetData>
    <row r="1" spans="2:19" s="2403" customFormat="1" ht="21">
      <c r="B1" s="2403" t="s">
        <v>1575</v>
      </c>
      <c r="Q1" s="2403">
        <f ca="1">'Log2015'!M1</f>
        <v>-8.0112614142160741</v>
      </c>
      <c r="R1" s="2405">
        <f ca="1">'Log2015'!N1</f>
        <v>-160807.124977848</v>
      </c>
      <c r="S1" s="2406"/>
    </row>
    <row r="2" spans="2:19">
      <c r="R2" s="622">
        <f ca="1">R1</f>
        <v>-160807.124977848</v>
      </c>
      <c r="S2" s="622">
        <f>S1</f>
        <v>0</v>
      </c>
    </row>
    <row r="4" spans="2:19" ht="13.5" thickBot="1">
      <c r="B4" s="1446" t="s">
        <v>81</v>
      </c>
    </row>
    <row r="5" spans="2:19">
      <c r="B5" s="1448" t="s">
        <v>137</v>
      </c>
      <c r="C5" s="1449"/>
      <c r="D5" s="1449"/>
      <c r="E5" s="1449"/>
      <c r="F5" s="1449"/>
      <c r="G5" s="1449"/>
      <c r="H5" s="1449"/>
      <c r="I5" s="1449"/>
      <c r="J5" s="1449"/>
      <c r="K5" s="1449"/>
      <c r="L5" s="1449"/>
      <c r="M5" s="1449"/>
      <c r="N5" s="1450"/>
    </row>
    <row r="6" spans="2:19">
      <c r="B6" s="1476" t="s">
        <v>1576</v>
      </c>
      <c r="C6" s="1471"/>
      <c r="D6" s="1471"/>
      <c r="E6" s="1471"/>
      <c r="F6" s="1471"/>
      <c r="G6" s="1471"/>
      <c r="H6" s="1471"/>
      <c r="I6" s="1471"/>
      <c r="J6" s="1471"/>
      <c r="K6" s="1471"/>
      <c r="L6" s="1471"/>
      <c r="M6" s="1471"/>
      <c r="N6" s="1472"/>
    </row>
    <row r="7" spans="2:19">
      <c r="B7" s="1476" t="s">
        <v>2681</v>
      </c>
      <c r="C7" s="1471"/>
      <c r="D7" s="1471"/>
      <c r="E7" s="1471"/>
      <c r="F7" s="1471"/>
      <c r="G7" s="1471"/>
      <c r="H7" s="1471"/>
      <c r="I7" s="1471"/>
      <c r="J7" s="1471"/>
      <c r="K7" s="1471"/>
      <c r="L7" s="1471"/>
      <c r="M7" s="1471"/>
      <c r="N7" s="1472"/>
    </row>
    <row r="8" spans="2:19">
      <c r="B8" s="1468"/>
      <c r="C8" s="1471"/>
      <c r="D8" s="1471"/>
      <c r="E8" s="1471"/>
      <c r="F8" s="1471"/>
      <c r="G8" s="1471"/>
      <c r="H8" s="1471"/>
      <c r="I8" s="1471"/>
      <c r="J8" s="1471"/>
      <c r="K8" s="1471"/>
      <c r="L8" s="1471"/>
      <c r="M8" s="1471"/>
      <c r="N8" s="1472"/>
    </row>
    <row r="9" spans="2:19">
      <c r="B9" s="1468"/>
      <c r="C9" s="1471"/>
      <c r="D9" s="1471"/>
      <c r="E9" s="1471"/>
      <c r="F9" s="1471"/>
      <c r="G9" s="1471"/>
      <c r="H9" s="1471"/>
      <c r="I9" s="1471"/>
      <c r="J9" s="1471"/>
      <c r="K9" s="1471"/>
      <c r="L9" s="1471"/>
      <c r="M9" s="1471"/>
      <c r="N9" s="1472"/>
    </row>
    <row r="10" spans="2:19">
      <c r="B10" s="1468"/>
      <c r="C10" s="1471"/>
      <c r="D10" s="1471"/>
      <c r="E10" s="1471"/>
      <c r="F10" s="1471"/>
      <c r="G10" s="1471"/>
      <c r="H10" s="1471"/>
      <c r="I10" s="1471"/>
      <c r="J10" s="1471"/>
      <c r="K10" s="1471"/>
      <c r="L10" s="1471"/>
      <c r="M10" s="1471"/>
      <c r="N10" s="1472"/>
    </row>
    <row r="11" spans="2:19">
      <c r="B11" s="1556" t="s">
        <v>256</v>
      </c>
      <c r="C11" s="1471"/>
      <c r="D11" s="1471"/>
      <c r="E11" s="1471"/>
      <c r="F11" s="1471"/>
      <c r="G11" s="1471"/>
      <c r="H11" s="1471"/>
      <c r="I11" s="1471"/>
      <c r="J11" s="1471"/>
      <c r="K11" s="1471"/>
      <c r="L11" s="1471"/>
      <c r="M11" s="1471"/>
      <c r="N11" s="1472"/>
    </row>
    <row r="12" spans="2:19">
      <c r="B12" s="1468"/>
      <c r="C12" s="1471"/>
      <c r="D12" s="1471"/>
      <c r="E12" s="1471"/>
      <c r="F12" s="1471"/>
      <c r="G12" s="1471"/>
      <c r="H12" s="1471"/>
      <c r="I12" s="1471"/>
      <c r="J12" s="1471"/>
      <c r="K12" s="1471"/>
      <c r="L12" s="1471"/>
      <c r="M12" s="1471"/>
      <c r="N12" s="1472"/>
    </row>
    <row r="13" spans="2:19">
      <c r="B13" s="1468"/>
      <c r="C13" s="1471"/>
      <c r="D13" s="1471"/>
      <c r="E13" s="1471"/>
      <c r="F13" s="1471"/>
      <c r="G13" s="1471"/>
      <c r="H13" s="1471"/>
      <c r="I13" s="1471"/>
      <c r="J13" s="1471"/>
      <c r="K13" s="1471"/>
      <c r="L13" s="1471"/>
      <c r="M13" s="1471"/>
      <c r="N13" s="1472"/>
    </row>
    <row r="14" spans="2:19">
      <c r="B14" s="1556" t="s">
        <v>143</v>
      </c>
      <c r="C14" s="1471"/>
      <c r="D14" s="1471"/>
      <c r="E14" s="1471"/>
      <c r="F14" s="1471"/>
      <c r="G14" s="1471"/>
      <c r="H14" s="1471"/>
      <c r="I14" s="1471"/>
      <c r="J14" s="1471"/>
      <c r="K14" s="1471"/>
      <c r="L14" s="1471"/>
      <c r="M14" s="1471"/>
      <c r="N14" s="1472"/>
    </row>
    <row r="15" spans="2:19">
      <c r="B15" s="1468"/>
      <c r="C15" s="1471"/>
      <c r="D15" s="1471"/>
      <c r="E15" s="1471"/>
      <c r="F15" s="1471"/>
      <c r="G15" s="1471"/>
      <c r="H15" s="1471"/>
      <c r="I15" s="1471"/>
      <c r="J15" s="1471"/>
      <c r="K15" s="1471"/>
      <c r="L15" s="1471"/>
      <c r="M15" s="1471"/>
      <c r="N15" s="1472"/>
    </row>
    <row r="16" spans="2:19">
      <c r="B16" s="1468"/>
      <c r="C16" s="1471"/>
      <c r="D16" s="1471"/>
      <c r="E16" s="1471"/>
      <c r="F16" s="1471"/>
      <c r="G16" s="1471"/>
      <c r="H16" s="1471"/>
      <c r="I16" s="1471"/>
      <c r="J16" s="1471"/>
      <c r="K16" s="1471"/>
      <c r="L16" s="1471"/>
      <c r="M16" s="1471"/>
      <c r="N16" s="1472"/>
    </row>
    <row r="17" spans="2:14" ht="13.5" thickBot="1">
      <c r="B17" s="1521"/>
      <c r="C17" s="1501"/>
      <c r="D17" s="1501"/>
      <c r="E17" s="1501"/>
      <c r="F17" s="1501"/>
      <c r="G17" s="1501"/>
      <c r="H17" s="1501"/>
      <c r="I17" s="1501"/>
      <c r="J17" s="1501"/>
      <c r="K17" s="1501"/>
      <c r="L17" s="1501"/>
      <c r="M17" s="1501"/>
      <c r="N17" s="1503"/>
    </row>
    <row r="19" spans="2:14" ht="13.5" thickBot="1">
      <c r="B19" s="1446" t="s">
        <v>144</v>
      </c>
      <c r="E19" s="142"/>
    </row>
    <row r="20" spans="2:14">
      <c r="B20" s="1455"/>
      <c r="C20" s="1456"/>
      <c r="D20" s="1557"/>
      <c r="E20" s="1449"/>
      <c r="F20" s="1449"/>
      <c r="G20" s="1449"/>
      <c r="H20" s="1449"/>
      <c r="I20" s="1449" t="s">
        <v>145</v>
      </c>
      <c r="J20" s="1450" t="s">
        <v>146</v>
      </c>
    </row>
    <row r="21" spans="2:14">
      <c r="B21" s="1460"/>
      <c r="C21" s="1461" t="s">
        <v>70</v>
      </c>
      <c r="D21" s="1506">
        <v>2015</v>
      </c>
      <c r="E21" s="1507">
        <v>2020</v>
      </c>
      <c r="F21" s="1507">
        <v>2035</v>
      </c>
      <c r="G21" s="1507"/>
      <c r="H21" s="1507" t="s">
        <v>978</v>
      </c>
      <c r="I21" s="1464"/>
      <c r="J21" s="1465"/>
    </row>
    <row r="22" spans="2:14">
      <c r="B22" s="1468" t="s">
        <v>257</v>
      </c>
      <c r="C22" s="1469"/>
      <c r="D22" s="153"/>
      <c r="E22" s="1470"/>
      <c r="F22" s="1470"/>
      <c r="G22" s="1470"/>
      <c r="H22" s="1470"/>
      <c r="I22" s="1471"/>
      <c r="J22" s="1472"/>
    </row>
    <row r="23" spans="2:14">
      <c r="B23" s="122" t="s">
        <v>848</v>
      </c>
      <c r="C23" s="1469" t="s">
        <v>1645</v>
      </c>
      <c r="D23" s="1209">
        <f>D81</f>
        <v>0.50897060694744889</v>
      </c>
      <c r="E23" s="281">
        <f>E81</f>
        <v>0.50897060694744889</v>
      </c>
      <c r="F23" s="281">
        <f>F81</f>
        <v>0.50897060694744889</v>
      </c>
      <c r="G23" s="281">
        <f>G81</f>
        <v>0.50897060694744889</v>
      </c>
      <c r="H23" s="1657"/>
      <c r="I23" s="1474"/>
      <c r="J23" s="1475"/>
    </row>
    <row r="24" spans="2:14">
      <c r="B24" s="122" t="s">
        <v>849</v>
      </c>
      <c r="C24" s="1469" t="s">
        <v>1645</v>
      </c>
      <c r="D24" s="416">
        <f>D23</f>
        <v>0.50897060694744889</v>
      </c>
      <c r="E24" s="417">
        <f>E23</f>
        <v>0.50897060694744889</v>
      </c>
      <c r="F24" s="417">
        <f>F23</f>
        <v>0.50897060694744889</v>
      </c>
      <c r="G24" s="417">
        <f>G23</f>
        <v>0.50897060694744889</v>
      </c>
      <c r="H24" s="1657"/>
      <c r="I24" s="1474"/>
      <c r="J24" s="1475"/>
    </row>
    <row r="25" spans="2:14">
      <c r="B25" s="122" t="s">
        <v>1640</v>
      </c>
      <c r="C25" s="1469" t="s">
        <v>1024</v>
      </c>
      <c r="D25" s="416">
        <f>D84</f>
        <v>6549.6760259179264</v>
      </c>
      <c r="E25" s="417">
        <f>E84</f>
        <v>5411.8901781008326</v>
      </c>
      <c r="F25" s="417">
        <f>F84</f>
        <v>4455.0358156426773</v>
      </c>
      <c r="G25" s="417">
        <f>G84</f>
        <v>4455.0358156426773</v>
      </c>
      <c r="H25" s="1658"/>
      <c r="I25" s="1474"/>
      <c r="J25" s="1475"/>
    </row>
    <row r="26" spans="2:14">
      <c r="B26" s="122" t="s">
        <v>1641</v>
      </c>
      <c r="C26" s="1469" t="s">
        <v>1024</v>
      </c>
      <c r="D26" s="416"/>
      <c r="E26" s="417"/>
      <c r="F26" s="417"/>
      <c r="G26" s="417"/>
      <c r="H26" s="1658"/>
      <c r="I26" s="1474"/>
      <c r="J26" s="1475"/>
    </row>
    <row r="27" spans="2:14">
      <c r="B27" s="1476" t="s">
        <v>98</v>
      </c>
      <c r="C27" s="1469" t="s">
        <v>259</v>
      </c>
      <c r="D27" s="1477">
        <v>20</v>
      </c>
      <c r="E27" s="1478">
        <v>20</v>
      </c>
      <c r="F27" s="1478">
        <v>20</v>
      </c>
      <c r="G27" s="1210">
        <v>20</v>
      </c>
      <c r="H27" s="1478"/>
      <c r="I27" s="1479"/>
      <c r="J27" s="1472"/>
    </row>
    <row r="28" spans="2:14">
      <c r="B28" s="1476" t="s">
        <v>260</v>
      </c>
      <c r="C28" s="1469" t="s">
        <v>261</v>
      </c>
      <c r="D28" s="1560"/>
      <c r="E28" s="1561"/>
      <c r="F28" s="1561"/>
      <c r="G28" s="1561"/>
      <c r="H28" s="1659"/>
      <c r="I28" s="1474"/>
      <c r="J28" s="1472"/>
    </row>
    <row r="29" spans="2:14">
      <c r="B29" s="1484"/>
      <c r="C29" s="1485"/>
      <c r="D29" s="1562"/>
      <c r="E29" s="1486"/>
      <c r="F29" s="1486"/>
      <c r="G29" s="1486"/>
      <c r="H29" s="1486"/>
      <c r="I29" s="1471"/>
      <c r="J29" s="1472"/>
    </row>
    <row r="30" spans="2:14">
      <c r="B30" s="1468" t="s">
        <v>33</v>
      </c>
      <c r="C30" s="1469"/>
      <c r="D30" s="1562"/>
      <c r="E30" s="1486"/>
      <c r="F30" s="1486"/>
      <c r="G30" s="1486"/>
      <c r="H30" s="1486"/>
      <c r="I30" s="1471"/>
      <c r="J30" s="1472"/>
    </row>
    <row r="31" spans="2:14">
      <c r="B31" s="1476" t="s">
        <v>157</v>
      </c>
      <c r="C31" s="1469" t="s">
        <v>61</v>
      </c>
      <c r="D31" s="992">
        <f>HLOOKUP($H38,Supplementary!$C$44:$AF$46,3,FALSE)*D38</f>
        <v>467820712.70515579</v>
      </c>
      <c r="E31" s="992">
        <f>HLOOKUP($H38,Supplementary!$C$44:$AF$46,3,FALSE)*E38</f>
        <v>467820712.70515579</v>
      </c>
      <c r="F31" s="992">
        <f>HLOOKUP($H38,Supplementary!$C$44:$AF$46,3,FALSE)*F38</f>
        <v>467820712.70515579</v>
      </c>
      <c r="G31" s="992">
        <f>HLOOKUP($H38,Supplementary!$C$44:$AF$46,3,FALSE)*G38</f>
        <v>467820712.70515579</v>
      </c>
      <c r="H31" s="323">
        <v>2011</v>
      </c>
      <c r="I31" s="555"/>
      <c r="J31" s="1472"/>
    </row>
    <row r="32" spans="2:14">
      <c r="B32" s="1484" t="s">
        <v>262</v>
      </c>
      <c r="C32" s="1469" t="s">
        <v>263</v>
      </c>
      <c r="D32" s="992">
        <f>HLOOKUP($H39,Supplementary!$C$44:$AF$46,3,FALSE)*D39</f>
        <v>96.772818619664548</v>
      </c>
      <c r="E32" s="992">
        <f>HLOOKUP($H39,Supplementary!$C$44:$AF$46,3,FALSE)*E39</f>
        <v>128.82997402688656</v>
      </c>
      <c r="F32" s="992">
        <f>HLOOKUP($H39,Supplementary!$C$44:$AF$46,3,FALSE)*F39</f>
        <v>173.88903003578099</v>
      </c>
      <c r="G32" s="992">
        <f>HLOOKUP($H39,Supplementary!$C$44:$AF$46,3,FALSE)*G39</f>
        <v>173.88903003578099</v>
      </c>
      <c r="H32" s="323">
        <v>2011</v>
      </c>
      <c r="I32" s="555"/>
      <c r="J32" s="1472"/>
    </row>
    <row r="33" spans="2:13">
      <c r="B33" s="1492" t="s">
        <v>162</v>
      </c>
      <c r="C33" s="1469" t="s">
        <v>263</v>
      </c>
      <c r="D33" s="992">
        <f>HLOOKUP($H40,Supplementary!$C$44:$AF$46,3,FALSE)*D40</f>
        <v>63.91606604956268</v>
      </c>
      <c r="E33" s="992">
        <f>HLOOKUP($H40,Supplementary!$C$44:$AF$46,3,FALSE)*E40</f>
        <v>85.089028577624688</v>
      </c>
      <c r="F33" s="992">
        <f>HLOOKUP($H40,Supplementary!$C$44:$AF$46,3,FALSE)*F40</f>
        <v>114.8494266013133</v>
      </c>
      <c r="G33" s="992">
        <f>HLOOKUP($H40,Supplementary!$C$44:$AF$46,3,FALSE)*G40</f>
        <v>114.8494266013133</v>
      </c>
      <c r="H33" s="323">
        <v>2011</v>
      </c>
      <c r="I33" s="555"/>
      <c r="J33" s="1472"/>
    </row>
    <row r="34" spans="2:13">
      <c r="B34" s="1492" t="s">
        <v>163</v>
      </c>
      <c r="C34" s="1469" t="s">
        <v>263</v>
      </c>
      <c r="D34" s="992">
        <f>HLOOKUP($H41,Supplementary!$C$44:$AF$46,3,FALSE)*D41</f>
        <v>31.765584176611139</v>
      </c>
      <c r="E34" s="992">
        <f>HLOOKUP($H41,Supplementary!$C$44:$AF$46,3,FALSE)*E41</f>
        <v>42.288314454345269</v>
      </c>
      <c r="F34" s="992">
        <f>HLOOKUP($H41,Supplementary!$C$44:$AF$46,3,FALSE)*F41</f>
        <v>57.078906037655031</v>
      </c>
      <c r="G34" s="992">
        <f>HLOOKUP($H41,Supplementary!$C$44:$AF$46,3,FALSE)*G41</f>
        <v>57.078906037655031</v>
      </c>
      <c r="H34" s="323">
        <v>2011</v>
      </c>
      <c r="I34" s="555"/>
      <c r="J34" s="1472"/>
    </row>
    <row r="35" spans="2:13">
      <c r="B35" s="1492"/>
      <c r="C35" s="1469"/>
      <c r="D35" s="992"/>
      <c r="E35" s="992"/>
      <c r="F35" s="992"/>
      <c r="G35" s="992"/>
      <c r="H35" s="323"/>
      <c r="I35" s="555"/>
      <c r="J35" s="1472"/>
    </row>
    <row r="36" spans="2:13">
      <c r="B36" s="1492" t="s">
        <v>264</v>
      </c>
      <c r="C36" s="1469" t="s">
        <v>263</v>
      </c>
      <c r="D36" s="992">
        <f>HLOOKUP($H43,Supplementary!$C$44:$AF$46,3,FALSE)*D43</f>
        <v>0</v>
      </c>
      <c r="E36" s="992">
        <f>HLOOKUP($H43,Supplementary!$C$44:$AF$46,3,FALSE)*E43</f>
        <v>0</v>
      </c>
      <c r="F36" s="992">
        <f>HLOOKUP($H43,Supplementary!$C$44:$AF$46,3,FALSE)*F43</f>
        <v>0</v>
      </c>
      <c r="G36" s="992">
        <f>HLOOKUP($H43,Supplementary!$C$44:$AF$46,3,FALSE)*G43</f>
        <v>0</v>
      </c>
      <c r="H36" s="323">
        <v>2011</v>
      </c>
      <c r="I36" s="555"/>
      <c r="J36" s="1472"/>
    </row>
    <row r="37" spans="2:13">
      <c r="B37" s="1468"/>
      <c r="C37" s="1469"/>
      <c r="D37" s="1562"/>
      <c r="E37" s="1486"/>
      <c r="F37" s="1486"/>
      <c r="G37" s="1486"/>
      <c r="H37" s="1486"/>
      <c r="I37" s="555"/>
      <c r="J37" s="1472"/>
    </row>
    <row r="38" spans="2:13">
      <c r="B38" s="1476" t="s">
        <v>157</v>
      </c>
      <c r="C38" s="1470" t="s">
        <v>61</v>
      </c>
      <c r="D38" s="1563">
        <v>450500000</v>
      </c>
      <c r="E38" s="1564">
        <v>450500000</v>
      </c>
      <c r="F38" s="1564">
        <v>450500000</v>
      </c>
      <c r="G38" s="1564">
        <v>450500000</v>
      </c>
      <c r="H38" s="407">
        <v>2013</v>
      </c>
      <c r="I38" s="1474"/>
      <c r="J38" s="1472"/>
    </row>
    <row r="39" spans="2:13">
      <c r="B39" s="1484" t="s">
        <v>262</v>
      </c>
      <c r="C39" s="1469" t="s">
        <v>263</v>
      </c>
      <c r="D39" s="1235">
        <f>SUM(D40:D43)</f>
        <v>91.391538076981362</v>
      </c>
      <c r="E39" s="1236">
        <f>SUM(E40:E43)</f>
        <v>121.66607984219874</v>
      </c>
      <c r="F39" s="1236">
        <f>SUM(F40:F43)</f>
        <v>164.21952089814539</v>
      </c>
      <c r="G39" s="1236">
        <f>SUM(G40:G43)</f>
        <v>164.21952089814539</v>
      </c>
      <c r="H39" s="407">
        <v>2012</v>
      </c>
      <c r="I39" s="1474"/>
      <c r="J39" s="1472"/>
    </row>
    <row r="40" spans="2:13">
      <c r="B40" s="1492" t="s">
        <v>162</v>
      </c>
      <c r="C40" s="1469" t="s">
        <v>263</v>
      </c>
      <c r="D40" s="1565">
        <v>61.549621411216862</v>
      </c>
      <c r="E40" s="1566">
        <v>81.938670805238729</v>
      </c>
      <c r="F40" s="1566">
        <v>110.59721230534868</v>
      </c>
      <c r="G40" s="1566">
        <v>110.59721230534868</v>
      </c>
      <c r="H40" s="407">
        <v>2013</v>
      </c>
      <c r="I40" s="1474"/>
      <c r="J40" s="1472"/>
    </row>
    <row r="41" spans="2:13">
      <c r="B41" s="1492" t="s">
        <v>163</v>
      </c>
      <c r="C41" s="1469" t="s">
        <v>263</v>
      </c>
      <c r="D41" s="1235">
        <v>29.841916665764494</v>
      </c>
      <c r="E41" s="1236">
        <v>39.727409036960019</v>
      </c>
      <c r="F41" s="1236">
        <v>53.622308592796728</v>
      </c>
      <c r="G41" s="1236">
        <v>53.622308592796728</v>
      </c>
      <c r="H41" s="407">
        <v>2011</v>
      </c>
      <c r="I41" s="1479"/>
      <c r="J41" s="1472"/>
      <c r="K41" s="164"/>
    </row>
    <row r="42" spans="2:13">
      <c r="B42" s="1492"/>
      <c r="C42" s="1469"/>
      <c r="D42" s="1562"/>
      <c r="E42" s="1486"/>
      <c r="F42" s="1486"/>
      <c r="G42" s="1486"/>
      <c r="H42" s="407"/>
      <c r="I42" s="1474"/>
      <c r="J42" s="1472"/>
    </row>
    <row r="43" spans="2:13">
      <c r="B43" s="1492" t="s">
        <v>264</v>
      </c>
      <c r="C43" s="1469" t="s">
        <v>263</v>
      </c>
      <c r="D43" s="1477"/>
      <c r="E43" s="1478"/>
      <c r="F43" s="1478"/>
      <c r="G43" s="1210"/>
      <c r="H43" s="407">
        <v>2011</v>
      </c>
      <c r="I43" s="1474"/>
      <c r="J43" s="1472"/>
      <c r="M43" s="334"/>
    </row>
    <row r="44" spans="2:13">
      <c r="B44" s="1492"/>
      <c r="C44" s="1469"/>
      <c r="D44" s="1562"/>
      <c r="E44" s="1486"/>
      <c r="F44" s="1486"/>
      <c r="G44" s="1486"/>
      <c r="H44" s="1486"/>
      <c r="I44" s="1474"/>
      <c r="J44" s="1472"/>
      <c r="M44" s="1238"/>
    </row>
    <row r="45" spans="2:13">
      <c r="B45" s="1468" t="s">
        <v>166</v>
      </c>
      <c r="C45" s="1469"/>
      <c r="D45" s="1562"/>
      <c r="E45" s="1486"/>
      <c r="F45" s="1486"/>
      <c r="G45" s="1486"/>
      <c r="H45" s="1489"/>
      <c r="I45" s="1474"/>
      <c r="J45" s="1472"/>
    </row>
    <row r="46" spans="2:13">
      <c r="B46" s="418" t="s">
        <v>0</v>
      </c>
      <c r="C46" s="1469"/>
      <c r="D46" s="1562"/>
      <c r="E46" s="1486"/>
      <c r="F46" s="1486"/>
      <c r="G46" s="1486"/>
      <c r="H46" s="1566"/>
      <c r="I46" s="1474"/>
      <c r="J46" s="1472"/>
    </row>
    <row r="47" spans="2:13">
      <c r="B47" s="1484" t="s">
        <v>24</v>
      </c>
      <c r="C47" s="1469" t="s">
        <v>1644</v>
      </c>
      <c r="D47" s="425"/>
      <c r="E47" s="426"/>
      <c r="F47" s="426"/>
      <c r="G47" s="426"/>
      <c r="H47" s="1566"/>
      <c r="I47" s="1474"/>
      <c r="J47" s="1574" t="s">
        <v>850</v>
      </c>
    </row>
    <row r="48" spans="2:13">
      <c r="B48" s="1484" t="s">
        <v>27</v>
      </c>
      <c r="C48" s="1469" t="s">
        <v>1644</v>
      </c>
      <c r="D48" s="160">
        <f t="shared" ref="D48:G52" si="0">D87/D$84</f>
        <v>0</v>
      </c>
      <c r="E48" s="127">
        <f t="shared" si="0"/>
        <v>0</v>
      </c>
      <c r="F48" s="127">
        <f t="shared" si="0"/>
        <v>0</v>
      </c>
      <c r="G48" s="127">
        <f t="shared" si="0"/>
        <v>0</v>
      </c>
      <c r="H48" s="1660"/>
      <c r="I48" s="1474"/>
      <c r="J48" s="1472"/>
    </row>
    <row r="49" spans="2:10">
      <c r="B49" s="1484" t="s">
        <v>28</v>
      </c>
      <c r="C49" s="1469" t="s">
        <v>1644</v>
      </c>
      <c r="D49" s="160">
        <f t="shared" si="0"/>
        <v>0</v>
      </c>
      <c r="E49" s="127">
        <f t="shared" si="0"/>
        <v>0</v>
      </c>
      <c r="F49" s="127">
        <f t="shared" si="0"/>
        <v>0</v>
      </c>
      <c r="G49" s="127">
        <f t="shared" si="0"/>
        <v>0</v>
      </c>
      <c r="H49" s="1486"/>
      <c r="I49" s="1474"/>
      <c r="J49" s="1472"/>
    </row>
    <row r="50" spans="2:10">
      <c r="B50" s="1484" t="s">
        <v>26</v>
      </c>
      <c r="C50" s="1469" t="s">
        <v>1644</v>
      </c>
      <c r="D50" s="160">
        <f t="shared" si="0"/>
        <v>1.8082431888384853</v>
      </c>
      <c r="E50" s="127">
        <f t="shared" si="0"/>
        <v>1.8068932302752385</v>
      </c>
      <c r="F50" s="127">
        <f t="shared" si="0"/>
        <v>1.8041226085768023</v>
      </c>
      <c r="G50" s="127">
        <f t="shared" si="0"/>
        <v>1.8041226085768023</v>
      </c>
      <c r="H50" s="1478"/>
      <c r="I50" s="1474"/>
      <c r="J50" s="1472"/>
    </row>
    <row r="51" spans="2:10">
      <c r="B51" s="1484" t="s">
        <v>167</v>
      </c>
      <c r="C51" s="1469" t="s">
        <v>1644</v>
      </c>
      <c r="D51" s="160">
        <f t="shared" si="0"/>
        <v>0.46916621568366396</v>
      </c>
      <c r="E51" s="127">
        <f t="shared" si="0"/>
        <v>0.46533915375514695</v>
      </c>
      <c r="F51" s="127">
        <f t="shared" si="0"/>
        <v>0.45972829172410162</v>
      </c>
      <c r="G51" s="127">
        <f t="shared" si="0"/>
        <v>0.45972829172410162</v>
      </c>
      <c r="H51" s="1486"/>
      <c r="I51" s="1474"/>
      <c r="J51" s="1472"/>
    </row>
    <row r="52" spans="2:10">
      <c r="B52" s="1484" t="s">
        <v>45</v>
      </c>
      <c r="C52" s="1469" t="s">
        <v>1644</v>
      </c>
      <c r="D52" s="160">
        <f t="shared" si="0"/>
        <v>0.2532179543956421</v>
      </c>
      <c r="E52" s="127">
        <f t="shared" si="0"/>
        <v>0.25254790132777061</v>
      </c>
      <c r="F52" s="127">
        <f t="shared" si="0"/>
        <v>0.2514831147391523</v>
      </c>
      <c r="G52" s="127">
        <f t="shared" si="0"/>
        <v>0.2514831147391523</v>
      </c>
      <c r="H52" s="1486"/>
      <c r="I52" s="1474"/>
      <c r="J52" s="1472"/>
    </row>
    <row r="53" spans="2:10">
      <c r="B53" s="1484"/>
      <c r="C53" s="1469"/>
      <c r="D53" s="867"/>
      <c r="E53" s="1471"/>
      <c r="F53" s="1471"/>
      <c r="G53" s="1471"/>
      <c r="H53" s="1486"/>
      <c r="I53" s="1474"/>
      <c r="J53" s="1472"/>
    </row>
    <row r="54" spans="2:10">
      <c r="B54" s="418" t="s">
        <v>20</v>
      </c>
      <c r="C54" s="1469"/>
      <c r="D54" s="1562"/>
      <c r="E54" s="1486"/>
      <c r="F54" s="1486"/>
      <c r="G54" s="1486"/>
      <c r="H54" s="1660"/>
      <c r="I54" s="1474"/>
      <c r="J54" s="1472"/>
    </row>
    <row r="55" spans="2:10">
      <c r="B55" s="1484" t="s">
        <v>24</v>
      </c>
      <c r="C55" s="1469" t="s">
        <v>1644</v>
      </c>
      <c r="D55" s="425"/>
      <c r="E55" s="426"/>
      <c r="F55" s="426"/>
      <c r="G55" s="426"/>
      <c r="H55" s="1169"/>
      <c r="I55" s="1474"/>
      <c r="J55" s="1574" t="s">
        <v>850</v>
      </c>
    </row>
    <row r="56" spans="2:10">
      <c r="B56" s="1484" t="s">
        <v>27</v>
      </c>
      <c r="C56" s="1469" t="s">
        <v>1644</v>
      </c>
      <c r="D56" s="420">
        <f t="shared" ref="D56:G60" si="1">D48</f>
        <v>0</v>
      </c>
      <c r="E56" s="419">
        <f t="shared" si="1"/>
        <v>0</v>
      </c>
      <c r="F56" s="419">
        <f t="shared" si="1"/>
        <v>0</v>
      </c>
      <c r="G56" s="419">
        <f t="shared" si="1"/>
        <v>0</v>
      </c>
      <c r="H56" s="1169"/>
      <c r="I56" s="1474"/>
      <c r="J56" s="1472"/>
    </row>
    <row r="57" spans="2:10">
      <c r="B57" s="1484" t="s">
        <v>28</v>
      </c>
      <c r="C57" s="1469" t="s">
        <v>1644</v>
      </c>
      <c r="D57" s="420">
        <f t="shared" si="1"/>
        <v>0</v>
      </c>
      <c r="E57" s="419">
        <f t="shared" si="1"/>
        <v>0</v>
      </c>
      <c r="F57" s="419">
        <f t="shared" si="1"/>
        <v>0</v>
      </c>
      <c r="G57" s="419">
        <f t="shared" si="1"/>
        <v>0</v>
      </c>
      <c r="H57" s="1169"/>
      <c r="I57" s="1474"/>
      <c r="J57" s="1472"/>
    </row>
    <row r="58" spans="2:10">
      <c r="B58" s="1484" t="s">
        <v>26</v>
      </c>
      <c r="C58" s="1469" t="s">
        <v>1644</v>
      </c>
      <c r="D58" s="420">
        <f t="shared" si="1"/>
        <v>1.8082431888384853</v>
      </c>
      <c r="E58" s="419">
        <f t="shared" si="1"/>
        <v>1.8068932302752385</v>
      </c>
      <c r="F58" s="419">
        <f t="shared" si="1"/>
        <v>1.8041226085768023</v>
      </c>
      <c r="G58" s="419">
        <f t="shared" si="1"/>
        <v>1.8041226085768023</v>
      </c>
      <c r="H58" s="1169"/>
      <c r="I58" s="1474"/>
      <c r="J58" s="1472"/>
    </row>
    <row r="59" spans="2:10">
      <c r="B59" s="1484" t="s">
        <v>167</v>
      </c>
      <c r="C59" s="1469" t="s">
        <v>1644</v>
      </c>
      <c r="D59" s="420">
        <f t="shared" si="1"/>
        <v>0.46916621568366396</v>
      </c>
      <c r="E59" s="419">
        <f t="shared" si="1"/>
        <v>0.46533915375514695</v>
      </c>
      <c r="F59" s="419">
        <f t="shared" si="1"/>
        <v>0.45972829172410162</v>
      </c>
      <c r="G59" s="419">
        <f t="shared" si="1"/>
        <v>0.45972829172410162</v>
      </c>
      <c r="H59" s="1169"/>
      <c r="I59" s="1444"/>
      <c r="J59" s="1472"/>
    </row>
    <row r="60" spans="2:10">
      <c r="B60" s="1484" t="s">
        <v>45</v>
      </c>
      <c r="C60" s="1469" t="s">
        <v>1644</v>
      </c>
      <c r="D60" s="420">
        <f t="shared" si="1"/>
        <v>0.2532179543956421</v>
      </c>
      <c r="E60" s="419">
        <f t="shared" si="1"/>
        <v>0.25254790132777061</v>
      </c>
      <c r="F60" s="419">
        <f t="shared" si="1"/>
        <v>0.2514831147391523</v>
      </c>
      <c r="G60" s="419">
        <f t="shared" si="1"/>
        <v>0.2514831147391523</v>
      </c>
      <c r="H60" s="323"/>
      <c r="I60" s="1474"/>
      <c r="J60" s="1472"/>
    </row>
    <row r="61" spans="2:10" ht="13.5" thickBot="1">
      <c r="B61" s="1498"/>
      <c r="C61" s="1499"/>
      <c r="D61" s="873"/>
      <c r="E61" s="1501"/>
      <c r="F61" s="1501"/>
      <c r="G61" s="1501"/>
      <c r="H61" s="1501"/>
      <c r="I61" s="1502"/>
      <c r="J61" s="1503"/>
    </row>
    <row r="64" spans="2:10" ht="16.5" thickBot="1">
      <c r="B64" s="1504" t="s">
        <v>168</v>
      </c>
    </row>
    <row r="65" spans="2:16">
      <c r="B65" s="1455"/>
      <c r="C65" s="1456"/>
      <c r="D65" s="1557"/>
      <c r="E65" s="1449"/>
      <c r="F65" s="1449"/>
      <c r="G65" s="1449"/>
      <c r="H65" s="1449"/>
      <c r="I65" s="1449" t="s">
        <v>145</v>
      </c>
      <c r="J65" s="1450" t="s">
        <v>146</v>
      </c>
    </row>
    <row r="66" spans="2:16">
      <c r="B66" s="1460"/>
      <c r="C66" s="1461" t="s">
        <v>70</v>
      </c>
      <c r="D66" s="1506">
        <v>2015</v>
      </c>
      <c r="E66" s="1507">
        <v>2020</v>
      </c>
      <c r="F66" s="1507">
        <v>2035</v>
      </c>
      <c r="G66" s="1507"/>
      <c r="H66" s="1507"/>
      <c r="I66" s="1464"/>
      <c r="J66" s="1465"/>
      <c r="O66" s="2438">
        <v>30</v>
      </c>
      <c r="P66" s="1447" t="s">
        <v>34</v>
      </c>
    </row>
    <row r="67" spans="2:16">
      <c r="B67" s="1484" t="s">
        <v>1577</v>
      </c>
      <c r="C67" s="1509" t="s">
        <v>267</v>
      </c>
      <c r="D67" s="1209">
        <f>D23*D84</f>
        <v>3333.5925822206018</v>
      </c>
      <c r="E67" s="1570">
        <f>E23*E84</f>
        <v>2754.4930286809181</v>
      </c>
      <c r="F67" s="1570">
        <f>F23*F84</f>
        <v>2267.4822830602766</v>
      </c>
      <c r="G67" s="1570">
        <f>G23*G84</f>
        <v>2267.4822830602766</v>
      </c>
      <c r="H67" s="1570"/>
      <c r="I67" s="1471"/>
      <c r="J67" s="1472"/>
      <c r="O67" s="1447">
        <f>D74*D75*24*365</f>
        <v>356917.44</v>
      </c>
      <c r="P67" s="1447" t="s">
        <v>60</v>
      </c>
    </row>
    <row r="68" spans="2:16">
      <c r="B68" s="1484" t="s">
        <v>2618</v>
      </c>
      <c r="C68" s="1509" t="s">
        <v>1578</v>
      </c>
      <c r="D68" s="1562">
        <v>11500</v>
      </c>
      <c r="E68" s="1486">
        <v>11500</v>
      </c>
      <c r="F68" s="1486">
        <v>11500</v>
      </c>
      <c r="G68" s="1486">
        <v>11500</v>
      </c>
      <c r="H68" s="1486">
        <v>2011</v>
      </c>
      <c r="I68" s="1479"/>
      <c r="J68" s="1472" t="s">
        <v>2077</v>
      </c>
      <c r="O68" s="1447">
        <f>D67*O67</f>
        <v>1189817330.4491668</v>
      </c>
      <c r="P68" s="1447" t="s">
        <v>2569</v>
      </c>
    </row>
    <row r="69" spans="2:16">
      <c r="B69" s="1484" t="s">
        <v>2618</v>
      </c>
      <c r="C69" s="1509" t="s">
        <v>1579</v>
      </c>
      <c r="D69" s="872">
        <f>D68/(D74*24)/D72</f>
        <v>34.761967330398598</v>
      </c>
      <c r="E69" s="2502">
        <f>E68/(E74*24)/E72</f>
        <v>38.238164063438454</v>
      </c>
      <c r="F69" s="2502">
        <f>F68/(F74*24)/F72</f>
        <v>42.486848959376061</v>
      </c>
      <c r="G69" s="2502">
        <f>G68/(G74*24)/G72</f>
        <v>42.486848959376061</v>
      </c>
      <c r="H69" s="1212"/>
      <c r="I69" s="1471"/>
      <c r="J69" s="1472"/>
      <c r="O69" s="1447">
        <v>500000000</v>
      </c>
      <c r="P69" s="1447" t="s">
        <v>2567</v>
      </c>
    </row>
    <row r="70" spans="2:16">
      <c r="B70" s="1484" t="s">
        <v>2625</v>
      </c>
      <c r="C70" s="1509" t="s">
        <v>2624</v>
      </c>
      <c r="D70" s="872">
        <v>85000000</v>
      </c>
      <c r="E70" s="2502">
        <v>85000000</v>
      </c>
      <c r="F70" s="2502">
        <v>85000000</v>
      </c>
      <c r="G70" s="2502">
        <v>85000000</v>
      </c>
      <c r="H70" s="1215">
        <v>2013</v>
      </c>
      <c r="I70" s="1471"/>
      <c r="J70" s="1472" t="s">
        <v>2077</v>
      </c>
    </row>
    <row r="71" spans="2:16">
      <c r="B71" s="1484" t="s">
        <v>2623</v>
      </c>
      <c r="C71" s="1509" t="s">
        <v>29</v>
      </c>
      <c r="D71" s="872">
        <v>0.08</v>
      </c>
      <c r="E71" s="2502">
        <v>0.08</v>
      </c>
      <c r="F71" s="2502">
        <v>0.08</v>
      </c>
      <c r="G71" s="2502">
        <v>0.08</v>
      </c>
      <c r="H71" s="2503"/>
      <c r="I71" s="1471" t="str">
        <f>CONCATENATE(Referencer!$B$75)</f>
        <v>71, Maritime Economics, Martin Stopford, 3rd edition, 2009, chapter 13, Routledge</v>
      </c>
      <c r="J71" s="1472"/>
    </row>
    <row r="72" spans="2:16">
      <c r="B72" s="1484" t="s">
        <v>2622</v>
      </c>
      <c r="C72" s="1509" t="s">
        <v>2621</v>
      </c>
      <c r="D72" s="872">
        <f>(24.1/37.9*4+24.1/40.9)/5</f>
        <v>0.62655553476850034</v>
      </c>
      <c r="E72" s="2502">
        <f>(24.1/37.9*4+24.1/40.9)/5</f>
        <v>0.62655553476850034</v>
      </c>
      <c r="F72" s="2502">
        <f>(24.1/37.9*4+24.1/40.9)/5</f>
        <v>0.62655553476850034</v>
      </c>
      <c r="G72" s="2502">
        <f>(24.1/37.9*4+24.1/40.9)/5</f>
        <v>0.62655553476850034</v>
      </c>
      <c r="H72" s="1212"/>
      <c r="I72" s="1471" t="str">
        <f>CONCATENATE(Referencer!$B$75)</f>
        <v>71, Maritime Economics, Martin Stopford, 3rd edition, 2009, chapter 13, Routledge</v>
      </c>
      <c r="J72" s="1472"/>
    </row>
    <row r="73" spans="2:16">
      <c r="B73" s="1484" t="s">
        <v>2620</v>
      </c>
      <c r="C73" s="1509" t="s">
        <v>2619</v>
      </c>
      <c r="D73" s="872">
        <f>((D70*D71)/(1-(1+D71)^-D27))/(365*24*D74*D72)</f>
        <v>71.697336087990521</v>
      </c>
      <c r="E73" s="2502">
        <f>((E70*E71)/(1-(1+E71)^-E27))/(365*24*E74*E72)</f>
        <v>78.867069696789571</v>
      </c>
      <c r="F73" s="2502">
        <f>((F70*F71)/(1-(1+F71)^-F27))/(365*24*F74*F72)</f>
        <v>87.630077440877301</v>
      </c>
      <c r="G73" s="2502">
        <f>((G70*G71)/(1-(1+G71)^-G27))/(365*24*G74*G72)</f>
        <v>87.630077440877301</v>
      </c>
      <c r="H73" s="1212"/>
      <c r="I73" s="1471"/>
      <c r="J73" s="1472"/>
    </row>
    <row r="74" spans="2:16">
      <c r="B74" s="1484" t="s">
        <v>1636</v>
      </c>
      <c r="C74" s="1509" t="s">
        <v>1580</v>
      </c>
      <c r="D74" s="1562">
        <v>22</v>
      </c>
      <c r="E74" s="1486">
        <v>20</v>
      </c>
      <c r="F74" s="1486">
        <v>18</v>
      </c>
      <c r="G74" s="1486">
        <v>18</v>
      </c>
      <c r="H74" s="1486"/>
      <c r="I74" s="1471"/>
      <c r="J74" s="1472" t="s">
        <v>1785</v>
      </c>
      <c r="O74" s="1447">
        <v>32525717.540138293</v>
      </c>
      <c r="P74" s="1447" t="s">
        <v>2568</v>
      </c>
    </row>
    <row r="75" spans="2:16">
      <c r="B75" s="1484" t="s">
        <v>1639</v>
      </c>
      <c r="C75" s="1509" t="s">
        <v>1638</v>
      </c>
      <c r="D75" s="1213">
        <v>1.8520000000000001</v>
      </c>
      <c r="E75" s="352">
        <v>1.8520000000000001</v>
      </c>
      <c r="F75" s="352">
        <v>1.8520000000000001</v>
      </c>
      <c r="G75" s="352">
        <v>1.8520000000000001</v>
      </c>
      <c r="H75" s="352"/>
      <c r="I75" s="1479"/>
      <c r="J75" s="1472"/>
      <c r="O75" s="334">
        <f>O74/365</f>
        <v>89111.554904488468</v>
      </c>
      <c r="P75" s="1447" t="s">
        <v>2571</v>
      </c>
    </row>
    <row r="76" spans="2:16">
      <c r="B76" s="1484" t="s">
        <v>1787</v>
      </c>
      <c r="C76" s="1509" t="s">
        <v>1784</v>
      </c>
      <c r="D76" s="95"/>
      <c r="E76" s="1445">
        <f>-(E94/$D$94-1)</f>
        <v>0.17371635533035923</v>
      </c>
      <c r="F76" s="1445">
        <f>-(F94/$D$94-1)</f>
        <v>0.31980821677079641</v>
      </c>
      <c r="G76" s="1445">
        <f>-(G94/$D$94-1)</f>
        <v>0.31980821677079641</v>
      </c>
      <c r="H76" s="1445"/>
      <c r="I76" s="1479"/>
      <c r="J76" s="1472" t="s">
        <v>2319</v>
      </c>
      <c r="O76" s="1447">
        <f>O75/(D74*D75*24)</f>
        <v>91.129527153781808</v>
      </c>
      <c r="P76" s="1447" t="s">
        <v>2572</v>
      </c>
    </row>
    <row r="77" spans="2:16">
      <c r="B77" s="1484" t="s">
        <v>1581</v>
      </c>
      <c r="C77" s="1471" t="s">
        <v>1582</v>
      </c>
      <c r="D77" s="338">
        <v>0.17399999999999999</v>
      </c>
      <c r="E77" s="338">
        <v>0.17399999999999999</v>
      </c>
      <c r="F77" s="338">
        <v>0.17399999999999999</v>
      </c>
      <c r="G77" s="338">
        <v>0.17399999999999999</v>
      </c>
      <c r="H77" s="338"/>
      <c r="I77" s="1479" t="str">
        <f>CONCATENATE(Referencer!$B$38)</f>
        <v>32, SHIP-DESMO-Container Ship - 1 January 2014.xls - https://www.shipowners.dk/services/beregningsvaerktoejer/</v>
      </c>
      <c r="J77" s="1472" t="s">
        <v>1583</v>
      </c>
      <c r="L77" s="333"/>
      <c r="O77" s="334">
        <f>O76/D67</f>
        <v>2.7336732040925592E-2</v>
      </c>
      <c r="P77" s="1447" t="s">
        <v>2573</v>
      </c>
    </row>
    <row r="78" spans="2:16">
      <c r="B78" s="1484" t="s">
        <v>1584</v>
      </c>
      <c r="C78" s="1471" t="s">
        <v>488</v>
      </c>
      <c r="D78" s="277">
        <f>Supplementary!D160</f>
        <v>40.65</v>
      </c>
      <c r="E78" s="277">
        <f>Supplementary!D160</f>
        <v>40.65</v>
      </c>
      <c r="F78" s="277">
        <f>Supplementary!D160</f>
        <v>40.65</v>
      </c>
      <c r="G78" s="277">
        <f>Supplementary!D160</f>
        <v>40.65</v>
      </c>
      <c r="H78" s="277"/>
      <c r="I78" s="1479" t="str">
        <f>CONCATENATE(Referencer!$B$38)</f>
        <v>32, SHIP-DESMO-Container Ship - 1 January 2014.xls - https://www.shipowners.dk/services/beregningsvaerktoejer/</v>
      </c>
      <c r="J78" s="1472" t="s">
        <v>1585</v>
      </c>
      <c r="O78" s="334">
        <f>O77*1000</f>
        <v>27.336732040925593</v>
      </c>
      <c r="P78" s="1447" t="s">
        <v>2574</v>
      </c>
    </row>
    <row r="79" spans="2:16">
      <c r="B79" s="1484" t="s">
        <v>1586</v>
      </c>
      <c r="C79" s="1471" t="s">
        <v>1587</v>
      </c>
      <c r="D79" s="1209">
        <f>D77/3600000</f>
        <v>4.8333333333333329E-8</v>
      </c>
      <c r="E79" s="1212">
        <f>E77/3600000</f>
        <v>4.8333333333333329E-8</v>
      </c>
      <c r="F79" s="1212">
        <f>F77/3600000</f>
        <v>4.8333333333333329E-8</v>
      </c>
      <c r="G79" s="1212">
        <f>G77/3600000</f>
        <v>4.8333333333333329E-8</v>
      </c>
      <c r="H79" s="1212"/>
      <c r="I79" s="1471"/>
      <c r="J79" s="1472"/>
    </row>
    <row r="80" spans="2:16">
      <c r="B80" s="1484" t="s">
        <v>1584</v>
      </c>
      <c r="C80" s="1471" t="s">
        <v>1588</v>
      </c>
      <c r="D80" s="1214">
        <f>D78*1000000</f>
        <v>40650000</v>
      </c>
      <c r="E80" s="1215">
        <f>E78*1000000</f>
        <v>40650000</v>
      </c>
      <c r="F80" s="1215">
        <f>F78*1000000</f>
        <v>40650000</v>
      </c>
      <c r="G80" s="1215">
        <f>G78*1000000</f>
        <v>40650000</v>
      </c>
      <c r="H80" s="1215"/>
      <c r="I80" s="1471"/>
      <c r="J80" s="1472"/>
    </row>
    <row r="81" spans="2:12" ht="13.5" thickBot="1">
      <c r="B81" s="1521" t="s">
        <v>1589</v>
      </c>
      <c r="C81" s="1501" t="s">
        <v>1590</v>
      </c>
      <c r="D81" s="1216">
        <f>1/(D80*D79)</f>
        <v>0.50897060694744889</v>
      </c>
      <c r="E81" s="1217">
        <f>1/(E80*E79)</f>
        <v>0.50897060694744889</v>
      </c>
      <c r="F81" s="1217">
        <f>1/(F80*F79)</f>
        <v>0.50897060694744889</v>
      </c>
      <c r="G81" s="1217">
        <f>1/(G80*G79)</f>
        <v>0.50897060694744889</v>
      </c>
      <c r="H81" s="1217"/>
      <c r="I81" s="1501"/>
      <c r="J81" s="1503"/>
      <c r="L81" s="334"/>
    </row>
    <row r="83" spans="2:12" ht="16.5" thickBot="1">
      <c r="B83" s="1504" t="s">
        <v>172</v>
      </c>
      <c r="E83" s="1447">
        <f>E84*(1-E$76)</f>
        <v>4471.7563409129871</v>
      </c>
      <c r="F83" s="1447">
        <f>F84*(1-F$76)</f>
        <v>3030.2787557919623</v>
      </c>
      <c r="G83" s="1447">
        <f>G84*(1-G$76)</f>
        <v>3030.2787557919623</v>
      </c>
    </row>
    <row r="84" spans="2:12">
      <c r="B84" s="1455" t="s">
        <v>1660</v>
      </c>
      <c r="C84" s="1449" t="s">
        <v>267</v>
      </c>
      <c r="D84" s="1233">
        <f>D94/D$75*1000</f>
        <v>6549.6760259179264</v>
      </c>
      <c r="E84" s="1233">
        <f>E94/E$75*1000</f>
        <v>5411.8901781008326</v>
      </c>
      <c r="F84" s="1233">
        <f>F94/F$75*1000</f>
        <v>4455.0358156426773</v>
      </c>
      <c r="G84" s="1233">
        <f>G94/G$75*1000</f>
        <v>4455.0358156426773</v>
      </c>
      <c r="H84" s="1233"/>
      <c r="I84" s="1219"/>
      <c r="J84" s="1450"/>
    </row>
    <row r="85" spans="2:12">
      <c r="B85" s="1484"/>
      <c r="C85" s="1471"/>
      <c r="D85" s="1471"/>
      <c r="E85" s="1471"/>
      <c r="F85" s="1471"/>
      <c r="G85" s="1471"/>
      <c r="H85" s="1471"/>
      <c r="I85" s="1471"/>
      <c r="J85" s="1472"/>
    </row>
    <row r="86" spans="2:12">
      <c r="B86" s="1484" t="s">
        <v>24</v>
      </c>
      <c r="C86" s="1471" t="s">
        <v>7</v>
      </c>
      <c r="D86" s="885">
        <f t="shared" ref="D86:G91" si="2">D96/D$75*1000</f>
        <v>0</v>
      </c>
      <c r="E86" s="885">
        <f t="shared" si="2"/>
        <v>0</v>
      </c>
      <c r="F86" s="885">
        <f t="shared" si="2"/>
        <v>0</v>
      </c>
      <c r="G86" s="885">
        <f t="shared" si="2"/>
        <v>0</v>
      </c>
      <c r="H86" s="885"/>
      <c r="I86" s="1471"/>
      <c r="J86" s="1472"/>
    </row>
    <row r="87" spans="2:12">
      <c r="B87" s="1484" t="s">
        <v>27</v>
      </c>
      <c r="C87" s="1471" t="s">
        <v>7</v>
      </c>
      <c r="D87" s="885">
        <f t="shared" si="2"/>
        <v>0</v>
      </c>
      <c r="E87" s="885">
        <f t="shared" si="2"/>
        <v>0</v>
      </c>
      <c r="F87" s="885">
        <f t="shared" si="2"/>
        <v>0</v>
      </c>
      <c r="G87" s="885">
        <f t="shared" si="2"/>
        <v>0</v>
      </c>
      <c r="H87" s="885"/>
      <c r="I87" s="1479"/>
      <c r="J87" s="1472"/>
    </row>
    <row r="88" spans="2:12">
      <c r="B88" s="1484" t="s">
        <v>28</v>
      </c>
      <c r="C88" s="1471" t="s">
        <v>7</v>
      </c>
      <c r="D88" s="885">
        <f t="shared" si="2"/>
        <v>0</v>
      </c>
      <c r="E88" s="885">
        <f t="shared" si="2"/>
        <v>0</v>
      </c>
      <c r="F88" s="885">
        <f t="shared" si="2"/>
        <v>0</v>
      </c>
      <c r="G88" s="885">
        <f t="shared" si="2"/>
        <v>0</v>
      </c>
      <c r="H88" s="885"/>
      <c r="I88" s="1479"/>
      <c r="J88" s="1472"/>
    </row>
    <row r="89" spans="2:12">
      <c r="B89" s="1484" t="s">
        <v>26</v>
      </c>
      <c r="C89" s="1471" t="s">
        <v>7</v>
      </c>
      <c r="D89" s="885">
        <f t="shared" si="2"/>
        <v>11843.407062964809</v>
      </c>
      <c r="E89" s="885">
        <f t="shared" si="2"/>
        <v>9778.7077258034496</v>
      </c>
      <c r="F89" s="885">
        <f t="shared" si="2"/>
        <v>8037.4308370203489</v>
      </c>
      <c r="G89" s="885">
        <f t="shared" si="2"/>
        <v>8037.4308370203489</v>
      </c>
      <c r="H89" s="885"/>
      <c r="I89" s="1479"/>
      <c r="J89" s="1472"/>
    </row>
    <row r="90" spans="2:12">
      <c r="B90" s="1484" t="s">
        <v>167</v>
      </c>
      <c r="C90" s="1471" t="s">
        <v>7</v>
      </c>
      <c r="D90" s="885">
        <f t="shared" si="2"/>
        <v>3072.8867150339329</v>
      </c>
      <c r="E90" s="885">
        <f t="shared" si="2"/>
        <v>2518.3643956932328</v>
      </c>
      <c r="F90" s="885">
        <f t="shared" si="2"/>
        <v>2048.1060050950978</v>
      </c>
      <c r="G90" s="885">
        <f t="shared" si="2"/>
        <v>2048.1060050950978</v>
      </c>
      <c r="H90" s="885"/>
      <c r="I90" s="1479"/>
      <c r="J90" s="1472"/>
    </row>
    <row r="91" spans="2:12">
      <c r="B91" s="1484" t="s">
        <v>45</v>
      </c>
      <c r="C91" s="1471" t="s">
        <v>7</v>
      </c>
      <c r="D91" s="885">
        <f t="shared" si="2"/>
        <v>1658.4955652371159</v>
      </c>
      <c r="E91" s="885">
        <f t="shared" si="2"/>
        <v>1366.7615066957399</v>
      </c>
      <c r="F91" s="885">
        <f t="shared" si="2"/>
        <v>1120.3662831923004</v>
      </c>
      <c r="G91" s="885">
        <f t="shared" si="2"/>
        <v>1120.3662831923004</v>
      </c>
      <c r="H91" s="885"/>
      <c r="I91" s="1479"/>
      <c r="J91" s="1472"/>
    </row>
    <row r="92" spans="2:12" ht="13.5" thickBot="1">
      <c r="B92" s="1521"/>
      <c r="C92" s="1501"/>
      <c r="D92" s="1501"/>
      <c r="E92" s="1501"/>
      <c r="F92" s="1501"/>
      <c r="G92" s="1501"/>
      <c r="H92" s="1501"/>
      <c r="I92" s="1501"/>
      <c r="J92" s="1503"/>
    </row>
    <row r="93" spans="2:12" ht="13.5" thickBot="1">
      <c r="E93" s="334"/>
      <c r="F93" s="334"/>
      <c r="G93" s="334"/>
      <c r="H93" s="334"/>
    </row>
    <row r="94" spans="2:12">
      <c r="B94" s="1455" t="s">
        <v>1660</v>
      </c>
      <c r="C94" s="1449" t="s">
        <v>1661</v>
      </c>
      <c r="D94" s="1218">
        <v>12.13</v>
      </c>
      <c r="E94" s="1218">
        <v>10.022820609842743</v>
      </c>
      <c r="F94" s="1218">
        <v>8.2507263305702399</v>
      </c>
      <c r="G94" s="1218">
        <v>8.2507263305702399</v>
      </c>
      <c r="H94" s="1218"/>
      <c r="I94" s="1219" t="str">
        <f>CONCATENATE(Referencer!$B$38)</f>
        <v>32, SHIP-DESMO-Container Ship - 1 January 2014.xls - https://www.shipowners.dk/services/beregningsvaerktoejer/</v>
      </c>
      <c r="J94" s="1450" t="s">
        <v>1786</v>
      </c>
    </row>
    <row r="95" spans="2:12">
      <c r="B95" s="1484"/>
      <c r="C95" s="1471"/>
      <c r="D95" s="1471"/>
      <c r="E95" s="1471"/>
      <c r="F95" s="1471"/>
      <c r="G95" s="1471"/>
      <c r="H95" s="1471"/>
      <c r="I95" s="1471"/>
      <c r="J95" s="1472"/>
    </row>
    <row r="96" spans="2:12">
      <c r="B96" s="1484" t="s">
        <v>24</v>
      </c>
      <c r="C96" s="1471" t="s">
        <v>1658</v>
      </c>
      <c r="D96" s="885"/>
      <c r="E96" s="885"/>
      <c r="F96" s="885"/>
      <c r="G96" s="885"/>
      <c r="H96" s="885"/>
      <c r="I96" s="1471"/>
      <c r="J96" s="1472"/>
    </row>
    <row r="97" spans="2:10">
      <c r="B97" s="1484" t="s">
        <v>27</v>
      </c>
      <c r="C97" s="1471" t="s">
        <v>1658</v>
      </c>
      <c r="D97" s="1220"/>
      <c r="E97" s="1220"/>
      <c r="F97" s="1220"/>
      <c r="G97" s="1220"/>
      <c r="H97" s="1220"/>
      <c r="I97" s="1479"/>
      <c r="J97" s="1472" t="s">
        <v>1659</v>
      </c>
    </row>
    <row r="98" spans="2:10">
      <c r="B98" s="1484" t="s">
        <v>28</v>
      </c>
      <c r="C98" s="1471" t="s">
        <v>1658</v>
      </c>
      <c r="D98" s="1220"/>
      <c r="E98" s="1220"/>
      <c r="F98" s="1220"/>
      <c r="G98" s="1220"/>
      <c r="H98" s="1220"/>
      <c r="I98" s="1479"/>
      <c r="J98" s="1472"/>
    </row>
    <row r="99" spans="2:10">
      <c r="B99" s="1484" t="s">
        <v>26</v>
      </c>
      <c r="C99" s="1471" t="s">
        <v>1658</v>
      </c>
      <c r="D99" s="1220">
        <v>21.933989880610827</v>
      </c>
      <c r="E99" s="1220">
        <v>18.11016670818799</v>
      </c>
      <c r="F99" s="1220">
        <v>14.885321910161686</v>
      </c>
      <c r="G99" s="1220">
        <v>14.885321910161686</v>
      </c>
      <c r="H99" s="1220"/>
      <c r="I99" s="1479" t="str">
        <f>CONCATENATE(Referencer!$B$38)</f>
        <v>32, SHIP-DESMO-Container Ship - 1 January 2014.xls - https://www.shipowners.dk/services/beregningsvaerktoejer/</v>
      </c>
      <c r="J99" s="1472" t="s">
        <v>1591</v>
      </c>
    </row>
    <row r="100" spans="2:10">
      <c r="B100" s="1484" t="s">
        <v>167</v>
      </c>
      <c r="C100" s="1471" t="s">
        <v>1658</v>
      </c>
      <c r="D100" s="1220">
        <v>5.6909861962428439</v>
      </c>
      <c r="E100" s="1220">
        <v>4.6640108608238675</v>
      </c>
      <c r="F100" s="1220">
        <v>3.7930923214361218</v>
      </c>
      <c r="G100" s="1220">
        <v>3.7930923214361218</v>
      </c>
      <c r="H100" s="1220"/>
      <c r="I100" s="1479" t="str">
        <f>CONCATENATE(Referencer!$B$38)</f>
        <v>32, SHIP-DESMO-Container Ship - 1 January 2014.xls - https://www.shipowners.dk/services/beregningsvaerktoejer/</v>
      </c>
      <c r="J100" s="1472" t="s">
        <v>1592</v>
      </c>
    </row>
    <row r="101" spans="2:10">
      <c r="B101" s="1484" t="s">
        <v>45</v>
      </c>
      <c r="C101" s="1471" t="s">
        <v>1658</v>
      </c>
      <c r="D101" s="1220">
        <v>3.0715337868191388</v>
      </c>
      <c r="E101" s="1220">
        <v>2.5312423104005104</v>
      </c>
      <c r="F101" s="1220">
        <v>2.0749183564721405</v>
      </c>
      <c r="G101" s="1220">
        <v>2.0749183564721405</v>
      </c>
      <c r="H101" s="1220"/>
      <c r="I101" s="1479" t="str">
        <f>CONCATENATE(Referencer!$B$38)</f>
        <v>32, SHIP-DESMO-Container Ship - 1 January 2014.xls - https://www.shipowners.dk/services/beregningsvaerktoejer/</v>
      </c>
      <c r="J101" s="1472" t="s">
        <v>1593</v>
      </c>
    </row>
    <row r="102" spans="2:10" ht="13.5" thickBot="1">
      <c r="B102" s="1521"/>
      <c r="C102" s="1501"/>
      <c r="D102" s="1501"/>
      <c r="E102" s="1501"/>
      <c r="F102" s="1501"/>
      <c r="G102" s="1501"/>
      <c r="H102" s="1501"/>
      <c r="I102" s="1501"/>
      <c r="J102" s="1503"/>
    </row>
    <row r="104" spans="2:10">
      <c r="H104" s="1535"/>
    </row>
    <row r="105" spans="2:10">
      <c r="H105" s="1535"/>
    </row>
  </sheetData>
  <pageMargins left="0.15748031496062992" right="0.15748031496062992" top="1.25" bottom="0.19685039370078741" header="0.51181102362204722" footer="0.51181102362204722"/>
  <pageSetup paperSize="9" scale="60" orientation="landscape" r:id="rId1"/>
  <headerFooter alignWithMargins="0">
    <oddHeader>&amp;L&amp;"Arial"&amp;14&amp;BBeregningsmodel
&amp;"Arial"&amp;08&amp;B64329, Teknologivurdering af alternative drivmidler til transportsektoren&amp;R&amp;"Arial"&amp;08Page &amp;P of &amp;N</oddHeader>
    <oddFooter>&amp;L&amp;"Arial"&amp;08&amp;Z&amp;F
Sheet: &amp;A&amp;C&amp;"Arial"&amp;08Printed &amp;D &amp;T&amp;R&amp;G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489921" r:id="rId5" name="Button 1">
              <controlPr defaultSize="0" print="0" autoFill="0" autoPict="0">
                <anchor>
                  <from>
                    <xdr:col>14</xdr:col>
                    <xdr:colOff>438150</xdr:colOff>
                    <xdr:row>0</xdr:row>
                    <xdr:rowOff>38100</xdr:rowOff>
                  </from>
                  <to>
                    <xdr:col>14</xdr:col>
                    <xdr:colOff>1514475</xdr:colOff>
                    <xdr:row>0</xdr:row>
                    <xdr:rowOff>238125</xdr:rowOff>
                  </to>
                </anchor>
              </controlPr>
            </control>
          </mc:Choice>
        </mc:AlternateContent>
        <mc:AlternateContent xmlns:mc="http://schemas.openxmlformats.org/markup-compatibility/2006">
          <mc:Choice Requires="x14">
            <control shapeId="1489922" r:id="rId6" name="Button 2">
              <controlPr defaultSize="0" print="0" autoFill="0" autoPict="0">
                <anchor>
                  <from>
                    <xdr:col>16</xdr:col>
                    <xdr:colOff>485775</xdr:colOff>
                    <xdr:row>0</xdr:row>
                    <xdr:rowOff>38100</xdr:rowOff>
                  </from>
                  <to>
                    <xdr:col>18</xdr:col>
                    <xdr:colOff>171450</xdr:colOff>
                    <xdr:row>0</xdr:row>
                    <xdr:rowOff>238125</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rgb="FF002060"/>
    <pageSetUpPr fitToPage="1"/>
  </sheetPr>
  <dimension ref="B1:S108"/>
  <sheetViews>
    <sheetView topLeftCell="A52" zoomScale="80" zoomScaleNormal="80" workbookViewId="0">
      <selection activeCell="G79" sqref="G79"/>
    </sheetView>
  </sheetViews>
  <sheetFormatPr defaultColWidth="8.85546875" defaultRowHeight="12.75"/>
  <cols>
    <col min="1" max="1" width="2.85546875" style="1447" customWidth="1"/>
    <col min="2" max="2" width="35" style="1447" customWidth="1"/>
    <col min="3" max="3" width="18" style="1447" customWidth="1"/>
    <col min="4" max="4" width="13.42578125" style="1447" customWidth="1"/>
    <col min="5" max="8" width="15.85546875" style="1447" customWidth="1"/>
    <col min="9" max="9" width="7.140625" style="1447" customWidth="1"/>
    <col min="10" max="10" width="37.42578125" style="1447" customWidth="1"/>
    <col min="11" max="14" width="8.85546875" style="1447"/>
    <col min="15" max="15" width="37.85546875" style="1447" customWidth="1"/>
    <col min="16" max="16" width="13.85546875" style="1447" bestFit="1" customWidth="1"/>
    <col min="17" max="17" width="8.85546875" style="1447"/>
    <col min="18" max="19" width="12" style="1447" customWidth="1"/>
    <col min="20" max="16384" width="8.85546875" style="1447"/>
  </cols>
  <sheetData>
    <row r="1" spans="2:19" s="2403" customFormat="1" ht="21">
      <c r="B1" s="2403" t="s">
        <v>1575</v>
      </c>
      <c r="Q1" s="2403">
        <f ca="1">'Log2015'!M1</f>
        <v>-8.0112614142160741</v>
      </c>
      <c r="R1" s="2405">
        <f ca="1">'Log2015'!N1</f>
        <v>-160807.124977848</v>
      </c>
      <c r="S1" s="2406"/>
    </row>
    <row r="2" spans="2:19">
      <c r="R2" s="622">
        <f ca="1">R1</f>
        <v>-160807.124977848</v>
      </c>
      <c r="S2" s="622">
        <f>S1</f>
        <v>0</v>
      </c>
    </row>
    <row r="4" spans="2:19" ht="13.5" thickBot="1">
      <c r="B4" s="1446" t="s">
        <v>81</v>
      </c>
    </row>
    <row r="5" spans="2:19">
      <c r="B5" s="1448" t="s">
        <v>137</v>
      </c>
      <c r="C5" s="1449"/>
      <c r="D5" s="1449"/>
      <c r="E5" s="1449"/>
      <c r="F5" s="1449"/>
      <c r="G5" s="1449"/>
      <c r="H5" s="1449"/>
      <c r="I5" s="1449"/>
      <c r="J5" s="1449"/>
      <c r="K5" s="1449"/>
      <c r="L5" s="1449"/>
      <c r="M5" s="1449"/>
      <c r="N5" s="1450"/>
    </row>
    <row r="6" spans="2:19">
      <c r="B6" s="1476" t="s">
        <v>1576</v>
      </c>
      <c r="C6" s="1471"/>
      <c r="D6" s="1471"/>
      <c r="E6" s="1471"/>
      <c r="F6" s="1471"/>
      <c r="G6" s="1471"/>
      <c r="H6" s="1471"/>
      <c r="I6" s="1471"/>
      <c r="J6" s="1471"/>
      <c r="K6" s="1471"/>
      <c r="L6" s="1471"/>
      <c r="M6" s="1471"/>
      <c r="N6" s="1472"/>
    </row>
    <row r="7" spans="2:19">
      <c r="B7" s="1476" t="s">
        <v>2681</v>
      </c>
      <c r="C7" s="1471"/>
      <c r="D7" s="1471"/>
      <c r="E7" s="1471"/>
      <c r="F7" s="1471"/>
      <c r="G7" s="1471"/>
      <c r="H7" s="1471"/>
      <c r="I7" s="1471"/>
      <c r="J7" s="1471"/>
      <c r="K7" s="1471"/>
      <c r="L7" s="1471"/>
      <c r="M7" s="1471"/>
      <c r="N7" s="1472"/>
    </row>
    <row r="8" spans="2:19">
      <c r="B8" s="1468"/>
      <c r="C8" s="1471"/>
      <c r="D8" s="1471"/>
      <c r="E8" s="1471"/>
      <c r="F8" s="1471"/>
      <c r="G8" s="1471"/>
      <c r="H8" s="1471"/>
      <c r="I8" s="1471"/>
      <c r="J8" s="1471"/>
      <c r="K8" s="1471"/>
      <c r="L8" s="1471"/>
      <c r="M8" s="1471"/>
      <c r="N8" s="1472"/>
    </row>
    <row r="9" spans="2:19">
      <c r="B9" s="1468"/>
      <c r="C9" s="1471"/>
      <c r="D9" s="1471"/>
      <c r="E9" s="1471"/>
      <c r="F9" s="1471"/>
      <c r="G9" s="1471"/>
      <c r="H9" s="1471"/>
      <c r="I9" s="1471"/>
      <c r="J9" s="1471"/>
      <c r="K9" s="1471"/>
      <c r="L9" s="1471"/>
      <c r="M9" s="1471"/>
      <c r="N9" s="1472"/>
    </row>
    <row r="10" spans="2:19">
      <c r="B10" s="1468"/>
      <c r="C10" s="1471"/>
      <c r="D10" s="1471"/>
      <c r="E10" s="1471"/>
      <c r="F10" s="1471"/>
      <c r="G10" s="1471"/>
      <c r="H10" s="1471"/>
      <c r="I10" s="1471"/>
      <c r="J10" s="1471"/>
      <c r="K10" s="1471"/>
      <c r="L10" s="1471"/>
      <c r="M10" s="1471"/>
      <c r="N10" s="1472"/>
    </row>
    <row r="11" spans="2:19">
      <c r="B11" s="1556" t="s">
        <v>256</v>
      </c>
      <c r="C11" s="1471"/>
      <c r="D11" s="1471"/>
      <c r="E11" s="1471"/>
      <c r="F11" s="1471"/>
      <c r="G11" s="1471"/>
      <c r="H11" s="1471"/>
      <c r="I11" s="1471"/>
      <c r="J11" s="1471"/>
      <c r="K11" s="1471"/>
      <c r="L11" s="1471"/>
      <c r="M11" s="1471"/>
      <c r="N11" s="1472"/>
    </row>
    <row r="12" spans="2:19">
      <c r="B12" s="1468"/>
      <c r="C12" s="1471"/>
      <c r="D12" s="1471"/>
      <c r="E12" s="1471"/>
      <c r="F12" s="1471"/>
      <c r="G12" s="1471"/>
      <c r="H12" s="1471"/>
      <c r="I12" s="1471"/>
      <c r="J12" s="1471"/>
      <c r="K12" s="1471"/>
      <c r="L12" s="1471"/>
      <c r="M12" s="1471"/>
      <c r="N12" s="1472"/>
    </row>
    <row r="13" spans="2:19">
      <c r="B13" s="1468"/>
      <c r="C13" s="1471"/>
      <c r="D13" s="1471"/>
      <c r="E13" s="1471"/>
      <c r="F13" s="1471"/>
      <c r="G13" s="1471"/>
      <c r="H13" s="1471"/>
      <c r="I13" s="1471"/>
      <c r="J13" s="1471"/>
      <c r="K13" s="1471"/>
      <c r="L13" s="1471"/>
      <c r="M13" s="1471"/>
      <c r="N13" s="1472"/>
    </row>
    <row r="14" spans="2:19">
      <c r="B14" s="1556" t="s">
        <v>143</v>
      </c>
      <c r="C14" s="1471"/>
      <c r="D14" s="1471"/>
      <c r="E14" s="1471"/>
      <c r="F14" s="1471"/>
      <c r="G14" s="1471"/>
      <c r="H14" s="1471"/>
      <c r="I14" s="1471"/>
      <c r="J14" s="1471"/>
      <c r="K14" s="1471"/>
      <c r="L14" s="1471"/>
      <c r="M14" s="1471"/>
      <c r="N14" s="1472"/>
    </row>
    <row r="15" spans="2:19">
      <c r="B15" s="1468"/>
      <c r="C15" s="1471"/>
      <c r="D15" s="1471"/>
      <c r="E15" s="1471"/>
      <c r="F15" s="1471"/>
      <c r="G15" s="1471"/>
      <c r="H15" s="1471"/>
      <c r="I15" s="1471"/>
      <c r="J15" s="1471"/>
      <c r="K15" s="1471"/>
      <c r="L15" s="1471"/>
      <c r="M15" s="1471"/>
      <c r="N15" s="1472"/>
    </row>
    <row r="16" spans="2:19">
      <c r="B16" s="1468"/>
      <c r="C16" s="1471"/>
      <c r="D16" s="1471"/>
      <c r="E16" s="1471"/>
      <c r="F16" s="1471"/>
      <c r="G16" s="1471"/>
      <c r="H16" s="1471"/>
      <c r="I16" s="1471"/>
      <c r="J16" s="1471"/>
      <c r="K16" s="1471"/>
      <c r="L16" s="1471"/>
      <c r="M16" s="1471"/>
      <c r="N16" s="1472"/>
    </row>
    <row r="17" spans="2:14" ht="13.5" thickBot="1">
      <c r="B17" s="1521"/>
      <c r="C17" s="1501"/>
      <c r="D17" s="1501"/>
      <c r="E17" s="1501"/>
      <c r="F17" s="1501"/>
      <c r="G17" s="1501"/>
      <c r="H17" s="1501"/>
      <c r="I17" s="1501"/>
      <c r="J17" s="1501"/>
      <c r="K17" s="1501"/>
      <c r="L17" s="1501"/>
      <c r="M17" s="1501"/>
      <c r="N17" s="1503"/>
    </row>
    <row r="19" spans="2:14" ht="13.5" thickBot="1">
      <c r="B19" s="1446" t="s">
        <v>144</v>
      </c>
      <c r="E19" s="142"/>
    </row>
    <row r="20" spans="2:14">
      <c r="B20" s="1455"/>
      <c r="C20" s="1456"/>
      <c r="D20" s="1557"/>
      <c r="E20" s="1449"/>
      <c r="F20" s="1449"/>
      <c r="G20" s="1449"/>
      <c r="H20" s="1449"/>
      <c r="I20" s="1449" t="s">
        <v>145</v>
      </c>
      <c r="J20" s="1450" t="s">
        <v>146</v>
      </c>
    </row>
    <row r="21" spans="2:14">
      <c r="B21" s="1460"/>
      <c r="C21" s="1461" t="s">
        <v>70</v>
      </c>
      <c r="D21" s="1506">
        <v>2015</v>
      </c>
      <c r="E21" s="1507">
        <v>2020</v>
      </c>
      <c r="F21" s="1507">
        <v>2035</v>
      </c>
      <c r="G21" s="1507"/>
      <c r="H21" s="1507" t="s">
        <v>978</v>
      </c>
      <c r="I21" s="1464"/>
      <c r="J21" s="1465"/>
    </row>
    <row r="22" spans="2:14">
      <c r="B22" s="1468" t="s">
        <v>257</v>
      </c>
      <c r="C22" s="1469"/>
      <c r="D22" s="153"/>
      <c r="E22" s="1470"/>
      <c r="F22" s="1470"/>
      <c r="G22" s="1470"/>
      <c r="H22" s="1470"/>
      <c r="I22" s="1471"/>
      <c r="J22" s="1472"/>
    </row>
    <row r="23" spans="2:14">
      <c r="B23" s="122" t="s">
        <v>848</v>
      </c>
      <c r="C23" s="1469" t="s">
        <v>1645</v>
      </c>
      <c r="D23" s="1209">
        <f>D81</f>
        <v>0.48453524993943314</v>
      </c>
      <c r="E23" s="281">
        <f>E81</f>
        <v>0.48453524993943314</v>
      </c>
      <c r="F23" s="281">
        <f>F81</f>
        <v>0.48453524993943314</v>
      </c>
      <c r="G23" s="281">
        <f>G81</f>
        <v>0.48453524993943314</v>
      </c>
      <c r="H23" s="1657"/>
      <c r="I23" s="1474"/>
      <c r="J23" s="1475"/>
    </row>
    <row r="24" spans="2:14">
      <c r="B24" s="122" t="s">
        <v>849</v>
      </c>
      <c r="C24" s="1469" t="s">
        <v>1645</v>
      </c>
      <c r="D24" s="416">
        <f>D23</f>
        <v>0.48453524993943314</v>
      </c>
      <c r="E24" s="417">
        <f>E23</f>
        <v>0.48453524993943314</v>
      </c>
      <c r="F24" s="417">
        <f>F23</f>
        <v>0.48453524993943314</v>
      </c>
      <c r="G24" s="417">
        <f>G23</f>
        <v>0.48453524993943314</v>
      </c>
      <c r="H24" s="1657"/>
      <c r="I24" s="1474"/>
      <c r="J24" s="1475"/>
    </row>
    <row r="25" spans="2:14">
      <c r="B25" s="122" t="s">
        <v>1640</v>
      </c>
      <c r="C25" s="1469" t="s">
        <v>1024</v>
      </c>
      <c r="D25" s="416">
        <f>D84</f>
        <v>6549.6760259179264</v>
      </c>
      <c r="E25" s="417">
        <f>E84</f>
        <v>5411.8901781008326</v>
      </c>
      <c r="F25" s="417">
        <f>F84</f>
        <v>4455.0358156426773</v>
      </c>
      <c r="G25" s="417">
        <f>G84</f>
        <v>4455.0358156426773</v>
      </c>
      <c r="H25" s="1658"/>
      <c r="I25" s="1474"/>
      <c r="J25" s="1475"/>
    </row>
    <row r="26" spans="2:14">
      <c r="B26" s="122" t="s">
        <v>1641</v>
      </c>
      <c r="C26" s="1469" t="s">
        <v>1024</v>
      </c>
      <c r="D26" s="416"/>
      <c r="E26" s="417"/>
      <c r="F26" s="417"/>
      <c r="G26" s="417"/>
      <c r="H26" s="1658"/>
      <c r="I26" s="1474"/>
      <c r="J26" s="1475"/>
    </row>
    <row r="27" spans="2:14">
      <c r="B27" s="1476" t="s">
        <v>98</v>
      </c>
      <c r="C27" s="1469" t="s">
        <v>259</v>
      </c>
      <c r="D27" s="1477">
        <v>20</v>
      </c>
      <c r="E27" s="1478">
        <v>20</v>
      </c>
      <c r="F27" s="1478">
        <v>20</v>
      </c>
      <c r="G27" s="1210">
        <v>20</v>
      </c>
      <c r="H27" s="1478"/>
      <c r="I27" s="1479"/>
      <c r="J27" s="1472"/>
    </row>
    <row r="28" spans="2:14">
      <c r="B28" s="1476" t="s">
        <v>260</v>
      </c>
      <c r="C28" s="1469" t="s">
        <v>261</v>
      </c>
      <c r="D28" s="1560"/>
      <c r="E28" s="1561"/>
      <c r="F28" s="1561"/>
      <c r="G28" s="1561"/>
      <c r="H28" s="1659"/>
      <c r="I28" s="1474"/>
      <c r="J28" s="1472"/>
    </row>
    <row r="29" spans="2:14">
      <c r="B29" s="1484"/>
      <c r="C29" s="1485"/>
      <c r="D29" s="1562"/>
      <c r="E29" s="1486"/>
      <c r="F29" s="1486"/>
      <c r="G29" s="1486"/>
      <c r="H29" s="1486"/>
      <c r="I29" s="1471"/>
      <c r="J29" s="1472"/>
    </row>
    <row r="30" spans="2:14">
      <c r="B30" s="1468" t="s">
        <v>33</v>
      </c>
      <c r="C30" s="1469"/>
      <c r="D30" s="1562"/>
      <c r="E30" s="1486"/>
      <c r="F30" s="1486"/>
      <c r="G30" s="1486"/>
      <c r="H30" s="1486"/>
      <c r="I30" s="1471"/>
      <c r="J30" s="1472"/>
    </row>
    <row r="31" spans="2:14">
      <c r="B31" s="1476" t="s">
        <v>157</v>
      </c>
      <c r="C31" s="1469" t="s">
        <v>61</v>
      </c>
      <c r="D31" s="992">
        <f>HLOOKUP($H38,Supplementary!$C$44:$AF$46,3,FALSE)*D38</f>
        <v>467820712.70515579</v>
      </c>
      <c r="E31" s="992">
        <f>HLOOKUP($H38,Supplementary!$C$44:$AF$46,3,FALSE)*E38</f>
        <v>467820712.70515579</v>
      </c>
      <c r="F31" s="992">
        <f>HLOOKUP($H38,Supplementary!$C$44:$AF$46,3,FALSE)*F38</f>
        <v>467820712.70515579</v>
      </c>
      <c r="G31" s="992">
        <f>HLOOKUP($H38,Supplementary!$C$44:$AF$46,3,FALSE)*G38</f>
        <v>467820712.70515579</v>
      </c>
      <c r="H31" s="323">
        <v>2011</v>
      </c>
      <c r="I31" s="555"/>
      <c r="J31" s="1472"/>
    </row>
    <row r="32" spans="2:14">
      <c r="B32" s="1484" t="s">
        <v>262</v>
      </c>
      <c r="C32" s="1469" t="s">
        <v>263</v>
      </c>
      <c r="D32" s="992">
        <f>HLOOKUP($H39,Supplementary!$C$44:$AF$46,3,FALSE)*D39</f>
        <v>101.65312066567469</v>
      </c>
      <c r="E32" s="992">
        <f>HLOOKUP($H39,Supplementary!$C$44:$AF$46,3,FALSE)*E39</f>
        <v>135.32693458666802</v>
      </c>
      <c r="F32" s="992">
        <f>HLOOKUP($H39,Supplementary!$C$44:$AF$46,3,FALSE)*F39</f>
        <v>182.65834151360025</v>
      </c>
      <c r="G32" s="992">
        <f>HLOOKUP($H39,Supplementary!$C$44:$AF$46,3,FALSE)*G39</f>
        <v>182.65834151360025</v>
      </c>
      <c r="H32" s="323">
        <v>2011</v>
      </c>
      <c r="I32" s="555"/>
      <c r="J32" s="1472"/>
    </row>
    <row r="33" spans="2:11">
      <c r="B33" s="1492" t="s">
        <v>162</v>
      </c>
      <c r="C33" s="1469" t="s">
        <v>263</v>
      </c>
      <c r="D33" s="992">
        <f>HLOOKUP($H40,Supplementary!$C$44:$AF$46,3,FALSE)*D40</f>
        <v>67.139385493636581</v>
      </c>
      <c r="E33" s="992">
        <f>HLOOKUP($H40,Supplementary!$C$44:$AF$46,3,FALSE)*E40</f>
        <v>89.380111199620515</v>
      </c>
      <c r="F33" s="992">
        <f>HLOOKUP($H40,Supplementary!$C$44:$AF$46,3,FALSE)*F40</f>
        <v>120.64134110396259</v>
      </c>
      <c r="G33" s="992">
        <f>HLOOKUP($H40,Supplementary!$C$44:$AF$46,3,FALSE)*G40</f>
        <v>120.64134110396259</v>
      </c>
      <c r="H33" s="323">
        <v>2011</v>
      </c>
      <c r="I33" s="555"/>
      <c r="J33" s="1472"/>
    </row>
    <row r="34" spans="2:11">
      <c r="B34" s="1492" t="s">
        <v>163</v>
      </c>
      <c r="C34" s="1469" t="s">
        <v>263</v>
      </c>
      <c r="D34" s="992">
        <f>HLOOKUP($H41,Supplementary!$C$44:$AF$46,3,FALSE)*D41</f>
        <v>33.367538606181938</v>
      </c>
      <c r="E34" s="992">
        <f>HLOOKUP($H41,Supplementary!$C$44:$AF$46,3,FALSE)*E41</f>
        <v>44.420935478488126</v>
      </c>
      <c r="F34" s="992">
        <f>HLOOKUP($H41,Supplementary!$C$44:$AF$46,3,FALSE)*F41</f>
        <v>59.957424054314139</v>
      </c>
      <c r="G34" s="992">
        <f>HLOOKUP($H41,Supplementary!$C$44:$AF$46,3,FALSE)*G41</f>
        <v>59.957424054314139</v>
      </c>
      <c r="H34" s="323">
        <v>2011</v>
      </c>
      <c r="I34" s="555"/>
      <c r="J34" s="1472"/>
    </row>
    <row r="35" spans="2:11">
      <c r="B35" s="1492"/>
      <c r="C35" s="1469"/>
      <c r="D35" s="992"/>
      <c r="E35" s="992"/>
      <c r="F35" s="992"/>
      <c r="G35" s="992"/>
      <c r="H35" s="323"/>
      <c r="I35" s="555"/>
      <c r="J35" s="1472"/>
    </row>
    <row r="36" spans="2:11">
      <c r="B36" s="1492" t="s">
        <v>264</v>
      </c>
      <c r="C36" s="1469" t="s">
        <v>263</v>
      </c>
      <c r="D36" s="992">
        <f>HLOOKUP($H43,Supplementary!$C$44:$AF$46,3,FALSE)*D43</f>
        <v>0</v>
      </c>
      <c r="E36" s="992">
        <f>HLOOKUP($H43,Supplementary!$C$44:$AF$46,3,FALSE)*E43</f>
        <v>0</v>
      </c>
      <c r="F36" s="992">
        <f>HLOOKUP($H43,Supplementary!$C$44:$AF$46,3,FALSE)*F43</f>
        <v>0</v>
      </c>
      <c r="G36" s="992">
        <f>HLOOKUP($H43,Supplementary!$C$44:$AF$46,3,FALSE)*G43</f>
        <v>0</v>
      </c>
      <c r="H36" s="323">
        <v>2011</v>
      </c>
      <c r="I36" s="555"/>
      <c r="J36" s="1472"/>
    </row>
    <row r="37" spans="2:11">
      <c r="B37" s="1468"/>
      <c r="C37" s="1469"/>
      <c r="D37" s="1562"/>
      <c r="E37" s="1486"/>
      <c r="F37" s="1486"/>
      <c r="G37" s="1486"/>
      <c r="H37" s="1486"/>
      <c r="I37" s="555"/>
      <c r="J37" s="1472"/>
    </row>
    <row r="38" spans="2:11">
      <c r="B38" s="1476" t="s">
        <v>157</v>
      </c>
      <c r="C38" s="1469" t="s">
        <v>61</v>
      </c>
      <c r="D38" s="1563">
        <v>450500000</v>
      </c>
      <c r="E38" s="1564">
        <v>450500000</v>
      </c>
      <c r="F38" s="1564">
        <v>450500000</v>
      </c>
      <c r="G38" s="1564">
        <v>450500000</v>
      </c>
      <c r="H38" s="407">
        <v>2013</v>
      </c>
      <c r="I38" s="1474"/>
      <c r="J38" s="1472"/>
    </row>
    <row r="39" spans="2:11">
      <c r="B39" s="1484" t="s">
        <v>262</v>
      </c>
      <c r="C39" s="1469" t="s">
        <v>263</v>
      </c>
      <c r="D39" s="1235">
        <f>SUM(D40:D43)</f>
        <v>96.000459431417084</v>
      </c>
      <c r="E39" s="1236">
        <f>SUM(E40:E43)</f>
        <v>127.80176160545844</v>
      </c>
      <c r="F39" s="1236">
        <f>SUM(F40:F43)</f>
        <v>172.50119415377145</v>
      </c>
      <c r="G39" s="1236">
        <f>SUM(G40:G43)</f>
        <v>172.50119415377145</v>
      </c>
      <c r="H39" s="407">
        <v>2012</v>
      </c>
      <c r="I39" s="1474"/>
      <c r="J39" s="1472"/>
    </row>
    <row r="40" spans="2:11">
      <c r="B40" s="1492" t="s">
        <v>162</v>
      </c>
      <c r="C40" s="1469" t="s">
        <v>263</v>
      </c>
      <c r="D40" s="1565">
        <v>64.653599858769013</v>
      </c>
      <c r="E40" s="1566">
        <v>86.070879296031819</v>
      </c>
      <c r="F40" s="1566">
        <v>116.17468549663936</v>
      </c>
      <c r="G40" s="1566">
        <v>116.17468549663936</v>
      </c>
      <c r="H40" s="407">
        <v>2013</v>
      </c>
      <c r="I40" s="1474"/>
      <c r="J40" s="1472"/>
    </row>
    <row r="41" spans="2:11">
      <c r="B41" s="1492" t="s">
        <v>163</v>
      </c>
      <c r="C41" s="1469" t="s">
        <v>263</v>
      </c>
      <c r="D41" s="1235">
        <v>31.346859572648068</v>
      </c>
      <c r="E41" s="1236">
        <v>41.730882309426626</v>
      </c>
      <c r="F41" s="1236">
        <v>56.326508657132109</v>
      </c>
      <c r="G41" s="1236">
        <v>56.326508657132109</v>
      </c>
      <c r="H41" s="407">
        <v>2011</v>
      </c>
      <c r="I41" s="1479"/>
      <c r="J41" s="1472"/>
      <c r="K41" s="164"/>
    </row>
    <row r="42" spans="2:11">
      <c r="B42" s="1492"/>
      <c r="C42" s="1469"/>
      <c r="D42" s="1562"/>
      <c r="E42" s="1486"/>
      <c r="F42" s="1486"/>
      <c r="G42" s="1486"/>
      <c r="H42" s="407"/>
      <c r="I42" s="1474"/>
      <c r="J42" s="1472"/>
    </row>
    <row r="43" spans="2:11">
      <c r="B43" s="1492" t="s">
        <v>264</v>
      </c>
      <c r="C43" s="1469" t="s">
        <v>263</v>
      </c>
      <c r="D43" s="1477"/>
      <c r="E43" s="1478"/>
      <c r="F43" s="1478"/>
      <c r="G43" s="1210"/>
      <c r="H43" s="407">
        <v>2011</v>
      </c>
      <c r="I43" s="1474"/>
      <c r="J43" s="1472"/>
    </row>
    <row r="44" spans="2:11">
      <c r="B44" s="1492"/>
      <c r="C44" s="1469"/>
      <c r="D44" s="1562"/>
      <c r="E44" s="1486"/>
      <c r="F44" s="1486"/>
      <c r="G44" s="1486"/>
      <c r="H44" s="1486"/>
      <c r="I44" s="1474"/>
      <c r="J44" s="1472"/>
    </row>
    <row r="45" spans="2:11">
      <c r="B45" s="1468" t="s">
        <v>166</v>
      </c>
      <c r="C45" s="1469"/>
      <c r="D45" s="1562"/>
      <c r="E45" s="1486"/>
      <c r="F45" s="1486"/>
      <c r="G45" s="1486"/>
      <c r="H45" s="1489"/>
      <c r="I45" s="1474"/>
      <c r="J45" s="1472"/>
    </row>
    <row r="46" spans="2:11">
      <c r="B46" s="418" t="s">
        <v>0</v>
      </c>
      <c r="C46" s="1469"/>
      <c r="D46" s="1562"/>
      <c r="E46" s="1486"/>
      <c r="F46" s="1486"/>
      <c r="G46" s="1486"/>
      <c r="H46" s="1566"/>
      <c r="I46" s="1474"/>
      <c r="J46" s="1472"/>
    </row>
    <row r="47" spans="2:11">
      <c r="B47" s="1484" t="s">
        <v>24</v>
      </c>
      <c r="C47" s="1469" t="s">
        <v>1644</v>
      </c>
      <c r="D47" s="425"/>
      <c r="E47" s="426"/>
      <c r="F47" s="426"/>
      <c r="G47" s="426"/>
      <c r="H47" s="1566"/>
      <c r="I47" s="1474"/>
      <c r="J47" s="1574" t="s">
        <v>850</v>
      </c>
    </row>
    <row r="48" spans="2:11">
      <c r="B48" s="1484" t="s">
        <v>27</v>
      </c>
      <c r="C48" s="1469" t="s">
        <v>1644</v>
      </c>
      <c r="D48" s="160">
        <f t="shared" ref="D48:G52" si="0">D87/D$84</f>
        <v>0</v>
      </c>
      <c r="E48" s="127">
        <f t="shared" si="0"/>
        <v>0</v>
      </c>
      <c r="F48" s="127">
        <f t="shared" si="0"/>
        <v>0</v>
      </c>
      <c r="G48" s="127">
        <f t="shared" si="0"/>
        <v>0</v>
      </c>
      <c r="H48" s="1660"/>
      <c r="I48" s="1474"/>
      <c r="J48" s="1472"/>
    </row>
    <row r="49" spans="2:10">
      <c r="B49" s="1484" t="s">
        <v>28</v>
      </c>
      <c r="C49" s="1469" t="s">
        <v>1644</v>
      </c>
      <c r="D49" s="160">
        <f t="shared" si="0"/>
        <v>0</v>
      </c>
      <c r="E49" s="127">
        <f t="shared" si="0"/>
        <v>0</v>
      </c>
      <c r="F49" s="127">
        <f t="shared" si="0"/>
        <v>0</v>
      </c>
      <c r="G49" s="127">
        <f t="shared" si="0"/>
        <v>0</v>
      </c>
      <c r="H49" s="1486"/>
      <c r="I49" s="1474"/>
      <c r="J49" s="1472"/>
    </row>
    <row r="50" spans="2:10">
      <c r="B50" s="1484" t="s">
        <v>26</v>
      </c>
      <c r="C50" s="1469" t="s">
        <v>1644</v>
      </c>
      <c r="D50" s="160">
        <f t="shared" si="0"/>
        <v>0.18082431888384828</v>
      </c>
      <c r="E50" s="127">
        <f t="shared" si="0"/>
        <v>0.18068932302752397</v>
      </c>
      <c r="F50" s="127">
        <f t="shared" si="0"/>
        <v>0.18041226085768039</v>
      </c>
      <c r="G50" s="127">
        <f t="shared" si="0"/>
        <v>0.18041226085768039</v>
      </c>
      <c r="H50" s="1478"/>
      <c r="I50" s="1474"/>
      <c r="J50" s="1472"/>
    </row>
    <row r="51" spans="2:10">
      <c r="B51" s="1484" t="s">
        <v>167</v>
      </c>
      <c r="C51" s="1469" t="s">
        <v>1644</v>
      </c>
      <c r="D51" s="160">
        <f t="shared" si="0"/>
        <v>0.46916621568366396</v>
      </c>
      <c r="E51" s="127">
        <f t="shared" si="0"/>
        <v>0.46533915375514712</v>
      </c>
      <c r="F51" s="127">
        <f t="shared" si="0"/>
        <v>0.45972829172410162</v>
      </c>
      <c r="G51" s="127">
        <f t="shared" si="0"/>
        <v>0.45972829172410162</v>
      </c>
      <c r="H51" s="1486"/>
      <c r="I51" s="1474"/>
      <c r="J51" s="1472"/>
    </row>
    <row r="52" spans="2:10">
      <c r="B52" s="1484" t="s">
        <v>45</v>
      </c>
      <c r="C52" s="1469" t="s">
        <v>1644</v>
      </c>
      <c r="D52" s="160">
        <f t="shared" si="0"/>
        <v>9.2415311823227084E-2</v>
      </c>
      <c r="E52" s="127">
        <f t="shared" si="0"/>
        <v>9.2170766907945456E-2</v>
      </c>
      <c r="F52" s="127">
        <f t="shared" si="0"/>
        <v>9.1782158663924182E-2</v>
      </c>
      <c r="G52" s="127">
        <f t="shared" si="0"/>
        <v>9.1782158663924182E-2</v>
      </c>
      <c r="H52" s="1486"/>
      <c r="I52" s="1474"/>
      <c r="J52" s="1472"/>
    </row>
    <row r="53" spans="2:10">
      <c r="B53" s="1484"/>
      <c r="C53" s="1469"/>
      <c r="D53" s="867"/>
      <c r="E53" s="1471"/>
      <c r="F53" s="1471"/>
      <c r="G53" s="1471"/>
      <c r="H53" s="1486"/>
      <c r="I53" s="1474"/>
      <c r="J53" s="1472"/>
    </row>
    <row r="54" spans="2:10">
      <c r="B54" s="418" t="s">
        <v>20</v>
      </c>
      <c r="C54" s="1469"/>
      <c r="D54" s="1562"/>
      <c r="E54" s="1486"/>
      <c r="F54" s="1486"/>
      <c r="G54" s="1486"/>
      <c r="H54" s="1660"/>
      <c r="I54" s="1474"/>
      <c r="J54" s="1472"/>
    </row>
    <row r="55" spans="2:10">
      <c r="B55" s="1484" t="s">
        <v>24</v>
      </c>
      <c r="C55" s="1469" t="s">
        <v>1644</v>
      </c>
      <c r="D55" s="425"/>
      <c r="E55" s="426"/>
      <c r="F55" s="426"/>
      <c r="G55" s="426"/>
      <c r="H55" s="1169"/>
      <c r="I55" s="1474"/>
      <c r="J55" s="1574" t="s">
        <v>850</v>
      </c>
    </row>
    <row r="56" spans="2:10">
      <c r="B56" s="1484" t="s">
        <v>27</v>
      </c>
      <c r="C56" s="1469" t="s">
        <v>1644</v>
      </c>
      <c r="D56" s="420">
        <f t="shared" ref="D56:G60" si="1">D48</f>
        <v>0</v>
      </c>
      <c r="E56" s="419">
        <f t="shared" si="1"/>
        <v>0</v>
      </c>
      <c r="F56" s="419">
        <f t="shared" si="1"/>
        <v>0</v>
      </c>
      <c r="G56" s="419">
        <f t="shared" si="1"/>
        <v>0</v>
      </c>
      <c r="H56" s="1169"/>
      <c r="I56" s="1474"/>
      <c r="J56" s="1472"/>
    </row>
    <row r="57" spans="2:10">
      <c r="B57" s="1484" t="s">
        <v>28</v>
      </c>
      <c r="C57" s="1469" t="s">
        <v>1644</v>
      </c>
      <c r="D57" s="420">
        <f t="shared" si="1"/>
        <v>0</v>
      </c>
      <c r="E57" s="419">
        <f t="shared" si="1"/>
        <v>0</v>
      </c>
      <c r="F57" s="419">
        <f t="shared" si="1"/>
        <v>0</v>
      </c>
      <c r="G57" s="419">
        <f t="shared" si="1"/>
        <v>0</v>
      </c>
      <c r="H57" s="1169"/>
      <c r="I57" s="1474"/>
      <c r="J57" s="1472"/>
    </row>
    <row r="58" spans="2:10">
      <c r="B58" s="1484" t="s">
        <v>26</v>
      </c>
      <c r="C58" s="1469" t="s">
        <v>1644</v>
      </c>
      <c r="D58" s="420">
        <f t="shared" si="1"/>
        <v>0.18082431888384828</v>
      </c>
      <c r="E58" s="419">
        <f t="shared" si="1"/>
        <v>0.18068932302752397</v>
      </c>
      <c r="F58" s="419">
        <f t="shared" si="1"/>
        <v>0.18041226085768039</v>
      </c>
      <c r="G58" s="419">
        <f t="shared" si="1"/>
        <v>0.18041226085768039</v>
      </c>
      <c r="H58" s="1169"/>
      <c r="I58" s="1474"/>
      <c r="J58" s="1472"/>
    </row>
    <row r="59" spans="2:10">
      <c r="B59" s="1484" t="s">
        <v>167</v>
      </c>
      <c r="C59" s="1469" t="s">
        <v>1644</v>
      </c>
      <c r="D59" s="420">
        <f t="shared" si="1"/>
        <v>0.46916621568366396</v>
      </c>
      <c r="E59" s="419">
        <f t="shared" si="1"/>
        <v>0.46533915375514712</v>
      </c>
      <c r="F59" s="419">
        <f t="shared" si="1"/>
        <v>0.45972829172410162</v>
      </c>
      <c r="G59" s="419">
        <f t="shared" si="1"/>
        <v>0.45972829172410162</v>
      </c>
      <c r="H59" s="1169"/>
      <c r="I59" s="1474"/>
      <c r="J59" s="1472"/>
    </row>
    <row r="60" spans="2:10">
      <c r="B60" s="1484" t="s">
        <v>45</v>
      </c>
      <c r="C60" s="1469" t="s">
        <v>1644</v>
      </c>
      <c r="D60" s="420">
        <f t="shared" si="1"/>
        <v>9.2415311823227084E-2</v>
      </c>
      <c r="E60" s="419">
        <f t="shared" si="1"/>
        <v>9.2170766907945456E-2</v>
      </c>
      <c r="F60" s="419">
        <f t="shared" si="1"/>
        <v>9.1782158663924182E-2</v>
      </c>
      <c r="G60" s="419">
        <f t="shared" si="1"/>
        <v>9.1782158663924182E-2</v>
      </c>
      <c r="H60" s="323"/>
      <c r="I60" s="1474"/>
      <c r="J60" s="1472"/>
    </row>
    <row r="61" spans="2:10" ht="13.5" thickBot="1">
      <c r="B61" s="1498"/>
      <c r="C61" s="1499"/>
      <c r="D61" s="873"/>
      <c r="E61" s="1501"/>
      <c r="F61" s="1501"/>
      <c r="G61" s="1501"/>
      <c r="H61" s="1501"/>
      <c r="I61" s="1502"/>
      <c r="J61" s="1503"/>
    </row>
    <row r="64" spans="2:10" ht="16.5" thickBot="1">
      <c r="B64" s="1504" t="s">
        <v>168</v>
      </c>
    </row>
    <row r="65" spans="2:12">
      <c r="B65" s="1455"/>
      <c r="C65" s="1456"/>
      <c r="D65" s="1557"/>
      <c r="E65" s="1449"/>
      <c r="F65" s="1449"/>
      <c r="G65" s="1449"/>
      <c r="H65" s="1449"/>
      <c r="I65" s="1449" t="s">
        <v>145</v>
      </c>
      <c r="J65" s="1450" t="s">
        <v>146</v>
      </c>
    </row>
    <row r="66" spans="2:12">
      <c r="B66" s="1460"/>
      <c r="C66" s="1461" t="s">
        <v>70</v>
      </c>
      <c r="D66" s="1506">
        <v>2015</v>
      </c>
      <c r="E66" s="1507">
        <v>2020</v>
      </c>
      <c r="F66" s="1507">
        <v>2035</v>
      </c>
      <c r="G66" s="1507">
        <v>2050</v>
      </c>
      <c r="H66" s="1507"/>
      <c r="I66" s="1464"/>
      <c r="J66" s="1465"/>
    </row>
    <row r="67" spans="2:12">
      <c r="B67" s="1484" t="s">
        <v>1577</v>
      </c>
      <c r="C67" s="1509" t="s">
        <v>267</v>
      </c>
      <c r="D67" s="1209">
        <f>D23*D84</f>
        <v>3173.5489102404558</v>
      </c>
      <c r="E67" s="1570">
        <f>E23*E84</f>
        <v>2622.2515600908505</v>
      </c>
      <c r="F67" s="1570">
        <f>F23*F84</f>
        <v>2158.6218924215509</v>
      </c>
      <c r="G67" s="1570">
        <f>G23*G84</f>
        <v>2158.6218924215509</v>
      </c>
      <c r="H67" s="1570"/>
      <c r="I67" s="1471"/>
      <c r="J67" s="1472"/>
    </row>
    <row r="68" spans="2:12">
      <c r="B68" s="1484" t="s">
        <v>2618</v>
      </c>
      <c r="C68" s="1509" t="s">
        <v>1578</v>
      </c>
      <c r="D68" s="1562">
        <v>11500</v>
      </c>
      <c r="E68" s="1486">
        <v>11500</v>
      </c>
      <c r="F68" s="1486">
        <v>11500</v>
      </c>
      <c r="G68" s="1486">
        <v>11500</v>
      </c>
      <c r="H68" s="1486">
        <v>2011</v>
      </c>
      <c r="I68" s="1479"/>
      <c r="J68" s="1472" t="s">
        <v>2077</v>
      </c>
    </row>
    <row r="69" spans="2:12">
      <c r="B69" s="1484" t="s">
        <v>2618</v>
      </c>
      <c r="C69" s="1509" t="s">
        <v>1579</v>
      </c>
      <c r="D69" s="872">
        <f>D68/(D74*24)/D72</f>
        <v>34.761967330398598</v>
      </c>
      <c r="E69" s="2502">
        <f>E68/(E74*24)/E72</f>
        <v>38.238164063438454</v>
      </c>
      <c r="F69" s="2502">
        <f>F68/(F74*24)/F72</f>
        <v>42.486848959376061</v>
      </c>
      <c r="G69" s="2502">
        <f>G68/(G74*24)/G72</f>
        <v>42.486848959376061</v>
      </c>
      <c r="H69" s="1212"/>
      <c r="I69" s="1471"/>
      <c r="J69" s="1472"/>
    </row>
    <row r="70" spans="2:12">
      <c r="B70" s="1484" t="s">
        <v>2625</v>
      </c>
      <c r="C70" s="1509" t="s">
        <v>2624</v>
      </c>
      <c r="D70" s="872">
        <v>85000000</v>
      </c>
      <c r="E70" s="2502">
        <v>85000000</v>
      </c>
      <c r="F70" s="2502">
        <v>85000000</v>
      </c>
      <c r="G70" s="2502">
        <v>85000000</v>
      </c>
      <c r="H70" s="1212"/>
      <c r="I70" s="1471"/>
      <c r="J70" s="1472"/>
    </row>
    <row r="71" spans="2:12">
      <c r="B71" s="1484" t="s">
        <v>2623</v>
      </c>
      <c r="C71" s="1509" t="s">
        <v>29</v>
      </c>
      <c r="D71" s="872">
        <v>0.08</v>
      </c>
      <c r="E71" s="2502">
        <v>0.08</v>
      </c>
      <c r="F71" s="2502">
        <v>0.08</v>
      </c>
      <c r="G71" s="2502">
        <v>0.08</v>
      </c>
      <c r="H71" s="1212"/>
      <c r="I71" s="1471" t="str">
        <f>CONCATENATE(Referencer!$B$75)</f>
        <v>71, Maritime Economics, Martin Stopford, 3rd edition, 2009, chapter 13, Routledge</v>
      </c>
      <c r="J71" s="1472"/>
    </row>
    <row r="72" spans="2:12">
      <c r="B72" s="1484" t="s">
        <v>2622</v>
      </c>
      <c r="C72" s="1509" t="s">
        <v>2621</v>
      </c>
      <c r="D72" s="872">
        <f>(24.1/37.9*4+24.1/40.9)/5</f>
        <v>0.62655553476850034</v>
      </c>
      <c r="E72" s="2502">
        <f>(24.1/37.9*4+24.1/40.9)/5</f>
        <v>0.62655553476850034</v>
      </c>
      <c r="F72" s="2502">
        <f>(24.1/37.9*4+24.1/40.9)/5</f>
        <v>0.62655553476850034</v>
      </c>
      <c r="G72" s="2502">
        <f>(24.1/37.9*4+24.1/40.9)/5</f>
        <v>0.62655553476850034</v>
      </c>
      <c r="H72" s="1212"/>
      <c r="I72" s="1471" t="str">
        <f>CONCATENATE(Referencer!$B$75)</f>
        <v>71, Maritime Economics, Martin Stopford, 3rd edition, 2009, chapter 13, Routledge</v>
      </c>
      <c r="J72" s="1472"/>
    </row>
    <row r="73" spans="2:12">
      <c r="B73" s="1484" t="s">
        <v>2620</v>
      </c>
      <c r="C73" s="1509" t="s">
        <v>2619</v>
      </c>
      <c r="D73" s="872">
        <f>((D70*D71)/(1-(1+D71)^-D27))/(365*24*D74*D72)</f>
        <v>71.697336087990521</v>
      </c>
      <c r="E73" s="2502">
        <f>((E70*E71)/(1-(1+E71)^-E27))/(365*24*E74*E72)</f>
        <v>78.867069696789571</v>
      </c>
      <c r="F73" s="2502">
        <f>((F70*F71)/(1-(1+F71)^-F27))/(365*24*F74*F72)</f>
        <v>87.630077440877301</v>
      </c>
      <c r="G73" s="2502">
        <f>((G70*G71)/(1-(1+G71)^-G27))/(365*24*G74*G72)</f>
        <v>87.630077440877301</v>
      </c>
      <c r="H73" s="1212"/>
      <c r="I73" s="1471"/>
      <c r="J73" s="1472"/>
    </row>
    <row r="74" spans="2:12">
      <c r="B74" s="1484" t="s">
        <v>1636</v>
      </c>
      <c r="C74" s="1509" t="s">
        <v>1580</v>
      </c>
      <c r="D74" s="1562">
        <v>22</v>
      </c>
      <c r="E74" s="1486">
        <v>20</v>
      </c>
      <c r="F74" s="1486">
        <v>18</v>
      </c>
      <c r="G74" s="1486">
        <v>18</v>
      </c>
      <c r="H74" s="1486"/>
      <c r="I74" s="1471"/>
      <c r="J74" s="1472" t="s">
        <v>1785</v>
      </c>
    </row>
    <row r="75" spans="2:12">
      <c r="B75" s="1484" t="s">
        <v>1639</v>
      </c>
      <c r="C75" s="1509" t="s">
        <v>1638</v>
      </c>
      <c r="D75" s="1213">
        <v>1.8520000000000001</v>
      </c>
      <c r="E75" s="352">
        <v>1.8520000000000001</v>
      </c>
      <c r="F75" s="352">
        <v>1.8520000000000001</v>
      </c>
      <c r="G75" s="352">
        <v>1.8520000000000001</v>
      </c>
      <c r="H75" s="352"/>
      <c r="I75" s="1479"/>
      <c r="J75" s="1472"/>
    </row>
    <row r="76" spans="2:12">
      <c r="B76" s="1484" t="s">
        <v>1787</v>
      </c>
      <c r="C76" s="1509" t="s">
        <v>1784</v>
      </c>
      <c r="D76" s="95"/>
      <c r="E76" s="1445">
        <f>-(E94/$D$94-1)</f>
        <v>0.17371635533035923</v>
      </c>
      <c r="F76" s="1445">
        <f>-(F94/$D$94-1)</f>
        <v>0.31980821677079641</v>
      </c>
      <c r="G76" s="1445">
        <f>-(G94/$D$94-1)</f>
        <v>0.31980821677079641</v>
      </c>
      <c r="H76" s="1445"/>
      <c r="I76" s="1479"/>
      <c r="J76" s="1472" t="s">
        <v>2319</v>
      </c>
    </row>
    <row r="77" spans="2:12">
      <c r="B77" s="1484" t="s">
        <v>1581</v>
      </c>
      <c r="C77" s="1471" t="s">
        <v>1582</v>
      </c>
      <c r="D77" s="338">
        <v>0.17399999999999999</v>
      </c>
      <c r="E77" s="338">
        <v>0.17399999999999999</v>
      </c>
      <c r="F77" s="338">
        <v>0.17399999999999999</v>
      </c>
      <c r="G77" s="338">
        <v>0.17399999999999999</v>
      </c>
      <c r="H77" s="338"/>
      <c r="I77" s="1479" t="str">
        <f>CONCATENATE(Referencer!$B$38)</f>
        <v>32, SHIP-DESMO-Container Ship - 1 January 2014.xls - https://www.shipowners.dk/services/beregningsvaerktoejer/</v>
      </c>
      <c r="J77" s="1472" t="s">
        <v>1583</v>
      </c>
      <c r="L77" s="333"/>
    </row>
    <row r="78" spans="2:12">
      <c r="B78" s="1484" t="s">
        <v>1584</v>
      </c>
      <c r="C78" s="1471" t="s">
        <v>488</v>
      </c>
      <c r="D78" s="277">
        <f>Supplementary!F164</f>
        <v>42.7</v>
      </c>
      <c r="E78" s="277">
        <f>Supplementary!F164</f>
        <v>42.7</v>
      </c>
      <c r="F78" s="277">
        <f>Supplementary!F164</f>
        <v>42.7</v>
      </c>
      <c r="G78" s="277">
        <f>Supplementary!F164</f>
        <v>42.7</v>
      </c>
      <c r="H78" s="277"/>
      <c r="I78" s="1479" t="str">
        <f>CONCATENATE(Referencer!$B$38)</f>
        <v>32, SHIP-DESMO-Container Ship - 1 January 2014.xls - https://www.shipowners.dk/services/beregningsvaerktoejer/</v>
      </c>
      <c r="J78" s="1472" t="s">
        <v>1585</v>
      </c>
    </row>
    <row r="79" spans="2:12">
      <c r="B79" s="1484" t="s">
        <v>1586</v>
      </c>
      <c r="C79" s="1471" t="s">
        <v>1587</v>
      </c>
      <c r="D79" s="1209">
        <f>D77/3600000</f>
        <v>4.8333333333333329E-8</v>
      </c>
      <c r="E79" s="1212">
        <f>E77/3600000</f>
        <v>4.8333333333333329E-8</v>
      </c>
      <c r="F79" s="1212">
        <f>F77/3600000</f>
        <v>4.8333333333333329E-8</v>
      </c>
      <c r="G79" s="1212">
        <f>G77/3600000</f>
        <v>4.8333333333333329E-8</v>
      </c>
      <c r="H79" s="1212"/>
      <c r="I79" s="1471"/>
      <c r="J79" s="1472"/>
    </row>
    <row r="80" spans="2:12">
      <c r="B80" s="1484" t="s">
        <v>1584</v>
      </c>
      <c r="C80" s="1471" t="s">
        <v>1588</v>
      </c>
      <c r="D80" s="1214">
        <f>D78*1000000</f>
        <v>42700000</v>
      </c>
      <c r="E80" s="1215">
        <f>E78*1000000</f>
        <v>42700000</v>
      </c>
      <c r="F80" s="1215">
        <f>F78*1000000</f>
        <v>42700000</v>
      </c>
      <c r="G80" s="1215">
        <f>G78*1000000</f>
        <v>42700000</v>
      </c>
      <c r="H80" s="1215"/>
      <c r="I80" s="1471"/>
      <c r="J80" s="1472"/>
    </row>
    <row r="81" spans="2:12" ht="13.5" thickBot="1">
      <c r="B81" s="1521" t="s">
        <v>1589</v>
      </c>
      <c r="C81" s="1501" t="s">
        <v>1590</v>
      </c>
      <c r="D81" s="1216">
        <f>1/(D80*D79)</f>
        <v>0.48453524993943314</v>
      </c>
      <c r="E81" s="1217">
        <f>1/(E80*E79)</f>
        <v>0.48453524993943314</v>
      </c>
      <c r="F81" s="1217">
        <f>1/(F80*F79)</f>
        <v>0.48453524993943314</v>
      </c>
      <c r="G81" s="1217">
        <f>1/(G80*G79)</f>
        <v>0.48453524993943314</v>
      </c>
      <c r="H81" s="1217"/>
      <c r="I81" s="1501"/>
      <c r="J81" s="1503"/>
      <c r="L81" s="334"/>
    </row>
    <row r="83" spans="2:12" ht="16.5" thickBot="1">
      <c r="B83" s="1504" t="s">
        <v>172</v>
      </c>
    </row>
    <row r="84" spans="2:12">
      <c r="B84" s="1455" t="s">
        <v>1660</v>
      </c>
      <c r="C84" s="1449" t="s">
        <v>267</v>
      </c>
      <c r="D84" s="1233">
        <f>D94/D$75*1000</f>
        <v>6549.6760259179264</v>
      </c>
      <c r="E84" s="1233">
        <f>E94/E$75*1000</f>
        <v>5411.8901781008326</v>
      </c>
      <c r="F84" s="1233">
        <f>F94/F$75*1000</f>
        <v>4455.0358156426773</v>
      </c>
      <c r="G84" s="1233">
        <f>G94/G$75*1000</f>
        <v>4455.0358156426773</v>
      </c>
      <c r="H84" s="1233"/>
      <c r="I84" s="1219"/>
      <c r="J84" s="1450"/>
    </row>
    <row r="85" spans="2:12">
      <c r="B85" s="1484"/>
      <c r="C85" s="1471"/>
      <c r="D85" s="1471"/>
      <c r="E85" s="1471"/>
      <c r="F85" s="1471"/>
      <c r="G85" s="1471"/>
      <c r="H85" s="1471"/>
      <c r="I85" s="1471"/>
      <c r="J85" s="1472"/>
    </row>
    <row r="86" spans="2:12">
      <c r="B86" s="1484" t="s">
        <v>24</v>
      </c>
      <c r="C86" s="1471" t="s">
        <v>7</v>
      </c>
      <c r="D86" s="885">
        <f t="shared" ref="D86:G91" si="2">D96/D$75*1000</f>
        <v>0</v>
      </c>
      <c r="E86" s="885">
        <f t="shared" si="2"/>
        <v>0</v>
      </c>
      <c r="F86" s="885">
        <f t="shared" si="2"/>
        <v>0</v>
      </c>
      <c r="G86" s="885">
        <f t="shared" si="2"/>
        <v>0</v>
      </c>
      <c r="H86" s="885"/>
      <c r="I86" s="1471"/>
      <c r="J86" s="1472"/>
    </row>
    <row r="87" spans="2:12">
      <c r="B87" s="1484" t="s">
        <v>27</v>
      </c>
      <c r="C87" s="1471" t="s">
        <v>7</v>
      </c>
      <c r="D87" s="885">
        <f t="shared" si="2"/>
        <v>0</v>
      </c>
      <c r="E87" s="885">
        <f t="shared" si="2"/>
        <v>0</v>
      </c>
      <c r="F87" s="885">
        <f t="shared" si="2"/>
        <v>0</v>
      </c>
      <c r="G87" s="885">
        <f t="shared" si="2"/>
        <v>0</v>
      </c>
      <c r="H87" s="885"/>
      <c r="I87" s="1479"/>
      <c r="J87" s="1472"/>
    </row>
    <row r="88" spans="2:12">
      <c r="B88" s="1484" t="s">
        <v>28</v>
      </c>
      <c r="C88" s="1471" t="s">
        <v>7</v>
      </c>
      <c r="D88" s="885">
        <f t="shared" si="2"/>
        <v>0</v>
      </c>
      <c r="E88" s="885">
        <f t="shared" si="2"/>
        <v>0</v>
      </c>
      <c r="F88" s="885">
        <f t="shared" si="2"/>
        <v>0</v>
      </c>
      <c r="G88" s="885">
        <f t="shared" si="2"/>
        <v>0</v>
      </c>
      <c r="H88" s="885"/>
      <c r="I88" s="1479"/>
      <c r="J88" s="1472"/>
    </row>
    <row r="89" spans="2:12">
      <c r="B89" s="1484" t="s">
        <v>26</v>
      </c>
      <c r="C89" s="1471" t="s">
        <v>7</v>
      </c>
      <c r="D89" s="885">
        <f t="shared" si="2"/>
        <v>1184.3407062964793</v>
      </c>
      <c r="E89" s="885">
        <f t="shared" si="2"/>
        <v>977.87077258034549</v>
      </c>
      <c r="F89" s="885">
        <f t="shared" si="2"/>
        <v>803.74308370203562</v>
      </c>
      <c r="G89" s="885">
        <f t="shared" si="2"/>
        <v>803.74308370203562</v>
      </c>
      <c r="H89" s="885"/>
      <c r="I89" s="1479"/>
      <c r="J89" s="1472"/>
    </row>
    <row r="90" spans="2:12">
      <c r="B90" s="1484" t="s">
        <v>167</v>
      </c>
      <c r="C90" s="1471" t="s">
        <v>7</v>
      </c>
      <c r="D90" s="885">
        <f t="shared" si="2"/>
        <v>3072.8867150339329</v>
      </c>
      <c r="E90" s="885">
        <f t="shared" si="2"/>
        <v>2518.3643956932337</v>
      </c>
      <c r="F90" s="885">
        <f t="shared" si="2"/>
        <v>2048.1060050950978</v>
      </c>
      <c r="G90" s="885">
        <f t="shared" si="2"/>
        <v>2048.1060050950978</v>
      </c>
      <c r="H90" s="885"/>
      <c r="I90" s="1479"/>
      <c r="J90" s="1472"/>
    </row>
    <row r="91" spans="2:12">
      <c r="B91" s="1484" t="s">
        <v>45</v>
      </c>
      <c r="C91" s="1471" t="s">
        <v>7</v>
      </c>
      <c r="D91" s="885">
        <f t="shared" si="2"/>
        <v>605.29035227631994</v>
      </c>
      <c r="E91" s="885">
        <f t="shared" si="2"/>
        <v>498.81806813713126</v>
      </c>
      <c r="F91" s="885">
        <f t="shared" si="2"/>
        <v>408.89280408478106</v>
      </c>
      <c r="G91" s="885">
        <f t="shared" si="2"/>
        <v>408.89280408478106</v>
      </c>
      <c r="H91" s="885"/>
      <c r="I91" s="1479"/>
      <c r="J91" s="1472"/>
    </row>
    <row r="92" spans="2:12" ht="13.5" thickBot="1">
      <c r="B92" s="1521"/>
      <c r="C92" s="1501"/>
      <c r="D92" s="1501"/>
      <c r="E92" s="1501"/>
      <c r="F92" s="1501"/>
      <c r="G92" s="1501"/>
      <c r="H92" s="1501"/>
      <c r="I92" s="1501"/>
      <c r="J92" s="1503"/>
    </row>
    <row r="93" spans="2:12" ht="13.5" thickBot="1"/>
    <row r="94" spans="2:12">
      <c r="B94" s="1455" t="s">
        <v>1660</v>
      </c>
      <c r="C94" s="1449" t="s">
        <v>1661</v>
      </c>
      <c r="D94" s="1218">
        <v>12.13</v>
      </c>
      <c r="E94" s="1218">
        <v>10.022820609842743</v>
      </c>
      <c r="F94" s="1218">
        <v>8.2507263305702399</v>
      </c>
      <c r="G94" s="1218">
        <v>8.2507263305702399</v>
      </c>
      <c r="H94" s="1218"/>
      <c r="I94" s="1219" t="str">
        <f>CONCATENATE(Referencer!$B$38)</f>
        <v>32, SHIP-DESMO-Container Ship - 1 January 2014.xls - https://www.shipowners.dk/services/beregningsvaerktoejer/</v>
      </c>
      <c r="J94" s="1450" t="s">
        <v>1786</v>
      </c>
    </row>
    <row r="95" spans="2:12">
      <c r="B95" s="1484"/>
      <c r="C95" s="1471"/>
      <c r="D95" s="1471"/>
      <c r="E95" s="1471"/>
      <c r="F95" s="1471"/>
      <c r="G95" s="1471"/>
      <c r="H95" s="1471"/>
      <c r="I95" s="1471"/>
      <c r="J95" s="1472"/>
    </row>
    <row r="96" spans="2:12">
      <c r="B96" s="1484" t="s">
        <v>24</v>
      </c>
      <c r="C96" s="1471" t="s">
        <v>1658</v>
      </c>
      <c r="D96" s="885"/>
      <c r="E96" s="885"/>
      <c r="F96" s="885"/>
      <c r="G96" s="885"/>
      <c r="H96" s="885"/>
      <c r="I96" s="1471"/>
      <c r="J96" s="1472"/>
    </row>
    <row r="97" spans="2:10">
      <c r="B97" s="1484" t="s">
        <v>27</v>
      </c>
      <c r="C97" s="1471" t="s">
        <v>1658</v>
      </c>
      <c r="D97" s="1220"/>
      <c r="E97" s="1220"/>
      <c r="F97" s="1220"/>
      <c r="G97" s="1220"/>
      <c r="H97" s="1220"/>
      <c r="I97" s="1479"/>
      <c r="J97" s="1472" t="s">
        <v>1659</v>
      </c>
    </row>
    <row r="98" spans="2:10">
      <c r="B98" s="1484" t="s">
        <v>28</v>
      </c>
      <c r="C98" s="1471" t="s">
        <v>1658</v>
      </c>
      <c r="D98" s="1220"/>
      <c r="E98" s="1220"/>
      <c r="F98" s="1220"/>
      <c r="G98" s="1220"/>
      <c r="H98" s="1220"/>
      <c r="I98" s="1479"/>
      <c r="J98" s="1472"/>
    </row>
    <row r="99" spans="2:10">
      <c r="B99" s="1484" t="s">
        <v>26</v>
      </c>
      <c r="C99" s="1471" t="s">
        <v>1658</v>
      </c>
      <c r="D99" s="1220">
        <f>21.9339898806108/10</f>
        <v>2.1933989880610798</v>
      </c>
      <c r="E99" s="1220">
        <f>18.110166708188/10</f>
        <v>1.8110166708188</v>
      </c>
      <c r="F99" s="1220">
        <f>14.8853219101617/10</f>
        <v>1.48853219101617</v>
      </c>
      <c r="G99" s="1220">
        <f>14.8853219101617/10</f>
        <v>1.48853219101617</v>
      </c>
      <c r="H99" s="1220"/>
      <c r="I99" s="1479" t="str">
        <f>CONCATENATE(Referencer!$B$76)</f>
        <v>72, Fast Ferry International, http://www.fastferryinfo.com/</v>
      </c>
      <c r="J99" s="1472" t="s">
        <v>2627</v>
      </c>
    </row>
    <row r="100" spans="2:10">
      <c r="B100" s="1484" t="s">
        <v>167</v>
      </c>
      <c r="C100" s="1471" t="s">
        <v>1658</v>
      </c>
      <c r="D100" s="1220">
        <v>5.6909861962428439</v>
      </c>
      <c r="E100" s="1220">
        <v>4.6640108608238693</v>
      </c>
      <c r="F100" s="1220">
        <v>3.7930923214361218</v>
      </c>
      <c r="G100" s="1220">
        <v>3.7930923214361218</v>
      </c>
      <c r="H100" s="1220"/>
      <c r="I100" s="1479" t="str">
        <f>CONCATENATE(Referencer!$B$38)</f>
        <v>32, SHIP-DESMO-Container Ship - 1 January 2014.xls - https://www.shipowners.dk/services/beregningsvaerktoejer/</v>
      </c>
      <c r="J100" s="1472" t="s">
        <v>1592</v>
      </c>
    </row>
    <row r="101" spans="2:10">
      <c r="B101" s="1484" t="s">
        <v>45</v>
      </c>
      <c r="C101" s="1471" t="s">
        <v>1658</v>
      </c>
      <c r="D101" s="1220">
        <f>3.07153378681914/2.74</f>
        <v>1.1209977324157445</v>
      </c>
      <c r="E101" s="1220">
        <f>2.53124231040051/2.74</f>
        <v>0.92381106218996711</v>
      </c>
      <c r="F101" s="1220">
        <f>2.07491835647214/2.74</f>
        <v>0.75726947316501458</v>
      </c>
      <c r="G101" s="1220">
        <f>2.07491835647214/2.74</f>
        <v>0.75726947316501458</v>
      </c>
      <c r="H101" s="1220"/>
      <c r="I101" s="1479" t="str">
        <f>CONCATENATE(Referencer!$B$76)</f>
        <v>72, Fast Ferry International, http://www.fastferryinfo.com/</v>
      </c>
      <c r="J101" s="1472" t="s">
        <v>2626</v>
      </c>
    </row>
    <row r="102" spans="2:10" ht="13.5" thickBot="1">
      <c r="B102" s="1521"/>
      <c r="C102" s="1501"/>
      <c r="D102" s="1501"/>
      <c r="E102" s="1501"/>
      <c r="F102" s="1501"/>
      <c r="G102" s="1501"/>
      <c r="H102" s="1501"/>
      <c r="I102" s="1501"/>
      <c r="J102" s="1503"/>
    </row>
    <row r="103" spans="2:10">
      <c r="H103" s="1535"/>
    </row>
    <row r="104" spans="2:10">
      <c r="D104" s="334"/>
      <c r="E104" s="334"/>
      <c r="F104" s="334"/>
      <c r="G104" s="334"/>
      <c r="H104" s="1535"/>
    </row>
    <row r="105" spans="2:10">
      <c r="D105" s="334"/>
      <c r="E105" s="334"/>
      <c r="F105" s="334"/>
      <c r="G105" s="334"/>
      <c r="H105" s="1535"/>
    </row>
    <row r="106" spans="2:10">
      <c r="D106" s="334"/>
      <c r="E106" s="334"/>
      <c r="F106" s="334"/>
      <c r="G106" s="334"/>
    </row>
    <row r="108" spans="2:10">
      <c r="H108" s="940"/>
      <c r="I108" s="940"/>
      <c r="J108" s="940"/>
    </row>
  </sheetData>
  <pageMargins left="0.15748031496062992" right="0.15748031496062992" top="1.25" bottom="0.19685039370078741" header="0.51181102362204722" footer="0.51181102362204722"/>
  <pageSetup paperSize="9" scale="60" orientation="landscape" r:id="rId1"/>
  <headerFooter alignWithMargins="0">
    <oddHeader>&amp;L&amp;"Arial"&amp;14&amp;BBeregningsmodel
&amp;"Arial"&amp;08&amp;B64329, Teknologivurdering af alternative drivmidler til transportsektoren&amp;R&amp;"Arial"&amp;08Page &amp;P of &amp;N</oddHeader>
    <oddFooter>&amp;L&amp;"Arial"&amp;08&amp;Z&amp;F
Sheet: &amp;A&amp;C&amp;"Arial"&amp;08Printed &amp;D &amp;T&amp;R&amp;G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490945" r:id="rId5" name="Button 1">
              <controlPr defaultSize="0" print="0" autoFill="0" autoPict="0">
                <anchor>
                  <from>
                    <xdr:col>14</xdr:col>
                    <xdr:colOff>438150</xdr:colOff>
                    <xdr:row>0</xdr:row>
                    <xdr:rowOff>38100</xdr:rowOff>
                  </from>
                  <to>
                    <xdr:col>14</xdr:col>
                    <xdr:colOff>1504950</xdr:colOff>
                    <xdr:row>0</xdr:row>
                    <xdr:rowOff>238125</xdr:rowOff>
                  </to>
                </anchor>
              </controlPr>
            </control>
          </mc:Choice>
        </mc:AlternateContent>
        <mc:AlternateContent xmlns:mc="http://schemas.openxmlformats.org/markup-compatibility/2006">
          <mc:Choice Requires="x14">
            <control shapeId="1490946" r:id="rId6" name="Button 2">
              <controlPr defaultSize="0" print="0" autoFill="0" autoPict="0">
                <anchor>
                  <from>
                    <xdr:col>16</xdr:col>
                    <xdr:colOff>485775</xdr:colOff>
                    <xdr:row>0</xdr:row>
                    <xdr:rowOff>38100</xdr:rowOff>
                  </from>
                  <to>
                    <xdr:col>18</xdr:col>
                    <xdr:colOff>171450</xdr:colOff>
                    <xdr:row>0</xdr:row>
                    <xdr:rowOff>238125</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rgb="FF002060"/>
    <pageSetUpPr fitToPage="1"/>
  </sheetPr>
  <dimension ref="B1:S106"/>
  <sheetViews>
    <sheetView topLeftCell="A73" zoomScale="80" zoomScaleNormal="80" workbookViewId="0">
      <selection activeCell="D85" sqref="D85"/>
    </sheetView>
  </sheetViews>
  <sheetFormatPr defaultColWidth="8.85546875" defaultRowHeight="12.75"/>
  <cols>
    <col min="1" max="1" width="2.85546875" style="1447" customWidth="1"/>
    <col min="2" max="2" width="35" style="1447" customWidth="1"/>
    <col min="3" max="3" width="18" style="1447" customWidth="1"/>
    <col min="4" max="4" width="13.42578125" style="1447" customWidth="1"/>
    <col min="5" max="8" width="15.85546875" style="1447" customWidth="1"/>
    <col min="9" max="9" width="7.140625" style="1447" customWidth="1"/>
    <col min="10" max="10" width="37.42578125" style="1447" customWidth="1"/>
    <col min="11" max="14" width="8.85546875" style="1447"/>
    <col min="15" max="15" width="37.85546875" style="1447" customWidth="1"/>
    <col min="16" max="16" width="13.85546875" style="1447" bestFit="1" customWidth="1"/>
    <col min="17" max="17" width="8.85546875" style="1447"/>
    <col min="18" max="19" width="12" style="1447" customWidth="1"/>
    <col min="20" max="16384" width="8.85546875" style="1447"/>
  </cols>
  <sheetData>
    <row r="1" spans="2:19" s="2403" customFormat="1" ht="21">
      <c r="B1" s="2403" t="s">
        <v>1575</v>
      </c>
      <c r="Q1" s="2403">
        <f ca="1">'Log2015'!M1</f>
        <v>-8.0112614142160741</v>
      </c>
      <c r="R1" s="2405">
        <f ca="1">'Log2015'!N1</f>
        <v>-160807.124977848</v>
      </c>
      <c r="S1" s="2406"/>
    </row>
    <row r="2" spans="2:19">
      <c r="R2" s="622">
        <f ca="1">R1</f>
        <v>-160807.124977848</v>
      </c>
      <c r="S2" s="622">
        <f>S1</f>
        <v>0</v>
      </c>
    </row>
    <row r="4" spans="2:19" ht="13.5" thickBot="1">
      <c r="B4" s="1446" t="s">
        <v>81</v>
      </c>
    </row>
    <row r="5" spans="2:19">
      <c r="B5" s="1448" t="s">
        <v>137</v>
      </c>
      <c r="C5" s="1449"/>
      <c r="D5" s="1449"/>
      <c r="E5" s="1449"/>
      <c r="F5" s="1449"/>
      <c r="G5" s="1449"/>
      <c r="H5" s="1449"/>
      <c r="I5" s="1449"/>
      <c r="J5" s="1449"/>
      <c r="K5" s="1449"/>
      <c r="L5" s="1449"/>
      <c r="M5" s="1449"/>
      <c r="N5" s="1450"/>
    </row>
    <row r="6" spans="2:19">
      <c r="B6" s="1476" t="s">
        <v>1576</v>
      </c>
      <c r="C6" s="1471"/>
      <c r="D6" s="1471"/>
      <c r="E6" s="1471"/>
      <c r="F6" s="1471"/>
      <c r="G6" s="1471"/>
      <c r="H6" s="1471"/>
      <c r="I6" s="1471"/>
      <c r="J6" s="1471"/>
      <c r="K6" s="1471"/>
      <c r="L6" s="1471"/>
      <c r="M6" s="1471"/>
      <c r="N6" s="1472"/>
    </row>
    <row r="7" spans="2:19">
      <c r="B7" s="1476" t="s">
        <v>2681</v>
      </c>
      <c r="C7" s="1471"/>
      <c r="D7" s="1471"/>
      <c r="E7" s="1471"/>
      <c r="F7" s="1471"/>
      <c r="G7" s="1471"/>
      <c r="H7" s="1471"/>
      <c r="I7" s="1471"/>
      <c r="J7" s="1471"/>
      <c r="K7" s="1471"/>
      <c r="L7" s="1471"/>
      <c r="M7" s="1471"/>
      <c r="N7" s="1472"/>
    </row>
    <row r="8" spans="2:19">
      <c r="B8" s="1468"/>
      <c r="C8" s="1471"/>
      <c r="D8" s="1471"/>
      <c r="E8" s="1471"/>
      <c r="F8" s="1471"/>
      <c r="G8" s="1471"/>
      <c r="H8" s="1471"/>
      <c r="I8" s="1471"/>
      <c r="J8" s="1471"/>
      <c r="K8" s="1471"/>
      <c r="L8" s="1471"/>
      <c r="M8" s="1471"/>
      <c r="N8" s="1472"/>
    </row>
    <row r="9" spans="2:19">
      <c r="B9" s="1468"/>
      <c r="C9" s="1471"/>
      <c r="D9" s="1471"/>
      <c r="E9" s="1471"/>
      <c r="F9" s="1471"/>
      <c r="G9" s="1471"/>
      <c r="H9" s="1471"/>
      <c r="I9" s="1471"/>
      <c r="J9" s="1471"/>
      <c r="K9" s="1471"/>
      <c r="L9" s="1471"/>
      <c r="M9" s="1471"/>
      <c r="N9" s="1472"/>
    </row>
    <row r="10" spans="2:19">
      <c r="B10" s="1468"/>
      <c r="C10" s="1471"/>
      <c r="D10" s="1471"/>
      <c r="E10" s="1471"/>
      <c r="F10" s="1471"/>
      <c r="G10" s="1471"/>
      <c r="H10" s="1471"/>
      <c r="I10" s="1471"/>
      <c r="J10" s="1471"/>
      <c r="K10" s="1471"/>
      <c r="L10" s="1471"/>
      <c r="M10" s="1471"/>
      <c r="N10" s="1472"/>
    </row>
    <row r="11" spans="2:19">
      <c r="B11" s="1556" t="s">
        <v>256</v>
      </c>
      <c r="C11" s="1471"/>
      <c r="D11" s="1471"/>
      <c r="E11" s="1471"/>
      <c r="F11" s="1471"/>
      <c r="G11" s="1471"/>
      <c r="H11" s="1471"/>
      <c r="I11" s="1471"/>
      <c r="J11" s="1471"/>
      <c r="K11" s="1471"/>
      <c r="L11" s="1471"/>
      <c r="M11" s="1471"/>
      <c r="N11" s="1472"/>
    </row>
    <row r="12" spans="2:19">
      <c r="B12" s="1468"/>
      <c r="C12" s="1471"/>
      <c r="D12" s="1471"/>
      <c r="E12" s="1471"/>
      <c r="F12" s="1471"/>
      <c r="G12" s="1471"/>
      <c r="H12" s="1471"/>
      <c r="I12" s="1471"/>
      <c r="J12" s="1471"/>
      <c r="K12" s="1471"/>
      <c r="L12" s="1471"/>
      <c r="M12" s="1471"/>
      <c r="N12" s="1472"/>
    </row>
    <row r="13" spans="2:19">
      <c r="B13" s="1468"/>
      <c r="C13" s="1471"/>
      <c r="D13" s="1471"/>
      <c r="E13" s="1471"/>
      <c r="F13" s="1471"/>
      <c r="G13" s="1471"/>
      <c r="H13" s="1471"/>
      <c r="I13" s="1471"/>
      <c r="J13" s="1471"/>
      <c r="K13" s="1471"/>
      <c r="L13" s="1471"/>
      <c r="M13" s="1471"/>
      <c r="N13" s="1472"/>
    </row>
    <row r="14" spans="2:19">
      <c r="B14" s="1556" t="s">
        <v>143</v>
      </c>
      <c r="C14" s="1471"/>
      <c r="D14" s="1471"/>
      <c r="E14" s="1471"/>
      <c r="F14" s="1471"/>
      <c r="G14" s="1471"/>
      <c r="H14" s="1471"/>
      <c r="I14" s="1471"/>
      <c r="J14" s="1471"/>
      <c r="K14" s="1471"/>
      <c r="L14" s="1471"/>
      <c r="M14" s="1471"/>
      <c r="N14" s="1472"/>
    </row>
    <row r="15" spans="2:19">
      <c r="B15" s="1468"/>
      <c r="C15" s="1471"/>
      <c r="D15" s="1471"/>
      <c r="E15" s="1471"/>
      <c r="F15" s="1471"/>
      <c r="G15" s="1471"/>
      <c r="H15" s="1471"/>
      <c r="I15" s="1471"/>
      <c r="J15" s="1471"/>
      <c r="K15" s="1471"/>
      <c r="L15" s="1471"/>
      <c r="M15" s="1471"/>
      <c r="N15" s="1472"/>
    </row>
    <row r="16" spans="2:19">
      <c r="B16" s="1468"/>
      <c r="C16" s="1471"/>
      <c r="D16" s="1471"/>
      <c r="E16" s="1471"/>
      <c r="F16" s="1471"/>
      <c r="G16" s="1471"/>
      <c r="H16" s="1471"/>
      <c r="I16" s="1471"/>
      <c r="J16" s="1471"/>
      <c r="K16" s="1471"/>
      <c r="L16" s="1471"/>
      <c r="M16" s="1471"/>
      <c r="N16" s="1472"/>
    </row>
    <row r="17" spans="2:14" ht="13.5" thickBot="1">
      <c r="B17" s="1521"/>
      <c r="C17" s="1501"/>
      <c r="D17" s="1501"/>
      <c r="E17" s="1501"/>
      <c r="F17" s="1501"/>
      <c r="G17" s="1501"/>
      <c r="H17" s="1501"/>
      <c r="I17" s="1501"/>
      <c r="J17" s="1501"/>
      <c r="K17" s="1501"/>
      <c r="L17" s="1501"/>
      <c r="M17" s="1501"/>
      <c r="N17" s="1503"/>
    </row>
    <row r="19" spans="2:14" ht="13.5" thickBot="1">
      <c r="B19" s="1446" t="s">
        <v>144</v>
      </c>
      <c r="E19" s="142"/>
    </row>
    <row r="20" spans="2:14">
      <c r="B20" s="1455"/>
      <c r="C20" s="1456"/>
      <c r="D20" s="1557"/>
      <c r="E20" s="1449"/>
      <c r="F20" s="1449"/>
      <c r="G20" s="1449"/>
      <c r="H20" s="1449"/>
      <c r="I20" s="1449" t="s">
        <v>145</v>
      </c>
      <c r="J20" s="1450" t="s">
        <v>146</v>
      </c>
    </row>
    <row r="21" spans="2:14">
      <c r="B21" s="1460"/>
      <c r="C21" s="1461" t="s">
        <v>70</v>
      </c>
      <c r="D21" s="1506">
        <v>2015</v>
      </c>
      <c r="E21" s="1507">
        <v>2020</v>
      </c>
      <c r="F21" s="1507">
        <v>2035</v>
      </c>
      <c r="G21" s="1507"/>
      <c r="H21" s="1507" t="s">
        <v>978</v>
      </c>
      <c r="I21" s="1464"/>
      <c r="J21" s="1465"/>
    </row>
    <row r="22" spans="2:14">
      <c r="B22" s="1468" t="s">
        <v>257</v>
      </c>
      <c r="C22" s="1469"/>
      <c r="D22" s="153"/>
      <c r="E22" s="1470"/>
      <c r="F22" s="1470"/>
      <c r="G22" s="1470"/>
      <c r="H22" s="1470"/>
      <c r="I22" s="1471"/>
      <c r="J22" s="1472"/>
    </row>
    <row r="23" spans="2:14">
      <c r="B23" s="122" t="s">
        <v>848</v>
      </c>
      <c r="C23" s="1469" t="s">
        <v>1645</v>
      </c>
      <c r="D23" s="1209">
        <f>D85</f>
        <v>0.45329203339251323</v>
      </c>
      <c r="E23" s="281">
        <f>E85</f>
        <v>0.45329203339251323</v>
      </c>
      <c r="F23" s="281">
        <f>F85</f>
        <v>0.45329203339251323</v>
      </c>
      <c r="G23" s="281">
        <f>G85</f>
        <v>0.45329203339251323</v>
      </c>
      <c r="H23" s="281"/>
      <c r="I23" s="1474"/>
      <c r="J23" s="1475"/>
    </row>
    <row r="24" spans="2:14">
      <c r="B24" s="122" t="s">
        <v>849</v>
      </c>
      <c r="C24" s="1469" t="s">
        <v>1645</v>
      </c>
      <c r="D24" s="416">
        <f>D23</f>
        <v>0.45329203339251323</v>
      </c>
      <c r="E24" s="417">
        <f>E23</f>
        <v>0.45329203339251323</v>
      </c>
      <c r="F24" s="417">
        <f>F23</f>
        <v>0.45329203339251323</v>
      </c>
      <c r="G24" s="417">
        <f>G23</f>
        <v>0.45329203339251323</v>
      </c>
      <c r="H24" s="417"/>
      <c r="I24" s="1474"/>
      <c r="J24" s="1475"/>
    </row>
    <row r="25" spans="2:14">
      <c r="B25" s="122" t="s">
        <v>1640</v>
      </c>
      <c r="C25" s="1469" t="s">
        <v>1024</v>
      </c>
      <c r="D25" s="416">
        <f>D88</f>
        <v>6857.4514038876878</v>
      </c>
      <c r="E25" s="417">
        <f>E88</f>
        <v>5656.1860408671937</v>
      </c>
      <c r="F25" s="417">
        <f>F88</f>
        <v>4644.5644242996386</v>
      </c>
      <c r="G25" s="417">
        <f>G88</f>
        <v>4644.5644242996386</v>
      </c>
      <c r="H25" s="417"/>
      <c r="I25" s="1474"/>
      <c r="J25" s="1475"/>
    </row>
    <row r="26" spans="2:14">
      <c r="B26" s="122" t="s">
        <v>1641</v>
      </c>
      <c r="C26" s="1469" t="s">
        <v>1024</v>
      </c>
      <c r="D26" s="416"/>
      <c r="E26" s="417"/>
      <c r="F26" s="417"/>
      <c r="G26" s="417"/>
      <c r="H26" s="417"/>
      <c r="I26" s="1474"/>
      <c r="J26" s="1475"/>
    </row>
    <row r="27" spans="2:14">
      <c r="B27" s="1476" t="s">
        <v>98</v>
      </c>
      <c r="C27" s="1469" t="s">
        <v>259</v>
      </c>
      <c r="D27" s="1477">
        <v>20</v>
      </c>
      <c r="E27" s="1478">
        <v>20</v>
      </c>
      <c r="F27" s="1478">
        <v>20</v>
      </c>
      <c r="G27" s="1210">
        <v>20</v>
      </c>
      <c r="H27" s="1210"/>
      <c r="I27" s="1479"/>
      <c r="J27" s="1472"/>
    </row>
    <row r="28" spans="2:14">
      <c r="B28" s="1476" t="s">
        <v>260</v>
      </c>
      <c r="C28" s="1469" t="s">
        <v>261</v>
      </c>
      <c r="D28" s="1560"/>
      <c r="E28" s="1561"/>
      <c r="F28" s="1561"/>
      <c r="G28" s="1561"/>
      <c r="H28" s="1561"/>
      <c r="I28" s="1474"/>
      <c r="J28" s="1472"/>
    </row>
    <row r="29" spans="2:14">
      <c r="B29" s="1484"/>
      <c r="C29" s="1485"/>
      <c r="D29" s="1562"/>
      <c r="E29" s="1486"/>
      <c r="F29" s="1486"/>
      <c r="G29" s="1486"/>
      <c r="H29" s="1486"/>
      <c r="I29" s="1471"/>
      <c r="J29" s="1472"/>
    </row>
    <row r="30" spans="2:14">
      <c r="B30" s="1468" t="s">
        <v>33</v>
      </c>
      <c r="C30" s="1469"/>
      <c r="D30" s="1562"/>
      <c r="E30" s="1486"/>
      <c r="F30" s="1486"/>
      <c r="G30" s="1486"/>
      <c r="H30" s="1486"/>
      <c r="I30" s="1471"/>
      <c r="J30" s="1472"/>
    </row>
    <row r="31" spans="2:14">
      <c r="B31" s="1476" t="s">
        <v>157</v>
      </c>
      <c r="C31" s="1469" t="s">
        <v>61</v>
      </c>
      <c r="D31" s="992">
        <f>HLOOKUP($H38,Supplementary!$C$44:$AF$46,3,FALSE)*D38</f>
        <v>537993819.61092901</v>
      </c>
      <c r="E31" s="992">
        <f>HLOOKUP($H38,Supplementary!$C$44:$AF$46,3,FALSE)*E38</f>
        <v>537993819.61092901</v>
      </c>
      <c r="F31" s="992">
        <f>HLOOKUP($H38,Supplementary!$C$44:$AF$46,3,FALSE)*F38</f>
        <v>537993819.61092901</v>
      </c>
      <c r="G31" s="992">
        <f>HLOOKUP($H38,Supplementary!$C$44:$AF$46,3,FALSE)*G38</f>
        <v>537993819.61092901</v>
      </c>
      <c r="H31" s="1486">
        <v>2011</v>
      </c>
      <c r="I31" s="555"/>
      <c r="J31" s="1472"/>
    </row>
    <row r="32" spans="2:14">
      <c r="B32" s="1484" t="s">
        <v>262</v>
      </c>
      <c r="C32" s="1469" t="s">
        <v>263</v>
      </c>
      <c r="D32" s="992">
        <f>HLOOKUP($H39,Supplementary!$C$44:$AF$46,3,FALSE)*D39</f>
        <v>114.26693986814706</v>
      </c>
      <c r="E32" s="992">
        <f>HLOOKUP($H39,Supplementary!$C$44:$AF$46,3,FALSE)*E39</f>
        <v>152.38854940604148</v>
      </c>
      <c r="F32" s="992">
        <f>HLOOKUP($H39,Supplementary!$C$44:$AF$46,3,FALSE)*F39</f>
        <v>206.19993303448726</v>
      </c>
      <c r="G32" s="992">
        <f>HLOOKUP($H39,Supplementary!$C$44:$AF$46,3,FALSE)*G39</f>
        <v>206.19993303448726</v>
      </c>
      <c r="H32" s="1486">
        <v>2011</v>
      </c>
      <c r="I32" s="555"/>
      <c r="J32" s="1472"/>
    </row>
    <row r="33" spans="2:11">
      <c r="B33" s="1492" t="s">
        <v>162</v>
      </c>
      <c r="C33" s="1469" t="s">
        <v>263</v>
      </c>
      <c r="D33" s="992">
        <f>HLOOKUP($H40,Supplementary!$C$44:$AF$46,3,FALSE)*D40</f>
        <v>78.827830357779789</v>
      </c>
      <c r="E33" s="992">
        <f>HLOOKUP($H40,Supplementary!$C$44:$AF$46,3,FALSE)*E40</f>
        <v>105.12628355068222</v>
      </c>
      <c r="F33" s="992">
        <f>HLOOKUP($H40,Supplementary!$C$44:$AF$46,3,FALSE)*F40</f>
        <v>142.24843475973006</v>
      </c>
      <c r="G33" s="992">
        <f>HLOOKUP($H40,Supplementary!$C$44:$AF$46,3,FALSE)*G40</f>
        <v>142.24843475973006</v>
      </c>
      <c r="H33" s="1486">
        <v>2011</v>
      </c>
      <c r="I33" s="555"/>
      <c r="J33" s="1472"/>
    </row>
    <row r="34" spans="2:11">
      <c r="B34" s="1492" t="s">
        <v>163</v>
      </c>
      <c r="C34" s="1469" t="s">
        <v>263</v>
      </c>
      <c r="D34" s="992">
        <f>HLOOKUP($H41,Supplementary!$C$44:$AF$46,3,FALSE)*D41</f>
        <v>34.066580499603027</v>
      </c>
      <c r="E34" s="992">
        <f>HLOOKUP($H41,Supplementary!$C$44:$AF$46,3,FALSE)*E41</f>
        <v>45.431835240787635</v>
      </c>
      <c r="F34" s="992">
        <f>HLOOKUP($H41,Supplementary!$C$44:$AF$46,3,FALSE)*F41</f>
        <v>61.474706733528834</v>
      </c>
      <c r="G34" s="992">
        <f>HLOOKUP($H41,Supplementary!$C$44:$AF$46,3,FALSE)*G41</f>
        <v>61.474706733528834</v>
      </c>
      <c r="H34" s="1486">
        <v>2011</v>
      </c>
      <c r="I34" s="555"/>
      <c r="J34" s="1472"/>
    </row>
    <row r="35" spans="2:11">
      <c r="B35" s="1492"/>
      <c r="C35" s="1469"/>
      <c r="D35" s="992"/>
      <c r="E35" s="992"/>
      <c r="F35" s="992"/>
      <c r="G35" s="992"/>
      <c r="H35" s="1486"/>
      <c r="I35" s="555"/>
      <c r="J35" s="1472"/>
    </row>
    <row r="36" spans="2:11">
      <c r="B36" s="1492" t="s">
        <v>264</v>
      </c>
      <c r="C36" s="1469" t="s">
        <v>263</v>
      </c>
      <c r="D36" s="992">
        <f>HLOOKUP($H43,Supplementary!$C$44:$AF$46,3,FALSE)*D43</f>
        <v>0</v>
      </c>
      <c r="E36" s="992">
        <f>HLOOKUP($H43,Supplementary!$C$44:$AF$46,3,FALSE)*E43</f>
        <v>0</v>
      </c>
      <c r="F36" s="992">
        <f>HLOOKUP($H43,Supplementary!$C$44:$AF$46,3,FALSE)*F43</f>
        <v>0</v>
      </c>
      <c r="G36" s="992">
        <f>HLOOKUP($H43,Supplementary!$C$44:$AF$46,3,FALSE)*G43</f>
        <v>0</v>
      </c>
      <c r="H36" s="1486">
        <v>2011</v>
      </c>
      <c r="I36" s="555"/>
      <c r="J36" s="1472"/>
    </row>
    <row r="37" spans="2:11">
      <c r="B37" s="1468"/>
      <c r="C37" s="1469"/>
      <c r="D37" s="1562"/>
      <c r="E37" s="1486"/>
      <c r="F37" s="1486"/>
      <c r="G37" s="1486"/>
      <c r="H37" s="1486"/>
      <c r="I37" s="555"/>
      <c r="J37" s="1472"/>
    </row>
    <row r="38" spans="2:11">
      <c r="B38" s="1476" t="s">
        <v>157</v>
      </c>
      <c r="C38" s="1469" t="s">
        <v>61</v>
      </c>
      <c r="D38" s="1563">
        <v>518074999.99999988</v>
      </c>
      <c r="E38" s="1564">
        <v>518074999.99999988</v>
      </c>
      <c r="F38" s="1564">
        <v>518074999.99999988</v>
      </c>
      <c r="G38" s="1564">
        <v>518074999.99999988</v>
      </c>
      <c r="H38" s="1675">
        <v>2013</v>
      </c>
      <c r="I38" s="1474"/>
      <c r="J38" s="1472"/>
    </row>
    <row r="39" spans="2:11">
      <c r="B39" s="1484" t="s">
        <v>262</v>
      </c>
      <c r="C39" s="1469" t="s">
        <v>263</v>
      </c>
      <c r="D39" s="1235">
        <f>SUM(D40:D43)</f>
        <v>107.91285750333456</v>
      </c>
      <c r="E39" s="1236">
        <f>SUM(E40:E43)</f>
        <v>143.91462514152894</v>
      </c>
      <c r="F39" s="1236">
        <f>SUM(F40:F43)</f>
        <v>194.73370002228086</v>
      </c>
      <c r="G39" s="1236">
        <f>SUM(G40:G43)</f>
        <v>194.73370002228086</v>
      </c>
      <c r="H39" s="1676">
        <v>2012</v>
      </c>
      <c r="I39" s="1474"/>
      <c r="J39" s="1472"/>
    </row>
    <row r="40" spans="2:11">
      <c r="B40" s="1492" t="s">
        <v>162</v>
      </c>
      <c r="C40" s="1469" t="s">
        <v>263</v>
      </c>
      <c r="D40" s="1565">
        <v>75.909288776106862</v>
      </c>
      <c r="E40" s="1566">
        <v>101.23406136878471</v>
      </c>
      <c r="F40" s="1566">
        <v>136.98179263740013</v>
      </c>
      <c r="G40" s="1566">
        <v>136.98179263740013</v>
      </c>
      <c r="H40" s="407">
        <v>2013</v>
      </c>
      <c r="I40" s="1474"/>
      <c r="J40" s="1472"/>
    </row>
    <row r="41" spans="2:11">
      <c r="B41" s="1492" t="s">
        <v>163</v>
      </c>
      <c r="C41" s="1469" t="s">
        <v>263</v>
      </c>
      <c r="D41" s="1235">
        <v>32.003568727227702</v>
      </c>
      <c r="E41" s="1236">
        <v>42.680563772744243</v>
      </c>
      <c r="F41" s="1236">
        <v>57.751907384880717</v>
      </c>
      <c r="G41" s="1236">
        <v>57.751907384880717</v>
      </c>
      <c r="H41" s="1676">
        <v>2011</v>
      </c>
      <c r="I41" s="1479"/>
      <c r="J41" s="1472"/>
      <c r="K41" s="164"/>
    </row>
    <row r="42" spans="2:11">
      <c r="B42" s="1492"/>
      <c r="C42" s="1469"/>
      <c r="D42" s="1562"/>
      <c r="E42" s="1486"/>
      <c r="F42" s="1486"/>
      <c r="G42" s="1486"/>
      <c r="H42" s="1677"/>
      <c r="I42" s="1474"/>
      <c r="J42" s="1472"/>
    </row>
    <row r="43" spans="2:11">
      <c r="B43" s="1492" t="s">
        <v>264</v>
      </c>
      <c r="C43" s="1469" t="s">
        <v>263</v>
      </c>
      <c r="D43" s="1477"/>
      <c r="E43" s="1478"/>
      <c r="F43" s="1478"/>
      <c r="G43" s="1210"/>
      <c r="H43" s="1675">
        <v>2011</v>
      </c>
      <c r="I43" s="1474"/>
      <c r="J43" s="1472"/>
    </row>
    <row r="44" spans="2:11">
      <c r="B44" s="1492"/>
      <c r="C44" s="1469"/>
      <c r="D44" s="1562"/>
      <c r="E44" s="1486"/>
      <c r="F44" s="1486"/>
      <c r="G44" s="1486"/>
      <c r="H44" s="1486"/>
      <c r="I44" s="1474"/>
      <c r="J44" s="1472"/>
    </row>
    <row r="45" spans="2:11">
      <c r="B45" s="1468" t="s">
        <v>166</v>
      </c>
      <c r="C45" s="1469"/>
      <c r="D45" s="1562"/>
      <c r="E45" s="1486"/>
      <c r="F45" s="1486"/>
      <c r="G45" s="1486"/>
      <c r="H45" s="1486"/>
      <c r="I45" s="1474"/>
      <c r="J45" s="1472"/>
    </row>
    <row r="46" spans="2:11">
      <c r="B46" s="418" t="s">
        <v>0</v>
      </c>
      <c r="C46" s="1469"/>
      <c r="D46" s="1562"/>
      <c r="E46" s="1486"/>
      <c r="F46" s="1486"/>
      <c r="G46" s="1486"/>
      <c r="H46" s="1486"/>
      <c r="I46" s="1474"/>
      <c r="J46" s="1472"/>
    </row>
    <row r="47" spans="2:11">
      <c r="B47" s="1484" t="s">
        <v>24</v>
      </c>
      <c r="C47" s="1469" t="s">
        <v>1644</v>
      </c>
      <c r="D47" s="425"/>
      <c r="E47" s="426"/>
      <c r="F47" s="426"/>
      <c r="G47" s="426"/>
      <c r="H47" s="426"/>
      <c r="I47" s="1474"/>
      <c r="J47" s="1574" t="s">
        <v>850</v>
      </c>
    </row>
    <row r="48" spans="2:11">
      <c r="B48" s="1484" t="s">
        <v>27</v>
      </c>
      <c r="C48" s="1469" t="s">
        <v>1644</v>
      </c>
      <c r="D48" s="160">
        <f t="shared" ref="D48:G52" si="0">D91/D$88</f>
        <v>0.14308855291576675</v>
      </c>
      <c r="E48" s="127">
        <f t="shared" si="0"/>
        <v>0.14308855291576675</v>
      </c>
      <c r="F48" s="127">
        <f t="shared" si="0"/>
        <v>0.14308855291576672</v>
      </c>
      <c r="G48" s="127">
        <f t="shared" si="0"/>
        <v>0.14308855291576672</v>
      </c>
      <c r="H48" s="127"/>
      <c r="I48" s="1474"/>
      <c r="J48" s="1472"/>
    </row>
    <row r="49" spans="2:10">
      <c r="B49" s="1484" t="s">
        <v>28</v>
      </c>
      <c r="C49" s="1469" t="s">
        <v>1644</v>
      </c>
      <c r="D49" s="160">
        <f t="shared" si="0"/>
        <v>0</v>
      </c>
      <c r="E49" s="127">
        <f t="shared" si="0"/>
        <v>0</v>
      </c>
      <c r="F49" s="127">
        <f t="shared" si="0"/>
        <v>0</v>
      </c>
      <c r="G49" s="127">
        <f t="shared" si="0"/>
        <v>0</v>
      </c>
      <c r="H49" s="127"/>
      <c r="I49" s="1474"/>
      <c r="J49" s="1472"/>
    </row>
    <row r="50" spans="2:10">
      <c r="B50" s="1484" t="s">
        <v>26</v>
      </c>
      <c r="C50" s="1469" t="s">
        <v>1644</v>
      </c>
      <c r="D50" s="160">
        <f t="shared" si="0"/>
        <v>0.11023622047244094</v>
      </c>
      <c r="E50" s="127">
        <f t="shared" si="0"/>
        <v>0.11215635587439164</v>
      </c>
      <c r="F50" s="127">
        <f t="shared" si="0"/>
        <v>0.11196180102375106</v>
      </c>
      <c r="G50" s="127">
        <f t="shared" si="0"/>
        <v>0.11196180102375106</v>
      </c>
      <c r="H50" s="127"/>
      <c r="I50" s="1474"/>
      <c r="J50" s="1472"/>
    </row>
    <row r="51" spans="2:10">
      <c r="B51" s="1484" t="s">
        <v>167</v>
      </c>
      <c r="C51" s="1469" t="s">
        <v>1644</v>
      </c>
      <c r="D51" s="160">
        <f t="shared" si="0"/>
        <v>7.4684858218409991E-2</v>
      </c>
      <c r="E51" s="127">
        <f t="shared" si="0"/>
        <v>7.4206788151871678E-2</v>
      </c>
      <c r="F51" s="127">
        <f t="shared" si="0"/>
        <v>7.3494728389014802E-2</v>
      </c>
      <c r="G51" s="127">
        <f t="shared" si="0"/>
        <v>7.3494728389014802E-2</v>
      </c>
      <c r="H51" s="127"/>
      <c r="I51" s="1474"/>
      <c r="J51" s="1472"/>
    </row>
    <row r="52" spans="2:10">
      <c r="B52" s="1484" t="s">
        <v>45</v>
      </c>
      <c r="C52" s="1469" t="s">
        <v>1644</v>
      </c>
      <c r="D52" s="160">
        <f t="shared" si="0"/>
        <v>1.3385826771653547E-2</v>
      </c>
      <c r="E52" s="127">
        <f t="shared" si="0"/>
        <v>1.3385410654540119E-2</v>
      </c>
      <c r="F52" s="127">
        <f t="shared" si="0"/>
        <v>1.3362191314446959E-2</v>
      </c>
      <c r="G52" s="127">
        <f t="shared" si="0"/>
        <v>1.3362191314446959E-2</v>
      </c>
      <c r="H52" s="127"/>
      <c r="I52" s="1474"/>
      <c r="J52" s="1472"/>
    </row>
    <row r="53" spans="2:10">
      <c r="B53" s="1484"/>
      <c r="C53" s="1469"/>
      <c r="D53" s="867"/>
      <c r="E53" s="1471"/>
      <c r="F53" s="1471"/>
      <c r="G53" s="1471"/>
      <c r="H53" s="1471"/>
      <c r="I53" s="1474"/>
      <c r="J53" s="1472"/>
    </row>
    <row r="54" spans="2:10">
      <c r="B54" s="418" t="s">
        <v>20</v>
      </c>
      <c r="C54" s="1469"/>
      <c r="D54" s="1562"/>
      <c r="E54" s="1486"/>
      <c r="F54" s="1486"/>
      <c r="G54" s="1486"/>
      <c r="H54" s="1486"/>
      <c r="I54" s="1474"/>
      <c r="J54" s="1472"/>
    </row>
    <row r="55" spans="2:10">
      <c r="B55" s="1484" t="s">
        <v>24</v>
      </c>
      <c r="C55" s="1469" t="s">
        <v>1644</v>
      </c>
      <c r="D55" s="425"/>
      <c r="E55" s="426"/>
      <c r="F55" s="426"/>
      <c r="G55" s="426"/>
      <c r="H55" s="426"/>
      <c r="I55" s="1474"/>
      <c r="J55" s="1574" t="s">
        <v>850</v>
      </c>
    </row>
    <row r="56" spans="2:10">
      <c r="B56" s="1484" t="s">
        <v>27</v>
      </c>
      <c r="C56" s="1469" t="s">
        <v>1644</v>
      </c>
      <c r="D56" s="420">
        <f t="shared" ref="D56:G60" si="1">D48</f>
        <v>0.14308855291576675</v>
      </c>
      <c r="E56" s="419">
        <f t="shared" si="1"/>
        <v>0.14308855291576675</v>
      </c>
      <c r="F56" s="419">
        <f t="shared" si="1"/>
        <v>0.14308855291576672</v>
      </c>
      <c r="G56" s="419">
        <f t="shared" si="1"/>
        <v>0.14308855291576672</v>
      </c>
      <c r="H56" s="419"/>
      <c r="I56" s="1474"/>
      <c r="J56" s="1472"/>
    </row>
    <row r="57" spans="2:10">
      <c r="B57" s="1484" t="s">
        <v>28</v>
      </c>
      <c r="C57" s="1469" t="s">
        <v>1644</v>
      </c>
      <c r="D57" s="420">
        <f t="shared" si="1"/>
        <v>0</v>
      </c>
      <c r="E57" s="419">
        <f t="shared" si="1"/>
        <v>0</v>
      </c>
      <c r="F57" s="419">
        <f t="shared" si="1"/>
        <v>0</v>
      </c>
      <c r="G57" s="419">
        <f t="shared" si="1"/>
        <v>0</v>
      </c>
      <c r="H57" s="419"/>
      <c r="I57" s="1474"/>
      <c r="J57" s="1472"/>
    </row>
    <row r="58" spans="2:10">
      <c r="B58" s="1484" t="s">
        <v>26</v>
      </c>
      <c r="C58" s="1469" t="s">
        <v>1644</v>
      </c>
      <c r="D58" s="420">
        <f t="shared" si="1"/>
        <v>0.11023622047244094</v>
      </c>
      <c r="E58" s="419">
        <f t="shared" si="1"/>
        <v>0.11215635587439164</v>
      </c>
      <c r="F58" s="419">
        <f t="shared" si="1"/>
        <v>0.11196180102375106</v>
      </c>
      <c r="G58" s="419">
        <f t="shared" si="1"/>
        <v>0.11196180102375106</v>
      </c>
      <c r="H58" s="419"/>
      <c r="I58" s="1474"/>
      <c r="J58" s="1472"/>
    </row>
    <row r="59" spans="2:10">
      <c r="B59" s="1484" t="s">
        <v>167</v>
      </c>
      <c r="C59" s="1469" t="s">
        <v>1644</v>
      </c>
      <c r="D59" s="420">
        <f t="shared" si="1"/>
        <v>7.4684858218409991E-2</v>
      </c>
      <c r="E59" s="419">
        <f t="shared" si="1"/>
        <v>7.4206788151871678E-2</v>
      </c>
      <c r="F59" s="419">
        <f t="shared" si="1"/>
        <v>7.3494728389014802E-2</v>
      </c>
      <c r="G59" s="419">
        <f t="shared" si="1"/>
        <v>7.3494728389014802E-2</v>
      </c>
      <c r="H59" s="419"/>
      <c r="I59" s="1474"/>
      <c r="J59" s="1472"/>
    </row>
    <row r="60" spans="2:10">
      <c r="B60" s="1484" t="s">
        <v>45</v>
      </c>
      <c r="C60" s="1469" t="s">
        <v>1644</v>
      </c>
      <c r="D60" s="420">
        <f t="shared" si="1"/>
        <v>1.3385826771653547E-2</v>
      </c>
      <c r="E60" s="419">
        <f t="shared" si="1"/>
        <v>1.3385410654540119E-2</v>
      </c>
      <c r="F60" s="419">
        <f t="shared" si="1"/>
        <v>1.3362191314446959E-2</v>
      </c>
      <c r="G60" s="419">
        <f t="shared" si="1"/>
        <v>1.3362191314446959E-2</v>
      </c>
      <c r="H60" s="419"/>
      <c r="I60" s="1474"/>
      <c r="J60" s="1472"/>
    </row>
    <row r="61" spans="2:10" ht="13.5" thickBot="1">
      <c r="B61" s="1498"/>
      <c r="C61" s="1499"/>
      <c r="D61" s="873"/>
      <c r="E61" s="1501"/>
      <c r="F61" s="1501"/>
      <c r="G61" s="1501"/>
      <c r="H61" s="1501"/>
      <c r="I61" s="1502"/>
      <c r="J61" s="1503"/>
    </row>
    <row r="64" spans="2:10" ht="16.5" thickBot="1">
      <c r="B64" s="1504" t="s">
        <v>168</v>
      </c>
    </row>
    <row r="65" spans="2:12">
      <c r="B65" s="1455"/>
      <c r="C65" s="1456"/>
      <c r="D65" s="1557"/>
      <c r="E65" s="1449"/>
      <c r="F65" s="1449"/>
      <c r="G65" s="1449"/>
      <c r="H65" s="1449"/>
      <c r="I65" s="1449" t="s">
        <v>145</v>
      </c>
      <c r="J65" s="1450" t="s">
        <v>146</v>
      </c>
    </row>
    <row r="66" spans="2:12">
      <c r="B66" s="1460"/>
      <c r="C66" s="1461" t="s">
        <v>70</v>
      </c>
      <c r="D66" s="1506">
        <v>2015</v>
      </c>
      <c r="E66" s="1507">
        <v>2020</v>
      </c>
      <c r="F66" s="1507">
        <v>2035</v>
      </c>
      <c r="G66" s="1507"/>
      <c r="H66" s="1507"/>
      <c r="I66" s="1464"/>
      <c r="J66" s="1465"/>
    </row>
    <row r="67" spans="2:12">
      <c r="B67" s="1484" t="s">
        <v>1577</v>
      </c>
      <c r="C67" s="1509" t="s">
        <v>267</v>
      </c>
      <c r="D67" s="1209">
        <f>D23*D88</f>
        <v>3108.4280907585944</v>
      </c>
      <c r="E67" s="1570">
        <f>E23*E88</f>
        <v>2563.9040717110393</v>
      </c>
      <c r="F67" s="1570">
        <f>F23*F88</f>
        <v>2105.3440521133107</v>
      </c>
      <c r="G67" s="1570">
        <f>G23*G88</f>
        <v>2105.3440521133107</v>
      </c>
      <c r="H67" s="1570"/>
      <c r="I67" s="1471"/>
      <c r="J67" s="1472"/>
    </row>
    <row r="68" spans="2:12">
      <c r="B68" s="1484" t="s">
        <v>2618</v>
      </c>
      <c r="C68" s="1509" t="s">
        <v>1578</v>
      </c>
      <c r="D68" s="1562">
        <v>11500</v>
      </c>
      <c r="E68" s="1486">
        <v>11500</v>
      </c>
      <c r="F68" s="1486">
        <v>11500</v>
      </c>
      <c r="G68" s="1486">
        <v>11500</v>
      </c>
      <c r="H68" s="1486">
        <v>2011</v>
      </c>
      <c r="I68" s="1479"/>
    </row>
    <row r="69" spans="2:12">
      <c r="B69" s="1484" t="s">
        <v>2618</v>
      </c>
      <c r="C69" s="1509" t="s">
        <v>1579</v>
      </c>
      <c r="D69" s="872">
        <f>D68/(D74*24)/D72</f>
        <v>34.761967330398598</v>
      </c>
      <c r="E69" s="2502">
        <f>E68/(E74*24)/E72</f>
        <v>38.238164063438454</v>
      </c>
      <c r="F69" s="2502">
        <f>F68/(F74*24)/F72</f>
        <v>42.486848959376061</v>
      </c>
      <c r="G69" s="2502">
        <f>G68/(G74*24)/G72</f>
        <v>42.486848959376061</v>
      </c>
      <c r="H69" s="1212"/>
      <c r="I69" s="1471"/>
      <c r="J69" s="1472"/>
    </row>
    <row r="70" spans="2:12">
      <c r="B70" s="1484" t="s">
        <v>2625</v>
      </c>
      <c r="C70" s="1509" t="s">
        <v>2624</v>
      </c>
      <c r="D70" s="872">
        <f>85000000*1.15</f>
        <v>97749999.999999985</v>
      </c>
      <c r="E70" s="2502">
        <f>85000000*1.15</f>
        <v>97749999.999999985</v>
      </c>
      <c r="F70" s="2502">
        <f>85000000*1.15</f>
        <v>97749999.999999985</v>
      </c>
      <c r="G70" s="2502">
        <f>85000000*1.15</f>
        <v>97749999.999999985</v>
      </c>
      <c r="H70" s="1215">
        <v>2013</v>
      </c>
      <c r="I70" s="1471"/>
      <c r="J70" s="1472" t="s">
        <v>2078</v>
      </c>
    </row>
    <row r="71" spans="2:12">
      <c r="B71" s="1484" t="s">
        <v>2623</v>
      </c>
      <c r="C71" s="1509" t="s">
        <v>29</v>
      </c>
      <c r="D71" s="872">
        <v>0.08</v>
      </c>
      <c r="E71" s="2502">
        <v>0.08</v>
      </c>
      <c r="F71" s="2502">
        <v>0.08</v>
      </c>
      <c r="G71" s="2502">
        <v>0.08</v>
      </c>
      <c r="H71" s="2503"/>
      <c r="I71" s="1471" t="str">
        <f>CONCATENATE(Referencer!$B$75)</f>
        <v>71, Maritime Economics, Martin Stopford, 3rd edition, 2009, chapter 13, Routledge</v>
      </c>
      <c r="J71" s="1472"/>
    </row>
    <row r="72" spans="2:12">
      <c r="B72" s="1484" t="s">
        <v>2622</v>
      </c>
      <c r="C72" s="1509" t="s">
        <v>2621</v>
      </c>
      <c r="D72" s="872">
        <f>(24.1/37.9*4+24.1/40.9)/5</f>
        <v>0.62655553476850034</v>
      </c>
      <c r="E72" s="2502">
        <f>(24.1/37.9*4+24.1/40.9)/5</f>
        <v>0.62655553476850034</v>
      </c>
      <c r="F72" s="2502">
        <f>(24.1/37.9*4+24.1/40.9)/5</f>
        <v>0.62655553476850034</v>
      </c>
      <c r="G72" s="2502">
        <f>(24.1/37.9*4+24.1/40.9)/5</f>
        <v>0.62655553476850034</v>
      </c>
      <c r="H72" s="1212"/>
      <c r="I72" s="1471" t="str">
        <f>CONCATENATE(Referencer!$B$75)</f>
        <v>71, Maritime Economics, Martin Stopford, 3rd edition, 2009, chapter 13, Routledge</v>
      </c>
      <c r="J72" s="1472"/>
    </row>
    <row r="73" spans="2:12">
      <c r="B73" s="1484" t="s">
        <v>2620</v>
      </c>
      <c r="C73" s="1509" t="s">
        <v>2619</v>
      </c>
      <c r="D73" s="872">
        <f>((D70*D71)/(1-(1+D71)^-D27))/(365*24*D74*D72)</f>
        <v>82.451936501189081</v>
      </c>
      <c r="E73" s="2502">
        <f>((E70*E71)/(1-(1+E71)^-E27))/(365*24*E74*E72)</f>
        <v>90.697130151307988</v>
      </c>
      <c r="F73" s="2502">
        <f>((F70*F71)/(1-(1+F71)^-F27))/(365*24*F74*F72)</f>
        <v>100.77458905700888</v>
      </c>
      <c r="G73" s="2502">
        <f>((G70*G71)/(1-(1+G71)^-G27))/(365*24*G74*G72)</f>
        <v>100.77458905700888</v>
      </c>
      <c r="H73" s="1212"/>
      <c r="I73" s="1471"/>
      <c r="J73" s="1472"/>
    </row>
    <row r="74" spans="2:12">
      <c r="B74" s="1484" t="s">
        <v>1636</v>
      </c>
      <c r="C74" s="1509" t="s">
        <v>1580</v>
      </c>
      <c r="D74" s="1562">
        <v>22</v>
      </c>
      <c r="E74" s="1486">
        <v>20</v>
      </c>
      <c r="F74" s="1486">
        <v>18</v>
      </c>
      <c r="G74" s="1486">
        <v>18</v>
      </c>
      <c r="H74" s="1486"/>
      <c r="I74" s="1471"/>
      <c r="J74" s="1472" t="s">
        <v>1788</v>
      </c>
    </row>
    <row r="75" spans="2:12">
      <c r="B75" s="1484" t="s">
        <v>1639</v>
      </c>
      <c r="C75" s="1509" t="s">
        <v>1638</v>
      </c>
      <c r="D75" s="1213">
        <v>1.8520000000000001</v>
      </c>
      <c r="E75" s="352">
        <v>1.8520000000000001</v>
      </c>
      <c r="F75" s="352">
        <v>1.8520000000000001</v>
      </c>
      <c r="G75" s="352">
        <v>1.8520000000000001</v>
      </c>
      <c r="H75" s="352"/>
      <c r="I75" s="1479"/>
      <c r="J75" s="1472"/>
    </row>
    <row r="76" spans="2:12">
      <c r="B76" s="1484" t="s">
        <v>1787</v>
      </c>
      <c r="C76" s="1509" t="s">
        <v>29</v>
      </c>
      <c r="D76" s="95"/>
      <c r="E76" s="1445">
        <f>-(E98/$D$98-1)</f>
        <v>0.17517664978850045</v>
      </c>
      <c r="F76" s="1445">
        <f>-(F98/$D$98-1)</f>
        <v>0.32269816426748565</v>
      </c>
      <c r="G76" s="1445">
        <f>-(G98/$D$98-1)</f>
        <v>0.32269816426748565</v>
      </c>
      <c r="H76" s="1445"/>
      <c r="I76" s="1479"/>
      <c r="J76" s="1472" t="s">
        <v>2319</v>
      </c>
    </row>
    <row r="77" spans="2:12">
      <c r="B77" s="1484" t="s">
        <v>1581</v>
      </c>
      <c r="C77" s="1471" t="s">
        <v>1582</v>
      </c>
      <c r="D77" s="338">
        <v>0.15</v>
      </c>
      <c r="E77" s="338">
        <v>0.15</v>
      </c>
      <c r="F77" s="338">
        <v>0.15</v>
      </c>
      <c r="G77" s="338">
        <v>0.15</v>
      </c>
      <c r="H77" s="338"/>
      <c r="I77" s="1479" t="str">
        <f>CONCATENATE(Referencer!$B$38)</f>
        <v>32, SHIP-DESMO-Container Ship - 1 January 2014.xls - https://www.shipowners.dk/services/beregningsvaerktoejer/</v>
      </c>
      <c r="J77" s="1472" t="s">
        <v>1583</v>
      </c>
      <c r="L77" s="333"/>
    </row>
    <row r="78" spans="2:12">
      <c r="B78" s="1484" t="s">
        <v>1650</v>
      </c>
      <c r="C78" s="1471" t="s">
        <v>29</v>
      </c>
      <c r="D78" s="284">
        <v>0.06</v>
      </c>
      <c r="E78" s="338">
        <v>0.06</v>
      </c>
      <c r="F78" s="338">
        <v>0.06</v>
      </c>
      <c r="G78" s="338">
        <v>0.06</v>
      </c>
      <c r="H78" s="338"/>
      <c r="I78" s="1479"/>
      <c r="J78" s="1472"/>
      <c r="L78" s="333"/>
    </row>
    <row r="79" spans="2:12">
      <c r="B79" s="1484" t="s">
        <v>1651</v>
      </c>
      <c r="C79" s="1471" t="s">
        <v>29</v>
      </c>
      <c r="D79" s="284">
        <v>0.94</v>
      </c>
      <c r="E79" s="338">
        <v>0.94</v>
      </c>
      <c r="F79" s="338">
        <v>0.94</v>
      </c>
      <c r="G79" s="338">
        <v>0.94</v>
      </c>
      <c r="H79" s="338"/>
      <c r="I79" s="1479"/>
      <c r="J79" s="1472"/>
      <c r="L79" s="333"/>
    </row>
    <row r="80" spans="2:12">
      <c r="B80" s="1484" t="s">
        <v>1652</v>
      </c>
      <c r="C80" s="1471" t="s">
        <v>488</v>
      </c>
      <c r="D80" s="323">
        <f>D81*D78+D79*D82</f>
        <v>52.945999999999998</v>
      </c>
      <c r="E80" s="323">
        <f>E81*E78+E79*E82</f>
        <v>52.945999999999998</v>
      </c>
      <c r="F80" s="323">
        <f>F81*F78+F79*F82</f>
        <v>52.945999999999998</v>
      </c>
      <c r="G80" s="323">
        <f>G81*G78+G79*G82</f>
        <v>52.945999999999998</v>
      </c>
      <c r="H80" s="323"/>
      <c r="I80" s="1479" t="str">
        <f>CONCATENATE(Referencer!$B$38)</f>
        <v>32, SHIP-DESMO-Container Ship - 1 January 2014.xls - https://www.shipowners.dk/services/beregningsvaerktoejer/</v>
      </c>
      <c r="J80" s="1472" t="s">
        <v>1585</v>
      </c>
    </row>
    <row r="81" spans="2:12">
      <c r="B81" s="1484" t="s">
        <v>1653</v>
      </c>
      <c r="C81" s="1471" t="s">
        <v>488</v>
      </c>
      <c r="D81" s="1237">
        <f>Supplementary!F164</f>
        <v>42.7</v>
      </c>
      <c r="E81" s="1237">
        <f>Supplementary!F164</f>
        <v>42.7</v>
      </c>
      <c r="F81" s="1237">
        <f>Supplementary!F164</f>
        <v>42.7</v>
      </c>
      <c r="G81" s="1237">
        <f>Supplementary!F164</f>
        <v>42.7</v>
      </c>
      <c r="H81" s="1237"/>
      <c r="I81" s="1479"/>
      <c r="J81" s="1472"/>
    </row>
    <row r="82" spans="2:12">
      <c r="B82" s="1484" t="s">
        <v>1654</v>
      </c>
      <c r="C82" s="1471" t="s">
        <v>488</v>
      </c>
      <c r="D82" s="277">
        <f>Supplementary!F169</f>
        <v>53.6</v>
      </c>
      <c r="E82" s="277">
        <f>Supplementary!F169</f>
        <v>53.6</v>
      </c>
      <c r="F82" s="277">
        <f>Supplementary!F169</f>
        <v>53.6</v>
      </c>
      <c r="G82" s="277">
        <f>Supplementary!F169</f>
        <v>53.6</v>
      </c>
      <c r="H82" s="277"/>
      <c r="I82" s="1479"/>
      <c r="J82" s="1472"/>
    </row>
    <row r="83" spans="2:12">
      <c r="B83" s="1484" t="s">
        <v>1586</v>
      </c>
      <c r="C83" s="1471" t="s">
        <v>1587</v>
      </c>
      <c r="D83" s="1209">
        <f>D77/3600000</f>
        <v>4.1666666666666663E-8</v>
      </c>
      <c r="E83" s="1212">
        <f>E77/3600000</f>
        <v>4.1666666666666663E-8</v>
      </c>
      <c r="F83" s="1212">
        <f>F77/3600000</f>
        <v>4.1666666666666663E-8</v>
      </c>
      <c r="G83" s="1212">
        <f>G77/3600000</f>
        <v>4.1666666666666663E-8</v>
      </c>
      <c r="H83" s="1212"/>
      <c r="I83" s="1471"/>
      <c r="J83" s="1472"/>
    </row>
    <row r="84" spans="2:12">
      <c r="B84" s="1484" t="s">
        <v>1584</v>
      </c>
      <c r="C84" s="1471" t="s">
        <v>1588</v>
      </c>
      <c r="D84" s="1214">
        <f>D80*1000000</f>
        <v>52946000</v>
      </c>
      <c r="E84" s="1215">
        <f>E80*1000000</f>
        <v>52946000</v>
      </c>
      <c r="F84" s="1215">
        <f>F80*1000000</f>
        <v>52946000</v>
      </c>
      <c r="G84" s="1215">
        <f>G80*1000000</f>
        <v>52946000</v>
      </c>
      <c r="H84" s="1215"/>
      <c r="I84" s="1471"/>
      <c r="J84" s="1472"/>
    </row>
    <row r="85" spans="2:12" ht="13.5" thickBot="1">
      <c r="B85" s="1521" t="s">
        <v>1589</v>
      </c>
      <c r="C85" s="1501" t="s">
        <v>1590</v>
      </c>
      <c r="D85" s="1216">
        <f>1/(D84*D83)</f>
        <v>0.45329203339251323</v>
      </c>
      <c r="E85" s="1217">
        <f>1/(E84*E83)</f>
        <v>0.45329203339251323</v>
      </c>
      <c r="F85" s="1217">
        <f>1/(F84*F83)</f>
        <v>0.45329203339251323</v>
      </c>
      <c r="G85" s="1217">
        <f>1/(G84*G83)</f>
        <v>0.45329203339251323</v>
      </c>
      <c r="H85" s="1217"/>
      <c r="I85" s="1501"/>
      <c r="J85" s="1503"/>
      <c r="L85" s="334"/>
    </row>
    <row r="87" spans="2:12" ht="16.5" thickBot="1">
      <c r="B87" s="1504" t="s">
        <v>172</v>
      </c>
    </row>
    <row r="88" spans="2:12">
      <c r="B88" s="1455" t="s">
        <v>1660</v>
      </c>
      <c r="C88" s="1449" t="s">
        <v>267</v>
      </c>
      <c r="D88" s="1233">
        <f>D98/D$75*1000</f>
        <v>6857.4514038876878</v>
      </c>
      <c r="E88" s="1233">
        <f>E98/E$75*1000</f>
        <v>5656.1860408671937</v>
      </c>
      <c r="F88" s="1233">
        <f>F98/F$75*1000</f>
        <v>4644.5644242996386</v>
      </c>
      <c r="G88" s="1233">
        <f>G98/G$75*1000</f>
        <v>4644.5644242996386</v>
      </c>
      <c r="H88" s="1233"/>
      <c r="I88" s="1219"/>
      <c r="J88" s="1450"/>
    </row>
    <row r="89" spans="2:12">
      <c r="B89" s="1484"/>
      <c r="C89" s="1471"/>
      <c r="D89" s="1471"/>
      <c r="E89" s="1471"/>
      <c r="F89" s="1471"/>
      <c r="G89" s="1471"/>
      <c r="H89" s="1471"/>
      <c r="I89" s="1471"/>
      <c r="J89" s="1472"/>
    </row>
    <row r="90" spans="2:12">
      <c r="B90" s="1484" t="s">
        <v>24</v>
      </c>
      <c r="C90" s="1471" t="s">
        <v>7</v>
      </c>
      <c r="D90" s="885">
        <f t="shared" ref="D90:G95" si="2">D100/D$75*1000</f>
        <v>0</v>
      </c>
      <c r="E90" s="885">
        <f t="shared" si="2"/>
        <v>0</v>
      </c>
      <c r="F90" s="885">
        <f t="shared" si="2"/>
        <v>0</v>
      </c>
      <c r="G90" s="885">
        <f t="shared" si="2"/>
        <v>0</v>
      </c>
      <c r="H90" s="885"/>
      <c r="I90" s="1471"/>
      <c r="J90" s="1472"/>
    </row>
    <row r="91" spans="2:12">
      <c r="B91" s="1484" t="s">
        <v>27</v>
      </c>
      <c r="C91" s="1471" t="s">
        <v>7</v>
      </c>
      <c r="D91" s="885">
        <f t="shared" si="2"/>
        <v>981.22279807248231</v>
      </c>
      <c r="E91" s="885">
        <f t="shared" si="2"/>
        <v>809.33547561004661</v>
      </c>
      <c r="F91" s="885">
        <f t="shared" si="2"/>
        <v>664.58400239708646</v>
      </c>
      <c r="G91" s="885">
        <f t="shared" si="2"/>
        <v>664.58400239708646</v>
      </c>
      <c r="H91" s="885"/>
      <c r="I91" s="1479"/>
      <c r="J91" s="1472"/>
    </row>
    <row r="92" spans="2:12">
      <c r="B92" s="1484" t="s">
        <v>28</v>
      </c>
      <c r="C92" s="1471" t="s">
        <v>7</v>
      </c>
      <c r="D92" s="885">
        <f t="shared" si="2"/>
        <v>0</v>
      </c>
      <c r="E92" s="885">
        <f t="shared" si="2"/>
        <v>0</v>
      </c>
      <c r="F92" s="885">
        <f t="shared" si="2"/>
        <v>0</v>
      </c>
      <c r="G92" s="885">
        <f t="shared" si="2"/>
        <v>0</v>
      </c>
      <c r="H92" s="885"/>
      <c r="I92" s="1479"/>
      <c r="J92" s="1472"/>
    </row>
    <row r="93" spans="2:12">
      <c r="B93" s="1484" t="s">
        <v>26</v>
      </c>
      <c r="C93" s="1471" t="s">
        <v>7</v>
      </c>
      <c r="D93" s="885">
        <f t="shared" si="2"/>
        <v>755.93952483801286</v>
      </c>
      <c r="E93" s="885">
        <f t="shared" si="2"/>
        <v>634.3772144912673</v>
      </c>
      <c r="F93" s="885">
        <f t="shared" si="2"/>
        <v>520.013797915429</v>
      </c>
      <c r="G93" s="885">
        <f t="shared" si="2"/>
        <v>520.013797915429</v>
      </c>
      <c r="H93" s="885"/>
      <c r="I93" s="1479"/>
      <c r="J93" s="1472"/>
    </row>
    <row r="94" spans="2:12">
      <c r="B94" s="1484" t="s">
        <v>167</v>
      </c>
      <c r="C94" s="1471" t="s">
        <v>7</v>
      </c>
      <c r="D94" s="885">
        <f t="shared" si="2"/>
        <v>512.14778583898851</v>
      </c>
      <c r="E94" s="885">
        <f t="shared" si="2"/>
        <v>419.72739928220568</v>
      </c>
      <c r="F94" s="885">
        <f t="shared" si="2"/>
        <v>341.35100084918287</v>
      </c>
      <c r="G94" s="885">
        <f t="shared" si="2"/>
        <v>341.35100084918287</v>
      </c>
      <c r="H94" s="885"/>
      <c r="I94" s="1479"/>
      <c r="J94" s="1472"/>
    </row>
    <row r="95" spans="2:12">
      <c r="B95" s="1484" t="s">
        <v>45</v>
      </c>
      <c r="C95" s="1471" t="s">
        <v>7</v>
      </c>
      <c r="D95" s="885">
        <f t="shared" si="2"/>
        <v>91.792656587473004</v>
      </c>
      <c r="E95" s="885">
        <f t="shared" si="2"/>
        <v>75.710372895484824</v>
      </c>
      <c r="F95" s="885">
        <f t="shared" si="2"/>
        <v>62.061558409765972</v>
      </c>
      <c r="G95" s="885">
        <f t="shared" si="2"/>
        <v>62.061558409765972</v>
      </c>
      <c r="H95" s="885"/>
      <c r="I95" s="1479"/>
      <c r="J95" s="1472"/>
    </row>
    <row r="96" spans="2:12" ht="13.5" thickBot="1">
      <c r="B96" s="1521"/>
      <c r="C96" s="1501"/>
      <c r="D96" s="1501"/>
      <c r="E96" s="1501"/>
      <c r="F96" s="1501"/>
      <c r="G96" s="1501"/>
      <c r="H96" s="1501"/>
      <c r="I96" s="1501"/>
      <c r="J96" s="1503"/>
    </row>
    <row r="97" spans="2:10" ht="13.5" thickBot="1"/>
    <row r="98" spans="2:10">
      <c r="B98" s="1455" t="s">
        <v>1660</v>
      </c>
      <c r="C98" s="1449" t="s">
        <v>1661</v>
      </c>
      <c r="D98" s="1218">
        <v>12.7</v>
      </c>
      <c r="E98" s="1218">
        <v>10.475256547686044</v>
      </c>
      <c r="F98" s="1218">
        <v>8.6017333138029315</v>
      </c>
      <c r="G98" s="1218">
        <v>8.6017333138029315</v>
      </c>
      <c r="H98" s="1218"/>
      <c r="I98" s="1219" t="str">
        <f>CONCATENATE(Referencer!$B$38)</f>
        <v>32, SHIP-DESMO-Container Ship - 1 January 2014.xls - https://www.shipowners.dk/services/beregningsvaerktoejer/</v>
      </c>
      <c r="J98" s="1450" t="s">
        <v>1786</v>
      </c>
    </row>
    <row r="99" spans="2:10">
      <c r="B99" s="1484"/>
      <c r="C99" s="1471"/>
      <c r="D99" s="1471"/>
      <c r="E99" s="1471"/>
      <c r="F99" s="1471"/>
      <c r="G99" s="1471"/>
      <c r="H99" s="1471"/>
      <c r="I99" s="1471"/>
      <c r="J99" s="1472"/>
    </row>
    <row r="100" spans="2:10">
      <c r="B100" s="1484" t="s">
        <v>24</v>
      </c>
      <c r="C100" s="1471" t="s">
        <v>1658</v>
      </c>
      <c r="D100" s="885"/>
      <c r="E100" s="885"/>
      <c r="F100" s="885"/>
      <c r="G100" s="885"/>
      <c r="H100" s="885"/>
      <c r="I100" s="1471"/>
      <c r="J100" s="1472"/>
    </row>
    <row r="101" spans="2:10">
      <c r="B101" s="1484" t="s">
        <v>27</v>
      </c>
      <c r="C101" s="1471" t="s">
        <v>1658</v>
      </c>
      <c r="D101" s="1220">
        <f>(0.17+0.36)/2/1000*D88</f>
        <v>1.8172246220302373</v>
      </c>
      <c r="E101" s="1220">
        <f>(0.17+0.36)/2/1000*E88</f>
        <v>1.4988893008298063</v>
      </c>
      <c r="F101" s="1220">
        <f>(0.17+0.36)/2/1000*F88</f>
        <v>1.2308095724394041</v>
      </c>
      <c r="G101" s="1220">
        <f>(0.17+0.36)/2/1000*G88</f>
        <v>1.2308095724394041</v>
      </c>
      <c r="H101" s="1220"/>
      <c r="I101" s="1479" t="str">
        <f>CONCATENATE(Referencer!$B$76)</f>
        <v>72, Fast Ferry International, http://www.fastferryinfo.com/</v>
      </c>
      <c r="J101" s="1472"/>
    </row>
    <row r="102" spans="2:10">
      <c r="B102" s="1484" t="s">
        <v>28</v>
      </c>
      <c r="C102" s="1471" t="s">
        <v>1658</v>
      </c>
      <c r="D102" s="1220"/>
      <c r="E102" s="1220"/>
      <c r="F102" s="1220"/>
      <c r="G102" s="1220"/>
      <c r="H102" s="1220"/>
      <c r="I102" s="1479"/>
      <c r="J102" s="1472"/>
    </row>
    <row r="103" spans="2:10">
      <c r="B103" s="1484" t="s">
        <v>26</v>
      </c>
      <c r="C103" s="1471" t="s">
        <v>1658</v>
      </c>
      <c r="D103" s="1220">
        <v>1.4</v>
      </c>
      <c r="E103" s="1220">
        <v>1.174866601237827</v>
      </c>
      <c r="F103" s="1220">
        <v>0.96306555373937464</v>
      </c>
      <c r="G103" s="1220">
        <v>0.96306555373937464</v>
      </c>
      <c r="H103" s="1220"/>
      <c r="I103" s="1479" t="str">
        <f>CONCATENATE(Referencer!$B$38)</f>
        <v>32, SHIP-DESMO-Container Ship - 1 January 2014.xls - https://www.shipowners.dk/services/beregningsvaerktoejer/</v>
      </c>
      <c r="J103" s="1472" t="s">
        <v>1591</v>
      </c>
    </row>
    <row r="104" spans="2:10">
      <c r="B104" s="1484" t="s">
        <v>167</v>
      </c>
      <c r="C104" s="1471" t="s">
        <v>1658</v>
      </c>
      <c r="D104" s="1220">
        <f>5.69098619624284/6</f>
        <v>0.94849769937380668</v>
      </c>
      <c r="E104" s="1220">
        <f>4.66401086082387/6</f>
        <v>0.77733514347064503</v>
      </c>
      <c r="F104" s="1220">
        <f>3.79309232143612/6</f>
        <v>0.63218205357268664</v>
      </c>
      <c r="G104" s="1220">
        <f>3.79309232143612/6</f>
        <v>0.63218205357268664</v>
      </c>
      <c r="H104" s="1220"/>
      <c r="I104" s="1479" t="str">
        <f>CONCATENATE(Referencer!$B$76)</f>
        <v>72, Fast Ferry International, http://www.fastferryinfo.com/</v>
      </c>
      <c r="J104" s="1472" t="s">
        <v>2628</v>
      </c>
    </row>
    <row r="105" spans="2:10">
      <c r="B105" s="1484" t="s">
        <v>45</v>
      </c>
      <c r="C105" s="1471" t="s">
        <v>1658</v>
      </c>
      <c r="D105" s="1220">
        <v>0.17</v>
      </c>
      <c r="E105" s="1220">
        <v>0.1402156106024379</v>
      </c>
      <c r="F105" s="1220">
        <v>0.11493800617488659</v>
      </c>
      <c r="G105" s="1220">
        <v>0.11493800617488659</v>
      </c>
      <c r="H105" s="1220"/>
      <c r="I105" s="1479" t="str">
        <f>CONCATENATE(Referencer!$B$38)</f>
        <v>32, SHIP-DESMO-Container Ship - 1 January 2014.xls - https://www.shipowners.dk/services/beregningsvaerktoejer/</v>
      </c>
      <c r="J105" s="1472" t="s">
        <v>1593</v>
      </c>
    </row>
    <row r="106" spans="2:10" ht="13.5" thickBot="1">
      <c r="B106" s="1521"/>
      <c r="C106" s="1501"/>
      <c r="D106" s="1501"/>
      <c r="E106" s="1501"/>
      <c r="F106" s="1501"/>
      <c r="G106" s="1501"/>
      <c r="H106" s="1501"/>
      <c r="I106" s="1501"/>
      <c r="J106" s="1503"/>
    </row>
  </sheetData>
  <pageMargins left="0.15748031496062992" right="0.15748031496062992" top="1.25" bottom="0.19685039370078741" header="0.51181102362204722" footer="0.51181102362204722"/>
  <pageSetup paperSize="9" scale="60" orientation="landscape" r:id="rId1"/>
  <headerFooter alignWithMargins="0">
    <oddHeader>&amp;L&amp;"Arial"&amp;14&amp;BBeregningsmodel
&amp;"Arial"&amp;08&amp;B64329, Teknologivurdering af alternative drivmidler til transportsektoren&amp;R&amp;"Arial"&amp;08Page &amp;P of &amp;N</oddHeader>
    <oddFooter>&amp;L&amp;"Arial"&amp;08&amp;Z&amp;F
Sheet: &amp;A&amp;C&amp;"Arial"&amp;08Printed &amp;D &amp;T&amp;R&amp;G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491969" r:id="rId5" name="Button 1">
              <controlPr defaultSize="0" print="0" autoFill="0" autoPict="0">
                <anchor>
                  <from>
                    <xdr:col>14</xdr:col>
                    <xdr:colOff>438150</xdr:colOff>
                    <xdr:row>0</xdr:row>
                    <xdr:rowOff>38100</xdr:rowOff>
                  </from>
                  <to>
                    <xdr:col>14</xdr:col>
                    <xdr:colOff>1504950</xdr:colOff>
                    <xdr:row>0</xdr:row>
                    <xdr:rowOff>238125</xdr:rowOff>
                  </to>
                </anchor>
              </controlPr>
            </control>
          </mc:Choice>
        </mc:AlternateContent>
        <mc:AlternateContent xmlns:mc="http://schemas.openxmlformats.org/markup-compatibility/2006">
          <mc:Choice Requires="x14">
            <control shapeId="1491970" r:id="rId6" name="Button 2">
              <controlPr defaultSize="0" print="0" autoFill="0" autoPict="0">
                <anchor>
                  <from>
                    <xdr:col>16</xdr:col>
                    <xdr:colOff>485775</xdr:colOff>
                    <xdr:row>0</xdr:row>
                    <xdr:rowOff>38100</xdr:rowOff>
                  </from>
                  <to>
                    <xdr:col>18</xdr:col>
                    <xdr:colOff>171450</xdr:colOff>
                    <xdr:row>0</xdr:row>
                    <xdr:rowOff>238125</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tabColor rgb="FF002060"/>
    <pageSetUpPr fitToPage="1"/>
  </sheetPr>
  <dimension ref="B1:S101"/>
  <sheetViews>
    <sheetView topLeftCell="A14" zoomScale="80" zoomScaleNormal="80" workbookViewId="0">
      <selection activeCell="H42" sqref="H42"/>
    </sheetView>
  </sheetViews>
  <sheetFormatPr defaultColWidth="8.85546875" defaultRowHeight="12.75"/>
  <cols>
    <col min="1" max="1" width="2.85546875" style="1447" customWidth="1"/>
    <col min="2" max="2" width="35" style="1447" customWidth="1"/>
    <col min="3" max="3" width="18" style="1447" customWidth="1"/>
    <col min="4" max="4" width="13.42578125" style="1447" customWidth="1"/>
    <col min="5" max="8" width="15.85546875" style="1447" customWidth="1"/>
    <col min="9" max="9" width="9.7109375" style="1447" customWidth="1"/>
    <col min="10" max="10" width="37.42578125" style="1447" customWidth="1"/>
    <col min="11" max="14" width="8.85546875" style="1447"/>
    <col min="15" max="15" width="37.85546875" style="1447" customWidth="1"/>
    <col min="16" max="16" width="13.85546875" style="1447" bestFit="1" customWidth="1"/>
    <col min="17" max="17" width="8.85546875" style="1447"/>
    <col min="18" max="19" width="12" style="1447" customWidth="1"/>
    <col min="20" max="16384" width="8.85546875" style="1447"/>
  </cols>
  <sheetData>
    <row r="1" spans="2:19" s="2403" customFormat="1" ht="21">
      <c r="B1" s="2403" t="s">
        <v>1575</v>
      </c>
      <c r="Q1" s="2403">
        <f ca="1">'Log2015'!M1</f>
        <v>-8.0112614142160741</v>
      </c>
      <c r="R1" s="2405">
        <f ca="1">'Log2015'!N1</f>
        <v>-160807.124977848</v>
      </c>
      <c r="S1" s="2406"/>
    </row>
    <row r="2" spans="2:19">
      <c r="R2" s="622">
        <f ca="1">R1</f>
        <v>-160807.124977848</v>
      </c>
      <c r="S2" s="622">
        <f>S1</f>
        <v>0</v>
      </c>
    </row>
    <row r="4" spans="2:19" ht="13.5" thickBot="1">
      <c r="B4" s="1446" t="s">
        <v>81</v>
      </c>
    </row>
    <row r="5" spans="2:19">
      <c r="B5" s="1448" t="s">
        <v>137</v>
      </c>
      <c r="C5" s="1449"/>
      <c r="D5" s="1449"/>
      <c r="E5" s="1449"/>
      <c r="F5" s="1449"/>
      <c r="G5" s="1449"/>
      <c r="H5" s="1449"/>
      <c r="I5" s="1449"/>
      <c r="J5" s="1449"/>
      <c r="K5" s="1449"/>
      <c r="L5" s="1449"/>
      <c r="M5" s="1449"/>
      <c r="N5" s="1450"/>
    </row>
    <row r="6" spans="2:19">
      <c r="B6" s="1476" t="s">
        <v>2090</v>
      </c>
      <c r="C6" s="1471"/>
      <c r="D6" s="1471"/>
      <c r="E6" s="1471"/>
      <c r="F6" s="1471"/>
      <c r="G6" s="1471"/>
      <c r="H6" s="1471"/>
      <c r="I6" s="1471"/>
      <c r="J6" s="1471"/>
      <c r="K6" s="1471"/>
      <c r="L6" s="1471"/>
      <c r="M6" s="1471"/>
      <c r="N6" s="1472"/>
    </row>
    <row r="7" spans="2:19">
      <c r="B7" s="1476"/>
      <c r="C7" s="1471"/>
      <c r="D7" s="1471"/>
      <c r="E7" s="1471"/>
      <c r="F7" s="1471"/>
      <c r="G7" s="1471"/>
      <c r="H7" s="1471"/>
      <c r="I7" s="1471"/>
      <c r="J7" s="1471"/>
      <c r="K7" s="1471"/>
      <c r="L7" s="1471"/>
      <c r="M7" s="1471"/>
      <c r="N7" s="1472"/>
    </row>
    <row r="8" spans="2:19">
      <c r="B8" s="1468"/>
      <c r="C8" s="1471"/>
      <c r="D8" s="1471"/>
      <c r="E8" s="1471"/>
      <c r="F8" s="1471"/>
      <c r="G8" s="1471"/>
      <c r="H8" s="1471"/>
      <c r="I8" s="1471"/>
      <c r="J8" s="1471"/>
      <c r="K8" s="1471"/>
      <c r="L8" s="1471"/>
      <c r="M8" s="1471"/>
      <c r="N8" s="1472"/>
    </row>
    <row r="9" spans="2:19">
      <c r="B9" s="1468"/>
      <c r="C9" s="1471"/>
      <c r="D9" s="1471"/>
      <c r="E9" s="1471"/>
      <c r="F9" s="1471"/>
      <c r="G9" s="1471"/>
      <c r="H9" s="1471"/>
      <c r="I9" s="1471"/>
      <c r="J9" s="1471"/>
      <c r="K9" s="1471"/>
      <c r="L9" s="1471"/>
      <c r="M9" s="1471"/>
      <c r="N9" s="1472"/>
    </row>
    <row r="10" spans="2:19">
      <c r="B10" s="1468"/>
      <c r="C10" s="1471"/>
      <c r="D10" s="1471"/>
      <c r="E10" s="1471"/>
      <c r="F10" s="1471"/>
      <c r="G10" s="1471"/>
      <c r="H10" s="1471"/>
      <c r="I10" s="1471"/>
      <c r="J10" s="1471"/>
      <c r="K10" s="1471"/>
      <c r="L10" s="1471"/>
      <c r="M10" s="1471"/>
      <c r="N10" s="1472"/>
    </row>
    <row r="11" spans="2:19">
      <c r="B11" s="1556" t="s">
        <v>256</v>
      </c>
      <c r="C11" s="1471"/>
      <c r="D11" s="1471"/>
      <c r="E11" s="1471"/>
      <c r="F11" s="1471"/>
      <c r="G11" s="1471"/>
      <c r="H11" s="1471"/>
      <c r="I11" s="1471"/>
      <c r="J11" s="1471"/>
      <c r="K11" s="1471"/>
      <c r="L11" s="1471"/>
      <c r="M11" s="1471"/>
      <c r="N11" s="1472"/>
    </row>
    <row r="12" spans="2:19">
      <c r="B12" s="1468"/>
      <c r="C12" s="1471"/>
      <c r="D12" s="1471"/>
      <c r="E12" s="1471"/>
      <c r="F12" s="1471"/>
      <c r="G12" s="1471"/>
      <c r="H12" s="1471"/>
      <c r="I12" s="1471"/>
      <c r="J12" s="1471"/>
      <c r="K12" s="1471"/>
      <c r="L12" s="1471"/>
      <c r="M12" s="1471"/>
      <c r="N12" s="1472"/>
    </row>
    <row r="13" spans="2:19">
      <c r="B13" s="1468"/>
      <c r="C13" s="1471"/>
      <c r="D13" s="1471"/>
      <c r="E13" s="1471"/>
      <c r="F13" s="1471"/>
      <c r="G13" s="1471"/>
      <c r="H13" s="1471"/>
      <c r="I13" s="1471"/>
      <c r="J13" s="1471"/>
      <c r="K13" s="1471"/>
      <c r="L13" s="1471"/>
      <c r="M13" s="1471"/>
      <c r="N13" s="1472"/>
    </row>
    <row r="14" spans="2:19">
      <c r="B14" s="1556" t="s">
        <v>143</v>
      </c>
      <c r="C14" s="1471"/>
      <c r="D14" s="1471"/>
      <c r="E14" s="1471"/>
      <c r="F14" s="1471"/>
      <c r="G14" s="1471"/>
      <c r="H14" s="1471"/>
      <c r="I14" s="1471"/>
      <c r="J14" s="1471"/>
      <c r="K14" s="1471"/>
      <c r="L14" s="1471"/>
      <c r="M14" s="1471"/>
      <c r="N14" s="1472"/>
    </row>
    <row r="15" spans="2:19">
      <c r="B15" s="1468"/>
      <c r="C15" s="1471"/>
      <c r="D15" s="1471"/>
      <c r="E15" s="1471"/>
      <c r="F15" s="1471"/>
      <c r="G15" s="1471"/>
      <c r="H15" s="1471"/>
      <c r="I15" s="1471"/>
      <c r="J15" s="1471"/>
      <c r="K15" s="1471"/>
      <c r="L15" s="1471"/>
      <c r="M15" s="1471"/>
      <c r="N15" s="1472"/>
    </row>
    <row r="16" spans="2:19">
      <c r="B16" s="1468"/>
      <c r="C16" s="1471"/>
      <c r="D16" s="1471"/>
      <c r="E16" s="1471"/>
      <c r="F16" s="1471"/>
      <c r="G16" s="1471"/>
      <c r="H16" s="1471"/>
      <c r="I16" s="1471"/>
      <c r="J16" s="1471"/>
      <c r="K16" s="1471"/>
      <c r="L16" s="1471"/>
      <c r="M16" s="1471"/>
      <c r="N16" s="1472"/>
    </row>
    <row r="17" spans="2:14" ht="13.5" thickBot="1">
      <c r="B17" s="1521"/>
      <c r="C17" s="1501"/>
      <c r="D17" s="1501"/>
      <c r="E17" s="1501"/>
      <c r="F17" s="1501"/>
      <c r="G17" s="1501"/>
      <c r="H17" s="1501"/>
      <c r="I17" s="1501"/>
      <c r="J17" s="1501"/>
      <c r="K17" s="1501"/>
      <c r="L17" s="1501"/>
      <c r="M17" s="1501"/>
      <c r="N17" s="1503"/>
    </row>
    <row r="19" spans="2:14" ht="13.5" thickBot="1">
      <c r="B19" s="1446" t="s">
        <v>144</v>
      </c>
      <c r="E19" s="142"/>
    </row>
    <row r="20" spans="2:14">
      <c r="B20" s="1455"/>
      <c r="C20" s="1456"/>
      <c r="D20" s="1557"/>
      <c r="E20" s="1449"/>
      <c r="F20" s="1449"/>
      <c r="G20" s="1449"/>
      <c r="H20" s="1449"/>
      <c r="I20" s="1449" t="s">
        <v>145</v>
      </c>
      <c r="J20" s="1450" t="s">
        <v>146</v>
      </c>
    </row>
    <row r="21" spans="2:14">
      <c r="B21" s="1460"/>
      <c r="C21" s="1461" t="s">
        <v>70</v>
      </c>
      <c r="D21" s="1506">
        <v>2015</v>
      </c>
      <c r="E21" s="1507">
        <v>2020</v>
      </c>
      <c r="F21" s="1507">
        <v>2035</v>
      </c>
      <c r="G21" s="1507"/>
      <c r="H21" s="1507" t="s">
        <v>978</v>
      </c>
      <c r="I21" s="1464"/>
      <c r="J21" s="1465"/>
    </row>
    <row r="22" spans="2:14">
      <c r="B22" s="1468" t="s">
        <v>257</v>
      </c>
      <c r="C22" s="1469"/>
      <c r="D22" s="153"/>
      <c r="E22" s="1470"/>
      <c r="F22" s="1470"/>
      <c r="G22" s="1470"/>
      <c r="H22" s="1470"/>
      <c r="I22" s="1471"/>
      <c r="J22" s="1472"/>
    </row>
    <row r="23" spans="2:14">
      <c r="B23" s="122" t="s">
        <v>848</v>
      </c>
      <c r="C23" s="1469" t="s">
        <v>1645</v>
      </c>
      <c r="D23" s="1209">
        <f>D77</f>
        <v>0.40147206423553028</v>
      </c>
      <c r="E23" s="281">
        <f>E77</f>
        <v>0.40147206423553028</v>
      </c>
      <c r="F23" s="281">
        <f>F77</f>
        <v>0.40147206423553028</v>
      </c>
      <c r="G23" s="281">
        <f>G77</f>
        <v>0.40147206423553028</v>
      </c>
      <c r="H23" s="1657"/>
      <c r="I23" s="1474"/>
      <c r="J23" s="1475"/>
    </row>
    <row r="24" spans="2:14">
      <c r="B24" s="122" t="s">
        <v>849</v>
      </c>
      <c r="C24" s="1469" t="s">
        <v>1645</v>
      </c>
      <c r="D24" s="416">
        <f>D23</f>
        <v>0.40147206423553028</v>
      </c>
      <c r="E24" s="417">
        <f>E23</f>
        <v>0.40147206423553028</v>
      </c>
      <c r="F24" s="417">
        <f>F23</f>
        <v>0.40147206423553028</v>
      </c>
      <c r="G24" s="417">
        <f>G23</f>
        <v>0.40147206423553028</v>
      </c>
      <c r="H24" s="1657"/>
      <c r="I24" s="1474"/>
      <c r="J24" s="1475"/>
    </row>
    <row r="25" spans="2:14">
      <c r="B25" s="122" t="s">
        <v>1640</v>
      </c>
      <c r="C25" s="1469" t="s">
        <v>1024</v>
      </c>
      <c r="D25" s="416">
        <f>D80</f>
        <v>4232.181425485961</v>
      </c>
      <c r="E25" s="417">
        <f>E80</f>
        <v>4232.181425485961</v>
      </c>
      <c r="F25" s="417">
        <f>F80</f>
        <v>4232.181425485961</v>
      </c>
      <c r="G25" s="417">
        <f>G80</f>
        <v>4232.181425485961</v>
      </c>
      <c r="H25" s="1658"/>
      <c r="I25" s="1474"/>
      <c r="J25" s="1475"/>
    </row>
    <row r="26" spans="2:14">
      <c r="B26" s="122" t="s">
        <v>1641</v>
      </c>
      <c r="C26" s="1469" t="s">
        <v>1024</v>
      </c>
      <c r="D26" s="416"/>
      <c r="E26" s="417"/>
      <c r="F26" s="417"/>
      <c r="G26" s="417"/>
      <c r="H26" s="1658"/>
      <c r="I26" s="1474"/>
      <c r="J26" s="1475"/>
    </row>
    <row r="27" spans="2:14">
      <c r="B27" s="1476" t="s">
        <v>98</v>
      </c>
      <c r="C27" s="1469" t="s">
        <v>259</v>
      </c>
      <c r="D27" s="1477"/>
      <c r="E27" s="1478"/>
      <c r="F27" s="1478"/>
      <c r="G27" s="1210"/>
      <c r="H27" s="1478"/>
      <c r="I27" s="1479"/>
      <c r="J27" s="1472"/>
    </row>
    <row r="28" spans="2:14">
      <c r="B28" s="1476" t="s">
        <v>260</v>
      </c>
      <c r="C28" s="1469" t="s">
        <v>261</v>
      </c>
      <c r="D28" s="1560"/>
      <c r="E28" s="1561"/>
      <c r="F28" s="1561"/>
      <c r="G28" s="1561"/>
      <c r="H28" s="1659"/>
      <c r="I28" s="1474"/>
      <c r="J28" s="1472"/>
    </row>
    <row r="29" spans="2:14">
      <c r="B29" s="1484"/>
      <c r="C29" s="1485"/>
      <c r="D29" s="1562"/>
      <c r="E29" s="1486"/>
      <c r="F29" s="1486"/>
      <c r="G29" s="1486"/>
      <c r="H29" s="1486"/>
      <c r="I29" s="1471"/>
      <c r="J29" s="1472"/>
    </row>
    <row r="30" spans="2:14">
      <c r="B30" s="1468" t="s">
        <v>33</v>
      </c>
      <c r="C30" s="1469"/>
      <c r="D30" s="1562"/>
      <c r="E30" s="1486"/>
      <c r="F30" s="1486"/>
      <c r="G30" s="1486"/>
      <c r="H30" s="1486"/>
      <c r="I30" s="1471"/>
      <c r="J30" s="1472"/>
    </row>
    <row r="31" spans="2:14">
      <c r="B31" s="1476" t="s">
        <v>157</v>
      </c>
      <c r="C31" s="1469" t="s">
        <v>61</v>
      </c>
      <c r="D31" s="992">
        <f>HLOOKUP($H38,Supplementary!$C$44:$AF$46,3,FALSE)*D38</f>
        <v>0</v>
      </c>
      <c r="E31" s="992">
        <f>HLOOKUP($H38,Supplementary!$C$44:$AF$46,3,FALSE)*E38</f>
        <v>0</v>
      </c>
      <c r="F31" s="992">
        <f>HLOOKUP($H38,Supplementary!$C$44:$AF$46,3,FALSE)*F38</f>
        <v>0</v>
      </c>
      <c r="G31" s="992">
        <f>HLOOKUP($H38,Supplementary!$C$44:$AF$46,3,FALSE)*G38</f>
        <v>0</v>
      </c>
      <c r="H31" s="323">
        <v>2011</v>
      </c>
      <c r="I31" s="555"/>
      <c r="J31" s="1472"/>
    </row>
    <row r="32" spans="2:14">
      <c r="B32" s="1484" t="s">
        <v>262</v>
      </c>
      <c r="C32" s="1469" t="s">
        <v>263</v>
      </c>
      <c r="D32" s="992">
        <f>HLOOKUP($H39,Supplementary!$C$44:$AF$46,3,FALSE)*D39</f>
        <v>0</v>
      </c>
      <c r="E32" s="992">
        <f>HLOOKUP($H39,Supplementary!$C$44:$AF$46,3,FALSE)*E39</f>
        <v>0</v>
      </c>
      <c r="F32" s="992">
        <f>HLOOKUP($H39,Supplementary!$C$44:$AF$46,3,FALSE)*F39</f>
        <v>0</v>
      </c>
      <c r="G32" s="992">
        <f>HLOOKUP($H39,Supplementary!$C$44:$AF$46,3,FALSE)*G39</f>
        <v>0</v>
      </c>
      <c r="H32" s="323">
        <v>2011</v>
      </c>
      <c r="I32" s="555"/>
      <c r="J32" s="1472"/>
    </row>
    <row r="33" spans="2:13">
      <c r="B33" s="1492" t="s">
        <v>162</v>
      </c>
      <c r="C33" s="1469" t="s">
        <v>263</v>
      </c>
      <c r="D33" s="992">
        <f>HLOOKUP($H40,Supplementary!$C$44:$AF$46,3,FALSE)*D40</f>
        <v>0</v>
      </c>
      <c r="E33" s="992">
        <f>HLOOKUP($H40,Supplementary!$C$44:$AF$46,3,FALSE)*E40</f>
        <v>0</v>
      </c>
      <c r="F33" s="992">
        <f>HLOOKUP($H40,Supplementary!$C$44:$AF$46,3,FALSE)*F40</f>
        <v>0</v>
      </c>
      <c r="G33" s="992">
        <f>HLOOKUP($H40,Supplementary!$C$44:$AF$46,3,FALSE)*G40</f>
        <v>0</v>
      </c>
      <c r="H33" s="323">
        <v>2011</v>
      </c>
      <c r="I33" s="555"/>
      <c r="J33" s="1472"/>
    </row>
    <row r="34" spans="2:13">
      <c r="B34" s="1492" t="s">
        <v>163</v>
      </c>
      <c r="C34" s="1469" t="s">
        <v>263</v>
      </c>
      <c r="D34" s="992">
        <f>HLOOKUP($H41,Supplementary!$C$44:$AF$46,3,FALSE)*D41</f>
        <v>0</v>
      </c>
      <c r="E34" s="992">
        <f>HLOOKUP($H41,Supplementary!$C$44:$AF$46,3,FALSE)*E41</f>
        <v>0</v>
      </c>
      <c r="F34" s="992">
        <f>HLOOKUP($H41,Supplementary!$C$44:$AF$46,3,FALSE)*F41</f>
        <v>0</v>
      </c>
      <c r="G34" s="992">
        <f>HLOOKUP($H41,Supplementary!$C$44:$AF$46,3,FALSE)*G41</f>
        <v>0</v>
      </c>
      <c r="H34" s="323">
        <v>2011</v>
      </c>
      <c r="I34" s="555"/>
      <c r="J34" s="1472"/>
    </row>
    <row r="35" spans="2:13">
      <c r="B35" s="1492"/>
      <c r="C35" s="1469"/>
      <c r="D35" s="992"/>
      <c r="E35" s="992"/>
      <c r="F35" s="992"/>
      <c r="G35" s="992"/>
      <c r="H35" s="323"/>
      <c r="I35" s="555"/>
      <c r="J35" s="1472"/>
    </row>
    <row r="36" spans="2:13">
      <c r="B36" s="1492" t="s">
        <v>264</v>
      </c>
      <c r="C36" s="1469" t="s">
        <v>263</v>
      </c>
      <c r="D36" s="992">
        <f>HLOOKUP($H43,Supplementary!$C$44:$AF$46,3,FALSE)*D43</f>
        <v>0</v>
      </c>
      <c r="E36" s="992">
        <f>HLOOKUP($H43,Supplementary!$C$44:$AF$46,3,FALSE)*E43</f>
        <v>0</v>
      </c>
      <c r="F36" s="992">
        <f>HLOOKUP($H43,Supplementary!$C$44:$AF$46,3,FALSE)*F43</f>
        <v>0</v>
      </c>
      <c r="G36" s="992">
        <f>HLOOKUP($H43,Supplementary!$C$44:$AF$46,3,FALSE)*G43</f>
        <v>0</v>
      </c>
      <c r="H36" s="323">
        <v>2011</v>
      </c>
      <c r="I36" s="555"/>
      <c r="J36" s="1472"/>
    </row>
    <row r="37" spans="2:13">
      <c r="B37" s="1468"/>
      <c r="C37" s="1469"/>
      <c r="D37" s="1562"/>
      <c r="E37" s="1486"/>
      <c r="F37" s="1486"/>
      <c r="G37" s="1486"/>
      <c r="H37" s="1486"/>
      <c r="I37" s="555"/>
      <c r="J37" s="1472"/>
    </row>
    <row r="38" spans="2:13">
      <c r="B38" s="1476" t="s">
        <v>157</v>
      </c>
      <c r="C38" s="1469" t="s">
        <v>61</v>
      </c>
      <c r="D38" s="1563"/>
      <c r="E38" s="1489"/>
      <c r="F38" s="1489"/>
      <c r="G38" s="1210"/>
      <c r="H38" s="407">
        <v>2011</v>
      </c>
      <c r="I38" s="1474"/>
      <c r="J38" s="1472"/>
    </row>
    <row r="39" spans="2:13">
      <c r="B39" s="1484" t="s">
        <v>262</v>
      </c>
      <c r="C39" s="1469" t="s">
        <v>263</v>
      </c>
      <c r="D39" s="1235">
        <f>SUM(D40:D43)</f>
        <v>0</v>
      </c>
      <c r="E39" s="1236">
        <f>SUM(E40:E43)</f>
        <v>0</v>
      </c>
      <c r="F39" s="1236">
        <f>SUM(F40:F43)</f>
        <v>0</v>
      </c>
      <c r="G39" s="1236">
        <f>SUM(G40:G43)</f>
        <v>0</v>
      </c>
      <c r="H39" s="407">
        <v>2011</v>
      </c>
      <c r="I39" s="1474"/>
      <c r="J39" s="1472"/>
    </row>
    <row r="40" spans="2:13">
      <c r="B40" s="1492" t="s">
        <v>162</v>
      </c>
      <c r="C40" s="1469" t="s">
        <v>263</v>
      </c>
      <c r="D40" s="1565"/>
      <c r="E40" s="1566"/>
      <c r="F40" s="1566"/>
      <c r="G40" s="1210"/>
      <c r="H40" s="407">
        <v>2011</v>
      </c>
      <c r="I40" s="1474"/>
      <c r="J40" s="1472"/>
    </row>
    <row r="41" spans="2:13">
      <c r="B41" s="1492" t="s">
        <v>163</v>
      </c>
      <c r="C41" s="1469" t="s">
        <v>263</v>
      </c>
      <c r="D41" s="1235">
        <v>0</v>
      </c>
      <c r="E41" s="1236">
        <v>0</v>
      </c>
      <c r="F41" s="1236">
        <v>0</v>
      </c>
      <c r="G41" s="1236">
        <v>0</v>
      </c>
      <c r="H41" s="407">
        <v>2011</v>
      </c>
      <c r="I41" s="1479"/>
      <c r="J41" s="1472"/>
      <c r="K41" s="164"/>
    </row>
    <row r="42" spans="2:13">
      <c r="B42" s="1492"/>
      <c r="C42" s="1469"/>
      <c r="D42" s="1562"/>
      <c r="E42" s="1486"/>
      <c r="F42" s="1486"/>
      <c r="G42" s="1486"/>
      <c r="H42" s="407"/>
      <c r="I42" s="1474"/>
      <c r="J42" s="1472"/>
    </row>
    <row r="43" spans="2:13">
      <c r="B43" s="1492" t="s">
        <v>264</v>
      </c>
      <c r="C43" s="1469" t="s">
        <v>263</v>
      </c>
      <c r="D43" s="1477"/>
      <c r="E43" s="1478"/>
      <c r="F43" s="1478"/>
      <c r="G43" s="1210"/>
      <c r="H43" s="407">
        <v>2011</v>
      </c>
      <c r="I43" s="1474"/>
      <c r="J43" s="1472"/>
      <c r="M43" s="334"/>
    </row>
    <row r="44" spans="2:13">
      <c r="B44" s="1492"/>
      <c r="C44" s="1469"/>
      <c r="D44" s="1562"/>
      <c r="E44" s="1486"/>
      <c r="F44" s="1486"/>
      <c r="G44" s="1486"/>
      <c r="H44" s="1486"/>
      <c r="I44" s="1474"/>
      <c r="J44" s="1472"/>
      <c r="M44" s="1238"/>
    </row>
    <row r="45" spans="2:13">
      <c r="B45" s="1468" t="s">
        <v>166</v>
      </c>
      <c r="C45" s="1469"/>
      <c r="D45" s="1562"/>
      <c r="E45" s="1486"/>
      <c r="F45" s="1486"/>
      <c r="G45" s="1486"/>
      <c r="H45" s="1489"/>
      <c r="I45" s="1474"/>
      <c r="J45" s="1472"/>
    </row>
    <row r="46" spans="2:13">
      <c r="B46" s="418" t="s">
        <v>0</v>
      </c>
      <c r="C46" s="1469"/>
      <c r="D46" s="1562"/>
      <c r="E46" s="1486"/>
      <c r="F46" s="1486"/>
      <c r="G46" s="1486"/>
      <c r="H46" s="1566"/>
      <c r="I46" s="1474"/>
      <c r="J46" s="1472"/>
    </row>
    <row r="47" spans="2:13">
      <c r="B47" s="1484" t="s">
        <v>24</v>
      </c>
      <c r="C47" s="1469" t="s">
        <v>1644</v>
      </c>
      <c r="D47" s="425"/>
      <c r="E47" s="426"/>
      <c r="F47" s="426"/>
      <c r="G47" s="426"/>
      <c r="H47" s="1566"/>
      <c r="I47" s="1474"/>
      <c r="J47" s="1574" t="s">
        <v>850</v>
      </c>
    </row>
    <row r="48" spans="2:13">
      <c r="B48" s="1484" t="s">
        <v>27</v>
      </c>
      <c r="C48" s="1469" t="s">
        <v>1644</v>
      </c>
      <c r="D48" s="160">
        <f t="shared" ref="D48:G52" si="0">D83/D$80</f>
        <v>0</v>
      </c>
      <c r="E48" s="127">
        <f t="shared" si="0"/>
        <v>0</v>
      </c>
      <c r="F48" s="127">
        <f t="shared" si="0"/>
        <v>0</v>
      </c>
      <c r="G48" s="127">
        <f t="shared" si="0"/>
        <v>0</v>
      </c>
      <c r="H48" s="1660"/>
      <c r="I48" s="1474"/>
      <c r="J48" s="1472"/>
    </row>
    <row r="49" spans="2:10">
      <c r="B49" s="1484" t="s">
        <v>28</v>
      </c>
      <c r="C49" s="1469" t="s">
        <v>1644</v>
      </c>
      <c r="D49" s="160">
        <f t="shared" si="0"/>
        <v>0</v>
      </c>
      <c r="E49" s="127">
        <f t="shared" si="0"/>
        <v>0</v>
      </c>
      <c r="F49" s="127">
        <f t="shared" si="0"/>
        <v>0</v>
      </c>
      <c r="G49" s="127">
        <f t="shared" si="0"/>
        <v>0</v>
      </c>
      <c r="H49" s="1486"/>
      <c r="I49" s="1474"/>
      <c r="J49" s="1472"/>
    </row>
    <row r="50" spans="2:10">
      <c r="B50" s="1484" t="s">
        <v>26</v>
      </c>
      <c r="C50" s="1469" t="s">
        <v>1644</v>
      </c>
      <c r="D50" s="160">
        <f t="shared" si="0"/>
        <v>0.18082431888384828</v>
      </c>
      <c r="E50" s="127">
        <f t="shared" si="0"/>
        <v>0.18068932302752394</v>
      </c>
      <c r="F50" s="127">
        <f t="shared" si="0"/>
        <v>0.18041226085768036</v>
      </c>
      <c r="G50" s="127">
        <f t="shared" si="0"/>
        <v>0.18041226085768036</v>
      </c>
      <c r="H50" s="1478"/>
      <c r="I50" s="1474"/>
      <c r="J50" s="1472"/>
    </row>
    <row r="51" spans="2:10">
      <c r="B51" s="1484" t="s">
        <v>167</v>
      </c>
      <c r="C51" s="1469" t="s">
        <v>1644</v>
      </c>
      <c r="D51" s="160">
        <f t="shared" si="0"/>
        <v>0.46916621568366396</v>
      </c>
      <c r="E51" s="127">
        <f t="shared" si="0"/>
        <v>0.46533915375514712</v>
      </c>
      <c r="F51" s="127">
        <f t="shared" si="0"/>
        <v>0.45972829172410168</v>
      </c>
      <c r="G51" s="127">
        <f t="shared" si="0"/>
        <v>0.45972829172410168</v>
      </c>
      <c r="H51" s="1486"/>
      <c r="I51" s="1474"/>
      <c r="J51" s="1472"/>
    </row>
    <row r="52" spans="2:10">
      <c r="B52" s="1484" t="s">
        <v>45</v>
      </c>
      <c r="C52" s="1469" t="s">
        <v>1644</v>
      </c>
      <c r="D52" s="160">
        <f t="shared" si="0"/>
        <v>9.2415311823227084E-2</v>
      </c>
      <c r="E52" s="127">
        <f t="shared" si="0"/>
        <v>9.2170766907945456E-2</v>
      </c>
      <c r="F52" s="127">
        <f t="shared" si="0"/>
        <v>9.1782158663924168E-2</v>
      </c>
      <c r="G52" s="127">
        <f t="shared" si="0"/>
        <v>9.1782158663924168E-2</v>
      </c>
      <c r="H52" s="1486"/>
      <c r="I52" s="1474"/>
      <c r="J52" s="1472"/>
    </row>
    <row r="53" spans="2:10">
      <c r="B53" s="1484"/>
      <c r="C53" s="1469"/>
      <c r="D53" s="867"/>
      <c r="E53" s="1471"/>
      <c r="F53" s="1471"/>
      <c r="G53" s="1471"/>
      <c r="H53" s="1486"/>
      <c r="I53" s="1474"/>
      <c r="J53" s="1472"/>
    </row>
    <row r="54" spans="2:10">
      <c r="B54" s="418" t="s">
        <v>20</v>
      </c>
      <c r="C54" s="1469"/>
      <c r="D54" s="1562"/>
      <c r="E54" s="1486"/>
      <c r="F54" s="1486"/>
      <c r="G54" s="1486"/>
      <c r="H54" s="1660"/>
      <c r="I54" s="1474"/>
      <c r="J54" s="1472"/>
    </row>
    <row r="55" spans="2:10">
      <c r="B55" s="1484" t="s">
        <v>24</v>
      </c>
      <c r="C55" s="1469" t="s">
        <v>1644</v>
      </c>
      <c r="D55" s="425"/>
      <c r="E55" s="426"/>
      <c r="F55" s="426"/>
      <c r="G55" s="426"/>
      <c r="H55" s="1169"/>
      <c r="I55" s="1474"/>
      <c r="J55" s="1574" t="s">
        <v>850</v>
      </c>
    </row>
    <row r="56" spans="2:10">
      <c r="B56" s="1484" t="s">
        <v>27</v>
      </c>
      <c r="C56" s="1469" t="s">
        <v>1644</v>
      </c>
      <c r="D56" s="420">
        <f t="shared" ref="D56:G60" si="1">D48</f>
        <v>0</v>
      </c>
      <c r="E56" s="419">
        <f t="shared" si="1"/>
        <v>0</v>
      </c>
      <c r="F56" s="419">
        <f t="shared" si="1"/>
        <v>0</v>
      </c>
      <c r="G56" s="419">
        <f t="shared" si="1"/>
        <v>0</v>
      </c>
      <c r="H56" s="1169"/>
      <c r="I56" s="1474"/>
      <c r="J56" s="1472"/>
    </row>
    <row r="57" spans="2:10">
      <c r="B57" s="1484" t="s">
        <v>28</v>
      </c>
      <c r="C57" s="1469" t="s">
        <v>1644</v>
      </c>
      <c r="D57" s="420">
        <f t="shared" si="1"/>
        <v>0</v>
      </c>
      <c r="E57" s="419">
        <f t="shared" si="1"/>
        <v>0</v>
      </c>
      <c r="F57" s="419">
        <f t="shared" si="1"/>
        <v>0</v>
      </c>
      <c r="G57" s="419">
        <f t="shared" si="1"/>
        <v>0</v>
      </c>
      <c r="H57" s="1169"/>
      <c r="I57" s="1474"/>
      <c r="J57" s="1472"/>
    </row>
    <row r="58" spans="2:10">
      <c r="B58" s="1484" t="s">
        <v>26</v>
      </c>
      <c r="C58" s="1469" t="s">
        <v>1644</v>
      </c>
      <c r="D58" s="420">
        <f t="shared" si="1"/>
        <v>0.18082431888384828</v>
      </c>
      <c r="E58" s="419">
        <f t="shared" si="1"/>
        <v>0.18068932302752394</v>
      </c>
      <c r="F58" s="419">
        <f t="shared" si="1"/>
        <v>0.18041226085768036</v>
      </c>
      <c r="G58" s="419">
        <f t="shared" si="1"/>
        <v>0.18041226085768036</v>
      </c>
      <c r="H58" s="1169"/>
      <c r="I58" s="1474"/>
      <c r="J58" s="1472"/>
    </row>
    <row r="59" spans="2:10">
      <c r="B59" s="1484" t="s">
        <v>167</v>
      </c>
      <c r="C59" s="1469" t="s">
        <v>1644</v>
      </c>
      <c r="D59" s="420">
        <f t="shared" si="1"/>
        <v>0.46916621568366396</v>
      </c>
      <c r="E59" s="419">
        <f t="shared" si="1"/>
        <v>0.46533915375514712</v>
      </c>
      <c r="F59" s="419">
        <f t="shared" si="1"/>
        <v>0.45972829172410168</v>
      </c>
      <c r="G59" s="419">
        <f t="shared" si="1"/>
        <v>0.45972829172410168</v>
      </c>
      <c r="H59" s="1169"/>
      <c r="I59" s="1444"/>
      <c r="J59" s="1472"/>
    </row>
    <row r="60" spans="2:10">
      <c r="B60" s="1484" t="s">
        <v>45</v>
      </c>
      <c r="C60" s="1469" t="s">
        <v>1644</v>
      </c>
      <c r="D60" s="420">
        <f t="shared" si="1"/>
        <v>9.2415311823227084E-2</v>
      </c>
      <c r="E60" s="419">
        <f t="shared" si="1"/>
        <v>9.2170766907945456E-2</v>
      </c>
      <c r="F60" s="419">
        <f t="shared" si="1"/>
        <v>9.1782158663924168E-2</v>
      </c>
      <c r="G60" s="419">
        <f t="shared" si="1"/>
        <v>9.1782158663924168E-2</v>
      </c>
      <c r="H60" s="323"/>
      <c r="I60" s="1474"/>
      <c r="J60" s="1472"/>
    </row>
    <row r="61" spans="2:10" ht="13.5" thickBot="1">
      <c r="B61" s="1498"/>
      <c r="C61" s="1499"/>
      <c r="D61" s="873"/>
      <c r="E61" s="1501"/>
      <c r="F61" s="1501"/>
      <c r="G61" s="1501"/>
      <c r="H61" s="1501"/>
      <c r="I61" s="1502"/>
      <c r="J61" s="1503"/>
    </row>
    <row r="64" spans="2:10" ht="16.5" thickBot="1">
      <c r="B64" s="1504" t="s">
        <v>168</v>
      </c>
    </row>
    <row r="65" spans="2:12">
      <c r="B65" s="1455"/>
      <c r="C65" s="1456"/>
      <c r="D65" s="1557"/>
      <c r="E65" s="1449"/>
      <c r="F65" s="1449"/>
      <c r="G65" s="1449"/>
      <c r="H65" s="1449"/>
      <c r="I65" s="1449" t="s">
        <v>145</v>
      </c>
      <c r="J65" s="1450" t="s">
        <v>146</v>
      </c>
    </row>
    <row r="66" spans="2:12">
      <c r="B66" s="1460"/>
      <c r="C66" s="1461" t="s">
        <v>70</v>
      </c>
      <c r="D66" s="1506">
        <v>2015</v>
      </c>
      <c r="E66" s="1507">
        <v>2020</v>
      </c>
      <c r="F66" s="1507">
        <v>2035</v>
      </c>
      <c r="G66" s="1507"/>
      <c r="H66" s="1507"/>
      <c r="I66" s="1464"/>
      <c r="J66" s="1465"/>
    </row>
    <row r="67" spans="2:12">
      <c r="B67" s="1484" t="s">
        <v>1577</v>
      </c>
      <c r="C67" s="1509" t="s">
        <v>267</v>
      </c>
      <c r="D67" s="1209">
        <f>D23*D80</f>
        <v>1699.1026131091178</v>
      </c>
      <c r="E67" s="1570">
        <f>E23*E80</f>
        <v>1699.1026131091178</v>
      </c>
      <c r="F67" s="1570">
        <f>F23*F80</f>
        <v>1699.1026131091178</v>
      </c>
      <c r="G67" s="1570">
        <f>G23*G80</f>
        <v>1699.1026131091178</v>
      </c>
      <c r="H67" s="1570"/>
      <c r="I67" s="1471"/>
      <c r="J67" s="1472"/>
    </row>
    <row r="68" spans="2:12">
      <c r="B68" s="1484" t="s">
        <v>1637</v>
      </c>
      <c r="C68" s="1509" t="s">
        <v>1578</v>
      </c>
      <c r="D68" s="1562"/>
      <c r="E68" s="1486"/>
      <c r="F68" s="1486"/>
      <c r="G68" s="1486"/>
      <c r="H68" s="1486"/>
      <c r="I68" s="1479"/>
      <c r="J68" s="1472"/>
    </row>
    <row r="69" spans="2:12">
      <c r="B69" s="1484" t="s">
        <v>1637</v>
      </c>
      <c r="C69" s="1509" t="s">
        <v>1579</v>
      </c>
      <c r="D69" s="1209">
        <f>D68/(D70*24)</f>
        <v>0</v>
      </c>
      <c r="E69" s="1212">
        <f>E68/(E70*24)</f>
        <v>0</v>
      </c>
      <c r="F69" s="1212">
        <f>F68/(F70*24)</f>
        <v>0</v>
      </c>
      <c r="G69" s="1212">
        <f>G68/(G70*24)</f>
        <v>0</v>
      </c>
      <c r="H69" s="1212"/>
      <c r="I69" s="1471"/>
      <c r="J69" s="1472"/>
    </row>
    <row r="70" spans="2:12">
      <c r="B70" s="1484" t="s">
        <v>1636</v>
      </c>
      <c r="C70" s="1509" t="s">
        <v>1580</v>
      </c>
      <c r="D70" s="1562">
        <v>38</v>
      </c>
      <c r="E70" s="1486">
        <v>38</v>
      </c>
      <c r="F70" s="1486">
        <v>38</v>
      </c>
      <c r="G70" s="1486">
        <v>38</v>
      </c>
      <c r="H70" s="1486"/>
      <c r="I70" s="1471" t="str">
        <f>Referencer!$B$76</f>
        <v>72, Fast Ferry International, http://www.fastferryinfo.com/</v>
      </c>
      <c r="J70" s="1472"/>
    </row>
    <row r="71" spans="2:12">
      <c r="B71" s="1484" t="s">
        <v>1639</v>
      </c>
      <c r="C71" s="1509" t="s">
        <v>1638</v>
      </c>
      <c r="D71" s="1213">
        <v>1.8520000000000001</v>
      </c>
      <c r="E71" s="352">
        <v>1.8520000000000001</v>
      </c>
      <c r="F71" s="352">
        <v>1.8520000000000001</v>
      </c>
      <c r="G71" s="352">
        <v>1.8520000000000001</v>
      </c>
      <c r="H71" s="352"/>
      <c r="I71" s="1471"/>
      <c r="J71" s="1472"/>
    </row>
    <row r="72" spans="2:12">
      <c r="B72" s="1484" t="s">
        <v>1787</v>
      </c>
      <c r="C72" s="1509" t="s">
        <v>1784</v>
      </c>
      <c r="D72" s="95"/>
      <c r="E72" s="1445">
        <f>-(E90/$D$90-1)</f>
        <v>0</v>
      </c>
      <c r="F72" s="1445">
        <f>-(F90/$D$90-1)</f>
        <v>0</v>
      </c>
      <c r="G72" s="1445">
        <f>-(G90/$D$90-1)</f>
        <v>0</v>
      </c>
      <c r="H72" s="1445"/>
      <c r="I72" s="1479"/>
      <c r="J72" s="1472"/>
    </row>
    <row r="73" spans="2:12">
      <c r="B73" s="1484" t="s">
        <v>1581</v>
      </c>
      <c r="C73" s="1471" t="s">
        <v>1582</v>
      </c>
      <c r="D73" s="338">
        <v>0.21</v>
      </c>
      <c r="E73" s="338">
        <v>0.21</v>
      </c>
      <c r="F73" s="338">
        <v>0.21</v>
      </c>
      <c r="G73" s="338">
        <v>0.21</v>
      </c>
      <c r="H73" s="338"/>
      <c r="I73" s="1471" t="str">
        <f>Referencer!$B$76</f>
        <v>72, Fast Ferry International, http://www.fastferryinfo.com/</v>
      </c>
      <c r="J73" s="1472"/>
      <c r="L73" s="333"/>
    </row>
    <row r="74" spans="2:12">
      <c r="B74" s="1484" t="s">
        <v>1584</v>
      </c>
      <c r="C74" s="1471" t="s">
        <v>488</v>
      </c>
      <c r="D74" s="277">
        <f>Supplementary!F164</f>
        <v>42.7</v>
      </c>
      <c r="E74" s="277">
        <f>Supplementary!F164</f>
        <v>42.7</v>
      </c>
      <c r="F74" s="277">
        <f>Supplementary!F164</f>
        <v>42.7</v>
      </c>
      <c r="G74" s="277">
        <f>Supplementary!F164</f>
        <v>42.7</v>
      </c>
      <c r="H74" s="277"/>
      <c r="I74" s="1479" t="str">
        <f>CONCATENATE(Referencer!$B$38)</f>
        <v>32, SHIP-DESMO-Container Ship - 1 January 2014.xls - https://www.shipowners.dk/services/beregningsvaerktoejer/</v>
      </c>
      <c r="J74" s="1472" t="s">
        <v>1585</v>
      </c>
    </row>
    <row r="75" spans="2:12">
      <c r="B75" s="1484" t="s">
        <v>1586</v>
      </c>
      <c r="C75" s="1471" t="s">
        <v>1587</v>
      </c>
      <c r="D75" s="1209">
        <f>D73/3600000</f>
        <v>5.8333333333333333E-8</v>
      </c>
      <c r="E75" s="1212">
        <f>E73/3600000</f>
        <v>5.8333333333333333E-8</v>
      </c>
      <c r="F75" s="1212">
        <f>F73/3600000</f>
        <v>5.8333333333333333E-8</v>
      </c>
      <c r="G75" s="1212">
        <f>G73/3600000</f>
        <v>5.8333333333333333E-8</v>
      </c>
      <c r="H75" s="1212"/>
      <c r="I75" s="1471"/>
      <c r="J75" s="1472"/>
    </row>
    <row r="76" spans="2:12">
      <c r="B76" s="1484" t="s">
        <v>1584</v>
      </c>
      <c r="C76" s="1471" t="s">
        <v>1588</v>
      </c>
      <c r="D76" s="1214">
        <f>D74*1000000</f>
        <v>42700000</v>
      </c>
      <c r="E76" s="1215">
        <f>E74*1000000</f>
        <v>42700000</v>
      </c>
      <c r="F76" s="1215">
        <f>F74*1000000</f>
        <v>42700000</v>
      </c>
      <c r="G76" s="1215">
        <f>G74*1000000</f>
        <v>42700000</v>
      </c>
      <c r="H76" s="1215"/>
      <c r="I76" s="1471"/>
      <c r="J76" s="1472"/>
    </row>
    <row r="77" spans="2:12" ht="13.5" thickBot="1">
      <c r="B77" s="1521" t="s">
        <v>1589</v>
      </c>
      <c r="C77" s="1501" t="s">
        <v>1590</v>
      </c>
      <c r="D77" s="1216">
        <f>1/(D76*D75)</f>
        <v>0.40147206423553028</v>
      </c>
      <c r="E77" s="1217">
        <f>1/(E76*E75)</f>
        <v>0.40147206423553028</v>
      </c>
      <c r="F77" s="1217">
        <f>1/(F76*F75)</f>
        <v>0.40147206423553028</v>
      </c>
      <c r="G77" s="1217">
        <f>1/(G76*G75)</f>
        <v>0.40147206423553028</v>
      </c>
      <c r="H77" s="1217"/>
      <c r="I77" s="1501"/>
      <c r="J77" s="1503"/>
      <c r="L77" s="334"/>
    </row>
    <row r="79" spans="2:12" ht="16.5" thickBot="1">
      <c r="B79" s="1504" t="s">
        <v>172</v>
      </c>
      <c r="E79" s="1447">
        <f>E80*(1-E$72)</f>
        <v>4232.181425485961</v>
      </c>
      <c r="F79" s="1447">
        <f>F80*(1-F$72)</f>
        <v>4232.181425485961</v>
      </c>
      <c r="G79" s="1447">
        <f>G80*(1-G$72)</f>
        <v>4232.181425485961</v>
      </c>
    </row>
    <row r="80" spans="2:12">
      <c r="B80" s="1455" t="s">
        <v>1660</v>
      </c>
      <c r="C80" s="1449" t="s">
        <v>267</v>
      </c>
      <c r="D80" s="1233">
        <f>D90/D$71*1000</f>
        <v>4232.181425485961</v>
      </c>
      <c r="E80" s="1233">
        <f>E90/E$71*1000</f>
        <v>4232.181425485961</v>
      </c>
      <c r="F80" s="1233">
        <f>F90/F$71*1000</f>
        <v>4232.181425485961</v>
      </c>
      <c r="G80" s="1233">
        <f>G90/G$71*1000</f>
        <v>4232.181425485961</v>
      </c>
      <c r="H80" s="1233"/>
      <c r="I80" s="1219"/>
      <c r="J80" s="1450"/>
    </row>
    <row r="81" spans="2:10">
      <c r="B81" s="1484"/>
      <c r="C81" s="1471"/>
      <c r="D81" s="1471"/>
      <c r="E81" s="1471"/>
      <c r="F81" s="1471"/>
      <c r="G81" s="1471"/>
      <c r="H81" s="1471"/>
      <c r="I81" s="1471"/>
      <c r="J81" s="1472"/>
    </row>
    <row r="82" spans="2:10">
      <c r="B82" s="1484" t="s">
        <v>24</v>
      </c>
      <c r="C82" s="1471" t="s">
        <v>7</v>
      </c>
      <c r="D82" s="885">
        <f t="shared" ref="D82:G87" si="2">D92/D$71*1000</f>
        <v>0</v>
      </c>
      <c r="E82" s="885">
        <f t="shared" si="2"/>
        <v>0</v>
      </c>
      <c r="F82" s="885">
        <f t="shared" si="2"/>
        <v>0</v>
      </c>
      <c r="G82" s="885">
        <f t="shared" si="2"/>
        <v>0</v>
      </c>
      <c r="H82" s="885"/>
      <c r="I82" s="1471"/>
      <c r="J82" s="1472"/>
    </row>
    <row r="83" spans="2:10">
      <c r="B83" s="1484" t="s">
        <v>27</v>
      </c>
      <c r="C83" s="1471" t="s">
        <v>7</v>
      </c>
      <c r="D83" s="885">
        <f t="shared" si="2"/>
        <v>0</v>
      </c>
      <c r="E83" s="885">
        <f t="shared" si="2"/>
        <v>0</v>
      </c>
      <c r="F83" s="885">
        <f t="shared" si="2"/>
        <v>0</v>
      </c>
      <c r="G83" s="885">
        <f t="shared" si="2"/>
        <v>0</v>
      </c>
      <c r="H83" s="885"/>
      <c r="I83" s="1479"/>
      <c r="J83" s="1472"/>
    </row>
    <row r="84" spans="2:10">
      <c r="B84" s="1484" t="s">
        <v>28</v>
      </c>
      <c r="C84" s="1471" t="s">
        <v>7</v>
      </c>
      <c r="D84" s="885">
        <f t="shared" si="2"/>
        <v>0</v>
      </c>
      <c r="E84" s="885">
        <f t="shared" si="2"/>
        <v>0</v>
      </c>
      <c r="F84" s="885">
        <f t="shared" si="2"/>
        <v>0</v>
      </c>
      <c r="G84" s="885">
        <f t="shared" si="2"/>
        <v>0</v>
      </c>
      <c r="H84" s="885"/>
      <c r="I84" s="1479"/>
      <c r="J84" s="1472"/>
    </row>
    <row r="85" spans="2:10">
      <c r="B85" s="1484" t="s">
        <v>26</v>
      </c>
      <c r="C85" s="1471" t="s">
        <v>7</v>
      </c>
      <c r="D85" s="885">
        <f t="shared" si="2"/>
        <v>765.28132365637305</v>
      </c>
      <c r="E85" s="885">
        <f t="shared" si="2"/>
        <v>764.70999670071956</v>
      </c>
      <c r="F85" s="885">
        <f t="shared" si="2"/>
        <v>763.53741933180277</v>
      </c>
      <c r="G85" s="885">
        <f t="shared" si="2"/>
        <v>763.53741933180277</v>
      </c>
      <c r="H85" s="885"/>
      <c r="I85" s="1479"/>
      <c r="J85" s="1472"/>
    </row>
    <row r="86" spans="2:10">
      <c r="B86" s="1484" t="s">
        <v>167</v>
      </c>
      <c r="C86" s="1471" t="s">
        <v>7</v>
      </c>
      <c r="D86" s="885">
        <f t="shared" si="2"/>
        <v>1985.5965434819427</v>
      </c>
      <c r="E86" s="885">
        <f t="shared" si="2"/>
        <v>1969.3997230738894</v>
      </c>
      <c r="F86" s="885">
        <f t="shared" si="2"/>
        <v>1945.6535370051342</v>
      </c>
      <c r="G86" s="885">
        <f t="shared" si="2"/>
        <v>1945.6535370051342</v>
      </c>
      <c r="H86" s="885"/>
      <c r="I86" s="1479"/>
      <c r="J86" s="1472"/>
    </row>
    <row r="87" spans="2:10">
      <c r="B87" s="1484" t="s">
        <v>45</v>
      </c>
      <c r="C87" s="1471" t="s">
        <v>7</v>
      </c>
      <c r="D87" s="885">
        <f t="shared" si="2"/>
        <v>391.11836612875476</v>
      </c>
      <c r="E87" s="885">
        <f t="shared" si="2"/>
        <v>390.08340768060282</v>
      </c>
      <c r="F87" s="885">
        <f t="shared" si="2"/>
        <v>388.43874708846522</v>
      </c>
      <c r="G87" s="885">
        <f t="shared" si="2"/>
        <v>388.43874708846522</v>
      </c>
      <c r="H87" s="885"/>
      <c r="I87" s="1479"/>
      <c r="J87" s="1472"/>
    </row>
    <row r="88" spans="2:10" ht="13.5" thickBot="1">
      <c r="B88" s="1521"/>
      <c r="C88" s="1501"/>
      <c r="D88" s="1501"/>
      <c r="E88" s="1501"/>
      <c r="F88" s="1501"/>
      <c r="G88" s="1501"/>
      <c r="H88" s="1501"/>
      <c r="I88" s="1501"/>
      <c r="J88" s="1503"/>
    </row>
    <row r="89" spans="2:10" ht="13.5" thickBot="1">
      <c r="E89" s="334"/>
      <c r="F89" s="334"/>
      <c r="G89" s="334"/>
      <c r="H89" s="334"/>
    </row>
    <row r="90" spans="2:10">
      <c r="B90" s="1455" t="s">
        <v>1660</v>
      </c>
      <c r="C90" s="1449" t="s">
        <v>1661</v>
      </c>
      <c r="D90" s="1218">
        <v>7.8380000000000001</v>
      </c>
      <c r="E90" s="1218">
        <v>7.8380000000000001</v>
      </c>
      <c r="F90" s="1218">
        <v>7.8380000000000001</v>
      </c>
      <c r="G90" s="1218">
        <v>7.8380000000000001</v>
      </c>
      <c r="H90" s="1218"/>
      <c r="I90" s="1471" t="str">
        <f>Referencer!$B$76</f>
        <v>72, Fast Ferry International, http://www.fastferryinfo.com/</v>
      </c>
      <c r="J90" s="1450"/>
    </row>
    <row r="91" spans="2:10">
      <c r="B91" s="1484"/>
      <c r="C91" s="1471"/>
      <c r="D91" s="1471"/>
      <c r="E91" s="1471"/>
      <c r="F91" s="1471"/>
      <c r="G91" s="1471"/>
      <c r="H91" s="1471"/>
      <c r="I91" s="1471"/>
      <c r="J91" s="1472"/>
    </row>
    <row r="92" spans="2:10">
      <c r="B92" s="1484" t="s">
        <v>24</v>
      </c>
      <c r="C92" s="1471" t="s">
        <v>1658</v>
      </c>
      <c r="D92" s="885"/>
      <c r="E92" s="885"/>
      <c r="F92" s="885"/>
      <c r="G92" s="885"/>
      <c r="H92" s="885"/>
      <c r="I92" s="1471"/>
      <c r="J92" s="1472"/>
    </row>
    <row r="93" spans="2:10">
      <c r="B93" s="1484" t="s">
        <v>27</v>
      </c>
      <c r="C93" s="1471" t="s">
        <v>1658</v>
      </c>
      <c r="D93" s="1220"/>
      <c r="E93" s="1220"/>
      <c r="F93" s="1220"/>
      <c r="G93" s="1220"/>
      <c r="H93" s="1220"/>
      <c r="I93" s="1479"/>
      <c r="J93" s="1472" t="s">
        <v>1659</v>
      </c>
    </row>
    <row r="94" spans="2:10">
      <c r="B94" s="1484" t="s">
        <v>28</v>
      </c>
      <c r="C94" s="1471" t="s">
        <v>1658</v>
      </c>
      <c r="D94" s="1220"/>
      <c r="E94" s="1220"/>
      <c r="F94" s="1220"/>
      <c r="G94" s="1220"/>
      <c r="H94" s="1220"/>
      <c r="I94" s="1479"/>
      <c r="J94" s="1472"/>
    </row>
    <row r="95" spans="2:10">
      <c r="B95" s="1484" t="s">
        <v>26</v>
      </c>
      <c r="C95" s="1471" t="s">
        <v>1658</v>
      </c>
      <c r="D95" s="1229">
        <f>'9000 TEU Diesel'!D99/'9000 TEU Diesel'!D$94*D$90</f>
        <v>1.4173010114116029</v>
      </c>
      <c r="E95" s="1229">
        <f>'9000 TEU Diesel'!E99/'9000 TEU Diesel'!E$94*E$90</f>
        <v>1.4162429138897328</v>
      </c>
      <c r="F95" s="1229">
        <f>'9000 TEU Diesel'!F99/'9000 TEU Diesel'!F$94*F$90</f>
        <v>1.4140713006024987</v>
      </c>
      <c r="G95" s="1229">
        <f>'9000 TEU Diesel'!G99/'9000 TEU Diesel'!G$94*G$90</f>
        <v>1.4140713006024987</v>
      </c>
      <c r="H95" s="1220"/>
      <c r="I95" s="1479"/>
      <c r="J95" s="1472" t="s">
        <v>2091</v>
      </c>
    </row>
    <row r="96" spans="2:10">
      <c r="B96" s="1484" t="s">
        <v>167</v>
      </c>
      <c r="C96" s="1471" t="s">
        <v>1658</v>
      </c>
      <c r="D96" s="1229">
        <f>'9000 TEU Diesel'!D100/'9000 TEU Diesel'!D$94*D$90</f>
        <v>3.677324798528558</v>
      </c>
      <c r="E96" s="1229">
        <f>'9000 TEU Diesel'!E100/'9000 TEU Diesel'!E$94*E$90</f>
        <v>3.6473282871328432</v>
      </c>
      <c r="F96" s="1229">
        <f>'9000 TEU Diesel'!F100/'9000 TEU Diesel'!F$94*F$90</f>
        <v>3.6033503505335087</v>
      </c>
      <c r="G96" s="1229">
        <f>'9000 TEU Diesel'!G100/'9000 TEU Diesel'!G$94*G$90</f>
        <v>3.6033503505335087</v>
      </c>
      <c r="H96" s="1220"/>
      <c r="I96" s="1479"/>
      <c r="J96" s="1472" t="s">
        <v>2091</v>
      </c>
    </row>
    <row r="97" spans="2:10">
      <c r="B97" s="1484" t="s">
        <v>45</v>
      </c>
      <c r="C97" s="1471" t="s">
        <v>1658</v>
      </c>
      <c r="D97" s="1229">
        <f>'9000 TEU Diesel'!D101/'9000 TEU Diesel'!D$94*D$90</f>
        <v>0.72435121407045389</v>
      </c>
      <c r="E97" s="1229">
        <f>'9000 TEU Diesel'!E101/'9000 TEU Diesel'!E$94*E$90</f>
        <v>0.72243447102447644</v>
      </c>
      <c r="F97" s="1229">
        <f>'9000 TEU Diesel'!F101/'9000 TEU Diesel'!F$94*F$90</f>
        <v>0.71938855960783765</v>
      </c>
      <c r="G97" s="1229">
        <f>'9000 TEU Diesel'!G101/'9000 TEU Diesel'!G$94*G$90</f>
        <v>0.71938855960783765</v>
      </c>
      <c r="H97" s="1220"/>
      <c r="I97" s="1479"/>
      <c r="J97" s="1472" t="s">
        <v>2091</v>
      </c>
    </row>
    <row r="98" spans="2:10" ht="13.5" thickBot="1">
      <c r="B98" s="1521"/>
      <c r="C98" s="1501"/>
      <c r="D98" s="1501"/>
      <c r="E98" s="1501"/>
      <c r="F98" s="1501"/>
      <c r="G98" s="1501"/>
      <c r="H98" s="1501"/>
      <c r="I98" s="1501"/>
      <c r="J98" s="1503"/>
    </row>
    <row r="100" spans="2:10">
      <c r="H100" s="1535"/>
    </row>
    <row r="101" spans="2:10">
      <c r="H101" s="1535"/>
    </row>
  </sheetData>
  <pageMargins left="0.15748031496062992" right="0.15748031496062992" top="1.25" bottom="0.19685039370078741" header="0.51181102362204722" footer="0.51181102362204722"/>
  <pageSetup paperSize="9" scale="60" orientation="landscape" r:id="rId1"/>
  <headerFooter alignWithMargins="0">
    <oddHeader>&amp;L&amp;"Arial"&amp;14&amp;BBeregningsmodel
&amp;"Arial"&amp;08&amp;B64329, Teknologivurdering af alternative drivmidler til transportsektoren&amp;R&amp;"Arial"&amp;08Page &amp;P of &amp;N</oddHeader>
    <oddFooter>&amp;L&amp;"Arial"&amp;08&amp;Z&amp;F
Sheet: &amp;A&amp;C&amp;"Arial"&amp;08Printed &amp;D &amp;T&amp;R&amp;G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492993" r:id="rId5" name="Button 1">
              <controlPr defaultSize="0" print="0" autoFill="0" autoPict="0">
                <anchor>
                  <from>
                    <xdr:col>14</xdr:col>
                    <xdr:colOff>438150</xdr:colOff>
                    <xdr:row>0</xdr:row>
                    <xdr:rowOff>38100</xdr:rowOff>
                  </from>
                  <to>
                    <xdr:col>14</xdr:col>
                    <xdr:colOff>1514475</xdr:colOff>
                    <xdr:row>0</xdr:row>
                    <xdr:rowOff>238125</xdr:rowOff>
                  </to>
                </anchor>
              </controlPr>
            </control>
          </mc:Choice>
        </mc:AlternateContent>
        <mc:AlternateContent xmlns:mc="http://schemas.openxmlformats.org/markup-compatibility/2006">
          <mc:Choice Requires="x14">
            <control shapeId="1492994" r:id="rId6" name="Button 2">
              <controlPr defaultSize="0" print="0" autoFill="0" autoPict="0">
                <anchor>
                  <from>
                    <xdr:col>16</xdr:col>
                    <xdr:colOff>485775</xdr:colOff>
                    <xdr:row>0</xdr:row>
                    <xdr:rowOff>38100</xdr:rowOff>
                  </from>
                  <to>
                    <xdr:col>18</xdr:col>
                    <xdr:colOff>171450</xdr:colOff>
                    <xdr:row>0</xdr:row>
                    <xdr:rowOff>238125</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rgb="FF002060"/>
    <pageSetUpPr fitToPage="1"/>
  </sheetPr>
  <dimension ref="B1:S114"/>
  <sheetViews>
    <sheetView topLeftCell="A25" zoomScale="80" zoomScaleNormal="80" workbookViewId="0">
      <selection activeCell="D85" sqref="D85"/>
    </sheetView>
  </sheetViews>
  <sheetFormatPr defaultColWidth="8.85546875" defaultRowHeight="12.75"/>
  <cols>
    <col min="1" max="1" width="2.85546875" style="172" customWidth="1"/>
    <col min="2" max="2" width="35" style="172" customWidth="1"/>
    <col min="3" max="3" width="18" style="172" customWidth="1"/>
    <col min="4" max="4" width="19.140625" style="172" bestFit="1" customWidth="1"/>
    <col min="5" max="8" width="15.85546875" style="172" customWidth="1"/>
    <col min="9" max="9" width="7.140625" style="172" customWidth="1"/>
    <col min="10" max="10" width="37.42578125" style="172" customWidth="1"/>
    <col min="11" max="14" width="8.85546875" style="172"/>
    <col min="15" max="15" width="37.85546875" style="172" customWidth="1"/>
    <col min="16" max="16" width="13.85546875" style="172" bestFit="1" customWidth="1"/>
    <col min="17" max="17" width="8.85546875" style="172"/>
    <col min="18" max="19" width="12" style="172" customWidth="1"/>
    <col min="20" max="16384" width="8.85546875" style="172"/>
  </cols>
  <sheetData>
    <row r="1" spans="2:19" s="2403" customFormat="1" ht="21">
      <c r="B1" s="2403" t="s">
        <v>1575</v>
      </c>
      <c r="Q1" s="2403">
        <f ca="1">'Log2015'!M1</f>
        <v>-8.0112614142160741</v>
      </c>
      <c r="R1" s="2405">
        <f ca="1">'Log2015'!N1</f>
        <v>-160807.124977848</v>
      </c>
      <c r="S1" s="2406"/>
    </row>
    <row r="2" spans="2:19">
      <c r="R2" s="622">
        <f ca="1">R1</f>
        <v>-160807.124977848</v>
      </c>
      <c r="S2" s="622">
        <f>S1</f>
        <v>0</v>
      </c>
    </row>
    <row r="4" spans="2:19" ht="13.5" thickBot="1">
      <c r="B4" s="171" t="s">
        <v>81</v>
      </c>
    </row>
    <row r="5" spans="2:19">
      <c r="B5" s="100" t="s">
        <v>137</v>
      </c>
      <c r="C5" s="221"/>
      <c r="D5" s="221"/>
      <c r="E5" s="221"/>
      <c r="F5" s="221"/>
      <c r="G5" s="221"/>
      <c r="H5" s="221"/>
      <c r="I5" s="221"/>
      <c r="J5" s="221"/>
      <c r="K5" s="221"/>
      <c r="L5" s="221"/>
      <c r="M5" s="221"/>
      <c r="N5" s="222"/>
    </row>
    <row r="6" spans="2:19">
      <c r="B6" s="310" t="s">
        <v>1594</v>
      </c>
      <c r="C6" s="455"/>
      <c r="D6" s="455"/>
      <c r="E6" s="455"/>
      <c r="F6" s="455"/>
      <c r="G6" s="455"/>
      <c r="H6" s="455"/>
      <c r="I6" s="455"/>
      <c r="J6" s="455"/>
      <c r="K6" s="455"/>
      <c r="L6" s="455"/>
      <c r="M6" s="455"/>
      <c r="N6" s="178"/>
    </row>
    <row r="7" spans="2:19">
      <c r="B7" s="310"/>
      <c r="C7" s="455"/>
      <c r="D7" s="455"/>
      <c r="E7" s="455"/>
      <c r="F7" s="455"/>
      <c r="G7" s="455"/>
      <c r="H7" s="455"/>
      <c r="I7" s="455"/>
      <c r="J7" s="455"/>
      <c r="K7" s="455"/>
      <c r="L7" s="455"/>
      <c r="M7" s="455"/>
      <c r="N7" s="178"/>
    </row>
    <row r="8" spans="2:19">
      <c r="B8" s="216"/>
      <c r="C8" s="455"/>
      <c r="D8" s="455"/>
      <c r="E8" s="455"/>
      <c r="F8" s="455"/>
      <c r="G8" s="455"/>
      <c r="H8" s="455"/>
      <c r="I8" s="455"/>
      <c r="J8" s="455"/>
      <c r="K8" s="455"/>
      <c r="L8" s="455"/>
      <c r="M8" s="455"/>
      <c r="N8" s="178"/>
    </row>
    <row r="9" spans="2:19">
      <c r="B9" s="216"/>
      <c r="C9" s="455"/>
      <c r="D9" s="455"/>
      <c r="E9" s="455"/>
      <c r="F9" s="455"/>
      <c r="G9" s="455"/>
      <c r="H9" s="455"/>
      <c r="I9" s="455"/>
      <c r="J9" s="455"/>
      <c r="K9" s="455"/>
      <c r="L9" s="455"/>
      <c r="M9" s="455"/>
      <c r="N9" s="178"/>
    </row>
    <row r="10" spans="2:19">
      <c r="B10" s="216"/>
      <c r="C10" s="455"/>
      <c r="D10" s="455"/>
      <c r="E10" s="455"/>
      <c r="F10" s="455"/>
      <c r="G10" s="455"/>
      <c r="H10" s="455"/>
      <c r="I10" s="455"/>
      <c r="J10" s="455"/>
      <c r="K10" s="455"/>
      <c r="L10" s="455"/>
      <c r="M10" s="455"/>
      <c r="N10" s="178"/>
    </row>
    <row r="11" spans="2:19">
      <c r="B11" s="102" t="s">
        <v>256</v>
      </c>
      <c r="C11" s="455"/>
      <c r="D11" s="455"/>
      <c r="E11" s="455"/>
      <c r="F11" s="455"/>
      <c r="G11" s="455"/>
      <c r="H11" s="455"/>
      <c r="I11" s="455"/>
      <c r="J11" s="455"/>
      <c r="K11" s="455"/>
      <c r="L11" s="455"/>
      <c r="M11" s="455"/>
      <c r="N11" s="178"/>
    </row>
    <row r="12" spans="2:19">
      <c r="B12" s="216"/>
      <c r="C12" s="455"/>
      <c r="D12" s="455"/>
      <c r="E12" s="455"/>
      <c r="F12" s="455"/>
      <c r="G12" s="455"/>
      <c r="H12" s="455"/>
      <c r="I12" s="455"/>
      <c r="J12" s="455"/>
      <c r="K12" s="455"/>
      <c r="L12" s="455"/>
      <c r="M12" s="455"/>
      <c r="N12" s="178"/>
    </row>
    <row r="13" spans="2:19">
      <c r="B13" s="216"/>
      <c r="C13" s="455"/>
      <c r="D13" s="455"/>
      <c r="E13" s="455"/>
      <c r="F13" s="455"/>
      <c r="G13" s="455"/>
      <c r="H13" s="455"/>
      <c r="I13" s="455"/>
      <c r="J13" s="455"/>
      <c r="K13" s="455"/>
      <c r="L13" s="455"/>
      <c r="M13" s="455"/>
      <c r="N13" s="178"/>
    </row>
    <row r="14" spans="2:19">
      <c r="B14" s="102" t="s">
        <v>143</v>
      </c>
      <c r="C14" s="455"/>
      <c r="D14" s="455"/>
      <c r="E14" s="455"/>
      <c r="F14" s="455"/>
      <c r="G14" s="455"/>
      <c r="H14" s="455"/>
      <c r="I14" s="455"/>
      <c r="J14" s="455"/>
      <c r="K14" s="455"/>
      <c r="L14" s="455"/>
      <c r="M14" s="455"/>
      <c r="N14" s="178"/>
    </row>
    <row r="15" spans="2:19">
      <c r="B15" s="216"/>
      <c r="C15" s="455"/>
      <c r="D15" s="455"/>
      <c r="E15" s="455"/>
      <c r="F15" s="455"/>
      <c r="G15" s="455"/>
      <c r="H15" s="455"/>
      <c r="I15" s="455"/>
      <c r="J15" s="455"/>
      <c r="K15" s="455"/>
      <c r="L15" s="455"/>
      <c r="M15" s="455"/>
      <c r="N15" s="178"/>
    </row>
    <row r="16" spans="2:19">
      <c r="B16" s="216"/>
      <c r="C16" s="455"/>
      <c r="D16" s="455"/>
      <c r="E16" s="455"/>
      <c r="F16" s="455"/>
      <c r="G16" s="455"/>
      <c r="H16" s="455"/>
      <c r="I16" s="455"/>
      <c r="J16" s="455"/>
      <c r="K16" s="455"/>
      <c r="L16" s="455"/>
      <c r="M16" s="455"/>
      <c r="N16" s="178"/>
    </row>
    <row r="17" spans="2:14" ht="13.5" thickBot="1">
      <c r="B17" s="181"/>
      <c r="C17" s="244"/>
      <c r="D17" s="244"/>
      <c r="E17" s="244"/>
      <c r="F17" s="244"/>
      <c r="G17" s="244"/>
      <c r="H17" s="244"/>
      <c r="I17" s="244"/>
      <c r="J17" s="244"/>
      <c r="K17" s="244"/>
      <c r="L17" s="244"/>
      <c r="M17" s="244"/>
      <c r="N17" s="183"/>
    </row>
    <row r="19" spans="2:14" ht="13.5" thickBot="1">
      <c r="B19" s="171" t="s">
        <v>144</v>
      </c>
      <c r="E19" s="142"/>
    </row>
    <row r="20" spans="2:14">
      <c r="B20" s="219"/>
      <c r="C20" s="220"/>
      <c r="D20" s="151"/>
      <c r="E20" s="221"/>
      <c r="F20" s="221"/>
      <c r="G20" s="221"/>
      <c r="H20" s="221"/>
      <c r="I20" s="221" t="s">
        <v>145</v>
      </c>
      <c r="J20" s="222" t="s">
        <v>146</v>
      </c>
    </row>
    <row r="21" spans="2:14">
      <c r="B21" s="223"/>
      <c r="C21" s="224" t="s">
        <v>70</v>
      </c>
      <c r="D21" s="152">
        <v>2015</v>
      </c>
      <c r="E21" s="225">
        <v>2020</v>
      </c>
      <c r="F21" s="225">
        <v>2035</v>
      </c>
      <c r="G21" s="225">
        <v>2050</v>
      </c>
      <c r="H21" s="225" t="s">
        <v>978</v>
      </c>
      <c r="I21" s="226"/>
      <c r="J21" s="227"/>
    </row>
    <row r="22" spans="2:14">
      <c r="B22" s="216" t="s">
        <v>257</v>
      </c>
      <c r="C22" s="210"/>
      <c r="D22" s="153"/>
      <c r="E22" s="209"/>
      <c r="F22" s="209"/>
      <c r="G22" s="209"/>
      <c r="H22" s="209"/>
      <c r="I22" s="455"/>
      <c r="J22" s="178"/>
    </row>
    <row r="23" spans="2:14">
      <c r="B23" s="122" t="s">
        <v>848</v>
      </c>
      <c r="C23" s="210" t="s">
        <v>1603</v>
      </c>
      <c r="D23" s="1223">
        <v>0.48</v>
      </c>
      <c r="E23" s="1234">
        <v>0.48</v>
      </c>
      <c r="F23" s="1234">
        <v>0.48</v>
      </c>
      <c r="G23" s="1234">
        <v>0.48</v>
      </c>
      <c r="H23" s="1657"/>
      <c r="I23" s="309"/>
      <c r="J23" s="280" t="s">
        <v>1622</v>
      </c>
    </row>
    <row r="24" spans="2:14">
      <c r="B24" s="122" t="s">
        <v>849</v>
      </c>
      <c r="C24" s="210" t="s">
        <v>1603</v>
      </c>
      <c r="D24" s="1223">
        <v>0.48</v>
      </c>
      <c r="E24" s="1234">
        <v>0.48</v>
      </c>
      <c r="F24" s="1234">
        <v>0.48</v>
      </c>
      <c r="G24" s="1234">
        <v>0.48</v>
      </c>
      <c r="H24" s="1657"/>
      <c r="I24" s="309"/>
      <c r="J24" s="280" t="s">
        <v>1622</v>
      </c>
    </row>
    <row r="25" spans="2:14">
      <c r="B25" s="122" t="s">
        <v>1607</v>
      </c>
      <c r="C25" s="210" t="s">
        <v>1024</v>
      </c>
      <c r="D25" s="416">
        <f>D100</f>
        <v>100.27149703966647</v>
      </c>
      <c r="E25" s="440">
        <f>E100</f>
        <v>100.27149703966647</v>
      </c>
      <c r="F25" s="440">
        <f>F100</f>
        <v>100.27149703966647</v>
      </c>
      <c r="G25" s="440">
        <f>G100</f>
        <v>100.27149703966647</v>
      </c>
      <c r="H25" s="1658"/>
      <c r="I25" s="309"/>
      <c r="J25" s="280"/>
    </row>
    <row r="26" spans="2:14">
      <c r="B26" s="122" t="s">
        <v>1608</v>
      </c>
      <c r="C26" s="210" t="s">
        <v>1024</v>
      </c>
      <c r="D26" s="416"/>
      <c r="E26" s="440"/>
      <c r="F26" s="440"/>
      <c r="G26" s="440"/>
      <c r="H26" s="1658"/>
      <c r="I26" s="309"/>
      <c r="J26" s="280"/>
    </row>
    <row r="27" spans="2:14">
      <c r="B27" s="310" t="s">
        <v>98</v>
      </c>
      <c r="C27" s="210" t="s">
        <v>259</v>
      </c>
      <c r="D27" s="154"/>
      <c r="E27" s="212"/>
      <c r="F27" s="212"/>
      <c r="G27" s="212"/>
      <c r="H27" s="212"/>
      <c r="I27" s="874"/>
      <c r="J27" s="178"/>
    </row>
    <row r="28" spans="2:14">
      <c r="B28" s="310" t="s">
        <v>260</v>
      </c>
      <c r="C28" s="210" t="s">
        <v>261</v>
      </c>
      <c r="D28" s="155"/>
      <c r="E28" s="124"/>
      <c r="F28" s="124"/>
      <c r="G28" s="124"/>
      <c r="H28" s="1659"/>
      <c r="I28" s="309"/>
      <c r="J28" s="178"/>
    </row>
    <row r="29" spans="2:14">
      <c r="B29" s="192"/>
      <c r="C29" s="231"/>
      <c r="D29" s="156"/>
      <c r="E29" s="90"/>
      <c r="F29" s="90"/>
      <c r="G29" s="90"/>
      <c r="H29" s="90"/>
      <c r="I29" s="455"/>
      <c r="J29" s="178"/>
    </row>
    <row r="30" spans="2:14">
      <c r="B30" s="216" t="s">
        <v>33</v>
      </c>
      <c r="C30" s="210"/>
      <c r="D30" s="156"/>
      <c r="E30" s="90"/>
      <c r="F30" s="90"/>
      <c r="G30" s="90"/>
      <c r="H30" s="90"/>
      <c r="I30" s="455"/>
      <c r="J30" s="178"/>
    </row>
    <row r="31" spans="2:14">
      <c r="B31" s="310" t="s">
        <v>157</v>
      </c>
      <c r="C31" s="210" t="s">
        <v>61</v>
      </c>
      <c r="D31" s="992">
        <f>HLOOKUP($H38,Supplementary!$C$44:$AF$46,3,FALSE)*D38</f>
        <v>0</v>
      </c>
      <c r="E31" s="992">
        <f>HLOOKUP($H38,Supplementary!$C$44:$AF$46,3,FALSE)*E38</f>
        <v>0</v>
      </c>
      <c r="F31" s="992">
        <f>HLOOKUP($H38,Supplementary!$C$44:$AF$46,3,FALSE)*F38</f>
        <v>0</v>
      </c>
      <c r="G31" s="992">
        <f>HLOOKUP($H38,Supplementary!$C$44:$AF$46,3,FALSE)*G38</f>
        <v>0</v>
      </c>
      <c r="H31" s="323">
        <f>priceYear</f>
        <v>2015</v>
      </c>
      <c r="I31" s="555"/>
      <c r="J31" s="178"/>
    </row>
    <row r="32" spans="2:14">
      <c r="B32" s="192" t="s">
        <v>262</v>
      </c>
      <c r="C32" s="210" t="s">
        <v>263</v>
      </c>
      <c r="D32" s="992">
        <f>HLOOKUP($H39,Supplementary!$C$44:$AF$46,3,FALSE)*D39</f>
        <v>901.38092661991129</v>
      </c>
      <c r="E32" s="992">
        <f>HLOOKUP($H39,Supplementary!$C$44:$AF$46,3,FALSE)*E39</f>
        <v>901.38092661991129</v>
      </c>
      <c r="F32" s="992">
        <f>HLOOKUP($H39,Supplementary!$C$44:$AF$46,3,FALSE)*F39</f>
        <v>901.38092661991129</v>
      </c>
      <c r="G32" s="992">
        <f>HLOOKUP($H39,Supplementary!$C$44:$AF$46,3,FALSE)*G39</f>
        <v>901.38092661991129</v>
      </c>
      <c r="H32" s="323">
        <f>priceYear</f>
        <v>2015</v>
      </c>
      <c r="I32" s="555"/>
      <c r="J32" s="178"/>
    </row>
    <row r="33" spans="2:11">
      <c r="B33" s="236" t="s">
        <v>162</v>
      </c>
      <c r="C33" s="210" t="s">
        <v>263</v>
      </c>
      <c r="D33" s="992">
        <f>HLOOKUP($H40,Supplementary!$C$44:$AF$46,3,FALSE)*D40</f>
        <v>0</v>
      </c>
      <c r="E33" s="992">
        <f>HLOOKUP($H40,Supplementary!$C$44:$AF$46,3,FALSE)*E40</f>
        <v>0</v>
      </c>
      <c r="F33" s="992">
        <f>HLOOKUP($H40,Supplementary!$C$44:$AF$46,3,FALSE)*F40</f>
        <v>0</v>
      </c>
      <c r="G33" s="992">
        <f>HLOOKUP($H40,Supplementary!$C$44:$AF$46,3,FALSE)*G40</f>
        <v>0</v>
      </c>
      <c r="H33" s="323">
        <f>priceYear</f>
        <v>2015</v>
      </c>
      <c r="I33" s="555"/>
      <c r="J33" s="178"/>
    </row>
    <row r="34" spans="2:11">
      <c r="B34" s="236" t="s">
        <v>163</v>
      </c>
      <c r="C34" s="210" t="s">
        <v>263</v>
      </c>
      <c r="D34" s="992">
        <f>HLOOKUP($H41,Supplementary!$C$44:$AF$46,3,FALSE)*D41</f>
        <v>901.38092661991129</v>
      </c>
      <c r="E34" s="992">
        <f>HLOOKUP($H41,Supplementary!$C$44:$AF$46,3,FALSE)*E41</f>
        <v>901.38092661991129</v>
      </c>
      <c r="F34" s="992">
        <f>HLOOKUP($H41,Supplementary!$C$44:$AF$46,3,FALSE)*F41</f>
        <v>901.38092661991129</v>
      </c>
      <c r="G34" s="992">
        <f>HLOOKUP($H41,Supplementary!$C$44:$AF$46,3,FALSE)*G41</f>
        <v>901.38092661991129</v>
      </c>
      <c r="H34" s="323">
        <f>priceYear</f>
        <v>2015</v>
      </c>
      <c r="I34" s="555"/>
      <c r="J34" s="178"/>
    </row>
    <row r="35" spans="2:11">
      <c r="B35" s="236"/>
      <c r="C35" s="210"/>
      <c r="D35" s="992"/>
      <c r="E35" s="992"/>
      <c r="F35" s="992"/>
      <c r="G35" s="992"/>
      <c r="H35" s="323"/>
      <c r="I35" s="555"/>
      <c r="J35" s="178"/>
    </row>
    <row r="36" spans="2:11">
      <c r="B36" s="236" t="s">
        <v>264</v>
      </c>
      <c r="C36" s="210" t="s">
        <v>263</v>
      </c>
      <c r="D36" s="992">
        <f>HLOOKUP($H43,Supplementary!$C$44:$AF$46,3,FALSE)*D43</f>
        <v>0</v>
      </c>
      <c r="E36" s="992">
        <f>HLOOKUP($H43,Supplementary!$C$44:$AF$46,3,FALSE)*E43</f>
        <v>0</v>
      </c>
      <c r="F36" s="992">
        <f>HLOOKUP($H43,Supplementary!$C$44:$AF$46,3,FALSE)*F43</f>
        <v>0</v>
      </c>
      <c r="G36" s="992">
        <f>HLOOKUP($H43,Supplementary!$C$44:$AF$46,3,FALSE)*G43</f>
        <v>0</v>
      </c>
      <c r="H36" s="323">
        <f>priceYear</f>
        <v>2015</v>
      </c>
      <c r="I36" s="555"/>
      <c r="J36" s="178"/>
    </row>
    <row r="37" spans="2:11">
      <c r="B37" s="216"/>
      <c r="C37" s="210"/>
      <c r="D37" s="156"/>
      <c r="E37" s="90"/>
      <c r="F37" s="90"/>
      <c r="G37" s="90"/>
      <c r="H37" s="90"/>
      <c r="I37" s="555"/>
      <c r="J37" s="178"/>
    </row>
    <row r="38" spans="2:11">
      <c r="B38" s="310" t="s">
        <v>157</v>
      </c>
      <c r="C38" s="210" t="s">
        <v>61</v>
      </c>
      <c r="D38" s="157"/>
      <c r="E38" s="125"/>
      <c r="F38" s="125"/>
      <c r="G38" s="125"/>
      <c r="H38" s="407">
        <v>2012</v>
      </c>
      <c r="I38" s="309"/>
      <c r="J38" s="178"/>
    </row>
    <row r="39" spans="2:11">
      <c r="B39" s="192" t="s">
        <v>262</v>
      </c>
      <c r="C39" s="210" t="s">
        <v>263</v>
      </c>
      <c r="D39" s="1224">
        <f>SUM(D40:D43)</f>
        <v>851.25751685307193</v>
      </c>
      <c r="E39" s="237">
        <f>SUM(E40:E43)</f>
        <v>851.25751685307193</v>
      </c>
      <c r="F39" s="237">
        <f>SUM(F40:F43)</f>
        <v>851.25751685307193</v>
      </c>
      <c r="G39" s="237">
        <f>SUM(G40:G43)</f>
        <v>851.25751685307193</v>
      </c>
      <c r="H39" s="407">
        <v>2012</v>
      </c>
      <c r="I39" s="309"/>
      <c r="J39" s="178"/>
    </row>
    <row r="40" spans="2:11">
      <c r="B40" s="236" t="s">
        <v>162</v>
      </c>
      <c r="C40" s="210" t="s">
        <v>263</v>
      </c>
      <c r="D40" s="158"/>
      <c r="E40" s="214"/>
      <c r="F40" s="214"/>
      <c r="G40" s="214"/>
      <c r="H40" s="407">
        <v>2012</v>
      </c>
      <c r="I40" s="309"/>
      <c r="J40" s="178"/>
    </row>
    <row r="41" spans="2:11">
      <c r="B41" s="236" t="s">
        <v>163</v>
      </c>
      <c r="C41" s="210" t="s">
        <v>263</v>
      </c>
      <c r="D41" s="159">
        <f>D88/D67*1000</f>
        <v>851.25751685307193</v>
      </c>
      <c r="E41" s="195">
        <f t="shared" ref="E41:G41" si="0">E88/E67*1000</f>
        <v>851.25751685307193</v>
      </c>
      <c r="F41" s="195">
        <f t="shared" si="0"/>
        <v>851.25751685307193</v>
      </c>
      <c r="G41" s="195">
        <f t="shared" si="0"/>
        <v>851.25751685307193</v>
      </c>
      <c r="H41" s="407">
        <v>2012</v>
      </c>
      <c r="I41" s="874"/>
      <c r="J41" s="178"/>
      <c r="K41" s="164"/>
    </row>
    <row r="42" spans="2:11">
      <c r="B42" s="236"/>
      <c r="C42" s="210"/>
      <c r="D42" s="156"/>
      <c r="E42" s="90"/>
      <c r="F42" s="90"/>
      <c r="G42" s="90"/>
      <c r="H42" s="407"/>
      <c r="I42" s="309"/>
      <c r="J42" s="178"/>
    </row>
    <row r="43" spans="2:11">
      <c r="B43" s="236" t="s">
        <v>264</v>
      </c>
      <c r="C43" s="210" t="s">
        <v>263</v>
      </c>
      <c r="D43" s="154"/>
      <c r="E43" s="212"/>
      <c r="F43" s="212"/>
      <c r="G43" s="212"/>
      <c r="H43" s="407">
        <v>2012</v>
      </c>
      <c r="I43" s="309"/>
      <c r="J43" s="178"/>
    </row>
    <row r="44" spans="2:11">
      <c r="B44" s="236"/>
      <c r="C44" s="210"/>
      <c r="D44" s="156"/>
      <c r="E44" s="90"/>
      <c r="F44" s="90"/>
      <c r="G44" s="90"/>
      <c r="H44" s="90"/>
      <c r="I44" s="309"/>
      <c r="J44" s="178"/>
    </row>
    <row r="45" spans="2:11">
      <c r="B45" s="216" t="s">
        <v>166</v>
      </c>
      <c r="C45" s="210"/>
      <c r="D45" s="156"/>
      <c r="E45" s="90"/>
      <c r="F45" s="90"/>
      <c r="G45" s="90"/>
      <c r="H45" s="252"/>
      <c r="I45" s="309"/>
      <c r="J45" s="178"/>
    </row>
    <row r="46" spans="2:11">
      <c r="B46" s="418" t="s">
        <v>0</v>
      </c>
      <c r="C46" s="210"/>
      <c r="D46" s="156"/>
      <c r="E46" s="90"/>
      <c r="F46" s="90"/>
      <c r="G46" s="90"/>
      <c r="H46" s="214"/>
      <c r="I46" s="309"/>
      <c r="J46" s="178"/>
    </row>
    <row r="47" spans="2:11">
      <c r="B47" s="192" t="s">
        <v>24</v>
      </c>
      <c r="C47" s="210" t="s">
        <v>1642</v>
      </c>
      <c r="D47" s="425"/>
      <c r="E47" s="426"/>
      <c r="F47" s="426"/>
      <c r="G47" s="426"/>
      <c r="H47" s="214"/>
      <c r="I47" s="309"/>
      <c r="J47" s="278" t="s">
        <v>850</v>
      </c>
    </row>
    <row r="48" spans="2:11">
      <c r="B48" s="192" t="s">
        <v>27</v>
      </c>
      <c r="C48" s="210" t="s">
        <v>1642</v>
      </c>
      <c r="D48" s="127">
        <f t="shared" ref="D48" si="1">D103/D$100</f>
        <v>0</v>
      </c>
      <c r="E48" s="127">
        <f t="shared" ref="E48:G52" si="2">E103/E$100</f>
        <v>0</v>
      </c>
      <c r="F48" s="127">
        <f t="shared" si="2"/>
        <v>0</v>
      </c>
      <c r="G48" s="127">
        <f t="shared" si="2"/>
        <v>0</v>
      </c>
      <c r="H48" s="1660"/>
      <c r="I48" s="309"/>
      <c r="J48" s="178"/>
    </row>
    <row r="49" spans="2:10">
      <c r="B49" s="192" t="s">
        <v>28</v>
      </c>
      <c r="C49" s="210" t="s">
        <v>1642</v>
      </c>
      <c r="D49" s="127">
        <f t="shared" ref="D49" si="3">D104/D$100</f>
        <v>0</v>
      </c>
      <c r="E49" s="127">
        <f t="shared" si="2"/>
        <v>0</v>
      </c>
      <c r="F49" s="127">
        <f t="shared" si="2"/>
        <v>0</v>
      </c>
      <c r="G49" s="127">
        <f t="shared" si="2"/>
        <v>0</v>
      </c>
      <c r="H49" s="90"/>
      <c r="I49" s="309"/>
      <c r="J49" s="178"/>
    </row>
    <row r="50" spans="2:10">
      <c r="B50" s="192" t="s">
        <v>26</v>
      </c>
      <c r="C50" s="210" t="s">
        <v>1642</v>
      </c>
      <c r="D50" s="127">
        <f t="shared" ref="D50" si="4">D105/D$100</f>
        <v>0</v>
      </c>
      <c r="E50" s="127">
        <f t="shared" si="2"/>
        <v>0</v>
      </c>
      <c r="F50" s="127">
        <f t="shared" si="2"/>
        <v>0</v>
      </c>
      <c r="G50" s="127">
        <f t="shared" si="2"/>
        <v>0</v>
      </c>
      <c r="H50" s="212"/>
      <c r="I50" s="309"/>
      <c r="J50" s="178"/>
    </row>
    <row r="51" spans="2:10">
      <c r="B51" s="192" t="s">
        <v>167</v>
      </c>
      <c r="C51" s="210" t="s">
        <v>1642</v>
      </c>
      <c r="D51" s="127">
        <f t="shared" ref="D51" si="5">D106/D$100</f>
        <v>0.30429157516640282</v>
      </c>
      <c r="E51" s="127">
        <f t="shared" si="2"/>
        <v>0.30429157516640282</v>
      </c>
      <c r="F51" s="127">
        <f t="shared" si="2"/>
        <v>0.30429157516640282</v>
      </c>
      <c r="G51" s="127">
        <f t="shared" si="2"/>
        <v>0.30429157516640282</v>
      </c>
      <c r="H51" s="90"/>
      <c r="I51" s="309"/>
      <c r="J51" s="178"/>
    </row>
    <row r="52" spans="2:10">
      <c r="B52" s="192" t="s">
        <v>45</v>
      </c>
      <c r="C52" s="210" t="s">
        <v>1642</v>
      </c>
      <c r="D52" s="127">
        <f t="shared" ref="D52" si="6">D107/D$100</f>
        <v>0</v>
      </c>
      <c r="E52" s="127">
        <f t="shared" si="2"/>
        <v>0</v>
      </c>
      <c r="F52" s="127">
        <f t="shared" si="2"/>
        <v>0</v>
      </c>
      <c r="G52" s="127">
        <f t="shared" si="2"/>
        <v>0</v>
      </c>
      <c r="H52" s="90"/>
      <c r="I52" s="309"/>
      <c r="J52" s="178"/>
    </row>
    <row r="53" spans="2:10">
      <c r="B53" s="192"/>
      <c r="C53" s="210"/>
      <c r="D53" s="867"/>
      <c r="E53" s="455"/>
      <c r="F53" s="455"/>
      <c r="G53" s="455"/>
      <c r="H53" s="90"/>
      <c r="I53" s="309"/>
      <c r="J53" s="178"/>
    </row>
    <row r="54" spans="2:10">
      <c r="B54" s="418" t="s">
        <v>20</v>
      </c>
      <c r="C54" s="210"/>
      <c r="D54" s="156"/>
      <c r="E54" s="90"/>
      <c r="F54" s="90"/>
      <c r="G54" s="90"/>
      <c r="H54" s="1660"/>
      <c r="I54" s="309"/>
      <c r="J54" s="178"/>
    </row>
    <row r="55" spans="2:10">
      <c r="B55" s="192" t="s">
        <v>24</v>
      </c>
      <c r="C55" s="210" t="s">
        <v>1642</v>
      </c>
      <c r="D55" s="425"/>
      <c r="E55" s="426"/>
      <c r="F55" s="426"/>
      <c r="G55" s="426"/>
      <c r="H55" s="1169"/>
      <c r="I55" s="309"/>
      <c r="J55" s="278" t="s">
        <v>850</v>
      </c>
    </row>
    <row r="56" spans="2:10">
      <c r="B56" s="192" t="s">
        <v>27</v>
      </c>
      <c r="C56" s="210" t="s">
        <v>1642</v>
      </c>
      <c r="D56" s="420">
        <f t="shared" ref="D56:G60" si="7">D48</f>
        <v>0</v>
      </c>
      <c r="E56" s="419">
        <f t="shared" si="7"/>
        <v>0</v>
      </c>
      <c r="F56" s="419">
        <f t="shared" si="7"/>
        <v>0</v>
      </c>
      <c r="G56" s="419">
        <f t="shared" si="7"/>
        <v>0</v>
      </c>
      <c r="H56" s="1169"/>
      <c r="I56" s="309"/>
      <c r="J56" s="178"/>
    </row>
    <row r="57" spans="2:10">
      <c r="B57" s="192" t="s">
        <v>28</v>
      </c>
      <c r="C57" s="210" t="s">
        <v>1642</v>
      </c>
      <c r="D57" s="420">
        <f t="shared" si="7"/>
        <v>0</v>
      </c>
      <c r="E57" s="419">
        <f t="shared" si="7"/>
        <v>0</v>
      </c>
      <c r="F57" s="419">
        <f t="shared" si="7"/>
        <v>0</v>
      </c>
      <c r="G57" s="419">
        <f t="shared" si="7"/>
        <v>0</v>
      </c>
      <c r="H57" s="1169"/>
      <c r="I57" s="309"/>
      <c r="J57" s="178"/>
    </row>
    <row r="58" spans="2:10">
      <c r="B58" s="192" t="s">
        <v>26</v>
      </c>
      <c r="C58" s="210" t="s">
        <v>1642</v>
      </c>
      <c r="D58" s="420">
        <f t="shared" si="7"/>
        <v>0</v>
      </c>
      <c r="E58" s="419">
        <f t="shared" si="7"/>
        <v>0</v>
      </c>
      <c r="F58" s="419">
        <f t="shared" si="7"/>
        <v>0</v>
      </c>
      <c r="G58" s="419">
        <f t="shared" si="7"/>
        <v>0</v>
      </c>
      <c r="H58" s="1169"/>
      <c r="I58" s="309"/>
      <c r="J58" s="178"/>
    </row>
    <row r="59" spans="2:10">
      <c r="B59" s="192" t="s">
        <v>167</v>
      </c>
      <c r="C59" s="210" t="s">
        <v>1642</v>
      </c>
      <c r="D59" s="420">
        <f t="shared" si="7"/>
        <v>0.30429157516640282</v>
      </c>
      <c r="E59" s="419">
        <f t="shared" si="7"/>
        <v>0.30429157516640282</v>
      </c>
      <c r="F59" s="419">
        <f t="shared" si="7"/>
        <v>0.30429157516640282</v>
      </c>
      <c r="G59" s="419">
        <f t="shared" si="7"/>
        <v>0.30429157516640282</v>
      </c>
      <c r="H59" s="1169"/>
      <c r="I59" s="309"/>
      <c r="J59" s="178"/>
    </row>
    <row r="60" spans="2:10">
      <c r="B60" s="192" t="s">
        <v>45</v>
      </c>
      <c r="C60" s="210" t="s">
        <v>1642</v>
      </c>
      <c r="D60" s="420">
        <f t="shared" si="7"/>
        <v>0</v>
      </c>
      <c r="E60" s="419">
        <f t="shared" si="7"/>
        <v>0</v>
      </c>
      <c r="F60" s="419">
        <f t="shared" si="7"/>
        <v>0</v>
      </c>
      <c r="G60" s="419">
        <f t="shared" si="7"/>
        <v>0</v>
      </c>
      <c r="H60" s="323"/>
      <c r="I60" s="309"/>
      <c r="J60" s="178"/>
    </row>
    <row r="61" spans="2:10" ht="13.5" thickBot="1">
      <c r="B61" s="313"/>
      <c r="C61" s="238"/>
      <c r="D61" s="873"/>
      <c r="E61" s="244"/>
      <c r="F61" s="244"/>
      <c r="G61" s="244"/>
      <c r="H61" s="244"/>
      <c r="I61" s="315"/>
      <c r="J61" s="183"/>
    </row>
    <row r="64" spans="2:10" ht="16.5" thickBot="1">
      <c r="B64" s="193" t="s">
        <v>168</v>
      </c>
    </row>
    <row r="65" spans="2:10">
      <c r="B65" s="219"/>
      <c r="C65" s="220"/>
      <c r="D65" s="151"/>
      <c r="E65" s="221"/>
      <c r="F65" s="221"/>
      <c r="G65" s="221"/>
      <c r="H65" s="221"/>
      <c r="I65" s="221" t="s">
        <v>145</v>
      </c>
      <c r="J65" s="222" t="s">
        <v>146</v>
      </c>
    </row>
    <row r="66" spans="2:10">
      <c r="B66" s="223"/>
      <c r="C66" s="224" t="s">
        <v>70</v>
      </c>
      <c r="D66" s="152">
        <v>2015</v>
      </c>
      <c r="E66" s="225">
        <v>2020</v>
      </c>
      <c r="F66" s="225">
        <v>2035</v>
      </c>
      <c r="G66" s="225">
        <v>2050</v>
      </c>
      <c r="H66" s="225"/>
      <c r="I66" s="226"/>
      <c r="J66" s="227"/>
    </row>
    <row r="67" spans="2:10">
      <c r="B67" s="192" t="s">
        <v>1605</v>
      </c>
      <c r="C67" s="241" t="s">
        <v>6</v>
      </c>
      <c r="D67" s="1225">
        <f>D23*D100</f>
        <v>48.130318579039901</v>
      </c>
      <c r="E67" s="1211">
        <f>E23*E100</f>
        <v>48.130318579039901</v>
      </c>
      <c r="F67" s="1211">
        <f>F23*F100</f>
        <v>48.130318579039901</v>
      </c>
      <c r="G67" s="1211">
        <f>G23*G100</f>
        <v>48.130318579039901</v>
      </c>
      <c r="H67" s="1211"/>
      <c r="I67" s="455"/>
      <c r="J67" s="178"/>
    </row>
    <row r="68" spans="2:10">
      <c r="B68" s="192"/>
      <c r="C68" s="241"/>
      <c r="D68" s="1209"/>
      <c r="E68" s="90"/>
      <c r="F68" s="90"/>
      <c r="G68" s="90"/>
      <c r="H68" s="90"/>
      <c r="I68" s="874"/>
      <c r="J68" s="178"/>
    </row>
    <row r="69" spans="2:10">
      <c r="B69" s="192" t="s">
        <v>1611</v>
      </c>
      <c r="C69" s="241"/>
      <c r="D69" s="1223">
        <v>396134</v>
      </c>
      <c r="E69" s="90">
        <v>396134</v>
      </c>
      <c r="F69" s="90">
        <v>396134</v>
      </c>
      <c r="G69" s="90">
        <v>396134</v>
      </c>
      <c r="H69" s="90"/>
      <c r="I69" s="874"/>
      <c r="J69" s="178" t="s">
        <v>1626</v>
      </c>
    </row>
    <row r="70" spans="2:10">
      <c r="B70" s="192" t="s">
        <v>1612</v>
      </c>
      <c r="C70" s="241"/>
      <c r="D70" s="1209">
        <f>D69*D77</f>
        <v>438420.5524416939</v>
      </c>
      <c r="E70" s="323">
        <f>E69*E77</f>
        <v>438420.5524416939</v>
      </c>
      <c r="F70" s="323">
        <f>F69*F77</f>
        <v>438420.5524416939</v>
      </c>
      <c r="G70" s="323">
        <f>G69*G77</f>
        <v>438420.5524416939</v>
      </c>
      <c r="H70" s="323"/>
      <c r="I70" s="874"/>
      <c r="J70" s="178"/>
    </row>
    <row r="71" spans="2:10">
      <c r="B71" s="192" t="s">
        <v>1613</v>
      </c>
      <c r="C71" s="1230" t="s">
        <v>60</v>
      </c>
      <c r="D71" s="1223">
        <v>1069</v>
      </c>
      <c r="E71" s="90">
        <v>1069</v>
      </c>
      <c r="F71" s="90">
        <v>1069</v>
      </c>
      <c r="G71" s="90">
        <v>1069</v>
      </c>
      <c r="H71" s="90"/>
      <c r="I71" s="874"/>
      <c r="J71" s="178" t="s">
        <v>1626</v>
      </c>
    </row>
    <row r="72" spans="2:10">
      <c r="B72" s="192" t="s">
        <v>1614</v>
      </c>
      <c r="C72" s="241" t="s">
        <v>59</v>
      </c>
      <c r="D72" s="1223">
        <v>1098000000</v>
      </c>
      <c r="E72" s="90">
        <v>1098000000</v>
      </c>
      <c r="F72" s="90">
        <v>1098000000</v>
      </c>
      <c r="G72" s="90">
        <v>1098000000</v>
      </c>
      <c r="H72" s="90"/>
      <c r="I72" s="874"/>
      <c r="J72" s="178" t="s">
        <v>1627</v>
      </c>
    </row>
    <row r="73" spans="2:10">
      <c r="B73" s="192" t="s">
        <v>1615</v>
      </c>
      <c r="C73" s="241"/>
      <c r="D73" s="1223">
        <v>28990000</v>
      </c>
      <c r="E73" s="90">
        <v>28990000</v>
      </c>
      <c r="F73" s="90">
        <v>28990000</v>
      </c>
      <c r="G73" s="90">
        <v>28990000</v>
      </c>
      <c r="H73" s="90"/>
      <c r="I73" s="874"/>
      <c r="J73" s="178" t="s">
        <v>1626</v>
      </c>
    </row>
    <row r="74" spans="2:10">
      <c r="B74" s="192" t="s">
        <v>1616</v>
      </c>
      <c r="C74" s="241" t="s">
        <v>60</v>
      </c>
      <c r="D74" s="1223">
        <v>30668000000</v>
      </c>
      <c r="E74" s="90">
        <v>30668000000</v>
      </c>
      <c r="F74" s="90">
        <v>30668000000</v>
      </c>
      <c r="G74" s="90">
        <v>30668000000</v>
      </c>
      <c r="H74" s="90"/>
      <c r="I74" s="874"/>
      <c r="J74" s="178" t="s">
        <v>1626</v>
      </c>
    </row>
    <row r="75" spans="2:10">
      <c r="B75" s="192" t="s">
        <v>1617</v>
      </c>
      <c r="C75" s="241" t="s">
        <v>60</v>
      </c>
      <c r="D75" s="1223">
        <v>37003000000</v>
      </c>
      <c r="E75" s="90">
        <v>37003000000</v>
      </c>
      <c r="F75" s="90">
        <v>37003000000</v>
      </c>
      <c r="G75" s="90">
        <v>37003000000</v>
      </c>
      <c r="H75" s="90"/>
      <c r="I75" s="874"/>
      <c r="J75" s="178" t="s">
        <v>1626</v>
      </c>
    </row>
    <row r="76" spans="2:10">
      <c r="B76" s="192" t="s">
        <v>1618</v>
      </c>
      <c r="C76" s="241" t="s">
        <v>60</v>
      </c>
      <c r="D76" s="1223">
        <v>40953000000</v>
      </c>
      <c r="E76" s="90">
        <v>40953000000</v>
      </c>
      <c r="F76" s="90">
        <v>40953000000</v>
      </c>
      <c r="G76" s="90">
        <v>40953000000</v>
      </c>
      <c r="H76" s="90"/>
      <c r="I76" s="874"/>
      <c r="J76" s="178" t="s">
        <v>1626</v>
      </c>
    </row>
    <row r="77" spans="2:10">
      <c r="B77" s="192" t="s">
        <v>1625</v>
      </c>
      <c r="C77" s="241"/>
      <c r="D77" s="1209">
        <f>D76/D75</f>
        <v>1.1067481015052834</v>
      </c>
      <c r="E77" s="323">
        <f>E76/E75</f>
        <v>1.1067481015052834</v>
      </c>
      <c r="F77" s="323">
        <f>F76/F75</f>
        <v>1.1067481015052834</v>
      </c>
      <c r="G77" s="323">
        <f>G76/G75</f>
        <v>1.1067481015052834</v>
      </c>
      <c r="H77" s="323"/>
      <c r="I77" s="874"/>
      <c r="J77" s="178"/>
    </row>
    <row r="78" spans="2:10">
      <c r="B78" s="192" t="s">
        <v>1619</v>
      </c>
      <c r="C78" s="241" t="s">
        <v>60</v>
      </c>
      <c r="D78" s="1209">
        <f>D74/D70</f>
        <v>69951.100214624574</v>
      </c>
      <c r="E78" s="323">
        <f>E74/E70</f>
        <v>69951.100214624574</v>
      </c>
      <c r="F78" s="323">
        <f>F74/F70</f>
        <v>69951.100214624574</v>
      </c>
      <c r="G78" s="323">
        <f>G74/G70</f>
        <v>69951.100214624574</v>
      </c>
      <c r="H78" s="323"/>
      <c r="I78" s="874"/>
      <c r="J78" s="178"/>
    </row>
    <row r="79" spans="2:10">
      <c r="B79" s="192" t="s">
        <v>1620</v>
      </c>
      <c r="C79" s="241" t="s">
        <v>59</v>
      </c>
      <c r="D79" s="1209">
        <f>D72/D70</f>
        <v>2504.4446340047539</v>
      </c>
      <c r="E79" s="323">
        <f>E72/E70</f>
        <v>2504.4446340047539</v>
      </c>
      <c r="F79" s="323">
        <f>F72/F70</f>
        <v>2504.4446340047539</v>
      </c>
      <c r="G79" s="323">
        <f>G72/G70</f>
        <v>2504.4446340047539</v>
      </c>
      <c r="H79" s="323"/>
      <c r="I79" s="874"/>
      <c r="J79" s="178"/>
    </row>
    <row r="80" spans="2:10">
      <c r="B80" s="192" t="s">
        <v>1621</v>
      </c>
      <c r="C80" s="241" t="s">
        <v>1631</v>
      </c>
      <c r="D80" s="1209">
        <f>D79/D71</f>
        <v>2.3427919869080953</v>
      </c>
      <c r="E80" s="323">
        <f>E79/E71</f>
        <v>2.3427919869080953</v>
      </c>
      <c r="F80" s="323">
        <f>F79/F71</f>
        <v>2.3427919869080953</v>
      </c>
      <c r="G80" s="323">
        <f>G79/G71</f>
        <v>2.3427919869080953</v>
      </c>
      <c r="H80" s="323"/>
      <c r="I80" s="874"/>
      <c r="J80" s="178"/>
    </row>
    <row r="81" spans="2:10">
      <c r="B81" s="192" t="s">
        <v>1034</v>
      </c>
      <c r="C81" s="241" t="s">
        <v>1595</v>
      </c>
      <c r="D81" s="1209">
        <f>D80/Supplementary!$E$159</f>
        <v>2.901290386263895</v>
      </c>
      <c r="E81" s="323">
        <f>E80/Supplementary!$E$159</f>
        <v>2.901290386263895</v>
      </c>
      <c r="F81" s="323">
        <f>F80/Supplementary!$E$159</f>
        <v>2.901290386263895</v>
      </c>
      <c r="G81" s="323">
        <f>G80/Supplementary!$E$159</f>
        <v>2.901290386263895</v>
      </c>
      <c r="H81" s="323"/>
      <c r="I81" s="874"/>
      <c r="J81" s="178"/>
    </row>
    <row r="82" spans="2:10">
      <c r="B82" s="192"/>
      <c r="C82" s="241"/>
      <c r="D82" s="1209"/>
      <c r="E82" s="90"/>
      <c r="F82" s="90"/>
      <c r="G82" s="90"/>
      <c r="H82" s="90"/>
      <c r="I82" s="874"/>
      <c r="J82" s="178"/>
    </row>
    <row r="83" spans="2:10">
      <c r="B83" s="192" t="s">
        <v>1609</v>
      </c>
      <c r="C83" s="241" t="s">
        <v>1628</v>
      </c>
      <c r="D83" s="1223">
        <v>969</v>
      </c>
      <c r="E83" s="90">
        <v>969</v>
      </c>
      <c r="F83" s="90">
        <v>969</v>
      </c>
      <c r="G83" s="90">
        <v>969</v>
      </c>
      <c r="H83" s="90"/>
      <c r="I83" s="874"/>
      <c r="J83" s="178" t="s">
        <v>1626</v>
      </c>
    </row>
    <row r="84" spans="2:10">
      <c r="B84" s="192" t="s">
        <v>1610</v>
      </c>
      <c r="C84" s="241" t="s">
        <v>1632</v>
      </c>
      <c r="D84" s="1209">
        <f>D83/1000*D80</f>
        <v>2.2701654353139444</v>
      </c>
      <c r="E84" s="323">
        <f>E83/1000*E80</f>
        <v>2.2701654353139444</v>
      </c>
      <c r="F84" s="323">
        <f>F83/1000*F80</f>
        <v>2.2701654353139444</v>
      </c>
      <c r="G84" s="323">
        <f>G83/1000*G80</f>
        <v>2.2701654353139444</v>
      </c>
      <c r="H84" s="323"/>
      <c r="I84" s="874"/>
      <c r="J84" s="178"/>
    </row>
    <row r="85" spans="2:10">
      <c r="B85" s="192" t="s">
        <v>1635</v>
      </c>
      <c r="C85" s="241" t="s">
        <v>1629</v>
      </c>
      <c r="D85" s="1223">
        <v>0.81</v>
      </c>
      <c r="E85" s="90">
        <v>0.81</v>
      </c>
      <c r="F85" s="90">
        <v>0.81</v>
      </c>
      <c r="G85" s="90">
        <v>0.81</v>
      </c>
      <c r="H85" s="90"/>
      <c r="I85" s="874"/>
      <c r="J85" s="178" t="s">
        <v>1626</v>
      </c>
    </row>
    <row r="86" spans="2:10">
      <c r="B86" s="192" t="s">
        <v>1634</v>
      </c>
      <c r="C86" s="241" t="s">
        <v>1633</v>
      </c>
      <c r="D86" s="1209">
        <f>D85*D78</f>
        <v>56660.391173845906</v>
      </c>
      <c r="E86" s="323">
        <f>E85*E78</f>
        <v>56660.391173845906</v>
      </c>
      <c r="F86" s="323">
        <f>F85*F78</f>
        <v>56660.391173845906</v>
      </c>
      <c r="G86" s="323">
        <f>G85*G78</f>
        <v>56660.391173845906</v>
      </c>
      <c r="H86" s="323"/>
      <c r="I86" s="874"/>
      <c r="J86" s="178"/>
    </row>
    <row r="87" spans="2:10">
      <c r="B87" s="192" t="s">
        <v>1634</v>
      </c>
      <c r="C87" s="241" t="s">
        <v>68</v>
      </c>
      <c r="D87" s="1209">
        <f>D86/D71</f>
        <v>53.003172286104686</v>
      </c>
      <c r="E87" s="323">
        <f>E86/E71</f>
        <v>53.003172286104686</v>
      </c>
      <c r="F87" s="323">
        <f>F86/F71</f>
        <v>53.003172286104686</v>
      </c>
      <c r="G87" s="323">
        <f>G86/G71</f>
        <v>53.003172286104686</v>
      </c>
      <c r="H87" s="323"/>
      <c r="I87" s="874"/>
      <c r="J87" s="178"/>
    </row>
    <row r="88" spans="2:10">
      <c r="B88" s="192" t="s">
        <v>1596</v>
      </c>
      <c r="C88" s="241" t="s">
        <v>68</v>
      </c>
      <c r="D88" s="1209">
        <f>D87-D84*dkkPerUSD</f>
        <v>40.971295478940782</v>
      </c>
      <c r="E88" s="323">
        <f>E87-E84*dkkPerUSD</f>
        <v>40.971295478940782</v>
      </c>
      <c r="F88" s="323">
        <f>F87-F84*dkkPerUSD</f>
        <v>40.971295478940782</v>
      </c>
      <c r="G88" s="323">
        <f>G87-G84*dkkPerUSD</f>
        <v>40.971295478940782</v>
      </c>
      <c r="H88" s="323"/>
      <c r="I88" s="874"/>
      <c r="J88" s="178"/>
    </row>
    <row r="89" spans="2:10">
      <c r="B89" s="192"/>
      <c r="C89" s="241"/>
      <c r="D89" s="1209"/>
      <c r="E89" s="90"/>
      <c r="F89" s="90"/>
      <c r="G89" s="90"/>
      <c r="H89" s="90"/>
      <c r="I89" s="874"/>
      <c r="J89" s="178"/>
    </row>
    <row r="90" spans="2:10">
      <c r="B90" s="192" t="s">
        <v>24</v>
      </c>
      <c r="C90" s="241" t="s">
        <v>1439</v>
      </c>
      <c r="D90" s="1223">
        <v>3460</v>
      </c>
      <c r="E90" s="90">
        <v>3460</v>
      </c>
      <c r="F90" s="90">
        <v>3460</v>
      </c>
      <c r="G90" s="90">
        <v>3460</v>
      </c>
      <c r="H90" s="90"/>
      <c r="I90" s="874"/>
      <c r="J90" s="178" t="s">
        <v>1627</v>
      </c>
    </row>
    <row r="91" spans="2:10">
      <c r="B91" s="192" t="s">
        <v>167</v>
      </c>
      <c r="C91" s="241" t="s">
        <v>1439</v>
      </c>
      <c r="D91" s="1223">
        <v>14.3</v>
      </c>
      <c r="E91" s="90">
        <v>14.3</v>
      </c>
      <c r="F91" s="90">
        <v>14.3</v>
      </c>
      <c r="G91" s="90">
        <v>14.3</v>
      </c>
      <c r="H91" s="90"/>
      <c r="I91" s="874"/>
      <c r="J91" s="178" t="s">
        <v>1627</v>
      </c>
    </row>
    <row r="92" spans="2:10">
      <c r="B92" s="192" t="s">
        <v>1623</v>
      </c>
      <c r="C92" s="241" t="s">
        <v>1439</v>
      </c>
      <c r="D92" s="1223">
        <v>1</v>
      </c>
      <c r="E92" s="90">
        <v>1</v>
      </c>
      <c r="F92" s="90">
        <v>1</v>
      </c>
      <c r="G92" s="90">
        <v>1</v>
      </c>
      <c r="H92" s="90"/>
      <c r="I92" s="874"/>
      <c r="J92" s="178" t="s">
        <v>1627</v>
      </c>
    </row>
    <row r="93" spans="2:10" ht="13.5" thickBot="1">
      <c r="B93" s="181" t="s">
        <v>1624</v>
      </c>
      <c r="C93" s="243" t="s">
        <v>1630</v>
      </c>
      <c r="D93" s="1231">
        <v>652</v>
      </c>
      <c r="E93" s="1172">
        <v>652</v>
      </c>
      <c r="F93" s="1172">
        <v>652</v>
      </c>
      <c r="G93" s="1172">
        <v>652</v>
      </c>
      <c r="H93" s="1172"/>
      <c r="I93" s="1232"/>
      <c r="J93" s="183" t="s">
        <v>1627</v>
      </c>
    </row>
    <row r="94" spans="2:10">
      <c r="B94" s="1226"/>
      <c r="C94" s="1226"/>
    </row>
    <row r="95" spans="2:10">
      <c r="B95" s="1226"/>
      <c r="C95" s="1226"/>
    </row>
    <row r="96" spans="2:10">
      <c r="B96" s="1226"/>
      <c r="C96" s="1226"/>
    </row>
    <row r="97" spans="2:10">
      <c r="B97" s="505"/>
      <c r="C97" s="1227"/>
      <c r="D97" s="1226"/>
    </row>
    <row r="98" spans="2:10">
      <c r="B98" s="505"/>
      <c r="C98" s="1227"/>
      <c r="D98" s="1226"/>
    </row>
    <row r="99" spans="2:10" ht="16.5" thickBot="1">
      <c r="B99" s="193" t="s">
        <v>172</v>
      </c>
    </row>
    <row r="100" spans="2:10">
      <c r="B100" s="219" t="s">
        <v>1604</v>
      </c>
      <c r="C100" s="221" t="s">
        <v>1024</v>
      </c>
      <c r="D100" s="1233">
        <f>D81*Supplementary!$G$159</f>
        <v>100.27149703966647</v>
      </c>
      <c r="E100" s="1233">
        <f>E81*Supplementary!$G$159</f>
        <v>100.27149703966647</v>
      </c>
      <c r="F100" s="1233">
        <f>F81*Supplementary!$G$159</f>
        <v>100.27149703966647</v>
      </c>
      <c r="G100" s="1233">
        <f>G81*Supplementary!$G$159</f>
        <v>100.27149703966647</v>
      </c>
      <c r="H100" s="1233"/>
      <c r="I100" s="1219"/>
      <c r="J100" s="222"/>
    </row>
    <row r="101" spans="2:10">
      <c r="B101" s="192"/>
      <c r="C101" s="455"/>
      <c r="D101" s="455"/>
      <c r="E101" s="455"/>
      <c r="F101" s="455"/>
      <c r="G101" s="455"/>
      <c r="H101" s="455"/>
      <c r="I101" s="455"/>
      <c r="J101" s="178"/>
    </row>
    <row r="102" spans="2:10">
      <c r="B102" s="192" t="s">
        <v>24</v>
      </c>
      <c r="C102" s="455" t="s">
        <v>7</v>
      </c>
      <c r="D102" s="1228">
        <f>D90/($D$71*$D$70)*1000000000</f>
        <v>7382.5685561949085</v>
      </c>
      <c r="E102" s="1228">
        <f t="shared" ref="E102:G102" si="8">E90/($D$71*$D$70)*1000000000</f>
        <v>7382.5685561949085</v>
      </c>
      <c r="F102" s="1228">
        <f t="shared" si="8"/>
        <v>7382.5685561949085</v>
      </c>
      <c r="G102" s="1228">
        <f t="shared" si="8"/>
        <v>7382.5685561949085</v>
      </c>
      <c r="H102" s="1228"/>
      <c r="I102" s="455"/>
      <c r="J102" s="178"/>
    </row>
    <row r="103" spans="2:10">
      <c r="B103" s="192" t="s">
        <v>27</v>
      </c>
      <c r="C103" s="455" t="s">
        <v>7</v>
      </c>
      <c r="D103" s="1229"/>
      <c r="E103" s="1229"/>
      <c r="F103" s="1229"/>
      <c r="G103" s="1229"/>
      <c r="H103" s="1229"/>
      <c r="I103" s="874"/>
      <c r="J103" s="178"/>
    </row>
    <row r="104" spans="2:10">
      <c r="B104" s="192" t="s">
        <v>28</v>
      </c>
      <c r="C104" s="455" t="s">
        <v>7</v>
      </c>
      <c r="D104" s="1229"/>
      <c r="E104" s="1229"/>
      <c r="F104" s="1229"/>
      <c r="G104" s="1229"/>
      <c r="H104" s="1229"/>
      <c r="I104" s="874"/>
      <c r="J104" s="178"/>
    </row>
    <row r="105" spans="2:10">
      <c r="B105" s="192" t="s">
        <v>26</v>
      </c>
      <c r="C105" s="455" t="s">
        <v>7</v>
      </c>
      <c r="D105" s="1229"/>
      <c r="E105" s="1229"/>
      <c r="F105" s="1229"/>
      <c r="G105" s="1229"/>
      <c r="H105" s="1229"/>
      <c r="I105" s="874"/>
      <c r="J105" s="178"/>
    </row>
    <row r="106" spans="2:10">
      <c r="B106" s="192" t="s">
        <v>167</v>
      </c>
      <c r="C106" s="455" t="s">
        <v>7</v>
      </c>
      <c r="D106" s="1229">
        <f>D91/($D$71*$D$70)*1000000000</f>
        <v>30.511771778493408</v>
      </c>
      <c r="E106" s="1229">
        <f t="shared" ref="E106:G106" si="9">E91/($D$71*$D$70)*1000000000</f>
        <v>30.511771778493408</v>
      </c>
      <c r="F106" s="1229">
        <f t="shared" si="9"/>
        <v>30.511771778493408</v>
      </c>
      <c r="G106" s="1229">
        <f t="shared" si="9"/>
        <v>30.511771778493408</v>
      </c>
      <c r="H106" s="1229"/>
      <c r="I106" s="874"/>
      <c r="J106" s="178"/>
    </row>
    <row r="107" spans="2:10">
      <c r="B107" s="192" t="s">
        <v>45</v>
      </c>
      <c r="C107" s="455" t="s">
        <v>7</v>
      </c>
      <c r="D107" s="1220"/>
      <c r="E107" s="1220"/>
      <c r="F107" s="1220"/>
      <c r="G107" s="1220"/>
      <c r="H107" s="1220"/>
      <c r="I107" s="874"/>
      <c r="J107" s="178"/>
    </row>
    <row r="108" spans="2:10" ht="13.5" thickBot="1">
      <c r="B108" s="181"/>
      <c r="C108" s="244"/>
      <c r="D108" s="244"/>
      <c r="E108" s="244"/>
      <c r="F108" s="244"/>
      <c r="G108" s="244"/>
      <c r="H108" s="244"/>
      <c r="I108" s="244"/>
      <c r="J108" s="183"/>
    </row>
    <row r="110" spans="2:10">
      <c r="F110" s="134"/>
      <c r="G110" s="134"/>
    </row>
    <row r="111" spans="2:10">
      <c r="F111" s="134"/>
      <c r="G111" s="134"/>
    </row>
    <row r="112" spans="2:10">
      <c r="F112" s="134"/>
      <c r="G112" s="134"/>
      <c r="J112" s="134"/>
    </row>
    <row r="113" spans="6:7">
      <c r="F113" s="134"/>
      <c r="G113" s="134"/>
    </row>
    <row r="114" spans="6:7">
      <c r="F114" s="134"/>
      <c r="G114" s="134"/>
    </row>
  </sheetData>
  <pageMargins left="0.15748031496062992" right="0.15748031496062992" top="1.25" bottom="0.19685039370078741" header="0.51181102362204722" footer="0.51181102362204722"/>
  <pageSetup paperSize="9" scale="60" orientation="landscape" r:id="rId1"/>
  <headerFooter alignWithMargins="0">
    <oddHeader>&amp;L&amp;"Arial"&amp;14&amp;BBeregningsmodel
&amp;"Arial"&amp;08&amp;B64329, Teknologivurdering af alternative drivmidler til transportsektoren&amp;R&amp;"Arial"&amp;08Page &amp;P of &amp;N</oddHeader>
    <oddFooter>&amp;L&amp;"Arial"&amp;08&amp;Z&amp;F
Sheet: &amp;A&amp;C&amp;"Arial"&amp;08Printed &amp;D &amp;T&amp;R&amp;G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178625" r:id="rId5" name="Button 1">
              <controlPr defaultSize="0" print="0" autoFill="0" autoPict="0">
                <anchor>
                  <from>
                    <xdr:col>7</xdr:col>
                    <xdr:colOff>581025</xdr:colOff>
                    <xdr:row>0</xdr:row>
                    <xdr:rowOff>38100</xdr:rowOff>
                  </from>
                  <to>
                    <xdr:col>9</xdr:col>
                    <xdr:colOff>123825</xdr:colOff>
                    <xdr:row>0</xdr:row>
                    <xdr:rowOff>238125</xdr:rowOff>
                  </to>
                </anchor>
              </controlPr>
            </control>
          </mc:Choice>
        </mc:AlternateContent>
        <mc:AlternateContent xmlns:mc="http://schemas.openxmlformats.org/markup-compatibility/2006">
          <mc:Choice Requires="x14">
            <control shapeId="1178626" r:id="rId6" name="Button 2">
              <controlPr defaultSize="0" print="0" autoFill="0" autoPict="0">
                <anchor>
                  <from>
                    <xdr:col>9</xdr:col>
                    <xdr:colOff>285750</xdr:colOff>
                    <xdr:row>0</xdr:row>
                    <xdr:rowOff>38100</xdr:rowOff>
                  </from>
                  <to>
                    <xdr:col>9</xdr:col>
                    <xdr:colOff>1371600</xdr:colOff>
                    <xdr:row>0</xdr:row>
                    <xdr:rowOff>238125</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rgb="FF002060"/>
    <pageSetUpPr fitToPage="1"/>
  </sheetPr>
  <dimension ref="B1:W113"/>
  <sheetViews>
    <sheetView topLeftCell="A3" zoomScale="80" zoomScaleNormal="80" workbookViewId="0">
      <selection activeCell="G28" sqref="G28"/>
    </sheetView>
  </sheetViews>
  <sheetFormatPr defaultColWidth="8.85546875" defaultRowHeight="12.75"/>
  <cols>
    <col min="1" max="1" width="2.85546875" style="1447" customWidth="1"/>
    <col min="2" max="2" width="26.85546875" style="1447" customWidth="1"/>
    <col min="3" max="3" width="15" style="1447" customWidth="1"/>
    <col min="4" max="7" width="14.5703125" style="1447" customWidth="1"/>
    <col min="8" max="8" width="15.85546875" style="172" customWidth="1"/>
    <col min="9" max="9" width="5.7109375" style="1447" customWidth="1"/>
    <col min="10" max="10" width="48.5703125" style="1447" customWidth="1"/>
    <col min="11" max="11" width="10" style="1447" bestFit="1" customWidth="1"/>
    <col min="12" max="12" width="15.85546875" style="1447" customWidth="1"/>
    <col min="13" max="14" width="9" style="1447" bestFit="1" customWidth="1"/>
    <col min="15" max="15" width="37.85546875" style="1447" customWidth="1"/>
    <col min="16" max="16384" width="8.85546875" style="1447"/>
  </cols>
  <sheetData>
    <row r="1" spans="2:18" s="2403" customFormat="1" ht="21">
      <c r="B1" s="2403" t="s">
        <v>1873</v>
      </c>
      <c r="Q1" s="2403">
        <f ca="1">'Log2015'!M1</f>
        <v>-8.0112614142160741</v>
      </c>
      <c r="R1" s="2403">
        <f ca="1">'Log2015'!N1</f>
        <v>-160807.124977848</v>
      </c>
    </row>
    <row r="4" spans="2:18" ht="13.5" thickBot="1">
      <c r="B4" s="1446" t="s">
        <v>81</v>
      </c>
    </row>
    <row r="5" spans="2:18">
      <c r="B5" s="1448" t="s">
        <v>1790</v>
      </c>
      <c r="C5" s="1449"/>
      <c r="D5" s="1449"/>
      <c r="E5" s="1449"/>
      <c r="F5" s="1449"/>
      <c r="G5" s="1449"/>
      <c r="H5" s="221"/>
      <c r="I5" s="1449"/>
      <c r="J5" s="1449"/>
      <c r="K5" s="1449"/>
      <c r="L5" s="1449"/>
      <c r="M5" s="1449"/>
      <c r="N5" s="1450"/>
    </row>
    <row r="6" spans="2:18" ht="12.75" customHeight="1">
      <c r="B6" s="2505" t="s">
        <v>1791</v>
      </c>
      <c r="C6" s="2506"/>
      <c r="D6" s="2506"/>
      <c r="E6" s="2506"/>
      <c r="F6" s="2506"/>
      <c r="G6" s="2506"/>
      <c r="H6" s="2506"/>
      <c r="I6" s="2506"/>
      <c r="J6" s="2506"/>
      <c r="K6" s="2506"/>
      <c r="L6" s="2506"/>
      <c r="M6" s="2506"/>
      <c r="N6" s="2507"/>
    </row>
    <row r="7" spans="2:18">
      <c r="B7" s="2505"/>
      <c r="C7" s="2506"/>
      <c r="D7" s="2506"/>
      <c r="E7" s="2506"/>
      <c r="F7" s="2506"/>
      <c r="G7" s="2506"/>
      <c r="H7" s="2506"/>
      <c r="I7" s="2506"/>
      <c r="J7" s="2506"/>
      <c r="K7" s="2506"/>
      <c r="L7" s="2506"/>
      <c r="M7" s="2506"/>
      <c r="N7" s="2507"/>
    </row>
    <row r="8" spans="2:18">
      <c r="B8" s="2505"/>
      <c r="C8" s="2506"/>
      <c r="D8" s="2506"/>
      <c r="E8" s="2506"/>
      <c r="F8" s="2506"/>
      <c r="G8" s="2506"/>
      <c r="H8" s="2506"/>
      <c r="I8" s="2506"/>
      <c r="J8" s="2506"/>
      <c r="K8" s="2506"/>
      <c r="L8" s="2506"/>
      <c r="M8" s="2506"/>
      <c r="N8" s="2507"/>
    </row>
    <row r="9" spans="2:18">
      <c r="B9" s="2505"/>
      <c r="C9" s="2506"/>
      <c r="D9" s="2506"/>
      <c r="E9" s="2506"/>
      <c r="F9" s="2506"/>
      <c r="G9" s="2506"/>
      <c r="H9" s="2506"/>
      <c r="I9" s="2506"/>
      <c r="J9" s="2506"/>
      <c r="K9" s="2506"/>
      <c r="L9" s="2506"/>
      <c r="M9" s="2506"/>
      <c r="N9" s="2507"/>
    </row>
    <row r="10" spans="2:18" ht="24" customHeight="1">
      <c r="B10" s="2505"/>
      <c r="C10" s="2506"/>
      <c r="D10" s="2506"/>
      <c r="E10" s="2506"/>
      <c r="F10" s="2506"/>
      <c r="G10" s="2506"/>
      <c r="H10" s="2506"/>
      <c r="I10" s="2506"/>
      <c r="J10" s="2506"/>
      <c r="K10" s="2506"/>
      <c r="L10" s="2506"/>
      <c r="M10" s="2506"/>
      <c r="N10" s="2507"/>
    </row>
    <row r="11" spans="2:18">
      <c r="B11" s="1451" t="s">
        <v>256</v>
      </c>
      <c r="C11" s="1452"/>
      <c r="D11" s="1452"/>
      <c r="E11" s="1452"/>
      <c r="F11" s="1452"/>
      <c r="G11" s="1452"/>
      <c r="H11" s="455"/>
      <c r="I11" s="1452"/>
      <c r="J11" s="1452"/>
      <c r="K11" s="1452"/>
      <c r="L11" s="1452"/>
      <c r="M11" s="1452"/>
      <c r="N11" s="1453"/>
    </row>
    <row r="12" spans="2:18">
      <c r="B12" s="2508" t="s">
        <v>1792</v>
      </c>
      <c r="C12" s="2509"/>
      <c r="D12" s="2509"/>
      <c r="E12" s="2509"/>
      <c r="F12" s="2509"/>
      <c r="G12" s="2509"/>
      <c r="H12" s="2509"/>
      <c r="I12" s="2509"/>
      <c r="J12" s="2509"/>
      <c r="K12" s="2509"/>
      <c r="L12" s="2509"/>
      <c r="M12" s="2509"/>
      <c r="N12" s="2510"/>
    </row>
    <row r="13" spans="2:18" ht="17.25" customHeight="1">
      <c r="B13" s="2508"/>
      <c r="C13" s="2509"/>
      <c r="D13" s="2509"/>
      <c r="E13" s="2509"/>
      <c r="F13" s="2509"/>
      <c r="G13" s="2509"/>
      <c r="H13" s="2509"/>
      <c r="I13" s="2509"/>
      <c r="J13" s="2509"/>
      <c r="K13" s="2509"/>
      <c r="L13" s="2509"/>
      <c r="M13" s="2509"/>
      <c r="N13" s="2510"/>
    </row>
    <row r="14" spans="2:18">
      <c r="B14" s="2508" t="s">
        <v>1793</v>
      </c>
      <c r="C14" s="2509"/>
      <c r="D14" s="2509"/>
      <c r="E14" s="2509"/>
      <c r="F14" s="2509"/>
      <c r="G14" s="2509"/>
      <c r="H14" s="2509"/>
      <c r="I14" s="2509"/>
      <c r="J14" s="2509"/>
      <c r="K14" s="2509"/>
      <c r="L14" s="2509"/>
      <c r="M14" s="2509"/>
      <c r="N14" s="2510"/>
    </row>
    <row r="15" spans="2:18">
      <c r="B15" s="2508"/>
      <c r="C15" s="2509"/>
      <c r="D15" s="2509"/>
      <c r="E15" s="2509"/>
      <c r="F15" s="2509"/>
      <c r="G15" s="2509"/>
      <c r="H15" s="2509"/>
      <c r="I15" s="2509"/>
      <c r="J15" s="2509"/>
      <c r="K15" s="2509"/>
      <c r="L15" s="2509"/>
      <c r="M15" s="2509"/>
      <c r="N15" s="2510"/>
    </row>
    <row r="16" spans="2:18">
      <c r="B16" s="2508"/>
      <c r="C16" s="2509"/>
      <c r="D16" s="2509"/>
      <c r="E16" s="2509"/>
      <c r="F16" s="2509"/>
      <c r="G16" s="2509"/>
      <c r="H16" s="2509"/>
      <c r="I16" s="2509"/>
      <c r="J16" s="2509"/>
      <c r="K16" s="2509"/>
      <c r="L16" s="2509"/>
      <c r="M16" s="2509"/>
      <c r="N16" s="2510"/>
    </row>
    <row r="17" spans="2:23" ht="18" customHeight="1" thickBot="1">
      <c r="B17" s="2511"/>
      <c r="C17" s="2512"/>
      <c r="D17" s="2512"/>
      <c r="E17" s="2512"/>
      <c r="F17" s="2512"/>
      <c r="G17" s="2512"/>
      <c r="H17" s="2512"/>
      <c r="I17" s="2512"/>
      <c r="J17" s="2512"/>
      <c r="K17" s="2512"/>
      <c r="L17" s="2512"/>
      <c r="M17" s="2512"/>
      <c r="N17" s="2513"/>
    </row>
    <row r="19" spans="2:23" ht="13.5" customHeight="1" thickBot="1">
      <c r="B19" s="1446" t="s">
        <v>144</v>
      </c>
      <c r="E19" s="1454"/>
    </row>
    <row r="20" spans="2:23" ht="12.75" customHeight="1">
      <c r="B20" s="1455"/>
      <c r="C20" s="1456"/>
      <c r="D20" s="1449"/>
      <c r="E20" s="1449"/>
      <c r="F20" s="1449"/>
      <c r="G20" s="1449"/>
      <c r="H20" s="221"/>
      <c r="I20" s="1449" t="s">
        <v>145</v>
      </c>
      <c r="J20" s="1450" t="s">
        <v>146</v>
      </c>
      <c r="L20" s="2545"/>
      <c r="M20" s="2546"/>
      <c r="N20" s="2546"/>
      <c r="O20" s="2546"/>
      <c r="P20" s="1543"/>
      <c r="Q20" s="1543"/>
      <c r="R20" s="1543"/>
      <c r="S20" s="1543"/>
      <c r="T20" s="1543"/>
      <c r="U20" s="1543"/>
      <c r="V20" s="1543"/>
      <c r="W20" s="1544"/>
    </row>
    <row r="21" spans="2:23" ht="12.75" customHeight="1">
      <c r="B21" s="1460"/>
      <c r="C21" s="1461" t="s">
        <v>70</v>
      </c>
      <c r="D21" s="1462" t="s">
        <v>1794</v>
      </c>
      <c r="E21" s="1463">
        <v>2020</v>
      </c>
      <c r="F21" s="1463">
        <v>2035</v>
      </c>
      <c r="G21" s="1463">
        <v>2050</v>
      </c>
      <c r="H21" s="225" t="s">
        <v>978</v>
      </c>
      <c r="I21" s="1464"/>
      <c r="J21" s="1465"/>
      <c r="L21" s="2547" t="s">
        <v>1874</v>
      </c>
      <c r="M21" s="2548"/>
      <c r="N21" s="2548"/>
      <c r="O21" s="2548"/>
      <c r="P21" s="1545"/>
      <c r="Q21" s="1545"/>
      <c r="R21" s="1545"/>
      <c r="S21" s="1545"/>
      <c r="T21" s="1545"/>
      <c r="U21" s="1545"/>
      <c r="V21" s="1545"/>
      <c r="W21" s="1546"/>
    </row>
    <row r="22" spans="2:23" ht="12.75" customHeight="1">
      <c r="B22" s="1468" t="s">
        <v>257</v>
      </c>
      <c r="C22" s="1469"/>
      <c r="D22" s="1470"/>
      <c r="E22" s="1470"/>
      <c r="F22" s="1470"/>
      <c r="G22" s="1470"/>
      <c r="H22" s="209"/>
      <c r="I22" s="1471"/>
      <c r="J22" s="1472"/>
      <c r="L22" s="2542" t="s">
        <v>1875</v>
      </c>
      <c r="M22" s="2543"/>
      <c r="N22" s="2543"/>
      <c r="O22" s="2543"/>
      <c r="P22" s="2543"/>
      <c r="Q22" s="2543"/>
      <c r="R22" s="2543"/>
      <c r="S22" s="2543"/>
      <c r="T22" s="2543"/>
      <c r="U22" s="2543"/>
      <c r="V22" s="2543"/>
      <c r="W22" s="2544"/>
    </row>
    <row r="23" spans="2:23">
      <c r="B23" s="122" t="s">
        <v>848</v>
      </c>
      <c r="C23" s="210" t="s">
        <v>1645</v>
      </c>
      <c r="D23" s="2423">
        <v>0.32</v>
      </c>
      <c r="E23" s="2423">
        <v>0.32</v>
      </c>
      <c r="F23" s="2423">
        <v>0.32</v>
      </c>
      <c r="G23" s="2423">
        <v>0.32</v>
      </c>
      <c r="H23" s="1657"/>
      <c r="I23" s="1479" t="str">
        <f>Referencer!$B$68</f>
        <v>62, Baseret på viden og praktisk erfaring fra tekniske eksperter fra jernbanesektoren i Danmark og internationale faglige netværk</v>
      </c>
      <c r="J23" s="1475" t="s">
        <v>1797</v>
      </c>
      <c r="L23" s="2542"/>
      <c r="M23" s="2543"/>
      <c r="N23" s="2543"/>
      <c r="O23" s="2543"/>
      <c r="P23" s="2543"/>
      <c r="Q23" s="2543"/>
      <c r="R23" s="2543"/>
      <c r="S23" s="2543"/>
      <c r="T23" s="2543"/>
      <c r="U23" s="2543"/>
      <c r="V23" s="2543"/>
      <c r="W23" s="2544"/>
    </row>
    <row r="24" spans="2:23">
      <c r="B24" s="122" t="s">
        <v>849</v>
      </c>
      <c r="C24" s="210" t="s">
        <v>1645</v>
      </c>
      <c r="D24" s="1585">
        <f>D23</f>
        <v>0.32</v>
      </c>
      <c r="E24" s="1585">
        <f>E23</f>
        <v>0.32</v>
      </c>
      <c r="F24" s="1585">
        <f>F23</f>
        <v>0.32</v>
      </c>
      <c r="G24" s="1585">
        <f>G23</f>
        <v>0.32</v>
      </c>
      <c r="H24" s="1657"/>
      <c r="I24" s="1474"/>
      <c r="J24" s="1475"/>
      <c r="L24" s="1586"/>
      <c r="M24" s="1587"/>
      <c r="N24" s="1587"/>
      <c r="O24" s="1587"/>
      <c r="P24" s="1587"/>
      <c r="Q24" s="1587"/>
      <c r="R24" s="1587"/>
      <c r="S24" s="1587"/>
      <c r="T24" s="1587"/>
      <c r="U24" s="1587"/>
      <c r="V24" s="1587"/>
      <c r="W24" s="1588"/>
    </row>
    <row r="25" spans="2:23">
      <c r="B25" s="122" t="s">
        <v>1971</v>
      </c>
      <c r="C25" s="210" t="s">
        <v>1024</v>
      </c>
      <c r="D25" s="1585">
        <f>D78</f>
        <v>32.27328</v>
      </c>
      <c r="E25" s="1585">
        <f>E78</f>
        <v>32.757379199999995</v>
      </c>
      <c r="F25" s="1585">
        <f>F78</f>
        <v>29.481641279999998</v>
      </c>
      <c r="G25" s="1585">
        <f>G78</f>
        <v>29.481641279999998</v>
      </c>
      <c r="H25" s="1658"/>
      <c r="I25" s="1474"/>
      <c r="J25" s="1475"/>
      <c r="L25" s="1586"/>
      <c r="M25" s="1587"/>
      <c r="N25" s="1587"/>
      <c r="O25" s="1587"/>
      <c r="P25" s="1587"/>
      <c r="Q25" s="1587"/>
      <c r="R25" s="1587"/>
      <c r="S25" s="1587"/>
      <c r="T25" s="1587"/>
      <c r="U25" s="1587"/>
      <c r="V25" s="1587"/>
      <c r="W25" s="1588"/>
    </row>
    <row r="26" spans="2:23">
      <c r="B26" s="122" t="s">
        <v>1972</v>
      </c>
      <c r="C26" s="210" t="s">
        <v>1024</v>
      </c>
      <c r="D26" s="1473"/>
      <c r="E26" s="1473"/>
      <c r="F26" s="1473"/>
      <c r="G26" s="1473"/>
      <c r="H26" s="1658"/>
      <c r="I26" s="1474"/>
      <c r="J26" s="1475"/>
      <c r="L26" s="1586"/>
      <c r="M26" s="1587"/>
      <c r="N26" s="1587"/>
      <c r="O26" s="1587"/>
      <c r="P26" s="1587"/>
      <c r="Q26" s="1587"/>
      <c r="R26" s="1587"/>
      <c r="S26" s="1587"/>
      <c r="T26" s="1587"/>
      <c r="U26" s="1587"/>
      <c r="V26" s="1587"/>
      <c r="W26" s="1588"/>
    </row>
    <row r="27" spans="2:23">
      <c r="B27" s="1476" t="s">
        <v>98</v>
      </c>
      <c r="C27" s="1469" t="s">
        <v>259</v>
      </c>
      <c r="D27" s="1477">
        <v>25</v>
      </c>
      <c r="E27" s="1478">
        <v>17</v>
      </c>
      <c r="F27" s="1478">
        <v>17</v>
      </c>
      <c r="G27" s="1478">
        <v>17</v>
      </c>
      <c r="H27" s="212"/>
      <c r="I27" s="1479"/>
      <c r="J27" s="1472"/>
      <c r="L27" s="1547"/>
      <c r="M27" s="1548"/>
      <c r="N27" s="1548"/>
      <c r="O27" s="1548"/>
      <c r="P27" s="1548"/>
      <c r="Q27" s="1548"/>
      <c r="R27" s="1548"/>
      <c r="S27" s="1548"/>
      <c r="T27" s="1548"/>
      <c r="U27" s="1548"/>
      <c r="V27" s="1548"/>
      <c r="W27" s="1549"/>
    </row>
    <row r="28" spans="2:23">
      <c r="B28" s="1476" t="s">
        <v>260</v>
      </c>
      <c r="C28" s="1469" t="s">
        <v>261</v>
      </c>
      <c r="D28" s="1480">
        <f>+D70</f>
        <v>1549.11744</v>
      </c>
      <c r="E28" s="1480">
        <f>+E70</f>
        <v>1572.3542015999999</v>
      </c>
      <c r="F28" s="1480">
        <f>+F70</f>
        <v>1415.1187814399998</v>
      </c>
      <c r="G28" s="1480">
        <f>+G70</f>
        <v>1415.1187814399998</v>
      </c>
      <c r="H28" s="1659"/>
      <c r="I28" s="1474"/>
      <c r="J28" s="1472"/>
      <c r="L28" s="1468" t="s">
        <v>1798</v>
      </c>
      <c r="M28" s="1471"/>
      <c r="N28" s="1471"/>
      <c r="O28" s="1471"/>
      <c r="P28" s="1548"/>
      <c r="Q28" s="1548"/>
      <c r="R28" s="1548"/>
      <c r="S28" s="1548"/>
      <c r="T28" s="1548"/>
      <c r="U28" s="1548"/>
      <c r="V28" s="1548"/>
      <c r="W28" s="1549"/>
    </row>
    <row r="29" spans="2:23">
      <c r="B29" s="1484"/>
      <c r="C29" s="1485"/>
      <c r="D29" s="1486"/>
      <c r="E29" s="1486"/>
      <c r="F29" s="1486"/>
      <c r="G29" s="1486"/>
      <c r="H29" s="90"/>
      <c r="I29" s="1471"/>
      <c r="J29" s="1472"/>
      <c r="L29" s="1487" t="s">
        <v>1799</v>
      </c>
      <c r="M29" s="1471"/>
      <c r="N29" s="1471"/>
      <c r="O29" s="1471" t="s">
        <v>1876</v>
      </c>
      <c r="P29" s="1482"/>
      <c r="Q29" s="1482"/>
      <c r="R29" s="1482"/>
      <c r="S29" s="1482"/>
      <c r="T29" s="1482"/>
      <c r="U29" s="1482"/>
      <c r="V29" s="1482"/>
      <c r="W29" s="1483"/>
    </row>
    <row r="30" spans="2:23">
      <c r="B30" s="1468" t="s">
        <v>33</v>
      </c>
      <c r="C30" s="1469"/>
      <c r="D30" s="1486"/>
      <c r="E30" s="1486"/>
      <c r="F30" s="1486"/>
      <c r="G30" s="1486"/>
      <c r="H30" s="90"/>
      <c r="I30" s="1471"/>
      <c r="J30" s="1472"/>
      <c r="L30" s="1487" t="s">
        <v>1802</v>
      </c>
      <c r="M30" s="1471"/>
      <c r="N30" s="1471"/>
      <c r="O30" s="1471" t="s">
        <v>1877</v>
      </c>
      <c r="P30" s="1471"/>
      <c r="Q30" s="1471"/>
      <c r="R30" s="1471"/>
      <c r="S30" s="1471"/>
      <c r="T30" s="1471"/>
      <c r="U30" s="1471"/>
      <c r="V30" s="1471"/>
      <c r="W30" s="1488"/>
    </row>
    <row r="31" spans="2:23" s="172" customFormat="1">
      <c r="B31" s="310" t="s">
        <v>157</v>
      </c>
      <c r="C31" s="210" t="s">
        <v>61</v>
      </c>
      <c r="D31" s="992">
        <f>HLOOKUP($H38,Supplementary!$C$44:$AF$46,3,FALSE)*D38</f>
        <v>21289238.578334033</v>
      </c>
      <c r="E31" s="992">
        <f>HLOOKUP($H38,Supplementary!$C$44:$AF$46,3,FALSE)*E38</f>
        <v>21289238.578334033</v>
      </c>
      <c r="F31" s="992">
        <f>HLOOKUP($H38,Supplementary!$C$44:$AF$46,3,FALSE)*F38</f>
        <v>21289238.578334033</v>
      </c>
      <c r="G31" s="992">
        <f>HLOOKUP($H38,Supplementary!$C$44:$AF$46,3,FALSE)*G38</f>
        <v>21289238.578334033</v>
      </c>
      <c r="H31" s="323">
        <f>priceYear</f>
        <v>2015</v>
      </c>
      <c r="I31" s="555"/>
      <c r="J31" s="178"/>
    </row>
    <row r="32" spans="2:23" s="172" customFormat="1">
      <c r="B32" s="192" t="s">
        <v>262</v>
      </c>
      <c r="C32" s="210" t="s">
        <v>263</v>
      </c>
      <c r="D32" s="992">
        <f ca="1">HLOOKUP($H39,Supplementary!$C$44:$AF$46,3,FALSE)*D39</f>
        <v>3995.0708764541837</v>
      </c>
      <c r="E32" s="992">
        <f ca="1">HLOOKUP($H39,Supplementary!$C$44:$AF$46,3,FALSE)*E39</f>
        <v>4176.3155915617572</v>
      </c>
      <c r="F32" s="992">
        <f ca="1">HLOOKUP($H39,Supplementary!$C$44:$AF$46,3,FALSE)*F39</f>
        <v>4640.3506572908409</v>
      </c>
      <c r="G32" s="992">
        <f ca="1">HLOOKUP($H39,Supplementary!$C$44:$AF$46,3,FALSE)*G39</f>
        <v>4640.3506572908409</v>
      </c>
      <c r="H32" s="323">
        <f>priceYear</f>
        <v>2015</v>
      </c>
      <c r="I32" s="555"/>
      <c r="J32" s="178"/>
    </row>
    <row r="33" spans="2:23" s="172" customFormat="1">
      <c r="B33" s="236" t="s">
        <v>162</v>
      </c>
      <c r="C33" s="210" t="s">
        <v>263</v>
      </c>
      <c r="D33" s="992">
        <f ca="1">HLOOKUP($H40,Supplementary!$C$44:$AF$46,3,FALSE)*D40</f>
        <v>975.08668623752465</v>
      </c>
      <c r="E33" s="992">
        <f ca="1">HLOOKUP($H40,Supplementary!$C$44:$AF$46,3,FALSE)*E40</f>
        <v>1200.9617095749006</v>
      </c>
      <c r="F33" s="992">
        <f ca="1">HLOOKUP($H40,Supplementary!$C$44:$AF$46,3,FALSE)*F40</f>
        <v>1334.4018995276676</v>
      </c>
      <c r="G33" s="992">
        <f ca="1">HLOOKUP($H40,Supplementary!$C$44:$AF$46,3,FALSE)*G40</f>
        <v>1334.4018995276676</v>
      </c>
      <c r="H33" s="323">
        <f>priceYear</f>
        <v>2015</v>
      </c>
      <c r="I33" s="555"/>
      <c r="J33" s="178"/>
    </row>
    <row r="34" spans="2:23" s="172" customFormat="1">
      <c r="B34" s="236" t="s">
        <v>163</v>
      </c>
      <c r="C34" s="210" t="s">
        <v>263</v>
      </c>
      <c r="D34" s="992">
        <f>HLOOKUP($H41,Supplementary!$C$44:$AF$46,3,FALSE)*D41</f>
        <v>3019.984190216659</v>
      </c>
      <c r="E34" s="992">
        <f>HLOOKUP($H41,Supplementary!$C$44:$AF$46,3,FALSE)*E41</f>
        <v>2975.3538819868563</v>
      </c>
      <c r="F34" s="992">
        <f>HLOOKUP($H41,Supplementary!$C$44:$AF$46,3,FALSE)*F41</f>
        <v>3305.9487577631735</v>
      </c>
      <c r="G34" s="992">
        <f>HLOOKUP($H41,Supplementary!$C$44:$AF$46,3,FALSE)*G41</f>
        <v>3305.9487577631735</v>
      </c>
      <c r="H34" s="323">
        <f>priceYear</f>
        <v>2015</v>
      </c>
      <c r="I34" s="555"/>
      <c r="J34" s="178"/>
    </row>
    <row r="35" spans="2:23" s="172" customFormat="1">
      <c r="B35" s="236"/>
      <c r="C35" s="210"/>
      <c r="D35" s="992"/>
      <c r="E35" s="992"/>
      <c r="F35" s="992"/>
      <c r="G35" s="992"/>
      <c r="H35" s="323"/>
      <c r="I35" s="555"/>
      <c r="J35" s="178"/>
    </row>
    <row r="36" spans="2:23" s="172" customFormat="1">
      <c r="B36" s="236" t="s">
        <v>264</v>
      </c>
      <c r="C36" s="210" t="s">
        <v>263</v>
      </c>
      <c r="D36" s="992">
        <f>HLOOKUP($H43,Supplementary!$C$44:$AF$46,3,FALSE)*D43</f>
        <v>0</v>
      </c>
      <c r="E36" s="992">
        <f>HLOOKUP($H43,Supplementary!$C$44:$AF$46,3,FALSE)*E43</f>
        <v>0</v>
      </c>
      <c r="F36" s="992">
        <f>HLOOKUP($H43,Supplementary!$C$44:$AF$46,3,FALSE)*F43</f>
        <v>0</v>
      </c>
      <c r="G36" s="992">
        <f>HLOOKUP($H43,Supplementary!$C$44:$AF$46,3,FALSE)*G43</f>
        <v>0</v>
      </c>
      <c r="H36" s="323">
        <f>priceYear</f>
        <v>2015</v>
      </c>
      <c r="I36" s="555"/>
      <c r="J36" s="178"/>
    </row>
    <row r="37" spans="2:23" s="172" customFormat="1">
      <c r="B37" s="216"/>
      <c r="C37" s="210"/>
      <c r="D37" s="156"/>
      <c r="E37" s="90"/>
      <c r="F37" s="90"/>
      <c r="G37" s="90"/>
      <c r="H37" s="90"/>
      <c r="I37" s="555"/>
      <c r="J37" s="178"/>
    </row>
    <row r="38" spans="2:23">
      <c r="B38" s="1476" t="s">
        <v>157</v>
      </c>
      <c r="C38" s="1469" t="s">
        <v>61</v>
      </c>
      <c r="D38" s="1489">
        <v>20000000</v>
      </c>
      <c r="E38" s="1489">
        <v>20000000</v>
      </c>
      <c r="F38" s="1489">
        <v>20000000</v>
      </c>
      <c r="G38" s="1489">
        <v>20000000</v>
      </c>
      <c r="H38" s="407">
        <v>2011</v>
      </c>
      <c r="I38" s="1479" t="str">
        <f>Referencer!$B$73</f>
        <v>69, Bilag til lokalbaneplan for Østbanen, Region Sjælland</v>
      </c>
      <c r="J38" s="1472" t="s">
        <v>2555</v>
      </c>
      <c r="L38" s="1487" t="s">
        <v>1804</v>
      </c>
      <c r="M38" s="1471"/>
      <c r="N38" s="1471"/>
      <c r="O38" s="1471" t="s">
        <v>1878</v>
      </c>
      <c r="P38" s="1471"/>
      <c r="Q38" s="1471"/>
      <c r="R38" s="1471"/>
      <c r="S38" s="1471"/>
      <c r="T38" s="1471"/>
      <c r="U38" s="1471"/>
      <c r="V38" s="1471"/>
      <c r="W38" s="1488"/>
    </row>
    <row r="39" spans="2:23">
      <c r="B39" s="1487" t="s">
        <v>262</v>
      </c>
      <c r="C39" s="1469" t="s">
        <v>263</v>
      </c>
      <c r="D39" s="1490">
        <f ca="1">SUM(D40:D43)</f>
        <v>3753.1364607092619</v>
      </c>
      <c r="E39" s="1490">
        <f ca="1">SUM(E40:E43)</f>
        <v>3923.4053169115928</v>
      </c>
      <c r="F39" s="1490">
        <f ca="1">SUM(F40:F43)</f>
        <v>4359.3392410128808</v>
      </c>
      <c r="G39" s="1490">
        <f ca="1">SUM(G40:G43)</f>
        <v>4359.3392410128808</v>
      </c>
      <c r="H39" s="407">
        <v>2011</v>
      </c>
      <c r="I39" s="1479"/>
      <c r="J39" s="1472"/>
      <c r="L39" s="1487" t="s">
        <v>1806</v>
      </c>
      <c r="M39" s="1471"/>
      <c r="N39" s="1471"/>
      <c r="O39" s="1471" t="s">
        <v>1879</v>
      </c>
      <c r="P39" s="1491"/>
      <c r="Q39" s="1471"/>
      <c r="R39" s="1471"/>
      <c r="S39" s="1471"/>
      <c r="T39" s="1471"/>
      <c r="U39" s="1471"/>
      <c r="V39" s="1471"/>
      <c r="W39" s="1488"/>
    </row>
    <row r="40" spans="2:23">
      <c r="B40" s="1492" t="s">
        <v>162</v>
      </c>
      <c r="C40" s="1469" t="s">
        <v>263</v>
      </c>
      <c r="D40" s="1493">
        <f ca="1">PMT(rSØK,D27,-D38)/D28</f>
        <v>916.03716370567258</v>
      </c>
      <c r="E40" s="1493">
        <f ca="1">PMT(rSØK,E27,-E38)/E28</f>
        <v>1128.2335957257901</v>
      </c>
      <c r="F40" s="1493">
        <f ca="1">PMT(rSØK,F27,-F38)/F28</f>
        <v>1253.592884139767</v>
      </c>
      <c r="G40" s="1493">
        <f ca="1">PMT(rSØK,G27,-G38)/G28</f>
        <v>1253.592884139767</v>
      </c>
      <c r="H40" s="407">
        <v>2011</v>
      </c>
      <c r="I40" s="1479" t="str">
        <f>Referencer!$B$68</f>
        <v>62, Baseret på viden og praktisk erfaring fra tekniske eksperter fra jernbanesektoren i Danmark og internationale faglige netværk</v>
      </c>
      <c r="J40" s="1472" t="s">
        <v>1801</v>
      </c>
      <c r="L40" s="1487" t="s">
        <v>1808</v>
      </c>
      <c r="M40" s="1471"/>
      <c r="N40" s="1471"/>
      <c r="O40" s="1471" t="s">
        <v>1880</v>
      </c>
      <c r="P40" s="1471"/>
      <c r="Q40" s="1471"/>
      <c r="R40" s="1471"/>
      <c r="S40" s="1471"/>
      <c r="T40" s="1471"/>
      <c r="U40" s="1471"/>
      <c r="V40" s="1471"/>
      <c r="W40" s="1488"/>
    </row>
    <row r="41" spans="2:23">
      <c r="B41" s="1492" t="s">
        <v>163</v>
      </c>
      <c r="C41" s="1469" t="s">
        <v>263</v>
      </c>
      <c r="D41" s="1494">
        <f>D71</f>
        <v>2837.0992970035895</v>
      </c>
      <c r="E41" s="1494">
        <f>E71</f>
        <v>2795.1717211858027</v>
      </c>
      <c r="F41" s="1494">
        <f>F71</f>
        <v>3105.7463568731137</v>
      </c>
      <c r="G41" s="1494">
        <f>G71</f>
        <v>3105.7463568731137</v>
      </c>
      <c r="H41" s="407">
        <v>2011</v>
      </c>
      <c r="I41" s="1479" t="str">
        <f>Referencer!$B$68</f>
        <v>62, Baseret på viden og praktisk erfaring fra tekniske eksperter fra jernbanesektoren i Danmark og internationale faglige netværk</v>
      </c>
      <c r="J41" s="1472" t="s">
        <v>1801</v>
      </c>
      <c r="L41" s="1487" t="s">
        <v>1810</v>
      </c>
      <c r="M41" s="1471"/>
      <c r="N41" s="1471"/>
      <c r="O41" s="1471" t="s">
        <v>1881</v>
      </c>
      <c r="P41" s="1471"/>
      <c r="Q41" s="1491"/>
      <c r="R41" s="1471"/>
      <c r="S41" s="1471"/>
      <c r="T41" s="1471"/>
      <c r="U41" s="1471"/>
      <c r="V41" s="1471"/>
      <c r="W41" s="1488"/>
    </row>
    <row r="42" spans="2:23">
      <c r="B42" s="1492"/>
      <c r="C42" s="1469"/>
      <c r="D42" s="1486"/>
      <c r="E42" s="1486"/>
      <c r="F42" s="1486"/>
      <c r="G42" s="1486"/>
      <c r="H42" s="407"/>
      <c r="I42" s="1479"/>
      <c r="J42" s="1472"/>
      <c r="L42" s="1487" t="s">
        <v>1812</v>
      </c>
      <c r="M42" s="1471"/>
      <c r="N42" s="1471"/>
      <c r="O42" s="1471" t="s">
        <v>1882</v>
      </c>
      <c r="P42" s="1471"/>
      <c r="Q42" s="1471"/>
      <c r="R42" s="1471"/>
      <c r="S42" s="1471"/>
      <c r="T42" s="1471"/>
      <c r="U42" s="1471"/>
      <c r="V42" s="1471"/>
      <c r="W42" s="1488"/>
    </row>
    <row r="43" spans="2:23">
      <c r="B43" s="1492" t="s">
        <v>264</v>
      </c>
      <c r="C43" s="1469" t="s">
        <v>263</v>
      </c>
      <c r="D43" s="1495">
        <v>0</v>
      </c>
      <c r="E43" s="1495">
        <v>0</v>
      </c>
      <c r="F43" s="1495">
        <v>0</v>
      </c>
      <c r="G43" s="1495">
        <v>0</v>
      </c>
      <c r="H43" s="407">
        <v>2011</v>
      </c>
      <c r="I43" s="1479" t="str">
        <f>Referencer!$B$68</f>
        <v>62, Baseret på viden og praktisk erfaring fra tekniske eksperter fra jernbanesektoren i Danmark og internationale faglige netværk</v>
      </c>
      <c r="J43" s="1472" t="s">
        <v>1801</v>
      </c>
      <c r="L43" s="1487" t="s">
        <v>1814</v>
      </c>
      <c r="M43" s="1471"/>
      <c r="N43" s="1471"/>
      <c r="O43" s="1471" t="s">
        <v>1883</v>
      </c>
      <c r="P43" s="1471"/>
      <c r="Q43" s="1471"/>
      <c r="R43" s="1471"/>
      <c r="S43" s="1471"/>
      <c r="T43" s="1471"/>
      <c r="U43" s="1471"/>
      <c r="V43" s="1471"/>
      <c r="W43" s="1488"/>
    </row>
    <row r="44" spans="2:23">
      <c r="B44" s="1492"/>
      <c r="C44" s="1469"/>
      <c r="D44" s="1486"/>
      <c r="E44" s="1496"/>
      <c r="F44" s="1496"/>
      <c r="G44" s="1496"/>
      <c r="H44" s="90"/>
      <c r="I44" s="1474"/>
      <c r="J44" s="1472"/>
      <c r="L44" s="1487" t="s">
        <v>1816</v>
      </c>
      <c r="M44" s="1471"/>
      <c r="N44" s="1471"/>
      <c r="O44" s="1471" t="s">
        <v>1884</v>
      </c>
      <c r="P44" s="1471"/>
      <c r="Q44" s="1471"/>
      <c r="R44" s="1471"/>
      <c r="S44" s="1471"/>
      <c r="T44" s="1471"/>
      <c r="U44" s="1471"/>
      <c r="V44" s="1471"/>
      <c r="W44" s="1488"/>
    </row>
    <row r="45" spans="2:23">
      <c r="B45" s="1468" t="s">
        <v>166</v>
      </c>
      <c r="C45" s="1469"/>
      <c r="D45" s="1486"/>
      <c r="E45" s="1496"/>
      <c r="F45" s="1496"/>
      <c r="G45" s="1496"/>
      <c r="H45" s="252"/>
      <c r="I45" s="1474"/>
      <c r="J45" s="1472"/>
      <c r="L45" s="1487" t="s">
        <v>1818</v>
      </c>
      <c r="M45" s="1471"/>
      <c r="N45" s="1471"/>
      <c r="O45" s="1471"/>
      <c r="P45" s="1471"/>
      <c r="Q45" s="1471"/>
      <c r="R45" s="1471"/>
      <c r="S45" s="1471"/>
      <c r="T45" s="1471"/>
      <c r="U45" s="1471"/>
      <c r="V45" s="1471"/>
      <c r="W45" s="1488"/>
    </row>
    <row r="46" spans="2:23">
      <c r="B46" s="418" t="s">
        <v>0</v>
      </c>
      <c r="C46" s="1469"/>
      <c r="D46" s="1486"/>
      <c r="E46" s="1496"/>
      <c r="F46" s="1496"/>
      <c r="G46" s="1496"/>
      <c r="H46" s="214"/>
      <c r="I46" s="1474"/>
      <c r="J46" s="1472"/>
      <c r="L46" s="1487"/>
      <c r="M46" s="1471"/>
      <c r="N46" s="1471"/>
      <c r="O46" s="1471"/>
      <c r="P46" s="1471"/>
      <c r="Q46" s="1471"/>
      <c r="R46" s="1471"/>
      <c r="S46" s="1471"/>
      <c r="T46" s="1471"/>
      <c r="U46" s="1471"/>
      <c r="V46" s="1471"/>
      <c r="W46" s="1488"/>
    </row>
    <row r="47" spans="2:23">
      <c r="B47" s="1484" t="s">
        <v>24</v>
      </c>
      <c r="C47" s="1469" t="s">
        <v>265</v>
      </c>
      <c r="D47" s="1589"/>
      <c r="E47" s="1589"/>
      <c r="F47" s="1589"/>
      <c r="G47" s="1589"/>
      <c r="H47" s="214"/>
      <c r="I47" s="1474"/>
      <c r="J47" s="1472"/>
      <c r="L47" s="1487" t="s">
        <v>1820</v>
      </c>
      <c r="M47" s="1471"/>
      <c r="N47" s="1471"/>
      <c r="O47" s="1471" t="s">
        <v>1885</v>
      </c>
      <c r="P47" s="1471"/>
      <c r="Q47" s="1471"/>
      <c r="R47" s="1471"/>
      <c r="S47" s="1471"/>
      <c r="T47" s="1471"/>
      <c r="U47" s="1471"/>
      <c r="V47" s="1471"/>
      <c r="W47" s="1488"/>
    </row>
    <row r="48" spans="2:23">
      <c r="B48" s="1484" t="s">
        <v>27</v>
      </c>
      <c r="C48" s="1469" t="s">
        <v>265</v>
      </c>
      <c r="D48" s="1497"/>
      <c r="E48" s="1497"/>
      <c r="F48" s="1497"/>
      <c r="G48" s="1497"/>
      <c r="H48" s="1660"/>
      <c r="I48" s="1474"/>
      <c r="J48" s="1472"/>
      <c r="L48" s="1487" t="s">
        <v>1822</v>
      </c>
      <c r="M48" s="1471"/>
      <c r="N48" s="1471"/>
      <c r="O48" s="1471" t="s">
        <v>1886</v>
      </c>
      <c r="P48" s="1471"/>
      <c r="Q48" s="1471"/>
      <c r="R48" s="1471"/>
      <c r="S48" s="1471"/>
      <c r="T48" s="1471"/>
      <c r="U48" s="1471"/>
      <c r="V48" s="1471"/>
      <c r="W48" s="1488"/>
    </row>
    <row r="49" spans="2:23">
      <c r="B49" s="1484" t="s">
        <v>28</v>
      </c>
      <c r="C49" s="1469" t="s">
        <v>265</v>
      </c>
      <c r="D49" s="1497"/>
      <c r="E49" s="1497"/>
      <c r="F49" s="1497"/>
      <c r="G49" s="1497"/>
      <c r="H49" s="90"/>
      <c r="I49" s="1474"/>
      <c r="J49" s="1472"/>
      <c r="L49" s="1487" t="s">
        <v>1824</v>
      </c>
      <c r="M49" s="1471"/>
      <c r="N49" s="1471"/>
      <c r="O49" s="1471" t="s">
        <v>1887</v>
      </c>
      <c r="P49" s="1471"/>
      <c r="Q49" s="1471"/>
      <c r="R49" s="1471"/>
      <c r="S49" s="1471"/>
      <c r="T49" s="1471"/>
      <c r="U49" s="1471"/>
      <c r="V49" s="1471"/>
      <c r="W49" s="1488"/>
    </row>
    <row r="50" spans="2:23">
      <c r="B50" s="1484" t="s">
        <v>26</v>
      </c>
      <c r="C50" s="1469" t="s">
        <v>265</v>
      </c>
      <c r="D50" s="1497"/>
      <c r="E50" s="1497"/>
      <c r="F50" s="1497"/>
      <c r="G50" s="1497"/>
      <c r="H50" s="212"/>
      <c r="I50" s="1474"/>
      <c r="J50" s="1472"/>
      <c r="L50" s="1487" t="s">
        <v>1826</v>
      </c>
      <c r="M50" s="1471"/>
      <c r="N50" s="1471"/>
      <c r="O50" s="1550">
        <v>112</v>
      </c>
      <c r="P50" s="1471"/>
      <c r="Q50" s="1471"/>
      <c r="R50" s="1471"/>
      <c r="S50" s="1471"/>
      <c r="T50" s="1471"/>
      <c r="U50" s="1471"/>
      <c r="V50" s="1471"/>
      <c r="W50" s="1488"/>
    </row>
    <row r="51" spans="2:23">
      <c r="B51" s="1484" t="s">
        <v>167</v>
      </c>
      <c r="C51" s="1469" t="s">
        <v>265</v>
      </c>
      <c r="D51" s="1674">
        <f t="shared" ref="D51:G52" si="0">D83/3.6</f>
        <v>1.3277777777777777</v>
      </c>
      <c r="E51" s="1674">
        <f t="shared" si="0"/>
        <v>1.3277777777777777</v>
      </c>
      <c r="F51" s="1674">
        <f t="shared" si="0"/>
        <v>1.3277777777777777</v>
      </c>
      <c r="G51" s="1674">
        <f t="shared" si="0"/>
        <v>1.3277777777777777</v>
      </c>
      <c r="H51" s="90"/>
      <c r="I51" s="1474"/>
      <c r="J51" s="1472"/>
      <c r="L51" s="1487" t="s">
        <v>1828</v>
      </c>
      <c r="M51" s="1471"/>
      <c r="N51" s="1471"/>
      <c r="O51" s="1471" t="s">
        <v>1888</v>
      </c>
      <c r="P51" s="1471"/>
      <c r="Q51" s="1471"/>
      <c r="R51" s="1471"/>
      <c r="S51" s="1471"/>
      <c r="T51" s="1471"/>
      <c r="U51" s="1471"/>
      <c r="V51" s="1471"/>
      <c r="W51" s="1488"/>
    </row>
    <row r="52" spans="2:23">
      <c r="B52" s="1484" t="s">
        <v>45</v>
      </c>
      <c r="C52" s="1469" t="s">
        <v>265</v>
      </c>
      <c r="D52" s="1674">
        <f t="shared" si="0"/>
        <v>1.3333333333333332E-2</v>
      </c>
      <c r="E52" s="1674">
        <f t="shared" si="0"/>
        <v>6.6666666666666675E-4</v>
      </c>
      <c r="F52" s="1674">
        <f t="shared" si="0"/>
        <v>6.6666666666666675E-4</v>
      </c>
      <c r="G52" s="1674">
        <f t="shared" si="0"/>
        <v>6.6666666666666675E-4</v>
      </c>
      <c r="H52" s="90"/>
      <c r="I52" s="1474"/>
      <c r="J52" s="1472"/>
      <c r="L52" s="1487" t="s">
        <v>1889</v>
      </c>
      <c r="M52" s="1471"/>
      <c r="N52" s="1471"/>
      <c r="O52" s="1471" t="s">
        <v>1890</v>
      </c>
      <c r="P52" s="1491"/>
      <c r="Q52" s="1471"/>
      <c r="R52" s="1471"/>
      <c r="S52" s="1471"/>
      <c r="T52" s="1471"/>
      <c r="U52" s="1471"/>
      <c r="V52" s="1471"/>
      <c r="W52" s="1488"/>
    </row>
    <row r="53" spans="2:23">
      <c r="B53" s="1484"/>
      <c r="C53" s="1469"/>
      <c r="D53" s="1497"/>
      <c r="E53" s="1497"/>
      <c r="F53" s="1497"/>
      <c r="G53" s="1497"/>
      <c r="H53" s="90"/>
      <c r="I53" s="1474"/>
      <c r="J53" s="1472"/>
      <c r="L53" s="1487"/>
      <c r="M53" s="1471"/>
      <c r="N53" s="1471"/>
      <c r="O53" s="1471"/>
      <c r="P53" s="1491"/>
      <c r="Q53" s="1471"/>
      <c r="R53" s="1471"/>
      <c r="S53" s="1471"/>
      <c r="T53" s="1471"/>
      <c r="U53" s="1471"/>
      <c r="V53" s="1471"/>
      <c r="W53" s="1488"/>
    </row>
    <row r="54" spans="2:23">
      <c r="B54" s="418" t="s">
        <v>20</v>
      </c>
      <c r="C54" s="1469"/>
      <c r="D54" s="1497"/>
      <c r="E54" s="1497"/>
      <c r="F54" s="1497"/>
      <c r="G54" s="1497"/>
      <c r="H54" s="1660"/>
      <c r="I54" s="1474"/>
      <c r="J54" s="1472"/>
      <c r="L54" s="1487"/>
      <c r="M54" s="1471"/>
      <c r="N54" s="1471"/>
      <c r="O54" s="1471"/>
      <c r="P54" s="1491"/>
      <c r="Q54" s="1471"/>
      <c r="R54" s="1471"/>
      <c r="S54" s="1471"/>
      <c r="T54" s="1471"/>
      <c r="U54" s="1471"/>
      <c r="V54" s="1471"/>
      <c r="W54" s="1488"/>
    </row>
    <row r="55" spans="2:23">
      <c r="B55" s="1484" t="s">
        <v>24</v>
      </c>
      <c r="C55" s="1469" t="s">
        <v>265</v>
      </c>
      <c r="D55" s="1589"/>
      <c r="E55" s="1589"/>
      <c r="F55" s="1589"/>
      <c r="G55" s="1589"/>
      <c r="H55" s="1169"/>
      <c r="I55" s="1474"/>
      <c r="J55" s="1472"/>
      <c r="L55" s="1487"/>
      <c r="M55" s="1471"/>
      <c r="N55" s="1471"/>
      <c r="O55" s="1471"/>
      <c r="P55" s="1491"/>
      <c r="Q55" s="1471"/>
      <c r="R55" s="1471"/>
      <c r="S55" s="1471"/>
      <c r="T55" s="1471"/>
      <c r="U55" s="1471"/>
      <c r="V55" s="1471"/>
      <c r="W55" s="1488"/>
    </row>
    <row r="56" spans="2:23">
      <c r="B56" s="1484" t="s">
        <v>27</v>
      </c>
      <c r="C56" s="1469" t="s">
        <v>265</v>
      </c>
      <c r="D56" s="1497">
        <f>D48</f>
        <v>0</v>
      </c>
      <c r="E56" s="1497">
        <f>E48</f>
        <v>0</v>
      </c>
      <c r="F56" s="1497">
        <f>F48</f>
        <v>0</v>
      </c>
      <c r="G56" s="1497">
        <f>G48</f>
        <v>0</v>
      </c>
      <c r="H56" s="1169"/>
      <c r="I56" s="1474"/>
      <c r="J56" s="1472"/>
      <c r="L56" s="1487"/>
      <c r="M56" s="1471"/>
      <c r="N56" s="1471"/>
      <c r="O56" s="1471"/>
      <c r="P56" s="1491"/>
      <c r="Q56" s="1471"/>
      <c r="R56" s="1471"/>
      <c r="S56" s="1471"/>
      <c r="T56" s="1471"/>
      <c r="U56" s="1471"/>
      <c r="V56" s="1471"/>
      <c r="W56" s="1488"/>
    </row>
    <row r="57" spans="2:23">
      <c r="B57" s="1484" t="s">
        <v>28</v>
      </c>
      <c r="C57" s="1469" t="s">
        <v>265</v>
      </c>
      <c r="D57" s="1497">
        <f t="shared" ref="D57:G60" si="1">D49</f>
        <v>0</v>
      </c>
      <c r="E57" s="1497">
        <f t="shared" si="1"/>
        <v>0</v>
      </c>
      <c r="F57" s="1497">
        <f t="shared" si="1"/>
        <v>0</v>
      </c>
      <c r="G57" s="1497">
        <f t="shared" si="1"/>
        <v>0</v>
      </c>
      <c r="H57" s="1169"/>
      <c r="I57" s="1474"/>
      <c r="J57" s="1472"/>
      <c r="L57" s="1487"/>
      <c r="M57" s="1471"/>
      <c r="N57" s="1471"/>
      <c r="O57" s="1471"/>
      <c r="P57" s="1491"/>
      <c r="Q57" s="1471"/>
      <c r="R57" s="1471"/>
      <c r="S57" s="1471"/>
      <c r="T57" s="1471"/>
      <c r="U57" s="1471"/>
      <c r="V57" s="1471"/>
      <c r="W57" s="1488"/>
    </row>
    <row r="58" spans="2:23">
      <c r="B58" s="1484" t="s">
        <v>26</v>
      </c>
      <c r="C58" s="1469" t="s">
        <v>265</v>
      </c>
      <c r="D58" s="1497">
        <f t="shared" si="1"/>
        <v>0</v>
      </c>
      <c r="E58" s="1497">
        <f t="shared" si="1"/>
        <v>0</v>
      </c>
      <c r="F58" s="1497">
        <f t="shared" si="1"/>
        <v>0</v>
      </c>
      <c r="G58" s="1497">
        <f t="shared" si="1"/>
        <v>0</v>
      </c>
      <c r="H58" s="1169"/>
      <c r="I58" s="1474"/>
      <c r="J58" s="1472"/>
      <c r="L58" s="1487"/>
      <c r="M58" s="1471"/>
      <c r="N58" s="1471"/>
      <c r="O58" s="1471"/>
      <c r="P58" s="1491"/>
      <c r="Q58" s="1471"/>
      <c r="R58" s="1471"/>
      <c r="S58" s="1471"/>
      <c r="T58" s="1471"/>
      <c r="U58" s="1471"/>
      <c r="V58" s="1471"/>
      <c r="W58" s="1488"/>
    </row>
    <row r="59" spans="2:23">
      <c r="B59" s="1484" t="s">
        <v>167</v>
      </c>
      <c r="C59" s="1469" t="s">
        <v>265</v>
      </c>
      <c r="D59" s="1497">
        <f t="shared" si="1"/>
        <v>1.3277777777777777</v>
      </c>
      <c r="E59" s="1497">
        <f t="shared" si="1"/>
        <v>1.3277777777777777</v>
      </c>
      <c r="F59" s="1497">
        <f t="shared" si="1"/>
        <v>1.3277777777777777</v>
      </c>
      <c r="G59" s="1497">
        <f t="shared" si="1"/>
        <v>1.3277777777777777</v>
      </c>
      <c r="H59" s="1169"/>
      <c r="I59" s="1474"/>
      <c r="J59" s="1472"/>
      <c r="L59" s="1487"/>
      <c r="M59" s="1471"/>
      <c r="N59" s="1471"/>
      <c r="O59" s="1471"/>
      <c r="P59" s="1491"/>
      <c r="Q59" s="1471"/>
      <c r="R59" s="1471"/>
      <c r="S59" s="1471"/>
      <c r="T59" s="1471"/>
      <c r="U59" s="1471"/>
      <c r="V59" s="1471"/>
      <c r="W59" s="1488"/>
    </row>
    <row r="60" spans="2:23">
      <c r="B60" s="1484" t="s">
        <v>45</v>
      </c>
      <c r="C60" s="1469" t="s">
        <v>265</v>
      </c>
      <c r="D60" s="1497">
        <f t="shared" si="1"/>
        <v>1.3333333333333332E-2</v>
      </c>
      <c r="E60" s="1497">
        <f t="shared" si="1"/>
        <v>6.6666666666666675E-4</v>
      </c>
      <c r="F60" s="1497">
        <f t="shared" si="1"/>
        <v>6.6666666666666675E-4</v>
      </c>
      <c r="G60" s="1497">
        <f t="shared" si="1"/>
        <v>6.6666666666666675E-4</v>
      </c>
      <c r="H60" s="323"/>
      <c r="I60" s="1474"/>
      <c r="J60" s="1472"/>
      <c r="L60" s="1487"/>
      <c r="M60" s="1471"/>
      <c r="N60" s="1471"/>
      <c r="O60" s="1550"/>
      <c r="P60" s="1471"/>
      <c r="Q60" s="1471"/>
      <c r="R60" s="1471"/>
      <c r="S60" s="1471"/>
      <c r="T60" s="1471"/>
      <c r="U60" s="1471"/>
      <c r="V60" s="1471"/>
      <c r="W60" s="1488"/>
    </row>
    <row r="61" spans="2:23" ht="13.5" thickBot="1">
      <c r="B61" s="1498"/>
      <c r="C61" s="1499"/>
      <c r="D61" s="1500"/>
      <c r="E61" s="1501"/>
      <c r="F61" s="1501"/>
      <c r="G61" s="1501"/>
      <c r="H61" s="1501"/>
      <c r="I61" s="1502"/>
      <c r="J61" s="1503"/>
      <c r="L61" s="1468" t="s">
        <v>1830</v>
      </c>
      <c r="M61" s="1471"/>
      <c r="N61" s="1471"/>
      <c r="O61" s="1471"/>
      <c r="P61" s="1471"/>
      <c r="Q61" s="1471"/>
      <c r="R61" s="1471"/>
      <c r="S61" s="1471"/>
      <c r="T61" s="1471"/>
      <c r="U61" s="1471"/>
      <c r="V61" s="1471"/>
      <c r="W61" s="1488"/>
    </row>
    <row r="62" spans="2:23">
      <c r="H62" s="1447"/>
      <c r="L62" s="1487" t="s">
        <v>1831</v>
      </c>
      <c r="M62" s="1471"/>
      <c r="N62" s="1505">
        <v>562.5</v>
      </c>
      <c r="O62" s="1471" t="s">
        <v>1832</v>
      </c>
      <c r="P62" s="1471"/>
      <c r="Q62" s="1471"/>
      <c r="R62" s="1471"/>
      <c r="S62" s="1471"/>
      <c r="T62" s="1471"/>
      <c r="U62" s="1471"/>
      <c r="V62" s="1471"/>
      <c r="W62" s="1488"/>
    </row>
    <row r="63" spans="2:23">
      <c r="H63" s="1447"/>
      <c r="L63" s="1487"/>
      <c r="M63" s="1471"/>
      <c r="N63" s="1505"/>
      <c r="O63" s="1471"/>
      <c r="P63" s="1471"/>
      <c r="Q63" s="1471"/>
      <c r="R63" s="1471"/>
      <c r="S63" s="1471"/>
      <c r="T63" s="1471"/>
      <c r="U63" s="1471"/>
      <c r="V63" s="1471"/>
      <c r="W63" s="1488"/>
    </row>
    <row r="64" spans="2:23" ht="16.5" thickBot="1">
      <c r="B64" s="1504" t="s">
        <v>168</v>
      </c>
      <c r="H64" s="1447"/>
      <c r="L64" s="1487" t="s">
        <v>1833</v>
      </c>
      <c r="M64" s="1471"/>
      <c r="N64" s="1505">
        <v>0.9</v>
      </c>
      <c r="O64" s="1471" t="s">
        <v>1891</v>
      </c>
      <c r="P64" s="1471"/>
      <c r="Q64" s="1471"/>
      <c r="R64" s="1471"/>
      <c r="S64" s="1471"/>
      <c r="T64" s="1471"/>
      <c r="U64" s="1471"/>
      <c r="V64" s="1471"/>
      <c r="W64" s="1488"/>
    </row>
    <row r="65" spans="2:23">
      <c r="B65" s="1455"/>
      <c r="C65" s="1456"/>
      <c r="D65" s="1449"/>
      <c r="E65" s="1449"/>
      <c r="F65" s="1449"/>
      <c r="G65" s="1449"/>
      <c r="H65" s="1449"/>
      <c r="I65" s="1449"/>
      <c r="J65" s="1450"/>
      <c r="L65" s="1487" t="s">
        <v>1835</v>
      </c>
      <c r="M65" s="1471"/>
      <c r="N65" s="1508">
        <v>1.4E-2</v>
      </c>
      <c r="O65" s="1471" t="s">
        <v>1892</v>
      </c>
      <c r="P65" s="1471"/>
      <c r="Q65" s="1471"/>
      <c r="R65" s="1471"/>
      <c r="S65" s="1471"/>
      <c r="T65" s="1471"/>
      <c r="U65" s="1471"/>
      <c r="V65" s="1471"/>
      <c r="W65" s="1488"/>
    </row>
    <row r="66" spans="2:23">
      <c r="B66" s="1460"/>
      <c r="C66" s="1461" t="s">
        <v>70</v>
      </c>
      <c r="D66" s="1506">
        <v>2013</v>
      </c>
      <c r="E66" s="1507">
        <v>2020</v>
      </c>
      <c r="F66" s="1507">
        <v>2035</v>
      </c>
      <c r="G66" s="1507">
        <v>2050</v>
      </c>
      <c r="H66" s="1507"/>
      <c r="I66" s="1464" t="s">
        <v>145</v>
      </c>
      <c r="J66" s="1465" t="s">
        <v>146</v>
      </c>
      <c r="L66" s="1487"/>
      <c r="M66" s="1471"/>
      <c r="N66" s="1508"/>
      <c r="O66" s="1471"/>
      <c r="P66" s="1471"/>
      <c r="Q66" s="1471"/>
      <c r="R66" s="1471"/>
      <c r="S66" s="1471"/>
      <c r="T66" s="1471"/>
      <c r="U66" s="1471"/>
      <c r="V66" s="1471"/>
      <c r="W66" s="1488"/>
    </row>
    <row r="67" spans="2:23">
      <c r="B67" s="1487" t="s">
        <v>266</v>
      </c>
      <c r="C67" s="1509" t="s">
        <v>267</v>
      </c>
      <c r="D67" s="1510">
        <f>D$78*$D$23</f>
        <v>10.3274496</v>
      </c>
      <c r="E67" s="1510">
        <f>E$78*$D$23</f>
        <v>10.482361343999999</v>
      </c>
      <c r="F67" s="1510">
        <f>F$78*$D$23</f>
        <v>9.4341252095999995</v>
      </c>
      <c r="G67" s="1510">
        <f>G$78*$D$23</f>
        <v>9.4341252095999995</v>
      </c>
      <c r="H67" s="1510"/>
      <c r="I67" s="1471"/>
      <c r="J67" s="1472" t="s">
        <v>1893</v>
      </c>
      <c r="L67" s="1468" t="s">
        <v>1837</v>
      </c>
      <c r="M67" s="1471"/>
      <c r="N67" s="1471"/>
      <c r="O67" s="1471"/>
      <c r="P67" s="1471"/>
      <c r="Q67" s="1471"/>
      <c r="R67" s="1471"/>
      <c r="S67" s="1471"/>
      <c r="T67" s="1471"/>
      <c r="U67" s="1471"/>
      <c r="V67" s="1471"/>
      <c r="W67" s="1488"/>
    </row>
    <row r="68" spans="2:23">
      <c r="B68" s="1487"/>
      <c r="C68" s="1509"/>
      <c r="D68" s="1510"/>
      <c r="E68" s="1510"/>
      <c r="F68" s="1510"/>
      <c r="G68" s="1510"/>
      <c r="H68" s="1510"/>
      <c r="I68" s="1471"/>
      <c r="J68" s="1472"/>
      <c r="L68" s="1487" t="s">
        <v>1839</v>
      </c>
      <c r="M68" s="1471"/>
      <c r="N68" s="1505">
        <v>43.1</v>
      </c>
      <c r="O68" s="1471" t="s">
        <v>488</v>
      </c>
      <c r="P68" s="1471"/>
      <c r="Q68" s="1471"/>
      <c r="R68" s="1471"/>
      <c r="S68" s="1471"/>
      <c r="T68" s="1471"/>
      <c r="U68" s="1471"/>
      <c r="V68" s="1471"/>
      <c r="W68" s="1488"/>
    </row>
    <row r="69" spans="2:23">
      <c r="B69" s="1487" t="s">
        <v>268</v>
      </c>
      <c r="C69" s="1509" t="s">
        <v>269</v>
      </c>
      <c r="D69" s="1511">
        <v>150000</v>
      </c>
      <c r="E69" s="1511">
        <v>150000</v>
      </c>
      <c r="F69" s="1511">
        <v>150000</v>
      </c>
      <c r="G69" s="1511">
        <v>150000</v>
      </c>
      <c r="H69" s="2369"/>
      <c r="I69" s="1479" t="str">
        <f>Referencer!$B$68</f>
        <v>62, Baseret på viden og praktisk erfaring fra tekniske eksperter fra jernbanesektoren i Danmark og internationale faglige netværk</v>
      </c>
      <c r="J69" s="1472" t="s">
        <v>1894</v>
      </c>
      <c r="L69" s="1487" t="s">
        <v>1841</v>
      </c>
      <c r="M69" s="1471"/>
      <c r="N69" s="1508">
        <v>0.83199999999999996</v>
      </c>
      <c r="O69" s="1508" t="s">
        <v>1842</v>
      </c>
      <c r="P69" s="1471"/>
      <c r="Q69" s="1471"/>
      <c r="R69" s="1471"/>
      <c r="S69" s="1471"/>
      <c r="T69" s="1471"/>
      <c r="U69" s="1471"/>
      <c r="V69" s="1471"/>
      <c r="W69" s="1488"/>
    </row>
    <row r="70" spans="2:23">
      <c r="B70" s="1487" t="s">
        <v>260</v>
      </c>
      <c r="C70" s="1509" t="s">
        <v>261</v>
      </c>
      <c r="D70" s="1512">
        <f>+D67*D69/1000</f>
        <v>1549.11744</v>
      </c>
      <c r="E70" s="1512">
        <f>+E67*E69/1000</f>
        <v>1572.3542015999999</v>
      </c>
      <c r="F70" s="1512">
        <f>+F67*F69/1000</f>
        <v>1415.1187814399998</v>
      </c>
      <c r="G70" s="1512">
        <f>+G67*G69/1000</f>
        <v>1415.1187814399998</v>
      </c>
      <c r="H70" s="1512"/>
      <c r="I70" s="1471"/>
      <c r="J70" s="1472" t="s">
        <v>1840</v>
      </c>
      <c r="L70" s="1487" t="s">
        <v>1839</v>
      </c>
      <c r="M70" s="1471"/>
      <c r="N70" s="1508">
        <f>N68*N69</f>
        <v>35.859200000000001</v>
      </c>
      <c r="O70" s="1471" t="s">
        <v>1843</v>
      </c>
      <c r="P70" s="1471"/>
      <c r="Q70" s="1471"/>
      <c r="R70" s="1471"/>
      <c r="S70" s="1471"/>
      <c r="T70" s="1471"/>
      <c r="U70" s="1471"/>
      <c r="V70" s="1471"/>
      <c r="W70" s="1488"/>
    </row>
    <row r="71" spans="2:23">
      <c r="B71" s="1487" t="s">
        <v>271</v>
      </c>
      <c r="C71" s="1509" t="s">
        <v>263</v>
      </c>
      <c r="D71" s="1513">
        <f>D72*1000/D67</f>
        <v>2837.0992970035895</v>
      </c>
      <c r="E71" s="1513">
        <f>E72*1000/E67</f>
        <v>2795.1717211858027</v>
      </c>
      <c r="F71" s="1513">
        <f>F72*1000/F67</f>
        <v>3105.7463568731137</v>
      </c>
      <c r="G71" s="1513">
        <f>G72*1000/G67</f>
        <v>3105.7463568731137</v>
      </c>
      <c r="H71" s="1513"/>
      <c r="I71" s="1471"/>
      <c r="J71" s="1472"/>
      <c r="L71" s="1487" t="s">
        <v>1845</v>
      </c>
      <c r="M71" s="1471"/>
      <c r="N71" s="1516">
        <v>73.25</v>
      </c>
      <c r="O71" s="1471" t="s">
        <v>1846</v>
      </c>
      <c r="P71" s="1471"/>
      <c r="Q71" s="1471"/>
      <c r="R71" s="1471"/>
      <c r="S71" s="1471"/>
      <c r="T71" s="1471"/>
      <c r="U71" s="1471"/>
      <c r="V71" s="1471"/>
      <c r="W71" s="1488"/>
    </row>
    <row r="72" spans="2:23">
      <c r="B72" s="1487" t="s">
        <v>271</v>
      </c>
      <c r="C72" s="1509" t="s">
        <v>55</v>
      </c>
      <c r="D72" s="1514">
        <v>29.3</v>
      </c>
      <c r="E72" s="1515">
        <v>29.3</v>
      </c>
      <c r="F72" s="1515">
        <v>29.3</v>
      </c>
      <c r="G72" s="1515">
        <v>29.3</v>
      </c>
      <c r="H72" s="1515"/>
      <c r="I72" s="1479" t="str">
        <f>Referencer!$B$67</f>
        <v>61, "European Benchmarking of the costs, performance and revenues of GB TOCs", Prepared for the Office of Rail Regulation, Hamburg, November 20th, 2012, Civity Management Consultants, http://www.rail-reg.gov.uk/upload/pdf/civity-toc-benchmarking-201112.pdf (modificeret dansk værdi ift EU gns.: 2,4£ x 1,36)</v>
      </c>
      <c r="J72" s="1472" t="s">
        <v>1895</v>
      </c>
      <c r="L72" s="1487" t="s">
        <v>1839</v>
      </c>
      <c r="M72" s="1471"/>
      <c r="N72" s="1471">
        <f>N71*N70</f>
        <v>2626.6864</v>
      </c>
      <c r="O72" s="1471" t="s">
        <v>1850</v>
      </c>
      <c r="P72" s="1471"/>
      <c r="Q72" s="1471"/>
      <c r="R72" s="1471"/>
      <c r="S72" s="1471"/>
      <c r="T72" s="1471"/>
      <c r="U72" s="1471"/>
      <c r="V72" s="1471"/>
      <c r="W72" s="1488"/>
    </row>
    <row r="73" spans="2:23" ht="25.5">
      <c r="B73" s="1517" t="s">
        <v>1847</v>
      </c>
      <c r="C73" s="1509" t="s">
        <v>29</v>
      </c>
      <c r="D73" s="1518" t="s">
        <v>1848</v>
      </c>
      <c r="E73" s="1519" t="s">
        <v>1848</v>
      </c>
      <c r="F73" s="1520">
        <v>0.1</v>
      </c>
      <c r="G73" s="1520">
        <v>0.1</v>
      </c>
      <c r="H73" s="1520"/>
      <c r="I73" s="1479" t="str">
        <f>Referencer!$B$68</f>
        <v>62, Baseret på viden og praktisk erfaring fra tekniske eksperter fra jernbanesektoren i Danmark og internationale faglige netværk</v>
      </c>
      <c r="J73" s="1472" t="s">
        <v>1849</v>
      </c>
      <c r="L73" s="1487"/>
      <c r="M73" s="1471"/>
      <c r="N73" s="1516"/>
      <c r="O73" s="1471"/>
      <c r="P73" s="1471"/>
      <c r="Q73" s="1471"/>
      <c r="R73" s="1471"/>
      <c r="S73" s="1471"/>
      <c r="T73" s="1471"/>
      <c r="U73" s="1471"/>
      <c r="V73" s="1471"/>
      <c r="W73" s="1488"/>
    </row>
    <row r="74" spans="2:23" ht="13.5" thickBot="1">
      <c r="B74" s="1521"/>
      <c r="C74" s="1522"/>
      <c r="D74" s="1523"/>
      <c r="E74" s="1523"/>
      <c r="F74" s="1523"/>
      <c r="G74" s="1523"/>
      <c r="H74" s="1523"/>
      <c r="I74" s="1501"/>
      <c r="J74" s="1503"/>
      <c r="L74" s="1487"/>
      <c r="M74" s="1471"/>
      <c r="N74" s="1471"/>
      <c r="O74" s="1471"/>
      <c r="P74" s="1471"/>
      <c r="Q74" s="1471"/>
      <c r="R74" s="1471"/>
      <c r="S74" s="1471"/>
      <c r="T74" s="1471"/>
      <c r="U74" s="1471"/>
      <c r="V74" s="1471"/>
      <c r="W74" s="1488"/>
    </row>
    <row r="75" spans="2:23" ht="13.5" thickBot="1">
      <c r="H75" s="1447"/>
      <c r="L75" s="1524"/>
      <c r="M75" s="1525"/>
      <c r="N75" s="1525"/>
      <c r="O75" s="1525"/>
      <c r="P75" s="1501"/>
      <c r="Q75" s="1501"/>
      <c r="R75" s="1501"/>
      <c r="S75" s="1501"/>
      <c r="T75" s="1501"/>
      <c r="U75" s="1501"/>
      <c r="V75" s="1501"/>
      <c r="W75" s="1526" t="s">
        <v>1896</v>
      </c>
    </row>
    <row r="76" spans="2:23" ht="18.75" customHeight="1" thickBot="1">
      <c r="B76" s="1504" t="s">
        <v>172</v>
      </c>
      <c r="H76" s="1447"/>
      <c r="L76" s="1527"/>
      <c r="M76" s="1527"/>
      <c r="N76" s="1527"/>
      <c r="O76" s="1527"/>
      <c r="P76" s="1528"/>
      <c r="Q76" s="1528"/>
      <c r="R76" s="1528"/>
    </row>
    <row r="77" spans="2:23" ht="16.5" thickBot="1">
      <c r="B77" s="1455"/>
      <c r="C77" s="1449"/>
      <c r="D77" s="1529"/>
      <c r="E77" s="1529"/>
      <c r="F77" s="1529"/>
      <c r="G77" s="1529"/>
      <c r="H77" s="1529"/>
      <c r="I77" s="1449"/>
      <c r="J77" s="1450"/>
      <c r="L77" s="1504" t="s">
        <v>1853</v>
      </c>
    </row>
    <row r="78" spans="2:23" ht="12.75" customHeight="1">
      <c r="B78" s="1484" t="s">
        <v>1854</v>
      </c>
      <c r="C78" s="1471" t="s">
        <v>267</v>
      </c>
      <c r="D78" s="1516">
        <f>$N$64*$N$70</f>
        <v>32.27328</v>
      </c>
      <c r="E78" s="1516">
        <f>$D$78*1.015</f>
        <v>32.757379199999995</v>
      </c>
      <c r="F78" s="1516">
        <f>$E$78*(1-$F$73)</f>
        <v>29.481641279999998</v>
      </c>
      <c r="G78" s="1516">
        <f>$E$78*(1-$F$73)</f>
        <v>29.481641279999998</v>
      </c>
      <c r="H78" s="1516"/>
      <c r="I78" s="1471"/>
      <c r="J78" s="1472" t="s">
        <v>1855</v>
      </c>
      <c r="L78" s="2549"/>
      <c r="M78" s="2550"/>
      <c r="N78" s="2550"/>
      <c r="O78" s="1458"/>
      <c r="P78" s="1458"/>
      <c r="Q78" s="1458"/>
      <c r="R78" s="1459"/>
    </row>
    <row r="79" spans="2:23">
      <c r="B79" s="1484" t="s">
        <v>1856</v>
      </c>
      <c r="C79" s="1471" t="s">
        <v>7</v>
      </c>
      <c r="D79" s="1531">
        <f>$N$64*$N$72</f>
        <v>2364.0177600000002</v>
      </c>
      <c r="E79" s="1532">
        <f>$D$79*1.015</f>
        <v>2399.4780264000001</v>
      </c>
      <c r="F79" s="1532">
        <f>$E$79*(1-$F$73)</f>
        <v>2159.5302237600004</v>
      </c>
      <c r="G79" s="1532">
        <f>$E$79*(1-$F$73)</f>
        <v>2159.5302237600004</v>
      </c>
      <c r="H79" s="1532"/>
      <c r="I79" s="1471"/>
      <c r="J79" s="1472" t="s">
        <v>1855</v>
      </c>
      <c r="L79" s="1530"/>
      <c r="M79" s="1466"/>
      <c r="N79" s="1466"/>
      <c r="O79" s="1466"/>
      <c r="P79" s="1466"/>
      <c r="Q79" s="1466"/>
      <c r="R79" s="1467"/>
    </row>
    <row r="80" spans="2:23">
      <c r="B80" s="1484"/>
      <c r="C80" s="1471"/>
      <c r="D80" s="1533"/>
      <c r="E80" s="1533"/>
      <c r="F80" s="1533"/>
      <c r="G80" s="1533"/>
      <c r="H80" s="1533"/>
      <c r="I80" s="1479"/>
      <c r="J80" s="1472"/>
      <c r="L80" s="2540" t="s">
        <v>1857</v>
      </c>
      <c r="M80" s="2541"/>
      <c r="N80" s="1466"/>
      <c r="O80" s="1466"/>
      <c r="P80" s="1466"/>
      <c r="Q80" s="1466"/>
      <c r="R80" s="1467"/>
    </row>
    <row r="81" spans="2:18" ht="12.75" customHeight="1">
      <c r="B81" s="1484" t="s">
        <v>1859</v>
      </c>
      <c r="C81" s="627" t="s">
        <v>239</v>
      </c>
      <c r="D81" s="1533">
        <v>0.39</v>
      </c>
      <c r="E81" s="1533">
        <f t="shared" ref="E81:G83" si="2">D81</f>
        <v>0.39</v>
      </c>
      <c r="F81" s="1533">
        <f t="shared" si="2"/>
        <v>0.39</v>
      </c>
      <c r="G81" s="1533">
        <f t="shared" si="2"/>
        <v>0.39</v>
      </c>
      <c r="H81" s="1533"/>
      <c r="I81" s="1479" t="str">
        <f>Referencer!$B$70</f>
        <v>66, Lokalbanen, www.lokalbanen.dk/om-lokalbanen/miljoe</v>
      </c>
      <c r="J81" s="1472"/>
      <c r="L81" s="2537" t="s">
        <v>1897</v>
      </c>
      <c r="M81" s="2538"/>
      <c r="N81" s="2538"/>
      <c r="O81" s="2538"/>
      <c r="P81" s="2538"/>
      <c r="Q81" s="2538"/>
      <c r="R81" s="2539"/>
    </row>
    <row r="82" spans="2:18">
      <c r="B82" s="1484" t="s">
        <v>1623</v>
      </c>
      <c r="C82" s="1471" t="s">
        <v>637</v>
      </c>
      <c r="D82" s="1533">
        <v>0.12</v>
      </c>
      <c r="E82" s="1533">
        <f t="shared" si="2"/>
        <v>0.12</v>
      </c>
      <c r="F82" s="1533">
        <f t="shared" si="2"/>
        <v>0.12</v>
      </c>
      <c r="G82" s="1533">
        <f t="shared" si="2"/>
        <v>0.12</v>
      </c>
      <c r="H82" s="1533"/>
      <c r="I82" s="1479" t="str">
        <f>Referencer!$B$70</f>
        <v>66, Lokalbanen, www.lokalbanen.dk/om-lokalbanen/miljoe</v>
      </c>
      <c r="J82" s="1472"/>
      <c r="L82" s="2537" t="s">
        <v>1898</v>
      </c>
      <c r="M82" s="2538"/>
      <c r="N82" s="2538"/>
      <c r="O82" s="2538"/>
      <c r="P82" s="2538"/>
      <c r="Q82" s="2538"/>
      <c r="R82" s="2539"/>
    </row>
    <row r="83" spans="2:18">
      <c r="B83" s="1484" t="s">
        <v>167</v>
      </c>
      <c r="C83" s="1471" t="s">
        <v>637</v>
      </c>
      <c r="D83" s="1533">
        <v>4.78</v>
      </c>
      <c r="E83" s="1533">
        <f t="shared" si="2"/>
        <v>4.78</v>
      </c>
      <c r="F83" s="1533">
        <f t="shared" si="2"/>
        <v>4.78</v>
      </c>
      <c r="G83" s="1533">
        <f t="shared" si="2"/>
        <v>4.78</v>
      </c>
      <c r="H83" s="1533"/>
      <c r="I83" s="1479" t="str">
        <f>Referencer!$B$70</f>
        <v>66, Lokalbanen, www.lokalbanen.dk/om-lokalbanen/miljoe</v>
      </c>
      <c r="J83" s="1472"/>
      <c r="L83" s="2537" t="s">
        <v>1861</v>
      </c>
      <c r="M83" s="2538"/>
      <c r="N83" s="2538"/>
      <c r="O83" s="2538"/>
      <c r="P83" s="2538"/>
      <c r="Q83" s="2538"/>
      <c r="R83" s="2539"/>
    </row>
    <row r="84" spans="2:18">
      <c r="B84" s="1484" t="s">
        <v>1863</v>
      </c>
      <c r="C84" s="1471" t="s">
        <v>637</v>
      </c>
      <c r="D84" s="1533">
        <v>4.8000000000000001E-2</v>
      </c>
      <c r="E84" s="1533">
        <f>D84*0.05</f>
        <v>2.4000000000000002E-3</v>
      </c>
      <c r="F84" s="1533">
        <f>E84</f>
        <v>2.4000000000000002E-3</v>
      </c>
      <c r="G84" s="1533">
        <f>F84</f>
        <v>2.4000000000000002E-3</v>
      </c>
      <c r="H84" s="1533"/>
      <c r="I84" s="1479" t="str">
        <f>Referencer!$B$70</f>
        <v>66, Lokalbanen, www.lokalbanen.dk/om-lokalbanen/miljoe</v>
      </c>
      <c r="J84" s="1472" t="s">
        <v>1864</v>
      </c>
      <c r="L84" s="2537" t="s">
        <v>1899</v>
      </c>
      <c r="M84" s="2538"/>
      <c r="N84" s="2538"/>
      <c r="O84" s="2538"/>
      <c r="P84" s="2538"/>
      <c r="Q84" s="2538"/>
      <c r="R84" s="2539"/>
    </row>
    <row r="85" spans="2:18" ht="13.5" thickBot="1">
      <c r="B85" s="1521"/>
      <c r="C85" s="1501"/>
      <c r="D85" s="1501"/>
      <c r="E85" s="1501"/>
      <c r="F85" s="1501"/>
      <c r="G85" s="1501"/>
      <c r="H85" s="1501"/>
      <c r="I85" s="1501"/>
      <c r="J85" s="1534"/>
      <c r="L85" s="1481"/>
      <c r="M85" s="1482"/>
      <c r="N85" s="1482"/>
      <c r="O85" s="1482"/>
      <c r="P85" s="1482"/>
      <c r="Q85" s="1482"/>
      <c r="R85" s="1483"/>
    </row>
    <row r="86" spans="2:18" ht="13.5" customHeight="1">
      <c r="F86" s="1535"/>
      <c r="G86" s="1535"/>
      <c r="H86" s="1535"/>
      <c r="L86" s="2540" t="s">
        <v>1865</v>
      </c>
      <c r="M86" s="2541"/>
      <c r="N86" s="1482"/>
      <c r="O86" s="1482"/>
      <c r="P86" s="1482"/>
      <c r="Q86" s="1482"/>
      <c r="R86" s="1483"/>
    </row>
    <row r="87" spans="2:18" ht="12.75" customHeight="1">
      <c r="F87" s="1535"/>
      <c r="G87" s="1535"/>
      <c r="H87" s="1535"/>
      <c r="L87" s="2537" t="s">
        <v>1866</v>
      </c>
      <c r="M87" s="2538"/>
      <c r="N87" s="2538"/>
      <c r="O87" s="2538"/>
      <c r="P87" s="2538"/>
      <c r="Q87" s="2538"/>
      <c r="R87" s="2539"/>
    </row>
    <row r="88" spans="2:18" ht="12.75" customHeight="1" thickBot="1">
      <c r="B88" s="1504"/>
      <c r="F88" s="1535"/>
      <c r="G88" s="1535"/>
      <c r="H88" s="1535"/>
      <c r="L88" s="2537" t="s">
        <v>1900</v>
      </c>
      <c r="M88" s="2538"/>
      <c r="N88" s="2538"/>
      <c r="O88" s="2538"/>
      <c r="P88" s="2538"/>
      <c r="Q88" s="2538"/>
      <c r="R88" s="2539"/>
    </row>
    <row r="89" spans="2:18" ht="12.75" customHeight="1">
      <c r="B89" s="2365"/>
      <c r="C89" s="2366"/>
      <c r="D89" s="2366"/>
      <c r="E89" s="2366"/>
      <c r="F89" s="2366"/>
      <c r="G89" s="2366"/>
      <c r="H89" s="2366"/>
      <c r="I89" s="2366"/>
      <c r="J89" s="2367"/>
      <c r="L89" s="2537"/>
      <c r="M89" s="2538"/>
      <c r="N89" s="2538"/>
      <c r="O89" s="2538"/>
      <c r="P89" s="2538"/>
      <c r="Q89" s="2538"/>
      <c r="R89" s="2539"/>
    </row>
    <row r="90" spans="2:18" ht="12.75" customHeight="1">
      <c r="B90" s="1536"/>
      <c r="C90" s="1537"/>
      <c r="D90" s="1537"/>
      <c r="E90" s="1537"/>
      <c r="F90" s="1537"/>
      <c r="G90" s="1537"/>
      <c r="H90" s="1537"/>
      <c r="I90" s="1537"/>
      <c r="J90" s="1538"/>
      <c r="L90" s="2537" t="s">
        <v>1869</v>
      </c>
      <c r="M90" s="2538"/>
      <c r="N90" s="2538"/>
      <c r="O90" s="2538"/>
      <c r="P90" s="2538"/>
      <c r="Q90" s="2538"/>
      <c r="R90" s="2539"/>
    </row>
    <row r="91" spans="2:18" ht="12.75" customHeight="1">
      <c r="B91" s="1536"/>
      <c r="C91" s="1537"/>
      <c r="D91" s="1537"/>
      <c r="E91" s="1537"/>
      <c r="F91" s="1537"/>
      <c r="G91" s="1537"/>
      <c r="H91" s="1537"/>
      <c r="I91" s="1537"/>
      <c r="J91" s="1538"/>
      <c r="L91" s="2537"/>
      <c r="M91" s="2538"/>
      <c r="N91" s="2538"/>
      <c r="O91" s="2538"/>
      <c r="P91" s="2538"/>
      <c r="Q91" s="2538"/>
      <c r="R91" s="2539"/>
    </row>
    <row r="92" spans="2:18" ht="12.75" customHeight="1">
      <c r="B92" s="1536"/>
      <c r="C92" s="1537"/>
      <c r="D92" s="1537"/>
      <c r="E92" s="1537"/>
      <c r="F92" s="1537"/>
      <c r="G92" s="1537"/>
      <c r="H92" s="1537"/>
      <c r="I92" s="1537"/>
      <c r="J92" s="1538"/>
      <c r="L92" s="2537"/>
      <c r="M92" s="2538"/>
      <c r="N92" s="2538"/>
      <c r="O92" s="2538"/>
      <c r="P92" s="2538"/>
      <c r="Q92" s="2538"/>
      <c r="R92" s="2539"/>
    </row>
    <row r="93" spans="2:18" ht="12.75" customHeight="1">
      <c r="B93" s="1536"/>
      <c r="C93" s="1537"/>
      <c r="D93" s="1537"/>
      <c r="E93" s="1537"/>
      <c r="F93" s="1537"/>
      <c r="G93" s="1537"/>
      <c r="H93" s="1537"/>
      <c r="I93" s="1537"/>
      <c r="J93" s="1538"/>
      <c r="L93" s="2537"/>
      <c r="M93" s="2538"/>
      <c r="N93" s="2538"/>
      <c r="O93" s="2538"/>
      <c r="P93" s="2538"/>
      <c r="Q93" s="2538"/>
      <c r="R93" s="2539"/>
    </row>
    <row r="94" spans="2:18" ht="12.75" customHeight="1">
      <c r="C94" s="1537"/>
      <c r="D94" s="1537"/>
      <c r="E94" s="1537"/>
      <c r="F94" s="1537"/>
      <c r="G94" s="1537"/>
      <c r="H94" s="1537"/>
      <c r="I94" s="1537"/>
      <c r="J94" s="1538"/>
      <c r="L94" s="2537"/>
      <c r="M94" s="2538"/>
      <c r="N94" s="2538"/>
      <c r="O94" s="2538"/>
      <c r="P94" s="2538"/>
      <c r="Q94" s="2538"/>
      <c r="R94" s="2539"/>
    </row>
    <row r="95" spans="2:18" ht="12.75" customHeight="1">
      <c r="B95" s="1536"/>
      <c r="C95" s="1537"/>
      <c r="D95" s="1537"/>
      <c r="E95" s="1537"/>
      <c r="F95" s="1537"/>
      <c r="G95" s="1537"/>
      <c r="H95" s="1537"/>
      <c r="I95" s="1537"/>
      <c r="J95" s="1538"/>
      <c r="L95" s="1481"/>
      <c r="M95" s="1482"/>
      <c r="N95" s="1482"/>
      <c r="O95" s="1482"/>
      <c r="P95" s="1482"/>
      <c r="Q95" s="1482"/>
      <c r="R95" s="1483"/>
    </row>
    <row r="96" spans="2:18" ht="12.75" customHeight="1">
      <c r="C96" s="1537"/>
      <c r="D96" s="1537"/>
      <c r="E96" s="1537"/>
      <c r="F96" s="1537"/>
      <c r="G96" s="1537"/>
      <c r="H96" s="1537"/>
      <c r="I96" s="1537"/>
      <c r="J96" s="1538"/>
      <c r="L96" s="2540" t="s">
        <v>2321</v>
      </c>
      <c r="M96" s="2541"/>
      <c r="N96" s="1482"/>
      <c r="O96" s="1482"/>
      <c r="P96" s="1482"/>
      <c r="Q96" s="1482"/>
      <c r="R96" s="1483"/>
    </row>
    <row r="97" spans="2:18" ht="12.75" customHeight="1">
      <c r="B97" s="1536"/>
      <c r="C97" s="1537"/>
      <c r="D97" s="1537"/>
      <c r="E97" s="1537"/>
      <c r="F97" s="1537"/>
      <c r="G97" s="1537"/>
      <c r="H97" s="1537"/>
      <c r="I97" s="1537"/>
      <c r="J97" s="1538"/>
      <c r="L97" s="2537" t="s">
        <v>2325</v>
      </c>
      <c r="M97" s="2538"/>
      <c r="N97" s="2538"/>
      <c r="O97" s="2538"/>
      <c r="P97" s="2538"/>
      <c r="Q97" s="2538"/>
      <c r="R97" s="2539"/>
    </row>
    <row r="98" spans="2:18" ht="13.5" thickBot="1">
      <c r="B98" s="1539"/>
      <c r="C98" s="1540"/>
      <c r="D98" s="1540"/>
      <c r="E98" s="1540"/>
      <c r="F98" s="1540"/>
      <c r="G98" s="1540"/>
      <c r="H98" s="1540"/>
      <c r="I98" s="1540"/>
      <c r="J98" s="1541"/>
      <c r="L98" s="2537"/>
      <c r="M98" s="2538"/>
      <c r="N98" s="2538"/>
      <c r="O98" s="2538"/>
      <c r="P98" s="2538"/>
      <c r="Q98" s="2538"/>
      <c r="R98" s="2539"/>
    </row>
    <row r="99" spans="2:18">
      <c r="H99" s="134"/>
      <c r="L99" s="2537" t="s">
        <v>1871</v>
      </c>
      <c r="M99" s="2538"/>
      <c r="N99" s="2538"/>
      <c r="O99" s="2538"/>
      <c r="P99" s="2538"/>
      <c r="Q99" s="2538"/>
      <c r="R99" s="2539"/>
    </row>
    <row r="100" spans="2:18">
      <c r="H100" s="134"/>
      <c r="L100" s="2537"/>
      <c r="M100" s="2538"/>
      <c r="N100" s="2538"/>
      <c r="O100" s="2538"/>
      <c r="P100" s="2538"/>
      <c r="Q100" s="2538"/>
      <c r="R100" s="2539"/>
    </row>
    <row r="101" spans="2:18" ht="12.75" customHeight="1">
      <c r="I101" s="1542"/>
      <c r="L101" s="2537" t="s">
        <v>2326</v>
      </c>
      <c r="M101" s="2538"/>
      <c r="N101" s="2538"/>
      <c r="O101" s="2538"/>
      <c r="P101" s="2538"/>
      <c r="Q101" s="2538"/>
      <c r="R101" s="2539"/>
    </row>
    <row r="102" spans="2:18">
      <c r="I102" s="1542"/>
      <c r="L102" s="2537"/>
      <c r="M102" s="2538"/>
      <c r="N102" s="2538"/>
      <c r="O102" s="2538"/>
      <c r="P102" s="2538"/>
      <c r="Q102" s="2538"/>
      <c r="R102" s="2539"/>
    </row>
    <row r="103" spans="2:18" ht="12.75" customHeight="1">
      <c r="L103" s="2537" t="s">
        <v>1901</v>
      </c>
      <c r="M103" s="2538"/>
      <c r="N103" s="2538"/>
      <c r="O103" s="2538"/>
      <c r="P103" s="2538"/>
      <c r="Q103" s="2538"/>
      <c r="R103" s="2539"/>
    </row>
    <row r="104" spans="2:18" ht="12.75" customHeight="1">
      <c r="L104" s="2537"/>
      <c r="M104" s="2538"/>
      <c r="N104" s="2538"/>
      <c r="O104" s="2538"/>
      <c r="P104" s="2538"/>
      <c r="Q104" s="2538"/>
      <c r="R104" s="2539"/>
    </row>
    <row r="105" spans="2:18">
      <c r="L105" s="1481"/>
      <c r="M105" s="1482"/>
      <c r="N105" s="1482"/>
      <c r="O105" s="1482"/>
      <c r="P105" s="1482"/>
      <c r="Q105" s="1482"/>
      <c r="R105" s="1483"/>
    </row>
    <row r="106" spans="2:18">
      <c r="L106" s="1481"/>
      <c r="M106" s="1482"/>
      <c r="N106" s="1482"/>
      <c r="O106" s="1482"/>
      <c r="P106" s="1482"/>
      <c r="Q106" s="1482"/>
      <c r="R106" s="1483"/>
    </row>
    <row r="107" spans="2:18" ht="13.5" thickBot="1">
      <c r="L107" s="1551"/>
      <c r="M107" s="1552"/>
      <c r="N107" s="1552"/>
      <c r="O107" s="1552"/>
      <c r="P107" s="1552"/>
      <c r="Q107" s="1552"/>
      <c r="R107" s="1553"/>
    </row>
    <row r="108" spans="2:18" ht="12.75" customHeight="1"/>
    <row r="111" spans="2:18" ht="12.75" customHeight="1"/>
    <row r="113" ht="12.75" customHeight="1"/>
  </sheetData>
  <mergeCells count="19">
    <mergeCell ref="L22:W23"/>
    <mergeCell ref="L20:O20"/>
    <mergeCell ref="L21:O21"/>
    <mergeCell ref="L93:R94"/>
    <mergeCell ref="L78:N78"/>
    <mergeCell ref="L80:M80"/>
    <mergeCell ref="L81:R81"/>
    <mergeCell ref="L82:R82"/>
    <mergeCell ref="L83:R83"/>
    <mergeCell ref="L84:R84"/>
    <mergeCell ref="L86:M86"/>
    <mergeCell ref="L87:R87"/>
    <mergeCell ref="L88:R89"/>
    <mergeCell ref="L90:R92"/>
    <mergeCell ref="L103:R104"/>
    <mergeCell ref="L96:M96"/>
    <mergeCell ref="L97:R98"/>
    <mergeCell ref="L99:R100"/>
    <mergeCell ref="L101:R102"/>
  </mergeCells>
  <pageMargins left="0.15748031496062992" right="0.15748031496062992" top="1.25" bottom="0.19685039370078741" header="0.51181102362204722" footer="0.51181102362204722"/>
  <pageSetup paperSize="9" scale="59" orientation="landscape" r:id="rId1"/>
  <headerFooter alignWithMargins="0">
    <oddHeader>&amp;L&amp;"Arial"&amp;14&amp;BBeregningsmodel
&amp;"Arial"&amp;08&amp;B64329, Teknologivurdering af alternative drivmidler til transportsektoren&amp;R&amp;"Arial"&amp;08Page &amp;P of &amp;N</oddHeader>
    <oddFooter>&amp;L&amp;"Arial"&amp;08&amp;Z&amp;F
Sheet: &amp;A&amp;C&amp;"Arial"&amp;08Printed &amp;D &amp;T&amp;R&amp;G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268737" r:id="rId5" name="Button 1">
              <controlPr defaultSize="0" print="0" autoFill="0" autoPict="0">
                <anchor>
                  <from>
                    <xdr:col>8</xdr:col>
                    <xdr:colOff>95250</xdr:colOff>
                    <xdr:row>0</xdr:row>
                    <xdr:rowOff>38100</xdr:rowOff>
                  </from>
                  <to>
                    <xdr:col>9</xdr:col>
                    <xdr:colOff>781050</xdr:colOff>
                    <xdr:row>0</xdr:row>
                    <xdr:rowOff>238125</xdr:rowOff>
                  </to>
                </anchor>
              </controlPr>
            </control>
          </mc:Choice>
        </mc:AlternateContent>
        <mc:AlternateContent xmlns:mc="http://schemas.openxmlformats.org/markup-compatibility/2006">
          <mc:Choice Requires="x14">
            <control shapeId="1268738" r:id="rId6" name="Button 2">
              <controlPr defaultSize="0" print="0" autoFill="0" autoPict="0">
                <anchor>
                  <from>
                    <xdr:col>9</xdr:col>
                    <xdr:colOff>952500</xdr:colOff>
                    <xdr:row>0</xdr:row>
                    <xdr:rowOff>38100</xdr:rowOff>
                  </from>
                  <to>
                    <xdr:col>9</xdr:col>
                    <xdr:colOff>2019300</xdr:colOff>
                    <xdr:row>0</xdr:row>
                    <xdr:rowOff>238125</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rgb="FF002060"/>
    <pageSetUpPr fitToPage="1"/>
  </sheetPr>
  <dimension ref="B1:W113"/>
  <sheetViews>
    <sheetView topLeftCell="A16" zoomScale="80" zoomScaleNormal="80" workbookViewId="0">
      <selection activeCell="G62" sqref="G62"/>
    </sheetView>
  </sheetViews>
  <sheetFormatPr defaultColWidth="8.85546875" defaultRowHeight="12.75"/>
  <cols>
    <col min="1" max="1" width="2.85546875" style="1447" customWidth="1"/>
    <col min="2" max="2" width="26.85546875" style="1447" customWidth="1"/>
    <col min="3" max="3" width="15" style="1447" customWidth="1"/>
    <col min="4" max="7" width="14.5703125" style="1447" customWidth="1"/>
    <col min="8" max="8" width="15.85546875" style="172" customWidth="1"/>
    <col min="9" max="9" width="5.7109375" style="1447" customWidth="1"/>
    <col min="10" max="10" width="48.5703125" style="1447" customWidth="1"/>
    <col min="11" max="11" width="10" style="1447" bestFit="1" customWidth="1"/>
    <col min="12" max="12" width="15.85546875" style="1447" customWidth="1"/>
    <col min="13" max="14" width="9" style="1447" bestFit="1" customWidth="1"/>
    <col min="15" max="23" width="10.85546875" style="1447" customWidth="1"/>
    <col min="24" max="16384" width="8.85546875" style="1447"/>
  </cols>
  <sheetData>
    <row r="1" spans="2:18" s="2403" customFormat="1" ht="21">
      <c r="B1" s="2403" t="s">
        <v>1902</v>
      </c>
      <c r="Q1" s="2403">
        <f ca="1">'Log2015'!M1</f>
        <v>-8.0112614142160741</v>
      </c>
      <c r="R1" s="2403">
        <f ca="1">'Log2015'!N1</f>
        <v>-160807.124977848</v>
      </c>
    </row>
    <row r="4" spans="2:18" ht="13.5" thickBot="1">
      <c r="B4" s="1446" t="s">
        <v>81</v>
      </c>
    </row>
    <row r="5" spans="2:18">
      <c r="B5" s="1448" t="s">
        <v>1790</v>
      </c>
      <c r="C5" s="1449"/>
      <c r="D5" s="1449"/>
      <c r="E5" s="1449"/>
      <c r="F5" s="1449"/>
      <c r="G5" s="1449"/>
      <c r="H5" s="221"/>
      <c r="I5" s="1449"/>
      <c r="J5" s="1449"/>
      <c r="K5" s="1449"/>
      <c r="L5" s="1449"/>
      <c r="M5" s="1449"/>
      <c r="N5" s="1450"/>
    </row>
    <row r="6" spans="2:18" ht="12.75" customHeight="1">
      <c r="B6" s="2560" t="s">
        <v>1903</v>
      </c>
      <c r="C6" s="2561"/>
      <c r="D6" s="2561"/>
      <c r="E6" s="2561"/>
      <c r="F6" s="2561"/>
      <c r="G6" s="2561"/>
      <c r="H6" s="2561"/>
      <c r="I6" s="2561"/>
      <c r="J6" s="2561"/>
      <c r="K6" s="2561"/>
      <c r="L6" s="2561"/>
      <c r="M6" s="2561"/>
      <c r="N6" s="2562"/>
    </row>
    <row r="7" spans="2:18">
      <c r="B7" s="2560"/>
      <c r="C7" s="2561"/>
      <c r="D7" s="2561"/>
      <c r="E7" s="2561"/>
      <c r="F7" s="2561"/>
      <c r="G7" s="2561"/>
      <c r="H7" s="2561"/>
      <c r="I7" s="2561"/>
      <c r="J7" s="2561"/>
      <c r="K7" s="2561"/>
      <c r="L7" s="2561"/>
      <c r="M7" s="2561"/>
      <c r="N7" s="2562"/>
    </row>
    <row r="8" spans="2:18" ht="17.25" customHeight="1">
      <c r="B8" s="2560"/>
      <c r="C8" s="2561"/>
      <c r="D8" s="2561"/>
      <c r="E8" s="2561"/>
      <c r="F8" s="2561"/>
      <c r="G8" s="2561"/>
      <c r="H8" s="2561"/>
      <c r="I8" s="2561"/>
      <c r="J8" s="2561"/>
      <c r="K8" s="2561"/>
      <c r="L8" s="2561"/>
      <c r="M8" s="2561"/>
      <c r="N8" s="2562"/>
    </row>
    <row r="9" spans="2:18">
      <c r="B9" s="2560" t="s">
        <v>1904</v>
      </c>
      <c r="C9" s="2561"/>
      <c r="D9" s="2561"/>
      <c r="E9" s="2561"/>
      <c r="F9" s="2561"/>
      <c r="G9" s="2561"/>
      <c r="H9" s="2561"/>
      <c r="I9" s="2561"/>
      <c r="J9" s="2561"/>
      <c r="K9" s="2561"/>
      <c r="L9" s="2561"/>
      <c r="M9" s="2561"/>
      <c r="N9" s="2562"/>
    </row>
    <row r="10" spans="2:18" ht="17.25" customHeight="1">
      <c r="B10" s="2560"/>
      <c r="C10" s="2561"/>
      <c r="D10" s="2561"/>
      <c r="E10" s="2561"/>
      <c r="F10" s="2561"/>
      <c r="G10" s="2561"/>
      <c r="H10" s="2561"/>
      <c r="I10" s="2561"/>
      <c r="J10" s="2561"/>
      <c r="K10" s="2561"/>
      <c r="L10" s="2561"/>
      <c r="M10" s="2561"/>
      <c r="N10" s="2562"/>
    </row>
    <row r="11" spans="2:18">
      <c r="B11" s="1451" t="s">
        <v>256</v>
      </c>
      <c r="C11" s="1452"/>
      <c r="D11" s="1452"/>
      <c r="E11" s="1452"/>
      <c r="F11" s="1452"/>
      <c r="G11" s="1452"/>
      <c r="H11" s="455"/>
      <c r="I11" s="1452"/>
      <c r="J11" s="1452"/>
      <c r="K11" s="1452"/>
      <c r="L11" s="1452"/>
      <c r="M11" s="1452"/>
      <c r="N11" s="1453"/>
    </row>
    <row r="12" spans="2:18">
      <c r="B12" s="2560" t="s">
        <v>1905</v>
      </c>
      <c r="C12" s="2561"/>
      <c r="D12" s="2561"/>
      <c r="E12" s="2561"/>
      <c r="F12" s="2561"/>
      <c r="G12" s="2561"/>
      <c r="H12" s="2561"/>
      <c r="I12" s="2561"/>
      <c r="J12" s="2561"/>
      <c r="K12" s="2561"/>
      <c r="L12" s="2561"/>
      <c r="M12" s="2561"/>
      <c r="N12" s="2562"/>
    </row>
    <row r="13" spans="2:18" ht="29.25" customHeight="1">
      <c r="B13" s="2560"/>
      <c r="C13" s="2561"/>
      <c r="D13" s="2561"/>
      <c r="E13" s="2561"/>
      <c r="F13" s="2561"/>
      <c r="G13" s="2561"/>
      <c r="H13" s="2561"/>
      <c r="I13" s="2561"/>
      <c r="J13" s="2561"/>
      <c r="K13" s="2561"/>
      <c r="L13" s="2561"/>
      <c r="M13" s="2561"/>
      <c r="N13" s="2562"/>
    </row>
    <row r="14" spans="2:18">
      <c r="B14" s="2560" t="s">
        <v>1906</v>
      </c>
      <c r="C14" s="2561"/>
      <c r="D14" s="2561"/>
      <c r="E14" s="2561"/>
      <c r="F14" s="2561"/>
      <c r="G14" s="2561"/>
      <c r="H14" s="2561"/>
      <c r="I14" s="2561"/>
      <c r="J14" s="2561"/>
      <c r="K14" s="2561"/>
      <c r="L14" s="2561"/>
      <c r="M14" s="2561"/>
      <c r="N14" s="2562"/>
    </row>
    <row r="15" spans="2:18">
      <c r="B15" s="2560"/>
      <c r="C15" s="2561"/>
      <c r="D15" s="2561"/>
      <c r="E15" s="2561"/>
      <c r="F15" s="2561"/>
      <c r="G15" s="2561"/>
      <c r="H15" s="2561"/>
      <c r="I15" s="2561"/>
      <c r="J15" s="2561"/>
      <c r="K15" s="2561"/>
      <c r="L15" s="2561"/>
      <c r="M15" s="2561"/>
      <c r="N15" s="2562"/>
    </row>
    <row r="16" spans="2:18">
      <c r="B16" s="2560"/>
      <c r="C16" s="2561"/>
      <c r="D16" s="2561"/>
      <c r="E16" s="2561"/>
      <c r="F16" s="2561"/>
      <c r="G16" s="2561"/>
      <c r="H16" s="2561"/>
      <c r="I16" s="2561"/>
      <c r="J16" s="2561"/>
      <c r="K16" s="2561"/>
      <c r="L16" s="2561"/>
      <c r="M16" s="2561"/>
      <c r="N16" s="2562"/>
    </row>
    <row r="17" spans="2:23" ht="13.5" thickBot="1">
      <c r="B17" s="2563"/>
      <c r="C17" s="2564"/>
      <c r="D17" s="2564"/>
      <c r="E17" s="2564"/>
      <c r="F17" s="2564"/>
      <c r="G17" s="2564"/>
      <c r="H17" s="2564"/>
      <c r="I17" s="2564"/>
      <c r="J17" s="2564"/>
      <c r="K17" s="2564"/>
      <c r="L17" s="2564"/>
      <c r="M17" s="2564"/>
      <c r="N17" s="2565"/>
    </row>
    <row r="19" spans="2:23" ht="13.5" customHeight="1" thickBot="1">
      <c r="B19" s="1446" t="s">
        <v>144</v>
      </c>
      <c r="E19" s="1454"/>
    </row>
    <row r="20" spans="2:23" ht="12.75" customHeight="1">
      <c r="B20" s="1455"/>
      <c r="C20" s="1456"/>
      <c r="D20" s="1449"/>
      <c r="E20" s="1449"/>
      <c r="F20" s="1449"/>
      <c r="G20" s="1449"/>
      <c r="H20" s="221"/>
      <c r="I20" s="1449" t="s">
        <v>145</v>
      </c>
      <c r="J20" s="1450" t="s">
        <v>146</v>
      </c>
      <c r="L20" s="2545"/>
      <c r="M20" s="2546"/>
      <c r="N20" s="2546"/>
      <c r="O20" s="2546"/>
      <c r="P20" s="1543"/>
      <c r="Q20" s="1543"/>
      <c r="R20" s="1543"/>
      <c r="S20" s="1543"/>
      <c r="T20" s="1543"/>
      <c r="U20" s="1543"/>
      <c r="V20" s="1543"/>
      <c r="W20" s="1544"/>
    </row>
    <row r="21" spans="2:23" ht="12.75" customHeight="1">
      <c r="B21" s="1460"/>
      <c r="C21" s="1461" t="s">
        <v>70</v>
      </c>
      <c r="D21" s="1462" t="s">
        <v>1794</v>
      </c>
      <c r="E21" s="1463">
        <v>2020</v>
      </c>
      <c r="F21" s="1463">
        <v>2035</v>
      </c>
      <c r="G21" s="1463">
        <v>2050</v>
      </c>
      <c r="H21" s="225" t="s">
        <v>978</v>
      </c>
      <c r="I21" s="1464"/>
      <c r="J21" s="1465"/>
      <c r="L21" s="2547" t="s">
        <v>1907</v>
      </c>
      <c r="M21" s="2548"/>
      <c r="N21" s="2548"/>
      <c r="O21" s="2548"/>
      <c r="P21" s="1545"/>
      <c r="Q21" s="1545"/>
      <c r="R21" s="1545"/>
      <c r="S21" s="1545"/>
      <c r="T21" s="1545"/>
      <c r="U21" s="1545"/>
      <c r="V21" s="1545"/>
      <c r="W21" s="1546"/>
    </row>
    <row r="22" spans="2:23" ht="12.75" customHeight="1">
      <c r="B22" s="1468" t="s">
        <v>257</v>
      </c>
      <c r="C22" s="1469"/>
      <c r="D22" s="1470"/>
      <c r="E22" s="1470"/>
      <c r="F22" s="1470"/>
      <c r="G22" s="1470"/>
      <c r="H22" s="209"/>
      <c r="I22" s="1474"/>
      <c r="J22" s="1472"/>
      <c r="L22" s="2542" t="s">
        <v>1875</v>
      </c>
      <c r="M22" s="2543"/>
      <c r="N22" s="2543"/>
      <c r="O22" s="2543"/>
      <c r="P22" s="2543"/>
      <c r="Q22" s="2543"/>
      <c r="R22" s="2543"/>
      <c r="S22" s="2543"/>
      <c r="T22" s="2543"/>
      <c r="U22" s="2543"/>
      <c r="V22" s="2543"/>
      <c r="W22" s="2544"/>
    </row>
    <row r="23" spans="2:23">
      <c r="B23" s="122" t="s">
        <v>848</v>
      </c>
      <c r="C23" s="210" t="s">
        <v>1645</v>
      </c>
      <c r="D23" s="1554">
        <v>0.32</v>
      </c>
      <c r="E23" s="1554">
        <v>0.39600000000000002</v>
      </c>
      <c r="F23" s="1554">
        <v>0.39600000000000002</v>
      </c>
      <c r="G23" s="1554">
        <v>0.39600000000000002</v>
      </c>
      <c r="H23" s="1657"/>
      <c r="I23" s="1474" t="str">
        <f>Referencer!$B$71</f>
        <v>67, ETH, Zürich, http://www.ethlife.ethz.ch/archive_articles/130912_erdgasdieselhybrid_cn/index_EN</v>
      </c>
      <c r="J23" s="1475" t="s">
        <v>1908</v>
      </c>
      <c r="L23" s="2542"/>
      <c r="M23" s="2543"/>
      <c r="N23" s="2543"/>
      <c r="O23" s="2543"/>
      <c r="P23" s="2543"/>
      <c r="Q23" s="2543"/>
      <c r="R23" s="2543"/>
      <c r="S23" s="2543"/>
      <c r="T23" s="2543"/>
      <c r="U23" s="2543"/>
      <c r="V23" s="2543"/>
      <c r="W23" s="2544"/>
    </row>
    <row r="24" spans="2:23">
      <c r="B24" s="122" t="s">
        <v>849</v>
      </c>
      <c r="C24" s="210" t="s">
        <v>1645</v>
      </c>
      <c r="D24" s="1585">
        <f>D23</f>
        <v>0.32</v>
      </c>
      <c r="E24" s="1585">
        <f>E23</f>
        <v>0.39600000000000002</v>
      </c>
      <c r="F24" s="1585">
        <f>F23</f>
        <v>0.39600000000000002</v>
      </c>
      <c r="G24" s="1585">
        <f>G23</f>
        <v>0.39600000000000002</v>
      </c>
      <c r="H24" s="1657"/>
      <c r="I24" s="1474"/>
      <c r="J24" s="1475"/>
      <c r="L24" s="1586"/>
      <c r="M24" s="1587"/>
      <c r="N24" s="1587"/>
      <c r="O24" s="1587"/>
      <c r="P24" s="1587"/>
      <c r="Q24" s="1587"/>
      <c r="R24" s="1587"/>
      <c r="S24" s="1587"/>
      <c r="T24" s="1587"/>
      <c r="U24" s="1587"/>
      <c r="V24" s="1587"/>
      <c r="W24" s="1588"/>
    </row>
    <row r="25" spans="2:23">
      <c r="B25" s="122" t="s">
        <v>1971</v>
      </c>
      <c r="C25" s="210" t="s">
        <v>1024</v>
      </c>
      <c r="D25" s="1585">
        <f>D78</f>
        <v>32.27328</v>
      </c>
      <c r="E25" s="1585">
        <f>E78</f>
        <v>32.27328</v>
      </c>
      <c r="F25" s="1585">
        <f>F78</f>
        <v>29.045952</v>
      </c>
      <c r="G25" s="1585">
        <f>G78</f>
        <v>29.045952</v>
      </c>
      <c r="H25" s="1658"/>
      <c r="I25" s="1474"/>
      <c r="J25" s="1475"/>
      <c r="L25" s="1586"/>
      <c r="M25" s="1587"/>
      <c r="N25" s="1587"/>
      <c r="O25" s="1587"/>
      <c r="P25" s="1587"/>
      <c r="Q25" s="1587"/>
      <c r="R25" s="1587"/>
      <c r="S25" s="1587"/>
      <c r="T25" s="1587"/>
      <c r="U25" s="1587"/>
      <c r="V25" s="1587"/>
      <c r="W25" s="1588"/>
    </row>
    <row r="26" spans="2:23">
      <c r="B26" s="122" t="s">
        <v>1972</v>
      </c>
      <c r="C26" s="210" t="s">
        <v>1024</v>
      </c>
      <c r="D26" s="1554"/>
      <c r="E26" s="1554"/>
      <c r="F26" s="1554"/>
      <c r="G26" s="1554"/>
      <c r="H26" s="1658"/>
      <c r="I26" s="1474"/>
      <c r="J26" s="1475"/>
      <c r="L26" s="1586"/>
      <c r="M26" s="1587"/>
      <c r="N26" s="1587"/>
      <c r="O26" s="1587"/>
      <c r="P26" s="1587"/>
      <c r="Q26" s="1587"/>
      <c r="R26" s="1587"/>
      <c r="S26" s="1587"/>
      <c r="T26" s="1587"/>
      <c r="U26" s="1587"/>
      <c r="V26" s="1587"/>
      <c r="W26" s="1588"/>
    </row>
    <row r="27" spans="2:23">
      <c r="B27" s="1476" t="s">
        <v>98</v>
      </c>
      <c r="C27" s="1469" t="s">
        <v>259</v>
      </c>
      <c r="D27" s="1477">
        <v>25</v>
      </c>
      <c r="E27" s="1478">
        <v>17</v>
      </c>
      <c r="F27" s="1478">
        <v>17</v>
      </c>
      <c r="G27" s="1478">
        <v>17</v>
      </c>
      <c r="H27" s="212"/>
      <c r="I27" s="1474"/>
      <c r="J27" s="1472"/>
      <c r="L27" s="1547"/>
      <c r="M27" s="1548"/>
      <c r="N27" s="1548"/>
      <c r="O27" s="1548"/>
      <c r="P27" s="1548"/>
      <c r="Q27" s="1548"/>
      <c r="R27" s="1548"/>
      <c r="S27" s="1548"/>
      <c r="T27" s="1548"/>
      <c r="U27" s="1548"/>
      <c r="V27" s="1548"/>
      <c r="W27" s="1549"/>
    </row>
    <row r="28" spans="2:23">
      <c r="B28" s="1476" t="s">
        <v>260</v>
      </c>
      <c r="C28" s="1469" t="s">
        <v>261</v>
      </c>
      <c r="D28" s="1480">
        <f>+D70</f>
        <v>1136.019456</v>
      </c>
      <c r="E28" s="1480">
        <f>+E70</f>
        <v>1136.019456</v>
      </c>
      <c r="F28" s="1480">
        <f>+F70</f>
        <v>1022.4175104000002</v>
      </c>
      <c r="G28" s="1480">
        <f>+G70</f>
        <v>1022.4175104000002</v>
      </c>
      <c r="H28" s="1659"/>
      <c r="I28" s="1474"/>
      <c r="J28" s="1472"/>
      <c r="L28" s="1468" t="s">
        <v>1798</v>
      </c>
      <c r="M28" s="1471"/>
      <c r="N28" s="1471"/>
      <c r="O28" s="1471"/>
      <c r="P28" s="1548"/>
      <c r="Q28" s="1548"/>
      <c r="R28" s="1548"/>
      <c r="S28" s="1548"/>
      <c r="T28" s="1548"/>
      <c r="U28" s="1548"/>
      <c r="V28" s="1548"/>
      <c r="W28" s="1549"/>
    </row>
    <row r="29" spans="2:23">
      <c r="B29" s="1484"/>
      <c r="C29" s="1485"/>
      <c r="D29" s="1486"/>
      <c r="E29" s="1486"/>
      <c r="F29" s="1486"/>
      <c r="G29" s="1486"/>
      <c r="H29" s="90"/>
      <c r="I29" s="1474"/>
      <c r="J29" s="1472"/>
      <c r="L29" s="1487" t="s">
        <v>1799</v>
      </c>
      <c r="M29" s="1471"/>
      <c r="N29" s="1471"/>
      <c r="O29" s="1471" t="s">
        <v>1876</v>
      </c>
      <c r="P29" s="1482"/>
      <c r="Q29" s="1482"/>
      <c r="R29" s="1482"/>
      <c r="S29" s="1482"/>
      <c r="T29" s="1482"/>
      <c r="U29" s="1482"/>
      <c r="V29" s="1482"/>
      <c r="W29" s="1483"/>
    </row>
    <row r="30" spans="2:23">
      <c r="B30" s="1468" t="s">
        <v>33</v>
      </c>
      <c r="C30" s="1469"/>
      <c r="D30" s="1486"/>
      <c r="E30" s="1486"/>
      <c r="F30" s="1486"/>
      <c r="G30" s="1486"/>
      <c r="H30" s="90"/>
      <c r="I30" s="1474"/>
      <c r="J30" s="1472"/>
      <c r="L30" s="1487" t="s">
        <v>1802</v>
      </c>
      <c r="M30" s="1471"/>
      <c r="N30" s="1471"/>
      <c r="O30" s="1471" t="s">
        <v>1877</v>
      </c>
      <c r="P30" s="1471"/>
      <c r="Q30" s="1471"/>
      <c r="R30" s="1471"/>
      <c r="S30" s="1471"/>
      <c r="T30" s="1471"/>
      <c r="U30" s="1471"/>
      <c r="V30" s="1471"/>
      <c r="W30" s="1488"/>
    </row>
    <row r="31" spans="2:23" s="172" customFormat="1">
      <c r="B31" s="310" t="s">
        <v>157</v>
      </c>
      <c r="C31" s="210" t="s">
        <v>61</v>
      </c>
      <c r="D31" s="992">
        <f>HLOOKUP($H38,Supplementary!$C$44:$AF$46,3,FALSE)*D38</f>
        <v>23418162.436167438</v>
      </c>
      <c r="E31" s="992">
        <f>HLOOKUP($H38,Supplementary!$C$44:$AF$46,3,FALSE)*E38</f>
        <v>23418162.436167438</v>
      </c>
      <c r="F31" s="992">
        <f>HLOOKUP($H38,Supplementary!$C$44:$AF$46,3,FALSE)*F38</f>
        <v>23418162.436167438</v>
      </c>
      <c r="G31" s="992">
        <f>HLOOKUP($H38,Supplementary!$C$44:$AF$46,3,FALSE)*G38</f>
        <v>23418162.436167438</v>
      </c>
      <c r="H31" s="323">
        <f>priceYear</f>
        <v>2015</v>
      </c>
      <c r="I31" s="1474"/>
      <c r="J31" s="178"/>
    </row>
    <row r="32" spans="2:23" s="172" customFormat="1">
      <c r="B32" s="192" t="s">
        <v>262</v>
      </c>
      <c r="C32" s="210" t="s">
        <v>263</v>
      </c>
      <c r="D32" s="992">
        <f ca="1">HLOOKUP($H39,Supplementary!$C$44:$AF$46,3,FALSE)*D39</f>
        <v>4482.6142195729453</v>
      </c>
      <c r="E32" s="992">
        <f ca="1">HLOOKUP($H39,Supplementary!$C$44:$AF$46,3,FALSE)*E39</f>
        <v>4848.4483930444449</v>
      </c>
      <c r="F32" s="992">
        <f ca="1">HLOOKUP($H39,Supplementary!$C$44:$AF$46,3,FALSE)*F39</f>
        <v>5387.1648811604946</v>
      </c>
      <c r="G32" s="992">
        <f ca="1">HLOOKUP($H39,Supplementary!$C$44:$AF$46,3,FALSE)*G39</f>
        <v>5387.1648811604946</v>
      </c>
      <c r="H32" s="323">
        <f>priceYear</f>
        <v>2015</v>
      </c>
      <c r="I32" s="1474"/>
      <c r="J32" s="178"/>
    </row>
    <row r="33" spans="2:23" s="172" customFormat="1">
      <c r="B33" s="236" t="s">
        <v>162</v>
      </c>
      <c r="C33" s="210" t="s">
        <v>263</v>
      </c>
      <c r="D33" s="992">
        <f ca="1">HLOOKUP($H40,Supplementary!$C$44:$AF$46,3,FALSE)*D40</f>
        <v>1462.630029356287</v>
      </c>
      <c r="E33" s="992">
        <f ca="1">HLOOKUP($H40,Supplementary!$C$44:$AF$46,3,FALSE)*E40</f>
        <v>1828.4642028277865</v>
      </c>
      <c r="F33" s="992">
        <f ca="1">HLOOKUP($H40,Supplementary!$C$44:$AF$46,3,FALSE)*F40</f>
        <v>2031.6268920308735</v>
      </c>
      <c r="G33" s="992">
        <f ca="1">HLOOKUP($H40,Supplementary!$C$44:$AF$46,3,FALSE)*G40</f>
        <v>2031.6268920308735</v>
      </c>
      <c r="H33" s="323">
        <f>priceYear</f>
        <v>2015</v>
      </c>
      <c r="I33" s="1474"/>
      <c r="J33" s="178"/>
    </row>
    <row r="34" spans="2:23" s="172" customFormat="1">
      <c r="B34" s="236" t="s">
        <v>163</v>
      </c>
      <c r="C34" s="210" t="s">
        <v>263</v>
      </c>
      <c r="D34" s="992">
        <f>HLOOKUP($H41,Supplementary!$C$44:$AF$46,3,FALSE)*D41</f>
        <v>3019.984190216659</v>
      </c>
      <c r="E34" s="992">
        <f>HLOOKUP($H41,Supplementary!$C$44:$AF$46,3,FALSE)*E41</f>
        <v>3019.984190216659</v>
      </c>
      <c r="F34" s="992">
        <f>HLOOKUP($H41,Supplementary!$C$44:$AF$46,3,FALSE)*F41</f>
        <v>3355.5379891296211</v>
      </c>
      <c r="G34" s="992">
        <f>HLOOKUP($H41,Supplementary!$C$44:$AF$46,3,FALSE)*G41</f>
        <v>3355.5379891296211</v>
      </c>
      <c r="H34" s="323">
        <f>priceYear</f>
        <v>2015</v>
      </c>
      <c r="I34" s="1474"/>
      <c r="J34" s="178"/>
    </row>
    <row r="35" spans="2:23" s="172" customFormat="1">
      <c r="B35" s="236"/>
      <c r="C35" s="210"/>
      <c r="D35" s="992"/>
      <c r="E35" s="992"/>
      <c r="F35" s="992"/>
      <c r="G35" s="992"/>
      <c r="H35" s="323"/>
      <c r="I35" s="1474"/>
      <c r="J35" s="178"/>
    </row>
    <row r="36" spans="2:23" s="172" customFormat="1">
      <c r="B36" s="236" t="s">
        <v>264</v>
      </c>
      <c r="C36" s="210" t="s">
        <v>263</v>
      </c>
      <c r="D36" s="992">
        <f>HLOOKUP($H43,Supplementary!$C$44:$AF$46,3,FALSE)*D43</f>
        <v>0</v>
      </c>
      <c r="E36" s="992">
        <f>HLOOKUP($H43,Supplementary!$C$44:$AF$46,3,FALSE)*E43</f>
        <v>0</v>
      </c>
      <c r="F36" s="992">
        <f>HLOOKUP($H43,Supplementary!$C$44:$AF$46,3,FALSE)*F43</f>
        <v>0</v>
      </c>
      <c r="G36" s="992">
        <f>HLOOKUP($H43,Supplementary!$C$44:$AF$46,3,FALSE)*G43</f>
        <v>0</v>
      </c>
      <c r="H36" s="323">
        <f>priceYear</f>
        <v>2015</v>
      </c>
      <c r="I36" s="1474"/>
      <c r="J36" s="178"/>
    </row>
    <row r="37" spans="2:23" s="172" customFormat="1">
      <c r="B37" s="216"/>
      <c r="C37" s="210"/>
      <c r="D37" s="156"/>
      <c r="E37" s="90"/>
      <c r="F37" s="90"/>
      <c r="G37" s="90"/>
      <c r="H37" s="90"/>
      <c r="I37" s="1474"/>
      <c r="J37" s="178"/>
    </row>
    <row r="38" spans="2:23">
      <c r="B38" s="1476" t="s">
        <v>157</v>
      </c>
      <c r="C38" s="1469" t="s">
        <v>61</v>
      </c>
      <c r="D38" s="1489">
        <v>22000000</v>
      </c>
      <c r="E38" s="1489">
        <v>22000000</v>
      </c>
      <c r="F38" s="1489">
        <v>22000000</v>
      </c>
      <c r="G38" s="1489">
        <v>22000000</v>
      </c>
      <c r="H38" s="407">
        <v>2011</v>
      </c>
      <c r="I38" s="1479" t="str">
        <f>Referencer!$B$73</f>
        <v>69, Bilag til lokalbaneplan for Østbanen, Region Sjælland</v>
      </c>
      <c r="J38" s="1472" t="s">
        <v>2556</v>
      </c>
      <c r="L38" s="1487" t="s">
        <v>1804</v>
      </c>
      <c r="M38" s="1471"/>
      <c r="N38" s="1471"/>
      <c r="O38" s="1471" t="s">
        <v>1909</v>
      </c>
      <c r="P38" s="1471"/>
      <c r="Q38" s="1471"/>
      <c r="R38" s="1471"/>
      <c r="S38" s="1471"/>
      <c r="T38" s="1471"/>
      <c r="U38" s="1471"/>
      <c r="V38" s="1471"/>
      <c r="W38" s="1488"/>
    </row>
    <row r="39" spans="2:23">
      <c r="B39" s="1487" t="s">
        <v>262</v>
      </c>
      <c r="C39" s="1469" t="s">
        <v>263</v>
      </c>
      <c r="D39" s="1490">
        <f ca="1">SUM(D40:D43)</f>
        <v>4211.1550425620981</v>
      </c>
      <c r="E39" s="1490">
        <f ca="1">SUM(E40:E43)</f>
        <v>4554.8349464961047</v>
      </c>
      <c r="F39" s="1490">
        <f ca="1">SUM(F40:F43)</f>
        <v>5060.9277183290051</v>
      </c>
      <c r="G39" s="1490">
        <f ca="1">SUM(G40:G43)</f>
        <v>5060.9277183290051</v>
      </c>
      <c r="H39" s="407">
        <v>2011</v>
      </c>
      <c r="I39" s="1474"/>
      <c r="J39" s="1472"/>
      <c r="L39" s="1487" t="s">
        <v>1806</v>
      </c>
      <c r="M39" s="1471"/>
      <c r="N39" s="1471"/>
      <c r="O39" s="1471" t="s">
        <v>1879</v>
      </c>
      <c r="P39" s="1491"/>
      <c r="Q39" s="1471"/>
      <c r="R39" s="1471"/>
      <c r="S39" s="1471"/>
      <c r="T39" s="1471"/>
      <c r="U39" s="1471"/>
      <c r="V39" s="1471"/>
      <c r="W39" s="1488"/>
    </row>
    <row r="40" spans="2:23">
      <c r="B40" s="1492" t="s">
        <v>162</v>
      </c>
      <c r="C40" s="1469" t="s">
        <v>263</v>
      </c>
      <c r="D40" s="1493">
        <f ca="1">PMT(rSØK,D27,-D38)/D28</f>
        <v>1374.0557455585088</v>
      </c>
      <c r="E40" s="1493">
        <f ca="1">PMT(rSØK,E27,-E38)/E28</f>
        <v>1717.7356494925157</v>
      </c>
      <c r="F40" s="1493">
        <f ca="1">PMT(rSØK,F27,-F38)/F28</f>
        <v>1908.5951661027948</v>
      </c>
      <c r="G40" s="1493">
        <f ca="1">PMT(rSØK,G27,-G38)/G28</f>
        <v>1908.5951661027948</v>
      </c>
      <c r="H40" s="407">
        <v>2011</v>
      </c>
      <c r="I40" s="1474" t="str">
        <f>Referencer!$B$68</f>
        <v>62, Baseret på viden og praktisk erfaring fra tekniske eksperter fra jernbanesektoren i Danmark og internationale faglige netværk</v>
      </c>
      <c r="J40" s="1472" t="s">
        <v>1801</v>
      </c>
      <c r="L40" s="1487" t="s">
        <v>1808</v>
      </c>
      <c r="M40" s="1471"/>
      <c r="N40" s="1471"/>
      <c r="O40" s="1471" t="s">
        <v>1880</v>
      </c>
      <c r="P40" s="1471"/>
      <c r="Q40" s="1471"/>
      <c r="R40" s="1471"/>
      <c r="S40" s="1471"/>
      <c r="T40" s="1471"/>
      <c r="U40" s="1471"/>
      <c r="V40" s="1471"/>
      <c r="W40" s="1488"/>
    </row>
    <row r="41" spans="2:23">
      <c r="B41" s="1492" t="s">
        <v>163</v>
      </c>
      <c r="C41" s="1469" t="s">
        <v>263</v>
      </c>
      <c r="D41" s="1494">
        <f>D71</f>
        <v>2837.0992970035895</v>
      </c>
      <c r="E41" s="1494">
        <f>E71</f>
        <v>2837.0992970035895</v>
      </c>
      <c r="F41" s="1494">
        <f>F71</f>
        <v>3152.3325522262103</v>
      </c>
      <c r="G41" s="1494">
        <f>G71</f>
        <v>3152.3325522262103</v>
      </c>
      <c r="H41" s="407">
        <v>2011</v>
      </c>
      <c r="I41" s="1474" t="str">
        <f>Referencer!$B$68</f>
        <v>62, Baseret på viden og praktisk erfaring fra tekniske eksperter fra jernbanesektoren i Danmark og internationale faglige netværk</v>
      </c>
      <c r="J41" s="1472" t="s">
        <v>1801</v>
      </c>
      <c r="L41" s="1487" t="s">
        <v>1810</v>
      </c>
      <c r="M41" s="1471"/>
      <c r="N41" s="1471"/>
      <c r="O41" s="1471" t="s">
        <v>1881</v>
      </c>
      <c r="P41" s="1471"/>
      <c r="Q41" s="1491"/>
      <c r="R41" s="1471"/>
      <c r="S41" s="1471"/>
      <c r="T41" s="1471"/>
      <c r="U41" s="1471"/>
      <c r="V41" s="1471"/>
      <c r="W41" s="1488"/>
    </row>
    <row r="42" spans="2:23">
      <c r="B42" s="1492"/>
      <c r="C42" s="1469"/>
      <c r="D42" s="1486"/>
      <c r="E42" s="1486"/>
      <c r="F42" s="1486"/>
      <c r="G42" s="1486"/>
      <c r="H42" s="407"/>
      <c r="I42" s="1474"/>
      <c r="J42" s="1472"/>
      <c r="L42" s="1487" t="s">
        <v>1812</v>
      </c>
      <c r="M42" s="1471"/>
      <c r="N42" s="1471"/>
      <c r="O42" s="1471" t="s">
        <v>1882</v>
      </c>
      <c r="P42" s="1471"/>
      <c r="Q42" s="1471"/>
      <c r="R42" s="1471"/>
      <c r="S42" s="1471"/>
      <c r="T42" s="1471"/>
      <c r="U42" s="1471"/>
      <c r="V42" s="1471"/>
      <c r="W42" s="1488"/>
    </row>
    <row r="43" spans="2:23">
      <c r="B43" s="1492" t="s">
        <v>264</v>
      </c>
      <c r="C43" s="1469" t="s">
        <v>263</v>
      </c>
      <c r="D43" s="1495">
        <v>0</v>
      </c>
      <c r="E43" s="1495">
        <v>0</v>
      </c>
      <c r="F43" s="1495">
        <v>0</v>
      </c>
      <c r="G43" s="1495">
        <v>0</v>
      </c>
      <c r="H43" s="407">
        <v>2011</v>
      </c>
      <c r="I43" s="1474" t="str">
        <f>Referencer!$B$68</f>
        <v>62, Baseret på viden og praktisk erfaring fra tekniske eksperter fra jernbanesektoren i Danmark og internationale faglige netværk</v>
      </c>
      <c r="J43" s="1472" t="s">
        <v>1801</v>
      </c>
      <c r="L43" s="1487" t="s">
        <v>1814</v>
      </c>
      <c r="M43" s="1471"/>
      <c r="N43" s="1471"/>
      <c r="O43" s="1471" t="s">
        <v>1883</v>
      </c>
      <c r="P43" s="1471"/>
      <c r="Q43" s="1471"/>
      <c r="R43" s="1471"/>
      <c r="S43" s="1471"/>
      <c r="T43" s="1471"/>
      <c r="U43" s="1471"/>
      <c r="V43" s="1471"/>
      <c r="W43" s="1488"/>
    </row>
    <row r="44" spans="2:23">
      <c r="B44" s="1492"/>
      <c r="C44" s="1469"/>
      <c r="D44" s="1486"/>
      <c r="E44" s="1496"/>
      <c r="F44" s="1496"/>
      <c r="G44" s="1496"/>
      <c r="H44" s="90"/>
      <c r="I44" s="1474"/>
      <c r="J44" s="1472"/>
      <c r="L44" s="1487" t="s">
        <v>1816</v>
      </c>
      <c r="M44" s="1471"/>
      <c r="N44" s="1471"/>
      <c r="O44" s="1471" t="s">
        <v>1884</v>
      </c>
      <c r="P44" s="1471"/>
      <c r="Q44" s="1471"/>
      <c r="R44" s="1471"/>
      <c r="S44" s="1471"/>
      <c r="T44" s="1471"/>
      <c r="U44" s="1471"/>
      <c r="V44" s="1471"/>
      <c r="W44" s="1488"/>
    </row>
    <row r="45" spans="2:23">
      <c r="B45" s="1468" t="s">
        <v>166</v>
      </c>
      <c r="C45" s="1469"/>
      <c r="D45" s="1486"/>
      <c r="E45" s="1496"/>
      <c r="F45" s="1496"/>
      <c r="G45" s="1496"/>
      <c r="H45" s="252"/>
      <c r="I45" s="1474"/>
      <c r="J45" s="1472"/>
      <c r="L45" s="1487" t="s">
        <v>1818</v>
      </c>
      <c r="M45" s="1471"/>
      <c r="N45" s="1471"/>
      <c r="O45" s="1471"/>
      <c r="P45" s="1471"/>
      <c r="Q45" s="1471"/>
      <c r="R45" s="1471"/>
      <c r="S45" s="1471"/>
      <c r="T45" s="1471"/>
      <c r="U45" s="1471"/>
      <c r="V45" s="1471"/>
      <c r="W45" s="1488"/>
    </row>
    <row r="46" spans="2:23">
      <c r="B46" s="418" t="s">
        <v>0</v>
      </c>
      <c r="C46" s="1469"/>
      <c r="D46" s="1486"/>
      <c r="E46" s="1496"/>
      <c r="F46" s="1496"/>
      <c r="G46" s="1496"/>
      <c r="H46" s="214"/>
      <c r="I46" s="1474"/>
      <c r="J46" s="1472"/>
      <c r="L46" s="1487"/>
      <c r="M46" s="1471"/>
      <c r="N46" s="1471"/>
      <c r="O46" s="1471"/>
      <c r="P46" s="1471"/>
      <c r="Q46" s="1471"/>
      <c r="R46" s="1471"/>
      <c r="S46" s="1471"/>
      <c r="T46" s="1471"/>
      <c r="U46" s="1471"/>
      <c r="V46" s="1471"/>
      <c r="W46" s="1488"/>
    </row>
    <row r="47" spans="2:23">
      <c r="B47" s="1484" t="s">
        <v>24</v>
      </c>
      <c r="C47" s="1469" t="s">
        <v>1910</v>
      </c>
      <c r="D47" s="1589"/>
      <c r="E47" s="1589"/>
      <c r="F47" s="1589"/>
      <c r="G47" s="1589"/>
      <c r="H47" s="214"/>
      <c r="I47" s="1474"/>
      <c r="J47" s="1472"/>
      <c r="L47" s="1487" t="s">
        <v>1820</v>
      </c>
      <c r="M47" s="1471"/>
      <c r="N47" s="1471"/>
      <c r="O47" s="1471" t="s">
        <v>1885</v>
      </c>
      <c r="P47" s="1471"/>
      <c r="Q47" s="1471"/>
      <c r="R47" s="1471"/>
      <c r="S47" s="1471"/>
      <c r="T47" s="1471"/>
      <c r="U47" s="1471"/>
      <c r="V47" s="1471"/>
      <c r="W47" s="1488"/>
    </row>
    <row r="48" spans="2:23">
      <c r="B48" s="1484" t="s">
        <v>27</v>
      </c>
      <c r="C48" s="1469" t="s">
        <v>1910</v>
      </c>
      <c r="D48" s="1497"/>
      <c r="E48" s="1497"/>
      <c r="F48" s="1497"/>
      <c r="G48" s="1497"/>
      <c r="H48" s="1660"/>
      <c r="I48" s="1474"/>
      <c r="J48" s="1472"/>
      <c r="L48" s="1487" t="s">
        <v>1822</v>
      </c>
      <c r="M48" s="1471"/>
      <c r="N48" s="1471"/>
      <c r="O48" s="1471" t="s">
        <v>1886</v>
      </c>
      <c r="P48" s="1471"/>
      <c r="Q48" s="1471"/>
      <c r="R48" s="1471"/>
      <c r="S48" s="1471"/>
      <c r="T48" s="1471"/>
      <c r="U48" s="1471"/>
      <c r="V48" s="1471"/>
      <c r="W48" s="1488"/>
    </row>
    <row r="49" spans="2:23">
      <c r="B49" s="1484" t="s">
        <v>28</v>
      </c>
      <c r="C49" s="1469" t="s">
        <v>1910</v>
      </c>
      <c r="D49" s="1497"/>
      <c r="E49" s="1497"/>
      <c r="F49" s="1497"/>
      <c r="G49" s="1497"/>
      <c r="H49" s="90"/>
      <c r="I49" s="1474"/>
      <c r="J49" s="1472"/>
      <c r="L49" s="1487" t="s">
        <v>1824</v>
      </c>
      <c r="M49" s="1471"/>
      <c r="N49" s="1471"/>
      <c r="O49" s="1471" t="s">
        <v>1887</v>
      </c>
      <c r="P49" s="1471"/>
      <c r="Q49" s="1471"/>
      <c r="R49" s="1471"/>
      <c r="S49" s="1471"/>
      <c r="T49" s="1471"/>
      <c r="U49" s="1471"/>
      <c r="V49" s="1471"/>
      <c r="W49" s="1488"/>
    </row>
    <row r="50" spans="2:23">
      <c r="B50" s="1484" t="s">
        <v>26</v>
      </c>
      <c r="C50" s="1469" t="s">
        <v>1910</v>
      </c>
      <c r="D50" s="1497"/>
      <c r="E50" s="1497"/>
      <c r="F50" s="1497"/>
      <c r="G50" s="1497"/>
      <c r="H50" s="212"/>
      <c r="I50" s="1474"/>
      <c r="J50" s="1472"/>
      <c r="L50" s="1487" t="s">
        <v>1826</v>
      </c>
      <c r="M50" s="1471"/>
      <c r="N50" s="1471"/>
      <c r="O50" s="1550">
        <v>112</v>
      </c>
      <c r="P50" s="1471"/>
      <c r="Q50" s="1471"/>
      <c r="R50" s="1471"/>
      <c r="S50" s="1471"/>
      <c r="T50" s="1471"/>
      <c r="U50" s="1471"/>
      <c r="V50" s="1471"/>
      <c r="W50" s="1488"/>
    </row>
    <row r="51" spans="2:23">
      <c r="B51" s="1484" t="s">
        <v>167</v>
      </c>
      <c r="C51" s="1469" t="s">
        <v>1910</v>
      </c>
      <c r="D51" s="1674">
        <f t="shared" ref="D51:G52" si="0">D83/3.6</f>
        <v>1.3277777777777777</v>
      </c>
      <c r="E51" s="1674">
        <f t="shared" si="0"/>
        <v>0.39833333333333332</v>
      </c>
      <c r="F51" s="1674">
        <f t="shared" si="0"/>
        <v>0.39833333333333332</v>
      </c>
      <c r="G51" s="1674">
        <f t="shared" si="0"/>
        <v>0.39833333333333332</v>
      </c>
      <c r="H51" s="90"/>
      <c r="I51" s="1474"/>
      <c r="J51" s="1472"/>
      <c r="L51" s="1487" t="s">
        <v>1828</v>
      </c>
      <c r="M51" s="1471"/>
      <c r="N51" s="1471"/>
      <c r="O51" s="1471" t="s">
        <v>1888</v>
      </c>
      <c r="P51" s="1471"/>
      <c r="Q51" s="1471"/>
      <c r="R51" s="1471"/>
      <c r="S51" s="1471"/>
      <c r="T51" s="1471"/>
      <c r="U51" s="1471"/>
      <c r="V51" s="1471"/>
      <c r="W51" s="1488"/>
    </row>
    <row r="52" spans="2:23">
      <c r="B52" s="1484" t="s">
        <v>45</v>
      </c>
      <c r="C52" s="1469" t="s">
        <v>1910</v>
      </c>
      <c r="D52" s="1674">
        <f t="shared" si="0"/>
        <v>1.3333333333333332E-2</v>
      </c>
      <c r="E52" s="1674">
        <f t="shared" si="0"/>
        <v>3.3333333333333338E-4</v>
      </c>
      <c r="F52" s="1674">
        <f t="shared" si="0"/>
        <v>3.3333333333333338E-4</v>
      </c>
      <c r="G52" s="1674">
        <f t="shared" si="0"/>
        <v>3.3333333333333338E-4</v>
      </c>
      <c r="H52" s="90"/>
      <c r="I52" s="1474"/>
      <c r="J52" s="1472"/>
      <c r="L52" s="1487" t="s">
        <v>1889</v>
      </c>
      <c r="M52" s="1471"/>
      <c r="N52" s="1471"/>
      <c r="O52" s="1471" t="s">
        <v>1890</v>
      </c>
      <c r="P52" s="1491"/>
      <c r="Q52" s="1471"/>
      <c r="R52" s="1471"/>
      <c r="S52" s="1471"/>
      <c r="T52" s="1471"/>
      <c r="U52" s="1471"/>
      <c r="V52" s="1471"/>
      <c r="W52" s="1488"/>
    </row>
    <row r="53" spans="2:23">
      <c r="B53" s="1484"/>
      <c r="C53" s="1469"/>
      <c r="D53" s="1497"/>
      <c r="E53" s="1497"/>
      <c r="F53" s="1497"/>
      <c r="G53" s="1497"/>
      <c r="H53" s="90"/>
      <c r="I53" s="1474"/>
      <c r="J53" s="1472"/>
      <c r="L53" s="1487"/>
      <c r="M53" s="1471"/>
      <c r="N53" s="1471"/>
      <c r="O53" s="1471"/>
      <c r="P53" s="1491"/>
      <c r="Q53" s="1471"/>
      <c r="R53" s="1471"/>
      <c r="S53" s="1471"/>
      <c r="T53" s="1471"/>
      <c r="U53" s="1471"/>
      <c r="V53" s="1471"/>
      <c r="W53" s="1488"/>
    </row>
    <row r="54" spans="2:23">
      <c r="B54" s="418" t="s">
        <v>20</v>
      </c>
      <c r="C54" s="1469"/>
      <c r="D54" s="1497"/>
      <c r="E54" s="1497"/>
      <c r="F54" s="1497"/>
      <c r="G54" s="1497"/>
      <c r="H54" s="1660"/>
      <c r="I54" s="1474"/>
      <c r="J54" s="1472"/>
      <c r="L54" s="1487"/>
      <c r="M54" s="1471"/>
      <c r="N54" s="1471"/>
      <c r="O54" s="1471"/>
      <c r="P54" s="1491"/>
      <c r="Q54" s="1471"/>
      <c r="R54" s="1471"/>
      <c r="S54" s="1471"/>
      <c r="T54" s="1471"/>
      <c r="U54" s="1471"/>
      <c r="V54" s="1471"/>
      <c r="W54" s="1488"/>
    </row>
    <row r="55" spans="2:23">
      <c r="B55" s="1484" t="s">
        <v>24</v>
      </c>
      <c r="C55" s="1469" t="s">
        <v>1910</v>
      </c>
      <c r="D55" s="1589"/>
      <c r="E55" s="1589"/>
      <c r="F55" s="1589"/>
      <c r="G55" s="1589"/>
      <c r="H55" s="1169"/>
      <c r="I55" s="1474"/>
      <c r="J55" s="1472"/>
      <c r="L55" s="1487"/>
      <c r="M55" s="1471"/>
      <c r="N55" s="1471"/>
      <c r="O55" s="1471"/>
      <c r="P55" s="1491"/>
      <c r="Q55" s="1471"/>
      <c r="R55" s="1471"/>
      <c r="S55" s="1471"/>
      <c r="T55" s="1471"/>
      <c r="U55" s="1471"/>
      <c r="V55" s="1471"/>
      <c r="W55" s="1488"/>
    </row>
    <row r="56" spans="2:23">
      <c r="B56" s="1484" t="s">
        <v>27</v>
      </c>
      <c r="C56" s="1469" t="s">
        <v>1910</v>
      </c>
      <c r="D56" s="1497">
        <f>D48</f>
        <v>0</v>
      </c>
      <c r="E56" s="1497">
        <f>E48</f>
        <v>0</v>
      </c>
      <c r="F56" s="1497">
        <f>F48</f>
        <v>0</v>
      </c>
      <c r="G56" s="1497">
        <f>G48</f>
        <v>0</v>
      </c>
      <c r="H56" s="1169"/>
      <c r="I56" s="1474"/>
      <c r="J56" s="1472"/>
      <c r="L56" s="1487"/>
      <c r="M56" s="1471"/>
      <c r="N56" s="1471"/>
      <c r="O56" s="1471"/>
      <c r="P56" s="1491"/>
      <c r="Q56" s="1471"/>
      <c r="R56" s="1471"/>
      <c r="S56" s="1471"/>
      <c r="T56" s="1471"/>
      <c r="U56" s="1471"/>
      <c r="V56" s="1471"/>
      <c r="W56" s="1488"/>
    </row>
    <row r="57" spans="2:23">
      <c r="B57" s="1484" t="s">
        <v>28</v>
      </c>
      <c r="C57" s="1469" t="s">
        <v>1910</v>
      </c>
      <c r="D57" s="1497">
        <f t="shared" ref="D57:G60" si="1">D49</f>
        <v>0</v>
      </c>
      <c r="E57" s="1497">
        <f t="shared" si="1"/>
        <v>0</v>
      </c>
      <c r="F57" s="1497">
        <f t="shared" si="1"/>
        <v>0</v>
      </c>
      <c r="G57" s="1497">
        <f t="shared" si="1"/>
        <v>0</v>
      </c>
      <c r="H57" s="1169"/>
      <c r="I57" s="1474"/>
      <c r="J57" s="1472"/>
      <c r="L57" s="1487"/>
      <c r="M57" s="1471"/>
      <c r="N57" s="1471"/>
      <c r="O57" s="1471"/>
      <c r="P57" s="1491"/>
      <c r="Q57" s="1471"/>
      <c r="R57" s="1471"/>
      <c r="S57" s="1471"/>
      <c r="T57" s="1471"/>
      <c r="U57" s="1471"/>
      <c r="V57" s="1471"/>
      <c r="W57" s="1488"/>
    </row>
    <row r="58" spans="2:23">
      <c r="B58" s="1484" t="s">
        <v>26</v>
      </c>
      <c r="C58" s="1469" t="s">
        <v>1910</v>
      </c>
      <c r="D58" s="1497">
        <f t="shared" si="1"/>
        <v>0</v>
      </c>
      <c r="E58" s="1497">
        <f t="shared" si="1"/>
        <v>0</v>
      </c>
      <c r="F58" s="1497">
        <f t="shared" si="1"/>
        <v>0</v>
      </c>
      <c r="G58" s="1497">
        <f t="shared" si="1"/>
        <v>0</v>
      </c>
      <c r="H58" s="1169"/>
      <c r="I58" s="1474"/>
      <c r="J58" s="1472"/>
      <c r="L58" s="1487"/>
      <c r="M58" s="1471"/>
      <c r="N58" s="1471"/>
      <c r="O58" s="1471"/>
      <c r="P58" s="1491"/>
      <c r="Q58" s="1471"/>
      <c r="R58" s="1471"/>
      <c r="S58" s="1471"/>
      <c r="T58" s="1471"/>
      <c r="U58" s="1471"/>
      <c r="V58" s="1471"/>
      <c r="W58" s="1488"/>
    </row>
    <row r="59" spans="2:23">
      <c r="B59" s="1484" t="s">
        <v>167</v>
      </c>
      <c r="C59" s="1469" t="s">
        <v>1910</v>
      </c>
      <c r="D59" s="1497">
        <f t="shared" si="1"/>
        <v>1.3277777777777777</v>
      </c>
      <c r="E59" s="1497">
        <f t="shared" si="1"/>
        <v>0.39833333333333332</v>
      </c>
      <c r="F59" s="1497">
        <f t="shared" si="1"/>
        <v>0.39833333333333332</v>
      </c>
      <c r="G59" s="1497">
        <f t="shared" si="1"/>
        <v>0.39833333333333332</v>
      </c>
      <c r="H59" s="1169"/>
      <c r="I59" s="1474"/>
      <c r="J59" s="1472"/>
      <c r="L59" s="1487"/>
      <c r="M59" s="1471"/>
      <c r="N59" s="1471"/>
      <c r="O59" s="1471"/>
      <c r="P59" s="1491"/>
      <c r="Q59" s="1471"/>
      <c r="R59" s="1471"/>
      <c r="S59" s="1471"/>
      <c r="T59" s="1471"/>
      <c r="U59" s="1471"/>
      <c r="V59" s="1471"/>
      <c r="W59" s="1488"/>
    </row>
    <row r="60" spans="2:23">
      <c r="B60" s="1484" t="s">
        <v>45</v>
      </c>
      <c r="C60" s="1469" t="s">
        <v>1910</v>
      </c>
      <c r="D60" s="1497">
        <f t="shared" si="1"/>
        <v>1.3333333333333332E-2</v>
      </c>
      <c r="E60" s="1497">
        <f t="shared" si="1"/>
        <v>3.3333333333333338E-4</v>
      </c>
      <c r="F60" s="1497">
        <f t="shared" si="1"/>
        <v>3.3333333333333338E-4</v>
      </c>
      <c r="G60" s="1497">
        <f t="shared" si="1"/>
        <v>3.3333333333333338E-4</v>
      </c>
      <c r="H60" s="323"/>
      <c r="I60" s="1474"/>
      <c r="J60" s="1472"/>
      <c r="L60" s="1487"/>
      <c r="M60" s="1471"/>
      <c r="N60" s="1471"/>
      <c r="O60" s="1550"/>
      <c r="P60" s="1471"/>
      <c r="Q60" s="1471"/>
      <c r="R60" s="1471"/>
      <c r="S60" s="1471"/>
      <c r="T60" s="1471"/>
      <c r="U60" s="1471"/>
      <c r="V60" s="1471"/>
      <c r="W60" s="1488"/>
    </row>
    <row r="61" spans="2:23" ht="13.5" thickBot="1">
      <c r="B61" s="1498"/>
      <c r="C61" s="1499"/>
      <c r="D61" s="1500"/>
      <c r="E61" s="1501"/>
      <c r="F61" s="1501"/>
      <c r="G61" s="1501"/>
      <c r="H61" s="1501"/>
      <c r="I61" s="1502"/>
      <c r="J61" s="1503"/>
      <c r="L61" s="1468" t="s">
        <v>1830</v>
      </c>
      <c r="M61" s="1471"/>
      <c r="N61" s="1471"/>
      <c r="O61" s="1471"/>
      <c r="P61" s="1471"/>
      <c r="Q61" s="1471"/>
      <c r="R61" s="1471"/>
      <c r="S61" s="1471"/>
      <c r="T61" s="1471"/>
      <c r="U61" s="1471"/>
      <c r="V61" s="1471"/>
      <c r="W61" s="1488"/>
    </row>
    <row r="62" spans="2:23">
      <c r="H62" s="1447"/>
      <c r="L62" s="1487" t="s">
        <v>1831</v>
      </c>
      <c r="M62" s="1471"/>
      <c r="N62" s="1505">
        <v>562.5</v>
      </c>
      <c r="O62" s="1471" t="s">
        <v>1832</v>
      </c>
      <c r="P62" s="1471"/>
      <c r="Q62" s="1471"/>
      <c r="R62" s="1471"/>
      <c r="S62" s="1471"/>
      <c r="T62" s="1471"/>
      <c r="U62" s="1471"/>
      <c r="V62" s="1471"/>
      <c r="W62" s="1488"/>
    </row>
    <row r="63" spans="2:23">
      <c r="H63" s="1447"/>
      <c r="L63" s="1487" t="s">
        <v>1833</v>
      </c>
      <c r="M63" s="1471"/>
      <c r="N63" s="1505">
        <v>0.9</v>
      </c>
      <c r="O63" s="1471" t="s">
        <v>1911</v>
      </c>
      <c r="P63" s="1471"/>
      <c r="Q63" s="1471"/>
      <c r="R63" s="1471"/>
      <c r="S63" s="1471"/>
      <c r="T63" s="1471"/>
      <c r="U63" s="1471"/>
      <c r="V63" s="1471"/>
      <c r="W63" s="1488"/>
    </row>
    <row r="64" spans="2:23" ht="16.5" thickBot="1">
      <c r="B64" s="1504" t="s">
        <v>168</v>
      </c>
      <c r="H64" s="1447"/>
      <c r="L64" s="1487"/>
      <c r="M64" s="1471"/>
      <c r="N64" s="1505"/>
      <c r="O64" s="1471"/>
      <c r="P64" s="1471"/>
      <c r="Q64" s="1471"/>
      <c r="R64" s="1471"/>
      <c r="S64" s="1471"/>
      <c r="T64" s="1471"/>
      <c r="U64" s="1471"/>
      <c r="V64" s="1471"/>
      <c r="W64" s="1488"/>
    </row>
    <row r="65" spans="2:23">
      <c r="B65" s="1455"/>
      <c r="C65" s="1456"/>
      <c r="D65" s="1449"/>
      <c r="E65" s="1449"/>
      <c r="F65" s="1449"/>
      <c r="G65" s="1449"/>
      <c r="H65" s="1449"/>
      <c r="I65" s="1449"/>
      <c r="J65" s="1450"/>
      <c r="L65" s="1487" t="s">
        <v>1835</v>
      </c>
      <c r="M65" s="1471"/>
      <c r="N65" s="1508">
        <v>1.4E-2</v>
      </c>
      <c r="O65" s="1471" t="s">
        <v>1912</v>
      </c>
      <c r="P65" s="1471"/>
      <c r="Q65" s="1471"/>
      <c r="R65" s="1471"/>
      <c r="S65" s="1471"/>
      <c r="T65" s="1471"/>
      <c r="U65" s="1471"/>
      <c r="V65" s="1471"/>
      <c r="W65" s="1488"/>
    </row>
    <row r="66" spans="2:23">
      <c r="B66" s="1460"/>
      <c r="C66" s="1461" t="s">
        <v>70</v>
      </c>
      <c r="D66" s="1506">
        <v>2013</v>
      </c>
      <c r="E66" s="1507">
        <v>2020</v>
      </c>
      <c r="F66" s="1507">
        <v>2035</v>
      </c>
      <c r="G66" s="1507">
        <v>2050</v>
      </c>
      <c r="H66" s="1507"/>
      <c r="I66" s="1464" t="s">
        <v>145</v>
      </c>
      <c r="J66" s="1465" t="s">
        <v>146</v>
      </c>
      <c r="L66" s="1487"/>
      <c r="M66" s="1471"/>
      <c r="N66" s="1508"/>
      <c r="O66" s="1471"/>
      <c r="P66" s="1471"/>
      <c r="Q66" s="1471"/>
      <c r="R66" s="1471"/>
      <c r="S66" s="1471"/>
      <c r="T66" s="1471"/>
      <c r="U66" s="1471"/>
      <c r="V66" s="1471"/>
      <c r="W66" s="1488"/>
    </row>
    <row r="67" spans="2:23">
      <c r="B67" s="1487" t="s">
        <v>266</v>
      </c>
      <c r="C67" s="1509" t="s">
        <v>267</v>
      </c>
      <c r="D67" s="1510">
        <f>D$78*$D$23</f>
        <v>10.3274496</v>
      </c>
      <c r="E67" s="1510">
        <f>E$78*$D$23</f>
        <v>10.3274496</v>
      </c>
      <c r="F67" s="1510">
        <f>F$78*$D$23</f>
        <v>9.2947046400000009</v>
      </c>
      <c r="G67" s="1510">
        <f>G$78*$D$23</f>
        <v>9.2947046400000009</v>
      </c>
      <c r="H67" s="1510"/>
      <c r="I67" s="1471"/>
      <c r="J67" s="1472"/>
      <c r="L67" s="1468" t="s">
        <v>1837</v>
      </c>
      <c r="M67" s="1471"/>
      <c r="N67" s="1555" t="s">
        <v>2</v>
      </c>
      <c r="O67" s="1471"/>
      <c r="P67" s="1471"/>
      <c r="Q67" s="1555" t="s">
        <v>1913</v>
      </c>
      <c r="R67" s="1471"/>
      <c r="S67" s="1471"/>
      <c r="T67" s="1471"/>
      <c r="U67" s="1471"/>
      <c r="V67" s="1471"/>
      <c r="W67" s="1488"/>
    </row>
    <row r="68" spans="2:23">
      <c r="B68" s="1487"/>
      <c r="C68" s="1509"/>
      <c r="D68" s="1510"/>
      <c r="E68" s="1510"/>
      <c r="F68" s="1510"/>
      <c r="G68" s="1510"/>
      <c r="H68" s="1510"/>
      <c r="I68" s="1471"/>
      <c r="J68" s="1472"/>
      <c r="L68" s="1487" t="s">
        <v>1914</v>
      </c>
      <c r="M68" s="1471"/>
      <c r="N68" s="1505">
        <v>43.1</v>
      </c>
      <c r="O68" s="1471" t="s">
        <v>488</v>
      </c>
      <c r="P68" s="1471"/>
      <c r="Q68" s="1505">
        <v>22.2</v>
      </c>
      <c r="R68" s="1471" t="s">
        <v>1843</v>
      </c>
      <c r="S68" s="1471"/>
      <c r="T68" s="1471"/>
      <c r="U68" s="1471"/>
      <c r="V68" s="1471"/>
      <c r="W68" s="1488"/>
    </row>
    <row r="69" spans="2:23">
      <c r="B69" s="1487" t="s">
        <v>268</v>
      </c>
      <c r="C69" s="1509" t="s">
        <v>269</v>
      </c>
      <c r="D69" s="1511">
        <v>110000</v>
      </c>
      <c r="E69" s="1511">
        <v>110000</v>
      </c>
      <c r="F69" s="1511">
        <v>110000</v>
      </c>
      <c r="G69" s="1511">
        <v>110000</v>
      </c>
      <c r="H69" s="1511"/>
      <c r="I69" s="2368" t="str">
        <f>Referencer!$B$68</f>
        <v>62, Baseret på viden og praktisk erfaring fra tekniske eksperter fra jernbanesektoren i Danmark og internationale faglige netværk</v>
      </c>
      <c r="J69" s="1472" t="s">
        <v>1915</v>
      </c>
      <c r="L69" s="1487" t="s">
        <v>1841</v>
      </c>
      <c r="M69" s="1471"/>
      <c r="N69" s="1508">
        <v>0.83199999999999996</v>
      </c>
      <c r="O69" s="1508" t="s">
        <v>1842</v>
      </c>
      <c r="P69" s="1471"/>
      <c r="Q69" s="1508">
        <v>0.46300000000000002</v>
      </c>
      <c r="R69" s="1508" t="s">
        <v>1842</v>
      </c>
      <c r="S69" s="1471"/>
      <c r="T69" s="1471"/>
      <c r="U69" s="1471"/>
      <c r="V69" s="1471"/>
      <c r="W69" s="1488"/>
    </row>
    <row r="70" spans="2:23">
      <c r="B70" s="1487" t="s">
        <v>260</v>
      </c>
      <c r="C70" s="1509" t="s">
        <v>261</v>
      </c>
      <c r="D70" s="1512">
        <f>+D67*D69/1000</f>
        <v>1136.019456</v>
      </c>
      <c r="E70" s="1512">
        <f>+E67*E69/1000</f>
        <v>1136.019456</v>
      </c>
      <c r="F70" s="1512">
        <f>+F67*F69/1000</f>
        <v>1022.4175104000002</v>
      </c>
      <c r="G70" s="1512">
        <f>+G67*G69/1000</f>
        <v>1022.4175104000002</v>
      </c>
      <c r="H70" s="1512"/>
      <c r="I70" s="1471"/>
      <c r="J70" s="1472" t="s">
        <v>1840</v>
      </c>
      <c r="L70" s="1487" t="s">
        <v>1914</v>
      </c>
      <c r="M70" s="1471"/>
      <c r="N70" s="1508">
        <f>N68*N69</f>
        <v>35.859200000000001</v>
      </c>
      <c r="O70" s="1471" t="s">
        <v>1843</v>
      </c>
      <c r="P70" s="1471"/>
      <c r="Q70" s="1508">
        <f>Q68*Q69</f>
        <v>10.278600000000001</v>
      </c>
      <c r="R70" s="1471" t="s">
        <v>1843</v>
      </c>
      <c r="S70" s="1471"/>
      <c r="T70" s="1471"/>
      <c r="U70" s="1471"/>
      <c r="V70" s="1471"/>
      <c r="W70" s="1488"/>
    </row>
    <row r="71" spans="2:23">
      <c r="B71" s="1487" t="s">
        <v>271</v>
      </c>
      <c r="C71" s="1509" t="s">
        <v>263</v>
      </c>
      <c r="D71" s="1513">
        <f>D72*1000/D67</f>
        <v>2837.0992970035895</v>
      </c>
      <c r="E71" s="1513">
        <f>E72*1000/E67</f>
        <v>2837.0992970035895</v>
      </c>
      <c r="F71" s="1513">
        <f>F72*1000/F67</f>
        <v>3152.3325522262103</v>
      </c>
      <c r="G71" s="1513">
        <f>G72*1000/G67</f>
        <v>3152.3325522262103</v>
      </c>
      <c r="H71" s="1513"/>
      <c r="I71" s="1471"/>
      <c r="J71" s="1472"/>
      <c r="L71" s="1487" t="s">
        <v>1916</v>
      </c>
      <c r="M71" s="1471"/>
      <c r="N71" s="1516">
        <v>73.25</v>
      </c>
      <c r="O71" s="1471" t="s">
        <v>1846</v>
      </c>
      <c r="P71" s="1471"/>
      <c r="Q71" s="1516">
        <v>73.25</v>
      </c>
      <c r="R71" s="1471" t="s">
        <v>1846</v>
      </c>
      <c r="S71" s="1471"/>
      <c r="T71" s="1471"/>
      <c r="U71" s="1471"/>
      <c r="V71" s="1471"/>
      <c r="W71" s="1488"/>
    </row>
    <row r="72" spans="2:23">
      <c r="B72" s="1487" t="s">
        <v>271</v>
      </c>
      <c r="C72" s="1509" t="s">
        <v>55</v>
      </c>
      <c r="D72" s="1514">
        <v>29.3</v>
      </c>
      <c r="E72" s="1515">
        <v>29.3</v>
      </c>
      <c r="F72" s="1515">
        <v>29.3</v>
      </c>
      <c r="G72" s="1515">
        <v>29.3</v>
      </c>
      <c r="H72" s="1515"/>
      <c r="I72" s="2368" t="str">
        <f>Referencer!$B$67</f>
        <v>61, "European Benchmarking of the costs, performance and revenues of GB TOCs", Prepared for the Office of Rail Regulation, Hamburg, November 20th, 2012, Civity Management Consultants, http://www.rail-reg.gov.uk/upload/pdf/civity-toc-benchmarking-201112.pdf (modificeret dansk værdi ift EU gns.: 2,4£ x 1,36)</v>
      </c>
      <c r="J72" s="1488" t="s">
        <v>1844</v>
      </c>
      <c r="L72" s="1487" t="s">
        <v>1917</v>
      </c>
      <c r="M72" s="1471"/>
      <c r="N72" s="1471">
        <f>N71*N70</f>
        <v>2626.6864</v>
      </c>
      <c r="O72" s="1471" t="s">
        <v>1850</v>
      </c>
      <c r="P72" s="1471"/>
      <c r="Q72" s="1471">
        <f>N72*0.7</f>
        <v>1838.68048</v>
      </c>
      <c r="R72" s="1471" t="s">
        <v>1850</v>
      </c>
      <c r="S72" s="1471"/>
      <c r="T72" s="1471"/>
      <c r="U72" s="1471"/>
      <c r="V72" s="1471"/>
      <c r="W72" s="1488"/>
    </row>
    <row r="73" spans="2:23" ht="25.5">
      <c r="B73" s="1517" t="s">
        <v>1847</v>
      </c>
      <c r="C73" s="1509" t="s">
        <v>29</v>
      </c>
      <c r="D73" s="1518" t="s">
        <v>1848</v>
      </c>
      <c r="E73" s="1519" t="s">
        <v>1848</v>
      </c>
      <c r="F73" s="1520">
        <v>0.1</v>
      </c>
      <c r="G73" s="1520">
        <v>0.1</v>
      </c>
      <c r="H73" s="1520"/>
      <c r="I73" s="1479" t="str">
        <f>Referencer!$B$68</f>
        <v>62, Baseret på viden og praktisk erfaring fra tekniske eksperter fra jernbanesektoren i Danmark og internationale faglige netværk</v>
      </c>
      <c r="J73" s="1472" t="s">
        <v>1849</v>
      </c>
      <c r="L73" s="1487"/>
      <c r="M73" s="1471"/>
      <c r="N73" s="1471"/>
      <c r="O73" s="1471"/>
      <c r="P73" s="1471"/>
      <c r="Q73" s="1471"/>
      <c r="R73" s="1471"/>
      <c r="S73" s="1471"/>
      <c r="T73" s="1471"/>
      <c r="U73" s="1471"/>
      <c r="V73" s="1471"/>
      <c r="W73" s="1488"/>
    </row>
    <row r="74" spans="2:23" ht="13.5" thickBot="1">
      <c r="B74" s="1521"/>
      <c r="C74" s="1522"/>
      <c r="D74" s="1523"/>
      <c r="E74" s="1523"/>
      <c r="F74" s="1523"/>
      <c r="G74" s="1523"/>
      <c r="H74" s="1523"/>
      <c r="I74" s="1501"/>
      <c r="J74" s="1503"/>
      <c r="L74" s="1487"/>
      <c r="M74" s="1471"/>
      <c r="N74" s="1471"/>
      <c r="O74" s="1471"/>
      <c r="P74" s="1471"/>
      <c r="Q74" s="1471"/>
      <c r="R74" s="1471"/>
      <c r="S74" s="1471"/>
      <c r="T74" s="1471"/>
      <c r="U74" s="1471"/>
      <c r="V74" s="1471"/>
      <c r="W74" s="1488"/>
    </row>
    <row r="75" spans="2:23" ht="13.5" thickBot="1">
      <c r="H75" s="1447"/>
      <c r="L75" s="1524"/>
      <c r="M75" s="1525"/>
      <c r="N75" s="1525"/>
      <c r="O75" s="1525"/>
      <c r="P75" s="1501"/>
      <c r="Q75" s="1501"/>
      <c r="R75" s="1501"/>
      <c r="S75" s="1501"/>
      <c r="T75" s="1501"/>
      <c r="U75" s="1501"/>
      <c r="V75" s="1501"/>
      <c r="W75" s="1526" t="s">
        <v>1896</v>
      </c>
    </row>
    <row r="76" spans="2:23" ht="18.75" customHeight="1" thickBot="1">
      <c r="B76" s="1504" t="s">
        <v>172</v>
      </c>
      <c r="H76" s="1447"/>
      <c r="L76" s="1527"/>
      <c r="M76" s="1527"/>
      <c r="N76" s="1527"/>
      <c r="O76" s="1527"/>
      <c r="P76" s="1528"/>
      <c r="Q76" s="1528"/>
      <c r="R76" s="1528"/>
    </row>
    <row r="77" spans="2:23" ht="16.5" thickBot="1">
      <c r="B77" s="1455"/>
      <c r="C77" s="1449"/>
      <c r="D77" s="1529"/>
      <c r="E77" s="1529"/>
      <c r="F77" s="1529"/>
      <c r="G77" s="1529"/>
      <c r="H77" s="1529"/>
      <c r="I77" s="1449"/>
      <c r="J77" s="1450"/>
      <c r="L77" s="1504" t="s">
        <v>1853</v>
      </c>
    </row>
    <row r="78" spans="2:23" ht="12.75" customHeight="1">
      <c r="B78" s="1484" t="s">
        <v>1854</v>
      </c>
      <c r="C78" s="1471" t="s">
        <v>267</v>
      </c>
      <c r="D78" s="1516">
        <f>$N$63*$N$70</f>
        <v>32.27328</v>
      </c>
      <c r="E78" s="1516">
        <f>$D$78</f>
        <v>32.27328</v>
      </c>
      <c r="F78" s="1516">
        <f>$E$78*(1-$F$73)</f>
        <v>29.045952</v>
      </c>
      <c r="G78" s="1516">
        <f>$E$78*(1-$F$73)</f>
        <v>29.045952</v>
      </c>
      <c r="H78" s="1516"/>
      <c r="I78" s="1471"/>
      <c r="J78" s="1472" t="s">
        <v>1855</v>
      </c>
      <c r="L78" s="2549"/>
      <c r="M78" s="2550"/>
      <c r="N78" s="2550"/>
      <c r="O78" s="1458"/>
      <c r="P78" s="1458"/>
      <c r="Q78" s="1458"/>
      <c r="R78" s="1459"/>
    </row>
    <row r="79" spans="2:23">
      <c r="B79" s="1484" t="s">
        <v>1856</v>
      </c>
      <c r="C79" s="1471" t="s">
        <v>7</v>
      </c>
      <c r="D79" s="1531">
        <f>$N$63*$N$73</f>
        <v>0</v>
      </c>
      <c r="E79" s="1532">
        <f>$D$79*0.7</f>
        <v>0</v>
      </c>
      <c r="F79" s="1532">
        <f>$E$79*(1-$F$73)</f>
        <v>0</v>
      </c>
      <c r="G79" s="1532">
        <f>$E$79*(1-$F$73)</f>
        <v>0</v>
      </c>
      <c r="H79" s="1532"/>
      <c r="I79" s="1479" t="str">
        <f>Referencer!$B$71</f>
        <v>67, ETH, Zürich, http://www.ethlife.ethz.ch/archive_articles/130912_erdgasdieselhybrid_cn/index_EN</v>
      </c>
      <c r="J79" s="1472" t="s">
        <v>1855</v>
      </c>
      <c r="L79" s="1530"/>
      <c r="M79" s="1466"/>
      <c r="N79" s="1466"/>
      <c r="O79" s="1466"/>
      <c r="P79" s="1466"/>
      <c r="Q79" s="1466"/>
      <c r="R79" s="1467"/>
    </row>
    <row r="80" spans="2:23" ht="12.75" customHeight="1">
      <c r="B80" s="1484"/>
      <c r="C80" s="1471"/>
      <c r="D80" s="1533"/>
      <c r="E80" s="1533"/>
      <c r="F80" s="1533"/>
      <c r="G80" s="1533"/>
      <c r="H80" s="1533"/>
      <c r="I80" s="1479"/>
      <c r="J80" s="1472"/>
      <c r="L80" s="2540" t="s">
        <v>1918</v>
      </c>
      <c r="M80" s="2541"/>
      <c r="N80" s="2541"/>
      <c r="O80" s="1466"/>
      <c r="P80" s="1466"/>
      <c r="Q80" s="1466"/>
      <c r="R80" s="1467"/>
    </row>
    <row r="81" spans="2:18" ht="12.75" customHeight="1">
      <c r="B81" s="1484" t="s">
        <v>1859</v>
      </c>
      <c r="C81" s="1471" t="s">
        <v>637</v>
      </c>
      <c r="D81" s="1533">
        <v>0.39</v>
      </c>
      <c r="E81" s="1533">
        <f>D81*0.5</f>
        <v>0.19500000000000001</v>
      </c>
      <c r="F81" s="1533">
        <f t="shared" ref="F81:G84" si="2">E81</f>
        <v>0.19500000000000001</v>
      </c>
      <c r="G81" s="1533">
        <f t="shared" si="2"/>
        <v>0.19500000000000001</v>
      </c>
      <c r="H81" s="1533"/>
      <c r="I81" s="1479" t="str">
        <f>Referencer!$B$70</f>
        <v>66, Lokalbanen, www.lokalbanen.dk/om-lokalbanen/miljoe</v>
      </c>
      <c r="J81" s="1472"/>
      <c r="L81" s="2537" t="s">
        <v>1897</v>
      </c>
      <c r="M81" s="2538"/>
      <c r="N81" s="2538"/>
      <c r="O81" s="2538"/>
      <c r="P81" s="2538"/>
      <c r="Q81" s="2538"/>
      <c r="R81" s="2539"/>
    </row>
    <row r="82" spans="2:18">
      <c r="B82" s="1484" t="s">
        <v>1623</v>
      </c>
      <c r="C82" s="1471" t="s">
        <v>637</v>
      </c>
      <c r="D82" s="1533">
        <v>0.12</v>
      </c>
      <c r="E82" s="1533">
        <f>D82*0.5</f>
        <v>0.06</v>
      </c>
      <c r="F82" s="1533">
        <f t="shared" si="2"/>
        <v>0.06</v>
      </c>
      <c r="G82" s="1533">
        <f t="shared" si="2"/>
        <v>0.06</v>
      </c>
      <c r="H82" s="1533"/>
      <c r="I82" s="1479" t="str">
        <f>Referencer!$B$70</f>
        <v>66, Lokalbanen, www.lokalbanen.dk/om-lokalbanen/miljoe</v>
      </c>
      <c r="J82" s="1472"/>
      <c r="L82" s="2537" t="s">
        <v>1898</v>
      </c>
      <c r="M82" s="2538"/>
      <c r="N82" s="2538"/>
      <c r="O82" s="2538"/>
      <c r="P82" s="2538"/>
      <c r="Q82" s="2538"/>
      <c r="R82" s="2539"/>
    </row>
    <row r="83" spans="2:18">
      <c r="B83" s="1484" t="s">
        <v>167</v>
      </c>
      <c r="C83" s="1471" t="s">
        <v>637</v>
      </c>
      <c r="D83" s="1533">
        <v>4.78</v>
      </c>
      <c r="E83" s="1533">
        <f>D83*0.3</f>
        <v>1.4339999999999999</v>
      </c>
      <c r="F83" s="1533">
        <f t="shared" si="2"/>
        <v>1.4339999999999999</v>
      </c>
      <c r="G83" s="1533">
        <f t="shared" si="2"/>
        <v>1.4339999999999999</v>
      </c>
      <c r="H83" s="1533"/>
      <c r="I83" s="1479" t="str">
        <f>Referencer!$B$70</f>
        <v>66, Lokalbanen, www.lokalbanen.dk/om-lokalbanen/miljoe</v>
      </c>
      <c r="J83" s="1472"/>
      <c r="L83" s="2537" t="s">
        <v>1861</v>
      </c>
      <c r="M83" s="2538"/>
      <c r="N83" s="2538"/>
      <c r="O83" s="2538"/>
      <c r="P83" s="2538"/>
      <c r="Q83" s="2538"/>
      <c r="R83" s="2539"/>
    </row>
    <row r="84" spans="2:18">
      <c r="B84" s="1484" t="s">
        <v>1863</v>
      </c>
      <c r="C84" s="1471" t="s">
        <v>637</v>
      </c>
      <c r="D84" s="1533">
        <v>4.8000000000000001E-2</v>
      </c>
      <c r="E84" s="1533">
        <f>D84*0.5*0.05</f>
        <v>1.2000000000000001E-3</v>
      </c>
      <c r="F84" s="1533">
        <f t="shared" si="2"/>
        <v>1.2000000000000001E-3</v>
      </c>
      <c r="G84" s="1533">
        <f t="shared" si="2"/>
        <v>1.2000000000000001E-3</v>
      </c>
      <c r="H84" s="1533"/>
      <c r="I84" s="1479" t="str">
        <f>Referencer!$B$70</f>
        <v>66, Lokalbanen, www.lokalbanen.dk/om-lokalbanen/miljoe</v>
      </c>
      <c r="J84" s="1472" t="s">
        <v>1864</v>
      </c>
      <c r="L84" s="2537" t="s">
        <v>1899</v>
      </c>
      <c r="M84" s="2538"/>
      <c r="N84" s="2538"/>
      <c r="O84" s="2538"/>
      <c r="P84" s="2538"/>
      <c r="Q84" s="2538"/>
      <c r="R84" s="2539"/>
    </row>
    <row r="85" spans="2:18" ht="13.5" thickBot="1">
      <c r="B85" s="1521"/>
      <c r="C85" s="1501"/>
      <c r="D85" s="1501"/>
      <c r="E85" s="1501"/>
      <c r="F85" s="1501"/>
      <c r="G85" s="1501"/>
      <c r="H85" s="1501"/>
      <c r="I85" s="1501"/>
      <c r="J85" s="1534"/>
      <c r="L85" s="1481"/>
      <c r="M85" s="1482"/>
      <c r="N85" s="1482"/>
      <c r="O85" s="1482"/>
      <c r="P85" s="1482"/>
      <c r="Q85" s="1482"/>
      <c r="R85" s="1483"/>
    </row>
    <row r="86" spans="2:18" ht="13.5" customHeight="1">
      <c r="F86" s="1535"/>
      <c r="G86" s="1535"/>
      <c r="H86" s="1535"/>
      <c r="L86" s="2540" t="s">
        <v>1919</v>
      </c>
      <c r="M86" s="2541"/>
      <c r="N86" s="1482"/>
      <c r="O86" s="1482"/>
      <c r="P86" s="1482"/>
      <c r="Q86" s="1482"/>
      <c r="R86" s="1483"/>
    </row>
    <row r="87" spans="2:18" ht="26.25" customHeight="1">
      <c r="F87" s="1535"/>
      <c r="G87" s="1535"/>
      <c r="H87" s="1535"/>
      <c r="L87" s="2537" t="s">
        <v>1920</v>
      </c>
      <c r="M87" s="2538"/>
      <c r="N87" s="2538"/>
      <c r="O87" s="2538"/>
      <c r="P87" s="2538"/>
      <c r="Q87" s="2538"/>
      <c r="R87" s="2539"/>
    </row>
    <row r="88" spans="2:18" ht="12.75" customHeight="1" thickBot="1">
      <c r="B88" s="1504"/>
      <c r="F88" s="1535"/>
      <c r="G88" s="1535"/>
      <c r="H88" s="1535"/>
      <c r="L88" s="2537" t="s">
        <v>1921</v>
      </c>
      <c r="M88" s="2538"/>
      <c r="N88" s="2538"/>
      <c r="O88" s="2538"/>
      <c r="P88" s="2538"/>
      <c r="Q88" s="2538"/>
      <c r="R88" s="2539"/>
    </row>
    <row r="89" spans="2:18" ht="12.75" customHeight="1">
      <c r="B89" s="2365"/>
      <c r="C89" s="2366"/>
      <c r="D89" s="2366"/>
      <c r="E89" s="2366"/>
      <c r="F89" s="2366"/>
      <c r="G89" s="2366"/>
      <c r="H89" s="2366"/>
      <c r="I89" s="2366"/>
      <c r="J89" s="2367"/>
      <c r="L89" s="2537"/>
      <c r="M89" s="2538"/>
      <c r="N89" s="2538"/>
      <c r="O89" s="2538"/>
      <c r="P89" s="2538"/>
      <c r="Q89" s="2538"/>
      <c r="R89" s="2539"/>
    </row>
    <row r="90" spans="2:18" ht="12.75" customHeight="1">
      <c r="B90" s="1536"/>
      <c r="C90" s="1537"/>
      <c r="D90" s="1537"/>
      <c r="E90" s="1537"/>
      <c r="F90" s="1537"/>
      <c r="G90" s="1537"/>
      <c r="H90" s="1537"/>
      <c r="I90" s="1537"/>
      <c r="J90" s="1538"/>
      <c r="L90" s="2537" t="s">
        <v>1869</v>
      </c>
      <c r="M90" s="2538"/>
      <c r="N90" s="2538"/>
      <c r="O90" s="2538"/>
      <c r="P90" s="2538"/>
      <c r="Q90" s="2538"/>
      <c r="R90" s="2539"/>
    </row>
    <row r="91" spans="2:18" ht="12.75" customHeight="1">
      <c r="B91" s="1536"/>
      <c r="C91" s="1537"/>
      <c r="D91" s="1537"/>
      <c r="E91" s="1537"/>
      <c r="F91" s="1537"/>
      <c r="G91" s="1537"/>
      <c r="H91" s="1537"/>
      <c r="I91" s="1537"/>
      <c r="J91" s="1538"/>
      <c r="L91" s="2537"/>
      <c r="M91" s="2538"/>
      <c r="N91" s="2538"/>
      <c r="O91" s="2538"/>
      <c r="P91" s="2538"/>
      <c r="Q91" s="2538"/>
      <c r="R91" s="2539"/>
    </row>
    <row r="92" spans="2:18" ht="12.75" customHeight="1">
      <c r="B92" s="1536"/>
      <c r="C92" s="1537"/>
      <c r="D92" s="1537"/>
      <c r="E92" s="1537"/>
      <c r="F92" s="1537"/>
      <c r="G92" s="1537"/>
      <c r="H92" s="1537"/>
      <c r="I92" s="1537"/>
      <c r="J92" s="1538"/>
      <c r="L92" s="2537"/>
      <c r="M92" s="2538"/>
      <c r="N92" s="2538"/>
      <c r="O92" s="2538"/>
      <c r="P92" s="2538"/>
      <c r="Q92" s="2538"/>
      <c r="R92" s="2539"/>
    </row>
    <row r="93" spans="2:18" ht="12.75" customHeight="1">
      <c r="B93" s="1536"/>
      <c r="C93" s="1537"/>
      <c r="D93" s="1537"/>
      <c r="E93" s="1537"/>
      <c r="F93" s="1537"/>
      <c r="G93" s="1537"/>
      <c r="H93" s="1537"/>
      <c r="I93" s="1537"/>
      <c r="J93" s="1538"/>
      <c r="L93" s="2540" t="s">
        <v>2327</v>
      </c>
      <c r="M93" s="2541"/>
      <c r="N93" s="2541"/>
      <c r="O93" s="2541"/>
      <c r="P93" s="1482"/>
      <c r="Q93" s="1482"/>
      <c r="R93" s="1483"/>
    </row>
    <row r="94" spans="2:18" ht="12.75" customHeight="1">
      <c r="C94" s="1537"/>
      <c r="D94" s="1537"/>
      <c r="E94" s="1537"/>
      <c r="F94" s="1537"/>
      <c r="G94" s="1537"/>
      <c r="H94" s="1537"/>
      <c r="I94" s="1537"/>
      <c r="J94" s="1538"/>
      <c r="L94" s="2537" t="s">
        <v>2328</v>
      </c>
      <c r="M94" s="2538"/>
      <c r="N94" s="2538"/>
      <c r="O94" s="2538"/>
      <c r="P94" s="2538"/>
      <c r="Q94" s="2538"/>
      <c r="R94" s="2539"/>
    </row>
    <row r="95" spans="2:18" ht="12.75" customHeight="1">
      <c r="C95" s="1537"/>
      <c r="D95" s="1537"/>
      <c r="E95" s="1537"/>
      <c r="F95" s="1537"/>
      <c r="G95" s="1537"/>
      <c r="H95" s="1537"/>
      <c r="I95" s="1537"/>
      <c r="J95" s="1538"/>
      <c r="L95" s="2537"/>
      <c r="M95" s="2538"/>
      <c r="N95" s="2538"/>
      <c r="O95" s="2538"/>
      <c r="P95" s="2538"/>
      <c r="Q95" s="2538"/>
      <c r="R95" s="2539"/>
    </row>
    <row r="96" spans="2:18" ht="12.75" customHeight="1">
      <c r="C96" s="1537"/>
      <c r="D96" s="1537"/>
      <c r="E96" s="1537"/>
      <c r="F96" s="1537"/>
      <c r="G96" s="1537"/>
      <c r="H96" s="1537"/>
      <c r="I96" s="1537"/>
      <c r="J96" s="1538"/>
      <c r="L96" s="2551" t="s">
        <v>1922</v>
      </c>
      <c r="M96" s="2552"/>
      <c r="N96" s="2552"/>
      <c r="O96" s="2552"/>
      <c r="P96" s="2552"/>
      <c r="Q96" s="2552"/>
      <c r="R96" s="2553"/>
    </row>
    <row r="97" spans="2:18" ht="12.75" customHeight="1">
      <c r="B97" s="2557"/>
      <c r="C97" s="2558"/>
      <c r="D97" s="2558"/>
      <c r="E97" s="2558"/>
      <c r="F97" s="2558"/>
      <c r="G97" s="2558"/>
      <c r="H97" s="2558"/>
      <c r="I97" s="2558"/>
      <c r="J97" s="2559"/>
      <c r="L97" s="2554" t="s">
        <v>2326</v>
      </c>
      <c r="M97" s="2555"/>
      <c r="N97" s="2555"/>
      <c r="O97" s="2555"/>
      <c r="P97" s="2555"/>
      <c r="Q97" s="2555"/>
      <c r="R97" s="2556"/>
    </row>
    <row r="98" spans="2:18" ht="12.75" customHeight="1" thickBot="1">
      <c r="B98" s="1539"/>
      <c r="C98" s="1540"/>
      <c r="D98" s="1540"/>
      <c r="E98" s="1540"/>
      <c r="F98" s="1540"/>
      <c r="G98" s="1540"/>
      <c r="H98" s="1540"/>
      <c r="I98" s="1540"/>
      <c r="J98" s="1541"/>
      <c r="L98" s="2554"/>
      <c r="M98" s="2555"/>
      <c r="N98" s="2555"/>
      <c r="O98" s="2555"/>
      <c r="P98" s="2555"/>
      <c r="Q98" s="2555"/>
      <c r="R98" s="2556"/>
    </row>
    <row r="99" spans="2:18" ht="13.5" customHeight="1">
      <c r="H99" s="134"/>
      <c r="L99" s="2554"/>
      <c r="M99" s="2555"/>
      <c r="N99" s="2555"/>
      <c r="O99" s="2555"/>
      <c r="P99" s="2555"/>
      <c r="Q99" s="2555"/>
      <c r="R99" s="2556"/>
    </row>
    <row r="100" spans="2:18" ht="12.75" customHeight="1">
      <c r="H100" s="134"/>
      <c r="L100" s="2537" t="s">
        <v>1901</v>
      </c>
      <c r="M100" s="2538"/>
      <c r="N100" s="2538"/>
      <c r="O100" s="2538"/>
      <c r="P100" s="2538"/>
      <c r="Q100" s="2538"/>
      <c r="R100" s="2539"/>
    </row>
    <row r="101" spans="2:18" ht="12.75" customHeight="1">
      <c r="I101" s="1542"/>
      <c r="L101" s="2537"/>
      <c r="M101" s="2538"/>
      <c r="N101" s="2538"/>
      <c r="O101" s="2538"/>
      <c r="P101" s="2538"/>
      <c r="Q101" s="2538"/>
      <c r="R101" s="2539"/>
    </row>
    <row r="102" spans="2:18">
      <c r="I102" s="1542"/>
      <c r="L102" s="2537"/>
      <c r="M102" s="2538"/>
      <c r="N102" s="2538"/>
      <c r="O102" s="2538"/>
      <c r="P102" s="2538"/>
      <c r="Q102" s="2538"/>
      <c r="R102" s="2539"/>
    </row>
    <row r="103" spans="2:18" ht="12.75" customHeight="1">
      <c r="L103" s="1481"/>
      <c r="M103" s="1482"/>
      <c r="N103" s="1482"/>
      <c r="O103" s="1482"/>
      <c r="P103" s="1482"/>
      <c r="Q103" s="1482"/>
      <c r="R103" s="1483"/>
    </row>
    <row r="104" spans="2:18" ht="12.75" customHeight="1">
      <c r="L104" s="2537"/>
      <c r="M104" s="2538"/>
      <c r="N104" s="2538"/>
      <c r="O104" s="2538"/>
      <c r="P104" s="2538"/>
      <c r="Q104" s="2538"/>
      <c r="R104" s="2539"/>
    </row>
    <row r="105" spans="2:18">
      <c r="L105" s="2537"/>
      <c r="M105" s="2538"/>
      <c r="N105" s="2538"/>
      <c r="O105" s="2538"/>
      <c r="P105" s="2538"/>
      <c r="Q105" s="2538"/>
      <c r="R105" s="2539"/>
    </row>
    <row r="106" spans="2:18">
      <c r="L106" s="1481"/>
      <c r="M106" s="1482"/>
      <c r="N106" s="1482"/>
      <c r="O106" s="1482"/>
      <c r="P106" s="1482"/>
      <c r="Q106" s="1482"/>
      <c r="R106" s="1483"/>
    </row>
    <row r="107" spans="2:18" ht="13.5" thickBot="1">
      <c r="L107" s="1551"/>
      <c r="M107" s="1552"/>
      <c r="N107" s="1552"/>
      <c r="O107" s="1552"/>
      <c r="P107" s="1552"/>
      <c r="Q107" s="1552"/>
      <c r="R107" s="1553"/>
    </row>
    <row r="108" spans="2:18" ht="12.75" customHeight="1"/>
    <row r="111" spans="2:18" ht="12.75" customHeight="1"/>
    <row r="113" ht="12.75" customHeight="1"/>
  </sheetData>
  <mergeCells count="24">
    <mergeCell ref="B97:J97"/>
    <mergeCell ref="L100:R102"/>
    <mergeCell ref="L93:O93"/>
    <mergeCell ref="L83:R83"/>
    <mergeCell ref="B6:N8"/>
    <mergeCell ref="B9:N10"/>
    <mergeCell ref="B12:N13"/>
    <mergeCell ref="B14:N17"/>
    <mergeCell ref="L20:O20"/>
    <mergeCell ref="L21:O21"/>
    <mergeCell ref="L22:W23"/>
    <mergeCell ref="L78:N78"/>
    <mergeCell ref="L80:N80"/>
    <mergeCell ref="L81:R81"/>
    <mergeCell ref="L82:R82"/>
    <mergeCell ref="L84:R84"/>
    <mergeCell ref="L86:M86"/>
    <mergeCell ref="L87:R87"/>
    <mergeCell ref="L104:R105"/>
    <mergeCell ref="L94:R95"/>
    <mergeCell ref="L96:R96"/>
    <mergeCell ref="L88:R89"/>
    <mergeCell ref="L90:R92"/>
    <mergeCell ref="L97:R99"/>
  </mergeCells>
  <pageMargins left="0.15748031496062992" right="0.15748031496062992" top="1.25" bottom="0.19685039370078741" header="0.51181102362204722" footer="0.51181102362204722"/>
  <pageSetup paperSize="9" scale="58" orientation="landscape" r:id="rId1"/>
  <headerFooter alignWithMargins="0">
    <oddHeader>&amp;L&amp;"Arial"&amp;14&amp;BBeregningsmodel
&amp;"Arial"&amp;08&amp;B64329, Teknologivurdering af alternative drivmidler til transportsektoren&amp;R&amp;"Arial"&amp;08Page &amp;P of &amp;N</oddHeader>
    <oddFooter>&amp;L&amp;"Arial"&amp;08&amp;Z&amp;F
Sheet: &amp;A&amp;C&amp;"Arial"&amp;08Printed &amp;D &amp;T&amp;R&amp;G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269761" r:id="rId5" name="Button 1">
              <controlPr defaultSize="0" print="0" autoFill="0" autoPict="0">
                <anchor>
                  <from>
                    <xdr:col>8</xdr:col>
                    <xdr:colOff>95250</xdr:colOff>
                    <xdr:row>0</xdr:row>
                    <xdr:rowOff>38100</xdr:rowOff>
                  </from>
                  <to>
                    <xdr:col>9</xdr:col>
                    <xdr:colOff>781050</xdr:colOff>
                    <xdr:row>0</xdr:row>
                    <xdr:rowOff>238125</xdr:rowOff>
                  </to>
                </anchor>
              </controlPr>
            </control>
          </mc:Choice>
        </mc:AlternateContent>
        <mc:AlternateContent xmlns:mc="http://schemas.openxmlformats.org/markup-compatibility/2006">
          <mc:Choice Requires="x14">
            <control shapeId="1269762" r:id="rId6" name="Button 2">
              <controlPr defaultSize="0" print="0" autoFill="0" autoPict="0">
                <anchor>
                  <from>
                    <xdr:col>9</xdr:col>
                    <xdr:colOff>952500</xdr:colOff>
                    <xdr:row>0</xdr:row>
                    <xdr:rowOff>38100</xdr:rowOff>
                  </from>
                  <to>
                    <xdr:col>9</xdr:col>
                    <xdr:colOff>2019300</xdr:colOff>
                    <xdr:row>0</xdr:row>
                    <xdr:rowOff>238125</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rgb="FF002060"/>
    <pageSetUpPr fitToPage="1"/>
  </sheetPr>
  <dimension ref="B1:W113"/>
  <sheetViews>
    <sheetView topLeftCell="A28" zoomScale="80" zoomScaleNormal="80" workbookViewId="0">
      <selection activeCell="E90" sqref="E90"/>
    </sheetView>
  </sheetViews>
  <sheetFormatPr defaultColWidth="8.85546875" defaultRowHeight="12.75"/>
  <cols>
    <col min="1" max="1" width="2.85546875" style="1447" customWidth="1"/>
    <col min="2" max="2" width="26.85546875" style="1447" customWidth="1"/>
    <col min="3" max="3" width="15" style="1447" customWidth="1"/>
    <col min="4" max="7" width="14.5703125" style="1447" customWidth="1"/>
    <col min="8" max="8" width="15.85546875" style="172" customWidth="1"/>
    <col min="9" max="9" width="5.7109375" style="1447" customWidth="1"/>
    <col min="10" max="10" width="48.5703125" style="1447" customWidth="1"/>
    <col min="11" max="11" width="10" style="1447" bestFit="1" customWidth="1"/>
    <col min="12" max="12" width="15.85546875" style="1447" customWidth="1"/>
    <col min="13" max="14" width="9" style="1447" bestFit="1" customWidth="1"/>
    <col min="15" max="15" width="37.85546875" style="1447" customWidth="1"/>
    <col min="16" max="16384" width="8.85546875" style="1447"/>
  </cols>
  <sheetData>
    <row r="1" spans="2:18" s="2403" customFormat="1" ht="21">
      <c r="B1" s="2403" t="s">
        <v>1789</v>
      </c>
      <c r="Q1" s="2403">
        <f ca="1">'Log2015'!M1</f>
        <v>-8.0112614142160741</v>
      </c>
      <c r="R1" s="2403">
        <f ca="1">'Log2015'!N1</f>
        <v>-160807.124977848</v>
      </c>
    </row>
    <row r="4" spans="2:18" ht="13.5" thickBot="1">
      <c r="B4" s="1446" t="s">
        <v>81</v>
      </c>
    </row>
    <row r="5" spans="2:18">
      <c r="B5" s="1448" t="s">
        <v>1790</v>
      </c>
      <c r="C5" s="1449"/>
      <c r="D5" s="1449"/>
      <c r="E5" s="1449"/>
      <c r="F5" s="1449"/>
      <c r="G5" s="1449"/>
      <c r="H5" s="221"/>
      <c r="I5" s="1449"/>
      <c r="J5" s="1449"/>
      <c r="K5" s="1449"/>
      <c r="L5" s="1449"/>
      <c r="M5" s="1449"/>
      <c r="N5" s="1450"/>
    </row>
    <row r="6" spans="2:18" ht="12.75" customHeight="1">
      <c r="B6" s="2560" t="s">
        <v>1791</v>
      </c>
      <c r="C6" s="2561"/>
      <c r="D6" s="2561"/>
      <c r="E6" s="2561"/>
      <c r="F6" s="2561"/>
      <c r="G6" s="2561"/>
      <c r="H6" s="2561"/>
      <c r="I6" s="2561"/>
      <c r="J6" s="2561"/>
      <c r="K6" s="2561"/>
      <c r="L6" s="2561"/>
      <c r="M6" s="2561"/>
      <c r="N6" s="2562"/>
    </row>
    <row r="7" spans="2:18">
      <c r="B7" s="2560"/>
      <c r="C7" s="2561"/>
      <c r="D7" s="2561"/>
      <c r="E7" s="2561"/>
      <c r="F7" s="2561"/>
      <c r="G7" s="2561"/>
      <c r="H7" s="2561"/>
      <c r="I7" s="2561"/>
      <c r="J7" s="2561"/>
      <c r="K7" s="2561"/>
      <c r="L7" s="2561"/>
      <c r="M7" s="2561"/>
      <c r="N7" s="2562"/>
    </row>
    <row r="8" spans="2:18">
      <c r="B8" s="2560"/>
      <c r="C8" s="2561"/>
      <c r="D8" s="2561"/>
      <c r="E8" s="2561"/>
      <c r="F8" s="2561"/>
      <c r="G8" s="2561"/>
      <c r="H8" s="2561"/>
      <c r="I8" s="2561"/>
      <c r="J8" s="2561"/>
      <c r="K8" s="2561"/>
      <c r="L8" s="2561"/>
      <c r="M8" s="2561"/>
      <c r="N8" s="2562"/>
    </row>
    <row r="9" spans="2:18">
      <c r="B9" s="2560"/>
      <c r="C9" s="2561"/>
      <c r="D9" s="2561"/>
      <c r="E9" s="2561"/>
      <c r="F9" s="2561"/>
      <c r="G9" s="2561"/>
      <c r="H9" s="2561"/>
      <c r="I9" s="2561"/>
      <c r="J9" s="2561"/>
      <c r="K9" s="2561"/>
      <c r="L9" s="2561"/>
      <c r="M9" s="2561"/>
      <c r="N9" s="2562"/>
    </row>
    <row r="10" spans="2:18">
      <c r="B10" s="2560"/>
      <c r="C10" s="2561"/>
      <c r="D10" s="2561"/>
      <c r="E10" s="2561"/>
      <c r="F10" s="2561"/>
      <c r="G10" s="2561"/>
      <c r="H10" s="2561"/>
      <c r="I10" s="2561"/>
      <c r="J10" s="2561"/>
      <c r="K10" s="2561"/>
      <c r="L10" s="2561"/>
      <c r="M10" s="2561"/>
      <c r="N10" s="2562"/>
    </row>
    <row r="11" spans="2:18">
      <c r="B11" s="1451" t="s">
        <v>256</v>
      </c>
      <c r="C11" s="1452"/>
      <c r="D11" s="1452"/>
      <c r="E11" s="1452"/>
      <c r="F11" s="1452"/>
      <c r="G11" s="1452"/>
      <c r="H11" s="455"/>
      <c r="I11" s="1452"/>
      <c r="J11" s="1452"/>
      <c r="K11" s="1452"/>
      <c r="L11" s="1452"/>
      <c r="M11" s="1452"/>
      <c r="N11" s="1453"/>
    </row>
    <row r="12" spans="2:18">
      <c r="B12" s="2560" t="s">
        <v>1792</v>
      </c>
      <c r="C12" s="2561"/>
      <c r="D12" s="2561"/>
      <c r="E12" s="2561"/>
      <c r="F12" s="2561"/>
      <c r="G12" s="2561"/>
      <c r="H12" s="2561"/>
      <c r="I12" s="2561"/>
      <c r="J12" s="2561"/>
      <c r="K12" s="2561"/>
      <c r="L12" s="2561"/>
      <c r="M12" s="2561"/>
      <c r="N12" s="2562"/>
    </row>
    <row r="13" spans="2:18" ht="17.25" customHeight="1">
      <c r="B13" s="2560"/>
      <c r="C13" s="2561"/>
      <c r="D13" s="2561"/>
      <c r="E13" s="2561"/>
      <c r="F13" s="2561"/>
      <c r="G13" s="2561"/>
      <c r="H13" s="2561"/>
      <c r="I13" s="2561"/>
      <c r="J13" s="2561"/>
      <c r="K13" s="2561"/>
      <c r="L13" s="2561"/>
      <c r="M13" s="2561"/>
      <c r="N13" s="2562"/>
    </row>
    <row r="14" spans="2:18">
      <c r="B14" s="2560" t="s">
        <v>1793</v>
      </c>
      <c r="C14" s="2561"/>
      <c r="D14" s="2561"/>
      <c r="E14" s="2561"/>
      <c r="F14" s="2561"/>
      <c r="G14" s="2561"/>
      <c r="H14" s="2561"/>
      <c r="I14" s="2561"/>
      <c r="J14" s="2561"/>
      <c r="K14" s="2561"/>
      <c r="L14" s="2561"/>
      <c r="M14" s="2561"/>
      <c r="N14" s="2562"/>
    </row>
    <row r="15" spans="2:18">
      <c r="B15" s="2560"/>
      <c r="C15" s="2561"/>
      <c r="D15" s="2561"/>
      <c r="E15" s="2561"/>
      <c r="F15" s="2561"/>
      <c r="G15" s="2561"/>
      <c r="H15" s="2561"/>
      <c r="I15" s="2561"/>
      <c r="J15" s="2561"/>
      <c r="K15" s="2561"/>
      <c r="L15" s="2561"/>
      <c r="M15" s="2561"/>
      <c r="N15" s="2562"/>
    </row>
    <row r="16" spans="2:18">
      <c r="B16" s="2560"/>
      <c r="C16" s="2561"/>
      <c r="D16" s="2561"/>
      <c r="E16" s="2561"/>
      <c r="F16" s="2561"/>
      <c r="G16" s="2561"/>
      <c r="H16" s="2561"/>
      <c r="I16" s="2561"/>
      <c r="J16" s="2561"/>
      <c r="K16" s="2561"/>
      <c r="L16" s="2561"/>
      <c r="M16" s="2561"/>
      <c r="N16" s="2562"/>
    </row>
    <row r="17" spans="2:23" ht="13.5" thickBot="1">
      <c r="B17" s="2563"/>
      <c r="C17" s="2564"/>
      <c r="D17" s="2564"/>
      <c r="E17" s="2564"/>
      <c r="F17" s="2564"/>
      <c r="G17" s="2564"/>
      <c r="H17" s="2564"/>
      <c r="I17" s="2564"/>
      <c r="J17" s="2564"/>
      <c r="K17" s="2564"/>
      <c r="L17" s="2564"/>
      <c r="M17" s="2564"/>
      <c r="N17" s="2565"/>
    </row>
    <row r="19" spans="2:23" ht="13.5" customHeight="1" thickBot="1">
      <c r="B19" s="1446" t="s">
        <v>144</v>
      </c>
      <c r="E19" s="1454"/>
    </row>
    <row r="20" spans="2:23" ht="12.75" customHeight="1">
      <c r="B20" s="1455"/>
      <c r="C20" s="1456"/>
      <c r="D20" s="1449"/>
      <c r="E20" s="1449"/>
      <c r="F20" s="1449"/>
      <c r="G20" s="1449"/>
      <c r="H20" s="221"/>
      <c r="I20" s="1449" t="s">
        <v>145</v>
      </c>
      <c r="J20" s="1450" t="s">
        <v>146</v>
      </c>
      <c r="L20" s="1457"/>
      <c r="M20" s="1458"/>
      <c r="N20" s="1458"/>
      <c r="O20" s="1458"/>
      <c r="P20" s="1458"/>
      <c r="Q20" s="1458"/>
      <c r="R20" s="1458"/>
      <c r="S20" s="1458"/>
      <c r="T20" s="1458"/>
      <c r="U20" s="1458"/>
      <c r="V20" s="1458"/>
      <c r="W20" s="1459"/>
    </row>
    <row r="21" spans="2:23">
      <c r="B21" s="1460"/>
      <c r="C21" s="1461" t="s">
        <v>70</v>
      </c>
      <c r="D21" s="1462" t="s">
        <v>1794</v>
      </c>
      <c r="E21" s="1463">
        <v>2020</v>
      </c>
      <c r="F21" s="1463">
        <v>2035</v>
      </c>
      <c r="G21" s="1463">
        <v>2050</v>
      </c>
      <c r="H21" s="225" t="s">
        <v>978</v>
      </c>
      <c r="I21" s="1464"/>
      <c r="J21" s="1465"/>
      <c r="L21" s="2569" t="s">
        <v>1795</v>
      </c>
      <c r="M21" s="2570"/>
      <c r="N21" s="2570"/>
      <c r="O21" s="1466"/>
      <c r="P21" s="1466"/>
      <c r="Q21" s="1466"/>
      <c r="R21" s="1466"/>
      <c r="S21" s="1466"/>
      <c r="T21" s="1466"/>
      <c r="U21" s="1466"/>
      <c r="V21" s="1466"/>
      <c r="W21" s="1467"/>
    </row>
    <row r="22" spans="2:23" ht="12.75" customHeight="1">
      <c r="B22" s="1468" t="s">
        <v>257</v>
      </c>
      <c r="C22" s="1469"/>
      <c r="D22" s="1470"/>
      <c r="E22" s="1470"/>
      <c r="F22" s="1470"/>
      <c r="G22" s="1470"/>
      <c r="H22" s="209"/>
      <c r="I22" s="1471"/>
      <c r="J22" s="1472"/>
      <c r="L22" s="2571" t="s">
        <v>1796</v>
      </c>
      <c r="M22" s="2572"/>
      <c r="N22" s="2572"/>
      <c r="O22" s="2572"/>
      <c r="P22" s="2572"/>
      <c r="Q22" s="2572"/>
      <c r="R22" s="2572"/>
      <c r="S22" s="2572"/>
      <c r="T22" s="2572"/>
      <c r="U22" s="2572"/>
      <c r="V22" s="2572"/>
      <c r="W22" s="2573"/>
    </row>
    <row r="23" spans="2:23">
      <c r="B23" s="122" t="s">
        <v>848</v>
      </c>
      <c r="C23" s="210" t="s">
        <v>1645</v>
      </c>
      <c r="D23" s="1559">
        <v>0.32</v>
      </c>
      <c r="E23" s="1559">
        <v>0.32</v>
      </c>
      <c r="F23" s="1559">
        <v>0.32</v>
      </c>
      <c r="G23" s="1559">
        <v>0.32</v>
      </c>
      <c r="H23" s="1657"/>
      <c r="I23" s="1474" t="str">
        <f>Referencer!$B$68</f>
        <v>62, Baseret på viden og praktisk erfaring fra tekniske eksperter fra jernbanesektoren i Danmark og internationale faglige netværk</v>
      </c>
      <c r="J23" s="1475" t="s">
        <v>1797</v>
      </c>
      <c r="L23" s="2571"/>
      <c r="M23" s="2572"/>
      <c r="N23" s="2572"/>
      <c r="O23" s="2572"/>
      <c r="P23" s="2572"/>
      <c r="Q23" s="2572"/>
      <c r="R23" s="2572"/>
      <c r="S23" s="2572"/>
      <c r="T23" s="2572"/>
      <c r="U23" s="2572"/>
      <c r="V23" s="2572"/>
      <c r="W23" s="2573"/>
    </row>
    <row r="24" spans="2:23">
      <c r="B24" s="122" t="s">
        <v>849</v>
      </c>
      <c r="C24" s="210" t="s">
        <v>1645</v>
      </c>
      <c r="D24" s="2118">
        <f>D23</f>
        <v>0.32</v>
      </c>
      <c r="E24" s="2118">
        <f>E23</f>
        <v>0.32</v>
      </c>
      <c r="F24" s="2118">
        <f>F23</f>
        <v>0.32</v>
      </c>
      <c r="G24" s="2118">
        <f>G23</f>
        <v>0.32</v>
      </c>
      <c r="H24" s="1657"/>
      <c r="I24" s="1474"/>
      <c r="J24" s="1475"/>
      <c r="L24" s="2571"/>
      <c r="M24" s="2572"/>
      <c r="N24" s="2572"/>
      <c r="O24" s="2572"/>
      <c r="P24" s="2572"/>
      <c r="Q24" s="2572"/>
      <c r="R24" s="2572"/>
      <c r="S24" s="2572"/>
      <c r="T24" s="2572"/>
      <c r="U24" s="2572"/>
      <c r="V24" s="2572"/>
      <c r="W24" s="2573"/>
    </row>
    <row r="25" spans="2:23">
      <c r="B25" s="122" t="s">
        <v>1971</v>
      </c>
      <c r="C25" s="210" t="s">
        <v>1024</v>
      </c>
      <c r="D25" s="1585">
        <f>D78</f>
        <v>39.445120000000003</v>
      </c>
      <c r="E25" s="1585">
        <f>E78</f>
        <v>40.036796799999998</v>
      </c>
      <c r="F25" s="1585">
        <f>F78</f>
        <v>36.03311712</v>
      </c>
      <c r="G25" s="1585">
        <f>G78</f>
        <v>36.03311712</v>
      </c>
      <c r="H25" s="1658"/>
      <c r="I25" s="1474"/>
      <c r="J25" s="1475"/>
      <c r="L25" s="2571"/>
      <c r="M25" s="2572"/>
      <c r="N25" s="2572"/>
      <c r="O25" s="2572"/>
      <c r="P25" s="2572"/>
      <c r="Q25" s="2572"/>
      <c r="R25" s="2572"/>
      <c r="S25" s="2572"/>
      <c r="T25" s="2572"/>
      <c r="U25" s="2572"/>
      <c r="V25" s="2572"/>
      <c r="W25" s="2573"/>
    </row>
    <row r="26" spans="2:23">
      <c r="B26" s="122" t="s">
        <v>1972</v>
      </c>
      <c r="C26" s="210" t="s">
        <v>1024</v>
      </c>
      <c r="D26" s="1473"/>
      <c r="E26" s="1473"/>
      <c r="F26" s="1473"/>
      <c r="G26" s="1473"/>
      <c r="H26" s="1658"/>
      <c r="I26" s="1474"/>
      <c r="J26" s="1475"/>
      <c r="L26" s="2571"/>
      <c r="M26" s="2572"/>
      <c r="N26" s="2572"/>
      <c r="O26" s="2572"/>
      <c r="P26" s="2572"/>
      <c r="Q26" s="2572"/>
      <c r="R26" s="2572"/>
      <c r="S26" s="2572"/>
      <c r="T26" s="2572"/>
      <c r="U26" s="2572"/>
      <c r="V26" s="2572"/>
      <c r="W26" s="2573"/>
    </row>
    <row r="27" spans="2:23">
      <c r="B27" s="1476" t="s">
        <v>98</v>
      </c>
      <c r="C27" s="1469" t="s">
        <v>259</v>
      </c>
      <c r="D27" s="1477">
        <v>30</v>
      </c>
      <c r="E27" s="1478">
        <v>30</v>
      </c>
      <c r="F27" s="1478">
        <v>30</v>
      </c>
      <c r="G27" s="1478">
        <v>30</v>
      </c>
      <c r="H27" s="212"/>
      <c r="I27" s="1474" t="str">
        <f>Referencer!$B$68</f>
        <v>62, Baseret på viden og praktisk erfaring fra tekniske eksperter fra jernbanesektoren i Danmark og internationale faglige netværk</v>
      </c>
      <c r="J27" s="1472" t="s">
        <v>2320</v>
      </c>
      <c r="L27" s="2571"/>
      <c r="M27" s="2572"/>
      <c r="N27" s="2572"/>
      <c r="O27" s="2572"/>
      <c r="P27" s="2572"/>
      <c r="Q27" s="2572"/>
      <c r="R27" s="2572"/>
      <c r="S27" s="2572"/>
      <c r="T27" s="2572"/>
      <c r="U27" s="2572"/>
      <c r="V27" s="2572"/>
      <c r="W27" s="2573"/>
    </row>
    <row r="28" spans="2:23">
      <c r="B28" s="1476" t="s">
        <v>260</v>
      </c>
      <c r="C28" s="1469" t="s">
        <v>261</v>
      </c>
      <c r="D28" s="1480">
        <f>+D70</f>
        <v>3786.7315200000003</v>
      </c>
      <c r="E28" s="1480">
        <f>+E70</f>
        <v>3843.5324927999995</v>
      </c>
      <c r="F28" s="1480">
        <f>+F70</f>
        <v>3459.17924352</v>
      </c>
      <c r="G28" s="1480">
        <f>+G70</f>
        <v>3459.17924352</v>
      </c>
      <c r="H28" s="1659"/>
      <c r="I28" s="1474"/>
      <c r="J28" s="1472"/>
      <c r="L28" s="1481"/>
      <c r="M28" s="1482"/>
      <c r="N28" s="1482"/>
      <c r="O28" s="1482"/>
      <c r="P28" s="1482"/>
      <c r="Q28" s="1482"/>
      <c r="R28" s="1482"/>
      <c r="S28" s="1482"/>
      <c r="T28" s="1482"/>
      <c r="U28" s="1482"/>
      <c r="V28" s="1482"/>
      <c r="W28" s="1483"/>
    </row>
    <row r="29" spans="2:23">
      <c r="B29" s="1484"/>
      <c r="C29" s="1485"/>
      <c r="D29" s="1486"/>
      <c r="E29" s="1486"/>
      <c r="F29" s="1486"/>
      <c r="G29" s="1486"/>
      <c r="H29" s="90"/>
      <c r="I29" s="1471"/>
      <c r="J29" s="1472"/>
      <c r="L29" s="1481"/>
      <c r="M29" s="1482"/>
      <c r="N29" s="1482"/>
      <c r="O29" s="1482"/>
      <c r="P29" s="1482"/>
      <c r="Q29" s="1482"/>
      <c r="R29" s="1482"/>
      <c r="S29" s="1482"/>
      <c r="T29" s="1482"/>
      <c r="U29" s="1482"/>
      <c r="V29" s="1482"/>
      <c r="W29" s="1483"/>
    </row>
    <row r="30" spans="2:23">
      <c r="B30" s="1468" t="s">
        <v>33</v>
      </c>
      <c r="C30" s="1469"/>
      <c r="D30" s="1486"/>
      <c r="E30" s="1486"/>
      <c r="F30" s="1486"/>
      <c r="G30" s="1486"/>
      <c r="H30" s="90"/>
      <c r="I30" s="1471"/>
      <c r="J30" s="1472"/>
      <c r="L30" s="1487"/>
      <c r="M30" s="1471"/>
      <c r="N30" s="1471"/>
      <c r="O30" s="1471"/>
      <c r="P30" s="1471"/>
      <c r="Q30" s="1471"/>
      <c r="R30" s="1471"/>
      <c r="S30" s="1471"/>
      <c r="T30" s="1471"/>
      <c r="U30" s="1471"/>
      <c r="V30" s="1471"/>
      <c r="W30" s="1488"/>
    </row>
    <row r="31" spans="2:23" s="172" customFormat="1">
      <c r="B31" s="310" t="s">
        <v>157</v>
      </c>
      <c r="C31" s="210" t="s">
        <v>61</v>
      </c>
      <c r="D31" s="992">
        <f>HLOOKUP($H38,Supplementary!$C$44:$AF$46,3,FALSE)*D38</f>
        <v>65996639.592835501</v>
      </c>
      <c r="E31" s="992">
        <f>HLOOKUP($H38,Supplementary!$C$44:$AF$46,3,FALSE)*E38</f>
        <v>65996639.592835501</v>
      </c>
      <c r="F31" s="992">
        <f>HLOOKUP($H38,Supplementary!$C$44:$AF$46,3,FALSE)*F38</f>
        <v>65996639.592835501</v>
      </c>
      <c r="G31" s="992">
        <f>HLOOKUP($H38,Supplementary!$C$44:$AF$46,3,FALSE)*G38</f>
        <v>65996639.592835501</v>
      </c>
      <c r="H31" s="323">
        <f>priceYear</f>
        <v>2015</v>
      </c>
      <c r="I31" s="555"/>
      <c r="J31" s="178"/>
    </row>
    <row r="32" spans="2:23" s="172" customFormat="1">
      <c r="B32" s="192" t="s">
        <v>262</v>
      </c>
      <c r="C32" s="210" t="s">
        <v>263</v>
      </c>
      <c r="D32" s="992">
        <f ca="1">HLOOKUP($H39,Supplementary!$C$44:$AF$46,3,FALSE)*D39</f>
        <v>3604.6380365428058</v>
      </c>
      <c r="E32" s="992">
        <f>HLOOKUP($H39,Supplementary!$C$44:$AF$46,3,FALSE)*E39</f>
        <v>2434.3804488983374</v>
      </c>
      <c r="F32" s="992">
        <f>HLOOKUP($H39,Supplementary!$C$44:$AF$46,3,FALSE)*F39</f>
        <v>2704.8671654425962</v>
      </c>
      <c r="G32" s="992">
        <f>HLOOKUP($H39,Supplementary!$C$44:$AF$46,3,FALSE)*G39</f>
        <v>2704.8671654425962</v>
      </c>
      <c r="H32" s="323">
        <f>priceYear</f>
        <v>2015</v>
      </c>
      <c r="I32" s="555"/>
      <c r="J32" s="178"/>
    </row>
    <row r="33" spans="2:23" s="172" customFormat="1">
      <c r="B33" s="236" t="s">
        <v>162</v>
      </c>
      <c r="C33" s="210" t="s">
        <v>263</v>
      </c>
      <c r="D33" s="992">
        <f ca="1">HLOOKUP($H40,Supplementary!$C$44:$AF$46,3,FALSE)*D40</f>
        <v>1133.7418809109945</v>
      </c>
      <c r="E33" s="992">
        <f ca="1">HLOOKUP($H40,Supplementary!$C$44:$AF$46,3,FALSE)*E40</f>
        <v>1116.9870747891573</v>
      </c>
      <c r="F33" s="992">
        <f ca="1">HLOOKUP($H40,Supplementary!$C$44:$AF$46,3,FALSE)*F40</f>
        <v>1241.0967497657302</v>
      </c>
      <c r="G33" s="992">
        <f ca="1">HLOOKUP($H40,Supplementary!$C$44:$AF$46,3,FALSE)*G40</f>
        <v>1241.0967497657302</v>
      </c>
      <c r="H33" s="323">
        <f>priceYear</f>
        <v>2015</v>
      </c>
      <c r="I33" s="555"/>
      <c r="J33" s="178"/>
    </row>
    <row r="34" spans="2:23" s="172" customFormat="1">
      <c r="B34" s="236" t="s">
        <v>163</v>
      </c>
      <c r="C34" s="210" t="s">
        <v>263</v>
      </c>
      <c r="D34" s="992">
        <f>HLOOKUP($H41,Supplementary!$C$44:$AF$46,3,FALSE)*D41</f>
        <v>2470.8961556318113</v>
      </c>
      <c r="E34" s="992">
        <f>HLOOKUP($H41,Supplementary!$C$44:$AF$46,3,FALSE)*E41</f>
        <v>2434.3804488983374</v>
      </c>
      <c r="F34" s="992">
        <f>HLOOKUP($H41,Supplementary!$C$44:$AF$46,3,FALSE)*F41</f>
        <v>2704.8671654425962</v>
      </c>
      <c r="G34" s="992">
        <f>HLOOKUP($H41,Supplementary!$C$44:$AF$46,3,FALSE)*G41</f>
        <v>2704.8671654425962</v>
      </c>
      <c r="H34" s="323">
        <f>priceYear</f>
        <v>2015</v>
      </c>
      <c r="I34" s="555"/>
      <c r="J34" s="178"/>
    </row>
    <row r="35" spans="2:23" s="172" customFormat="1">
      <c r="B35" s="236"/>
      <c r="C35" s="210"/>
      <c r="D35" s="992"/>
      <c r="E35" s="992"/>
      <c r="F35" s="992"/>
      <c r="G35" s="992"/>
      <c r="H35" s="323"/>
      <c r="I35" s="555"/>
      <c r="J35" s="178"/>
    </row>
    <row r="36" spans="2:23" s="172" customFormat="1">
      <c r="B36" s="236" t="s">
        <v>264</v>
      </c>
      <c r="C36" s="210" t="s">
        <v>263</v>
      </c>
      <c r="D36" s="992">
        <f>HLOOKUP($H43,Supplementary!$C$44:$AF$46,3,FALSE)*D43</f>
        <v>0</v>
      </c>
      <c r="E36" s="992">
        <f>HLOOKUP($H43,Supplementary!$C$44:$AF$46,3,FALSE)*E43</f>
        <v>0</v>
      </c>
      <c r="F36" s="992">
        <f>HLOOKUP($H43,Supplementary!$C$44:$AF$46,3,FALSE)*F43</f>
        <v>0</v>
      </c>
      <c r="G36" s="992">
        <f>HLOOKUP($H43,Supplementary!$C$44:$AF$46,3,FALSE)*G43</f>
        <v>0</v>
      </c>
      <c r="H36" s="323">
        <f>priceYear</f>
        <v>2015</v>
      </c>
      <c r="I36" s="555"/>
      <c r="J36" s="178"/>
    </row>
    <row r="37" spans="2:23" s="172" customFormat="1">
      <c r="B37" s="216"/>
      <c r="C37" s="210"/>
      <c r="D37" s="156"/>
      <c r="E37" s="90"/>
      <c r="F37" s="90"/>
      <c r="G37" s="90"/>
      <c r="H37" s="90"/>
      <c r="I37" s="555"/>
      <c r="J37" s="178"/>
    </row>
    <row r="38" spans="2:23">
      <c r="B38" s="1476" t="s">
        <v>157</v>
      </c>
      <c r="C38" s="1469" t="s">
        <v>61</v>
      </c>
      <c r="D38" s="1489">
        <v>62000000</v>
      </c>
      <c r="E38" s="1489">
        <v>62000000</v>
      </c>
      <c r="F38" s="1489">
        <v>62000000</v>
      </c>
      <c r="G38" s="1489">
        <v>62000000</v>
      </c>
      <c r="H38" s="407">
        <v>2011</v>
      </c>
      <c r="I38" s="1474" t="str">
        <f>Referencer!$B$60</f>
        <v>54, Niras (2011). Strategisk analyse af electrificering af banenettet - Opgave A, strategianalysen. Banedanmark.</v>
      </c>
      <c r="J38" s="1472" t="s">
        <v>2495</v>
      </c>
      <c r="L38" s="1468" t="s">
        <v>1798</v>
      </c>
      <c r="M38" s="1471"/>
      <c r="N38" s="1471"/>
      <c r="O38" s="1471"/>
      <c r="P38" s="1471"/>
      <c r="Q38" s="1471"/>
      <c r="R38" s="1471"/>
      <c r="S38" s="1471"/>
      <c r="T38" s="1471"/>
      <c r="U38" s="1471"/>
      <c r="V38" s="1471"/>
      <c r="W38" s="1488"/>
    </row>
    <row r="39" spans="2:23">
      <c r="B39" s="1487" t="s">
        <v>262</v>
      </c>
      <c r="C39" s="1469" t="s">
        <v>263</v>
      </c>
      <c r="D39" s="1490">
        <f ca="1">SUM(D40:D43)</f>
        <v>3386.3475420029636</v>
      </c>
      <c r="E39" s="1490">
        <f>E$71</f>
        <v>2286.9586809702023</v>
      </c>
      <c r="F39" s="1490">
        <f>F$71</f>
        <v>2541.0652010780018</v>
      </c>
      <c r="G39" s="1490">
        <f>G$71</f>
        <v>2541.0652010780018</v>
      </c>
      <c r="H39" s="407">
        <v>2011</v>
      </c>
      <c r="I39" s="1474"/>
      <c r="J39" s="1472"/>
      <c r="L39" s="1487" t="s">
        <v>1799</v>
      </c>
      <c r="M39" s="1471"/>
      <c r="N39" s="1471"/>
      <c r="O39" s="1471" t="s">
        <v>1800</v>
      </c>
      <c r="P39" s="1491"/>
      <c r="Q39" s="1471"/>
      <c r="R39" s="1471"/>
      <c r="S39" s="1471"/>
      <c r="T39" s="1471"/>
      <c r="U39" s="1471"/>
      <c r="V39" s="1471"/>
      <c r="W39" s="1488"/>
    </row>
    <row r="40" spans="2:23">
      <c r="B40" s="1492" t="s">
        <v>162</v>
      </c>
      <c r="C40" s="1469" t="s">
        <v>263</v>
      </c>
      <c r="D40" s="1493">
        <f ca="1">PMT(rSØK,D27,-D38)/D28</f>
        <v>1065.0844808182089</v>
      </c>
      <c r="E40" s="1493">
        <f ca="1">PMT(rSØK,E27,-E38)/E28</f>
        <v>1049.3443160770535</v>
      </c>
      <c r="F40" s="1493">
        <f ca="1">PMT(rSØK,F27,-F38)/F28</f>
        <v>1165.9381289745036</v>
      </c>
      <c r="G40" s="1493">
        <f ca="1">PMT(rSØK,G27,-G38)/G28</f>
        <v>1165.9381289745036</v>
      </c>
      <c r="H40" s="407">
        <v>2011</v>
      </c>
      <c r="I40" s="1474" t="str">
        <f>Referencer!$B$68</f>
        <v>62, Baseret på viden og praktisk erfaring fra tekniske eksperter fra jernbanesektoren i Danmark og internationale faglige netværk</v>
      </c>
      <c r="J40" s="1472" t="s">
        <v>1801</v>
      </c>
      <c r="L40" s="1487" t="s">
        <v>1802</v>
      </c>
      <c r="M40" s="1471"/>
      <c r="N40" s="1471"/>
      <c r="O40" s="1471" t="s">
        <v>1803</v>
      </c>
      <c r="P40" s="1471"/>
      <c r="Q40" s="1471"/>
      <c r="R40" s="1471"/>
      <c r="S40" s="1471"/>
      <c r="T40" s="1471"/>
      <c r="U40" s="1471"/>
      <c r="V40" s="1471"/>
      <c r="W40" s="1488"/>
    </row>
    <row r="41" spans="2:23">
      <c r="B41" s="1492" t="s">
        <v>163</v>
      </c>
      <c r="C41" s="1469" t="s">
        <v>263</v>
      </c>
      <c r="D41" s="1494">
        <f>D71</f>
        <v>2321.2630611847544</v>
      </c>
      <c r="E41" s="1494">
        <f>E71</f>
        <v>2286.9586809702023</v>
      </c>
      <c r="F41" s="1494">
        <f>F71</f>
        <v>2541.0652010780018</v>
      </c>
      <c r="G41" s="1494">
        <f>G71</f>
        <v>2541.0652010780018</v>
      </c>
      <c r="H41" s="407">
        <v>2011</v>
      </c>
      <c r="I41" s="1474" t="str">
        <f>Referencer!$B$68</f>
        <v>62, Baseret på viden og praktisk erfaring fra tekniske eksperter fra jernbanesektoren i Danmark og internationale faglige netværk</v>
      </c>
      <c r="J41" s="1472" t="s">
        <v>1801</v>
      </c>
      <c r="L41" s="1487" t="s">
        <v>1804</v>
      </c>
      <c r="M41" s="1471"/>
      <c r="N41" s="1471"/>
      <c r="O41" s="1471" t="s">
        <v>1805</v>
      </c>
      <c r="P41" s="1471"/>
      <c r="Q41" s="1491"/>
      <c r="R41" s="1471"/>
      <c r="S41" s="1471"/>
      <c r="T41" s="1471"/>
      <c r="U41" s="1471"/>
      <c r="V41" s="1471"/>
      <c r="W41" s="1488"/>
    </row>
    <row r="42" spans="2:23">
      <c r="B42" s="1492"/>
      <c r="C42" s="1469"/>
      <c r="D42" s="1486"/>
      <c r="E42" s="1486"/>
      <c r="F42" s="1486"/>
      <c r="G42" s="1486"/>
      <c r="H42" s="407"/>
      <c r="I42" s="1474"/>
      <c r="J42" s="1472"/>
      <c r="L42" s="1487" t="s">
        <v>1806</v>
      </c>
      <c r="M42" s="1471"/>
      <c r="N42" s="1471"/>
      <c r="O42" s="1471" t="s">
        <v>1807</v>
      </c>
      <c r="P42" s="1471"/>
      <c r="Q42" s="1471"/>
      <c r="R42" s="1471"/>
      <c r="S42" s="1471"/>
      <c r="T42" s="1471"/>
      <c r="U42" s="1471"/>
      <c r="V42" s="1471"/>
      <c r="W42" s="1488"/>
    </row>
    <row r="43" spans="2:23">
      <c r="B43" s="1492" t="s">
        <v>264</v>
      </c>
      <c r="C43" s="1469" t="s">
        <v>263</v>
      </c>
      <c r="D43" s="1495">
        <v>0</v>
      </c>
      <c r="E43" s="1495">
        <v>0</v>
      </c>
      <c r="F43" s="1495">
        <v>0</v>
      </c>
      <c r="G43" s="1495">
        <v>0</v>
      </c>
      <c r="H43" s="407">
        <v>2011</v>
      </c>
      <c r="I43" s="1474" t="str">
        <f>Referencer!$B$68</f>
        <v>62, Baseret på viden og praktisk erfaring fra tekniske eksperter fra jernbanesektoren i Danmark og internationale faglige netværk</v>
      </c>
      <c r="J43" s="1472" t="s">
        <v>1801</v>
      </c>
      <c r="L43" s="1487" t="s">
        <v>1808</v>
      </c>
      <c r="M43" s="1471"/>
      <c r="N43" s="1471"/>
      <c r="O43" s="1471" t="s">
        <v>1809</v>
      </c>
      <c r="P43" s="1471"/>
      <c r="Q43" s="1471"/>
      <c r="R43" s="1471"/>
      <c r="S43" s="1471"/>
      <c r="T43" s="1471"/>
      <c r="U43" s="1471"/>
      <c r="V43" s="1471"/>
      <c r="W43" s="1488"/>
    </row>
    <row r="44" spans="2:23">
      <c r="B44" s="1492"/>
      <c r="C44" s="1469"/>
      <c r="D44" s="1486"/>
      <c r="E44" s="1496"/>
      <c r="F44" s="1496"/>
      <c r="G44" s="1496"/>
      <c r="H44" s="90"/>
      <c r="I44" s="1474"/>
      <c r="J44" s="1472"/>
      <c r="L44" s="1487" t="s">
        <v>1810</v>
      </c>
      <c r="M44" s="1471"/>
      <c r="N44" s="1471"/>
      <c r="O44" s="1471" t="s">
        <v>1811</v>
      </c>
      <c r="P44" s="1471"/>
      <c r="Q44" s="1471"/>
      <c r="R44" s="1471"/>
      <c r="S44" s="1471"/>
      <c r="T44" s="1471"/>
      <c r="U44" s="1471"/>
      <c r="V44" s="1471"/>
      <c r="W44" s="1488"/>
    </row>
    <row r="45" spans="2:23">
      <c r="B45" s="1468" t="s">
        <v>166</v>
      </c>
      <c r="C45" s="1469"/>
      <c r="D45" s="1486"/>
      <c r="E45" s="1496"/>
      <c r="F45" s="1496"/>
      <c r="G45" s="1496"/>
      <c r="H45" s="252"/>
      <c r="I45" s="1474"/>
      <c r="J45" s="1472"/>
      <c r="L45" s="1487" t="s">
        <v>1812</v>
      </c>
      <c r="M45" s="1471"/>
      <c r="N45" s="1471"/>
      <c r="O45" s="1471" t="s">
        <v>1813</v>
      </c>
      <c r="P45" s="1471"/>
      <c r="Q45" s="1471"/>
      <c r="R45" s="1471"/>
      <c r="S45" s="1471"/>
      <c r="T45" s="1471"/>
      <c r="U45" s="1471"/>
      <c r="V45" s="1471"/>
      <c r="W45" s="1488"/>
    </row>
    <row r="46" spans="2:23">
      <c r="B46" s="418" t="s">
        <v>0</v>
      </c>
      <c r="C46" s="1469"/>
      <c r="D46" s="1486"/>
      <c r="E46" s="1496"/>
      <c r="F46" s="1496"/>
      <c r="G46" s="1496"/>
      <c r="H46" s="214"/>
      <c r="I46" s="1474"/>
      <c r="J46" s="1472"/>
      <c r="L46" s="1487"/>
      <c r="M46" s="1471"/>
      <c r="N46" s="1471"/>
      <c r="O46" s="1471"/>
      <c r="P46" s="1471"/>
      <c r="Q46" s="1471"/>
      <c r="R46" s="1471"/>
      <c r="S46" s="1471"/>
      <c r="T46" s="1471"/>
      <c r="U46" s="1471"/>
      <c r="V46" s="1471"/>
      <c r="W46" s="1488"/>
    </row>
    <row r="47" spans="2:23">
      <c r="B47" s="1484" t="s">
        <v>24</v>
      </c>
      <c r="C47" s="1469" t="s">
        <v>265</v>
      </c>
      <c r="D47" s="1589"/>
      <c r="E47" s="1589"/>
      <c r="F47" s="1589"/>
      <c r="G47" s="1589"/>
      <c r="H47" s="214"/>
      <c r="I47" s="1474"/>
      <c r="J47" s="278" t="s">
        <v>850</v>
      </c>
      <c r="L47" s="1487"/>
      <c r="M47" s="1471"/>
      <c r="N47" s="1471"/>
      <c r="O47" s="1471"/>
      <c r="P47" s="1471"/>
      <c r="Q47" s="1471"/>
      <c r="R47" s="1471"/>
      <c r="S47" s="1471"/>
      <c r="T47" s="1471"/>
      <c r="U47" s="1471"/>
      <c r="V47" s="1471"/>
      <c r="W47" s="1488"/>
    </row>
    <row r="48" spans="2:23">
      <c r="B48" s="1484" t="s">
        <v>27</v>
      </c>
      <c r="C48" s="1469" t="s">
        <v>265</v>
      </c>
      <c r="D48" s="1497"/>
      <c r="E48" s="1497"/>
      <c r="F48" s="1497"/>
      <c r="G48" s="1497"/>
      <c r="H48" s="1660"/>
      <c r="I48" s="1474"/>
      <c r="J48" s="178"/>
      <c r="L48" s="1487" t="s">
        <v>1814</v>
      </c>
      <c r="M48" s="1471"/>
      <c r="N48" s="1471"/>
      <c r="O48" s="1471" t="s">
        <v>1815</v>
      </c>
      <c r="P48" s="1471"/>
      <c r="Q48" s="1471"/>
      <c r="R48" s="1471"/>
      <c r="S48" s="1471"/>
      <c r="T48" s="1471"/>
      <c r="U48" s="1471"/>
      <c r="V48" s="1471"/>
      <c r="W48" s="1488"/>
    </row>
    <row r="49" spans="2:23">
      <c r="B49" s="1484" t="s">
        <v>28</v>
      </c>
      <c r="C49" s="1469" t="s">
        <v>265</v>
      </c>
      <c r="D49" s="1497"/>
      <c r="E49" s="1497"/>
      <c r="F49" s="1497"/>
      <c r="G49" s="1497"/>
      <c r="H49" s="90"/>
      <c r="I49" s="1474"/>
      <c r="J49" s="178"/>
      <c r="L49" s="1487" t="s">
        <v>1816</v>
      </c>
      <c r="M49" s="1471"/>
      <c r="N49" s="1471"/>
      <c r="O49" s="1471" t="s">
        <v>1817</v>
      </c>
      <c r="P49" s="1471"/>
      <c r="Q49" s="1471"/>
      <c r="R49" s="1471"/>
      <c r="S49" s="1471"/>
      <c r="T49" s="1471"/>
      <c r="U49" s="1471"/>
      <c r="V49" s="1471"/>
      <c r="W49" s="1488"/>
    </row>
    <row r="50" spans="2:23">
      <c r="B50" s="1484" t="s">
        <v>26</v>
      </c>
      <c r="C50" s="1469" t="s">
        <v>265</v>
      </c>
      <c r="D50" s="1497"/>
      <c r="E50" s="1497"/>
      <c r="F50" s="1497"/>
      <c r="G50" s="1497"/>
      <c r="H50" s="212"/>
      <c r="I50" s="1474"/>
      <c r="J50" s="178"/>
      <c r="L50" s="1487" t="s">
        <v>1818</v>
      </c>
      <c r="M50" s="1471"/>
      <c r="N50" s="1471"/>
      <c r="O50" s="1471" t="s">
        <v>1819</v>
      </c>
      <c r="P50" s="1471"/>
      <c r="Q50" s="1471"/>
      <c r="R50" s="1471"/>
      <c r="S50" s="1471"/>
      <c r="T50" s="1471"/>
      <c r="U50" s="1471"/>
      <c r="V50" s="1471"/>
      <c r="W50" s="1488"/>
    </row>
    <row r="51" spans="2:23">
      <c r="B51" s="1484" t="s">
        <v>167</v>
      </c>
      <c r="C51" s="1469" t="s">
        <v>265</v>
      </c>
      <c r="D51" s="1497">
        <f t="shared" ref="D51:G52" si="0">D83/3.6</f>
        <v>1.3888888888888888</v>
      </c>
      <c r="E51" s="1674">
        <f t="shared" si="0"/>
        <v>1.3888888888888888</v>
      </c>
      <c r="F51" s="1674">
        <f t="shared" si="0"/>
        <v>1.3888888888888888</v>
      </c>
      <c r="G51" s="1674">
        <f t="shared" si="0"/>
        <v>1.3888888888888888</v>
      </c>
      <c r="H51" s="90"/>
      <c r="I51" s="1474"/>
      <c r="J51" s="178"/>
      <c r="L51" s="1487" t="s">
        <v>1820</v>
      </c>
      <c r="M51" s="1471"/>
      <c r="N51" s="1471"/>
      <c r="O51" s="1471" t="s">
        <v>1821</v>
      </c>
      <c r="P51" s="1471"/>
      <c r="Q51" s="1471"/>
      <c r="R51" s="1471"/>
      <c r="S51" s="1471"/>
      <c r="T51" s="1471"/>
      <c r="U51" s="1471"/>
      <c r="V51" s="1471"/>
      <c r="W51" s="1488"/>
    </row>
    <row r="52" spans="2:23">
      <c r="B52" s="1484" t="s">
        <v>45</v>
      </c>
      <c r="C52" s="1469" t="s">
        <v>265</v>
      </c>
      <c r="D52" s="1674">
        <f t="shared" si="0"/>
        <v>2.777777777777778E-2</v>
      </c>
      <c r="E52" s="1674">
        <f t="shared" si="0"/>
        <v>1.3888888888888892E-3</v>
      </c>
      <c r="F52" s="1674">
        <f t="shared" si="0"/>
        <v>1.3888888888888892E-3</v>
      </c>
      <c r="G52" s="1674">
        <f t="shared" si="0"/>
        <v>1.3888888888888892E-3</v>
      </c>
      <c r="H52" s="90"/>
      <c r="I52" s="1474"/>
      <c r="J52" s="178"/>
      <c r="L52" s="1487" t="s">
        <v>1822</v>
      </c>
      <c r="M52" s="1471"/>
      <c r="N52" s="1471"/>
      <c r="O52" s="1471" t="s">
        <v>1823</v>
      </c>
      <c r="P52" s="1471"/>
      <c r="Q52" s="1471"/>
      <c r="R52" s="1471"/>
      <c r="S52" s="1471"/>
      <c r="T52" s="1471"/>
      <c r="U52" s="1471"/>
      <c r="V52" s="1471"/>
      <c r="W52" s="1488"/>
    </row>
    <row r="53" spans="2:23">
      <c r="B53" s="1484"/>
      <c r="C53" s="1469"/>
      <c r="D53" s="1497"/>
      <c r="E53" s="1497"/>
      <c r="F53" s="1497"/>
      <c r="G53" s="1497"/>
      <c r="H53" s="90"/>
      <c r="I53" s="1474"/>
      <c r="J53" s="178"/>
      <c r="L53" s="1487" t="s">
        <v>1824</v>
      </c>
      <c r="M53" s="1471"/>
      <c r="N53" s="1471"/>
      <c r="O53" s="1471" t="s">
        <v>1825</v>
      </c>
      <c r="P53" s="1491"/>
      <c r="Q53" s="1471"/>
      <c r="R53" s="1471"/>
      <c r="S53" s="1471"/>
      <c r="T53" s="1471"/>
      <c r="U53" s="1471"/>
      <c r="V53" s="1471"/>
      <c r="W53" s="1488"/>
    </row>
    <row r="54" spans="2:23">
      <c r="B54" s="418" t="s">
        <v>20</v>
      </c>
      <c r="C54" s="1469"/>
      <c r="D54" s="1497"/>
      <c r="E54" s="1497"/>
      <c r="F54" s="1497"/>
      <c r="G54" s="1497"/>
      <c r="H54" s="1660"/>
      <c r="I54" s="1474"/>
      <c r="J54" s="178"/>
      <c r="L54" s="1487"/>
      <c r="M54" s="1471"/>
      <c r="N54" s="1471"/>
      <c r="O54" s="1471"/>
      <c r="P54" s="1491"/>
      <c r="Q54" s="1471"/>
      <c r="R54" s="1471"/>
      <c r="S54" s="1471"/>
      <c r="T54" s="1471"/>
      <c r="U54" s="1471"/>
      <c r="V54" s="1471"/>
      <c r="W54" s="1488"/>
    </row>
    <row r="55" spans="2:23">
      <c r="B55" s="1484" t="s">
        <v>24</v>
      </c>
      <c r="C55" s="1469" t="s">
        <v>265</v>
      </c>
      <c r="D55" s="1589"/>
      <c r="E55" s="1589"/>
      <c r="F55" s="1589"/>
      <c r="G55" s="1589"/>
      <c r="H55" s="1169"/>
      <c r="I55" s="1474"/>
      <c r="J55" s="278" t="s">
        <v>850</v>
      </c>
      <c r="L55" s="1487"/>
      <c r="M55" s="1471"/>
      <c r="N55" s="1471"/>
      <c r="O55" s="1471"/>
      <c r="P55" s="1491"/>
      <c r="Q55" s="1471"/>
      <c r="R55" s="1471"/>
      <c r="S55" s="1471"/>
      <c r="T55" s="1471"/>
      <c r="U55" s="1471"/>
      <c r="V55" s="1471"/>
      <c r="W55" s="1488"/>
    </row>
    <row r="56" spans="2:23">
      <c r="B56" s="1484" t="s">
        <v>27</v>
      </c>
      <c r="C56" s="1469" t="s">
        <v>265</v>
      </c>
      <c r="D56" s="1168">
        <f t="shared" ref="D56:G60" si="1">D48</f>
        <v>0</v>
      </c>
      <c r="E56" s="1168">
        <f t="shared" si="1"/>
        <v>0</v>
      </c>
      <c r="F56" s="1168">
        <f t="shared" si="1"/>
        <v>0</v>
      </c>
      <c r="G56" s="1168">
        <f t="shared" si="1"/>
        <v>0</v>
      </c>
      <c r="H56" s="1169"/>
      <c r="I56" s="1474"/>
      <c r="J56" s="1472"/>
      <c r="L56" s="1487"/>
      <c r="M56" s="1471"/>
      <c r="N56" s="1471"/>
      <c r="O56" s="1471"/>
      <c r="P56" s="1491"/>
      <c r="Q56" s="1471"/>
      <c r="R56" s="1471"/>
      <c r="S56" s="1471"/>
      <c r="T56" s="1471"/>
      <c r="U56" s="1471"/>
      <c r="V56" s="1471"/>
      <c r="W56" s="1488"/>
    </row>
    <row r="57" spans="2:23">
      <c r="B57" s="1484" t="s">
        <v>28</v>
      </c>
      <c r="C57" s="1469" t="s">
        <v>265</v>
      </c>
      <c r="D57" s="1168">
        <f t="shared" si="1"/>
        <v>0</v>
      </c>
      <c r="E57" s="1168">
        <f t="shared" si="1"/>
        <v>0</v>
      </c>
      <c r="F57" s="1168">
        <f t="shared" si="1"/>
        <v>0</v>
      </c>
      <c r="G57" s="1168">
        <f t="shared" si="1"/>
        <v>0</v>
      </c>
      <c r="H57" s="1169"/>
      <c r="I57" s="1474"/>
      <c r="J57" s="1472"/>
      <c r="L57" s="1487"/>
      <c r="M57" s="1471"/>
      <c r="N57" s="1471"/>
      <c r="O57" s="1471"/>
      <c r="P57" s="1491"/>
      <c r="Q57" s="1471"/>
      <c r="R57" s="1471"/>
      <c r="S57" s="1471"/>
      <c r="T57" s="1471"/>
      <c r="U57" s="1471"/>
      <c r="V57" s="1471"/>
      <c r="W57" s="1488"/>
    </row>
    <row r="58" spans="2:23">
      <c r="B58" s="1484" t="s">
        <v>26</v>
      </c>
      <c r="C58" s="1469" t="s">
        <v>265</v>
      </c>
      <c r="D58" s="1168">
        <f t="shared" si="1"/>
        <v>0</v>
      </c>
      <c r="E58" s="1168">
        <f t="shared" si="1"/>
        <v>0</v>
      </c>
      <c r="F58" s="1168">
        <f t="shared" si="1"/>
        <v>0</v>
      </c>
      <c r="G58" s="1168">
        <f t="shared" si="1"/>
        <v>0</v>
      </c>
      <c r="H58" s="1169"/>
      <c r="I58" s="1474"/>
      <c r="J58" s="1472"/>
      <c r="L58" s="1487"/>
      <c r="M58" s="1471"/>
      <c r="N58" s="1471"/>
      <c r="O58" s="1471"/>
      <c r="P58" s="1491"/>
      <c r="Q58" s="1471"/>
      <c r="R58" s="1471"/>
      <c r="S58" s="1471"/>
      <c r="T58" s="1471"/>
      <c r="U58" s="1471"/>
      <c r="V58" s="1471"/>
      <c r="W58" s="1488"/>
    </row>
    <row r="59" spans="2:23">
      <c r="B59" s="1484" t="s">
        <v>167</v>
      </c>
      <c r="C59" s="1469" t="s">
        <v>265</v>
      </c>
      <c r="D59" s="1168">
        <f t="shared" si="1"/>
        <v>1.3888888888888888</v>
      </c>
      <c r="E59" s="1168">
        <f t="shared" si="1"/>
        <v>1.3888888888888888</v>
      </c>
      <c r="F59" s="1168">
        <f t="shared" si="1"/>
        <v>1.3888888888888888</v>
      </c>
      <c r="G59" s="1168">
        <f t="shared" si="1"/>
        <v>1.3888888888888888</v>
      </c>
      <c r="H59" s="1169"/>
      <c r="I59" s="1474"/>
      <c r="J59" s="1472"/>
      <c r="L59" s="1487"/>
      <c r="M59" s="1471"/>
      <c r="N59" s="1471"/>
      <c r="O59" s="1471"/>
      <c r="P59" s="1491"/>
      <c r="Q59" s="1471"/>
      <c r="R59" s="1471"/>
      <c r="S59" s="1471"/>
      <c r="T59" s="1471"/>
      <c r="U59" s="1471"/>
      <c r="V59" s="1471"/>
      <c r="W59" s="1488"/>
    </row>
    <row r="60" spans="2:23">
      <c r="B60" s="1484" t="s">
        <v>45</v>
      </c>
      <c r="C60" s="1469" t="s">
        <v>265</v>
      </c>
      <c r="D60" s="1168">
        <f t="shared" si="1"/>
        <v>2.777777777777778E-2</v>
      </c>
      <c r="E60" s="1168">
        <f t="shared" si="1"/>
        <v>1.3888888888888892E-3</v>
      </c>
      <c r="F60" s="1168">
        <f t="shared" si="1"/>
        <v>1.3888888888888892E-3</v>
      </c>
      <c r="G60" s="1168">
        <f t="shared" si="1"/>
        <v>1.3888888888888892E-3</v>
      </c>
      <c r="H60" s="323"/>
      <c r="I60" s="1474"/>
      <c r="J60" s="1472"/>
      <c r="L60" s="1487"/>
      <c r="M60" s="1471"/>
      <c r="N60" s="1471"/>
      <c r="O60" s="1471"/>
      <c r="P60" s="1491"/>
      <c r="Q60" s="1471"/>
      <c r="R60" s="1471"/>
      <c r="S60" s="1471"/>
      <c r="T60" s="1471"/>
      <c r="U60" s="1471"/>
      <c r="V60" s="1471"/>
      <c r="W60" s="1488"/>
    </row>
    <row r="61" spans="2:23" ht="13.5" thickBot="1">
      <c r="B61" s="1498"/>
      <c r="C61" s="1499"/>
      <c r="D61" s="1500"/>
      <c r="E61" s="1501"/>
      <c r="F61" s="1501"/>
      <c r="G61" s="1501"/>
      <c r="H61" s="1501"/>
      <c r="I61" s="1502"/>
      <c r="J61" s="1503"/>
      <c r="L61" s="1487" t="s">
        <v>1826</v>
      </c>
      <c r="M61" s="1471"/>
      <c r="N61" s="1471"/>
      <c r="O61" s="1471" t="s">
        <v>1827</v>
      </c>
      <c r="P61" s="1471"/>
      <c r="Q61" s="1471"/>
      <c r="R61" s="1471"/>
      <c r="S61" s="1471"/>
      <c r="T61" s="1471"/>
      <c r="U61" s="1471"/>
      <c r="V61" s="1471"/>
      <c r="W61" s="1488"/>
    </row>
    <row r="62" spans="2:23">
      <c r="H62" s="1447"/>
      <c r="L62" s="1487" t="s">
        <v>1828</v>
      </c>
      <c r="M62" s="1471"/>
      <c r="N62" s="1471"/>
      <c r="O62" s="1471" t="s">
        <v>1829</v>
      </c>
      <c r="P62" s="1471"/>
      <c r="Q62" s="1471"/>
      <c r="R62" s="1471"/>
      <c r="S62" s="1471"/>
      <c r="T62" s="1471"/>
      <c r="U62" s="1471"/>
      <c r="V62" s="1471"/>
      <c r="W62" s="1488"/>
    </row>
    <row r="63" spans="2:23">
      <c r="H63" s="1447"/>
      <c r="L63" s="1487"/>
      <c r="M63" s="1471"/>
      <c r="N63" s="1471"/>
      <c r="O63" s="1471"/>
      <c r="P63" s="1471"/>
      <c r="Q63" s="1471"/>
      <c r="R63" s="1471"/>
      <c r="S63" s="1471"/>
      <c r="T63" s="1471"/>
      <c r="U63" s="1471"/>
      <c r="V63" s="1471"/>
      <c r="W63" s="1488"/>
    </row>
    <row r="64" spans="2:23" ht="16.5" thickBot="1">
      <c r="B64" s="1504" t="s">
        <v>168</v>
      </c>
      <c r="H64" s="1447"/>
      <c r="L64" s="1468" t="s">
        <v>1830</v>
      </c>
      <c r="M64" s="1471"/>
      <c r="N64" s="1471"/>
      <c r="O64" s="1471"/>
      <c r="P64" s="1471"/>
      <c r="Q64" s="1471"/>
      <c r="R64" s="1471"/>
      <c r="S64" s="1471"/>
      <c r="T64" s="1471"/>
      <c r="U64" s="1471"/>
      <c r="V64" s="1471"/>
      <c r="W64" s="1488"/>
    </row>
    <row r="65" spans="2:23">
      <c r="B65" s="1455"/>
      <c r="C65" s="1456"/>
      <c r="D65" s="1449"/>
      <c r="E65" s="1449"/>
      <c r="F65" s="1449"/>
      <c r="G65" s="1449"/>
      <c r="H65" s="1449"/>
      <c r="I65" s="1449"/>
      <c r="J65" s="1450"/>
      <c r="L65" s="1487" t="s">
        <v>1831</v>
      </c>
      <c r="M65" s="1471"/>
      <c r="N65" s="1471">
        <v>673</v>
      </c>
      <c r="O65" s="1471" t="s">
        <v>1832</v>
      </c>
      <c r="P65" s="1471"/>
      <c r="Q65" s="1471"/>
      <c r="R65" s="1471"/>
      <c r="S65" s="1471"/>
      <c r="T65" s="1471"/>
      <c r="U65" s="1471"/>
      <c r="V65" s="1471"/>
      <c r="W65" s="1488"/>
    </row>
    <row r="66" spans="2:23">
      <c r="B66" s="1460"/>
      <c r="C66" s="1461" t="s">
        <v>70</v>
      </c>
      <c r="D66" s="1506">
        <v>2013</v>
      </c>
      <c r="E66" s="1507">
        <v>2020</v>
      </c>
      <c r="F66" s="1507">
        <v>2035</v>
      </c>
      <c r="G66" s="1507">
        <v>2050</v>
      </c>
      <c r="H66" s="1507"/>
      <c r="I66" s="1464" t="s">
        <v>145</v>
      </c>
      <c r="J66" s="1465" t="s">
        <v>146</v>
      </c>
      <c r="L66" s="1487" t="s">
        <v>1833</v>
      </c>
      <c r="M66" s="1471"/>
      <c r="N66" s="1505">
        <v>1.1000000000000001</v>
      </c>
      <c r="O66" s="1471" t="s">
        <v>1834</v>
      </c>
      <c r="P66" s="1471"/>
      <c r="Q66" s="1471"/>
      <c r="R66" s="1471"/>
      <c r="S66" s="1471"/>
      <c r="T66" s="1471"/>
      <c r="U66" s="1471"/>
      <c r="V66" s="1471"/>
      <c r="W66" s="1488"/>
    </row>
    <row r="67" spans="2:23">
      <c r="B67" s="1487" t="s">
        <v>266</v>
      </c>
      <c r="C67" s="1509" t="s">
        <v>267</v>
      </c>
      <c r="D67" s="1510">
        <f>D$78*$D$23</f>
        <v>12.622438400000002</v>
      </c>
      <c r="E67" s="1510">
        <f>E$78*$D$23</f>
        <v>12.811774975999999</v>
      </c>
      <c r="F67" s="1510">
        <f>F$78*$D$23</f>
        <v>11.530597478400001</v>
      </c>
      <c r="G67" s="1510">
        <f>G$78*$D$23</f>
        <v>11.530597478400001</v>
      </c>
      <c r="H67" s="1510"/>
      <c r="I67" s="1471"/>
      <c r="J67" s="1472"/>
      <c r="L67" s="1487" t="s">
        <v>1835</v>
      </c>
      <c r="M67" s="1471"/>
      <c r="N67" s="1508">
        <v>1.0999999999999999E-2</v>
      </c>
      <c r="O67" s="1471" t="s">
        <v>1836</v>
      </c>
      <c r="P67" s="1471"/>
      <c r="Q67" s="1471"/>
      <c r="R67" s="1471"/>
      <c r="S67" s="1471"/>
      <c r="T67" s="1471"/>
      <c r="U67" s="1471"/>
      <c r="V67" s="1471"/>
      <c r="W67" s="1488"/>
    </row>
    <row r="68" spans="2:23">
      <c r="B68" s="1487"/>
      <c r="C68" s="1509"/>
      <c r="D68" s="1510"/>
      <c r="E68" s="1510"/>
      <c r="F68" s="1510"/>
      <c r="G68" s="1510"/>
      <c r="H68" s="1510"/>
      <c r="I68" s="1471"/>
      <c r="J68" s="1472"/>
      <c r="L68" s="1487"/>
      <c r="M68" s="1471"/>
      <c r="N68" s="1508"/>
      <c r="O68" s="1471"/>
      <c r="P68" s="1471"/>
      <c r="Q68" s="1471"/>
      <c r="R68" s="1471"/>
      <c r="S68" s="1471"/>
      <c r="T68" s="1471"/>
      <c r="U68" s="1471"/>
      <c r="V68" s="1471"/>
      <c r="W68" s="1488"/>
    </row>
    <row r="69" spans="2:23">
      <c r="B69" s="1487" t="s">
        <v>268</v>
      </c>
      <c r="C69" s="1509" t="s">
        <v>269</v>
      </c>
      <c r="D69" s="1511">
        <v>300000</v>
      </c>
      <c r="E69" s="1511">
        <v>300000</v>
      </c>
      <c r="F69" s="1511">
        <v>300000</v>
      </c>
      <c r="G69" s="1511">
        <v>300000</v>
      </c>
      <c r="H69" s="1511"/>
      <c r="I69" s="1474" t="str">
        <f>Referencer!$B$68</f>
        <v>62, Baseret på viden og praktisk erfaring fra tekniske eksperter fra jernbanesektoren i Danmark og internationale faglige netværk</v>
      </c>
      <c r="J69" s="1472" t="s">
        <v>1838</v>
      </c>
      <c r="L69" s="1468" t="s">
        <v>1837</v>
      </c>
      <c r="M69" s="1471"/>
      <c r="N69" s="1471"/>
      <c r="O69" s="1471"/>
      <c r="P69" s="1471"/>
      <c r="Q69" s="1471"/>
      <c r="R69" s="1471"/>
      <c r="S69" s="1471"/>
      <c r="T69" s="1471"/>
      <c r="U69" s="1471"/>
      <c r="V69" s="1471"/>
      <c r="W69" s="1488"/>
    </row>
    <row r="70" spans="2:23">
      <c r="B70" s="1487" t="s">
        <v>260</v>
      </c>
      <c r="C70" s="1509" t="s">
        <v>261</v>
      </c>
      <c r="D70" s="1512">
        <f>+D67*D69/1000</f>
        <v>3786.7315200000003</v>
      </c>
      <c r="E70" s="1512">
        <f>+E67*E69/1000</f>
        <v>3843.5324927999995</v>
      </c>
      <c r="F70" s="1512">
        <f>+F67*F69/1000</f>
        <v>3459.17924352</v>
      </c>
      <c r="G70" s="1512">
        <f>+G67*G69/1000</f>
        <v>3459.17924352</v>
      </c>
      <c r="H70" s="1512"/>
      <c r="I70" s="1471"/>
      <c r="J70" s="1472" t="s">
        <v>1840</v>
      </c>
      <c r="L70" s="1487" t="s">
        <v>1839</v>
      </c>
      <c r="M70" s="1471"/>
      <c r="N70" s="1505">
        <v>43.1</v>
      </c>
      <c r="O70" s="1471" t="s">
        <v>488</v>
      </c>
      <c r="P70" s="1471"/>
      <c r="Q70" s="1471"/>
      <c r="R70" s="1471"/>
      <c r="S70" s="1471"/>
      <c r="T70" s="1471"/>
      <c r="U70" s="1471"/>
      <c r="V70" s="1471"/>
      <c r="W70" s="1488"/>
    </row>
    <row r="71" spans="2:23">
      <c r="B71" s="1487" t="s">
        <v>271</v>
      </c>
      <c r="C71" s="1509" t="s">
        <v>263</v>
      </c>
      <c r="D71" s="1513">
        <f>D72*1000/D67</f>
        <v>2321.2630611847544</v>
      </c>
      <c r="E71" s="1513">
        <f>E72*1000/E67</f>
        <v>2286.9586809702023</v>
      </c>
      <c r="F71" s="1513">
        <f>F72*1000/F67</f>
        <v>2541.0652010780018</v>
      </c>
      <c r="G71" s="1513">
        <f>G72*1000/G67</f>
        <v>2541.0652010780018</v>
      </c>
      <c r="H71" s="1513"/>
      <c r="I71" s="1471"/>
      <c r="J71" s="1472"/>
      <c r="L71" s="1487" t="s">
        <v>1841</v>
      </c>
      <c r="M71" s="1471"/>
      <c r="N71" s="1508">
        <v>0.83199999999999996</v>
      </c>
      <c r="O71" s="1508" t="s">
        <v>1842</v>
      </c>
      <c r="P71" s="1471"/>
      <c r="Q71" s="1471"/>
      <c r="R71" s="1471"/>
      <c r="S71" s="1471"/>
      <c r="T71" s="1471"/>
      <c r="U71" s="1471"/>
      <c r="V71" s="1471"/>
      <c r="W71" s="1488"/>
    </row>
    <row r="72" spans="2:23">
      <c r="B72" s="1487" t="s">
        <v>271</v>
      </c>
      <c r="C72" s="1509" t="s">
        <v>55</v>
      </c>
      <c r="D72" s="1514">
        <v>29.3</v>
      </c>
      <c r="E72" s="1515">
        <v>29.3</v>
      </c>
      <c r="F72" s="1515">
        <v>29.3</v>
      </c>
      <c r="G72" s="1515">
        <v>29.3</v>
      </c>
      <c r="H72" s="1515"/>
      <c r="I72" s="1479" t="str">
        <f>Referencer!$B$67</f>
        <v>61, "European Benchmarking of the costs, performance and revenues of GB TOCs", Prepared for the Office of Rail Regulation, Hamburg, November 20th, 2012, Civity Management Consultants, http://www.rail-reg.gov.uk/upload/pdf/civity-toc-benchmarking-201112.pdf (modificeret dansk værdi ift EU gns.: 2,4£ x 1,36)</v>
      </c>
      <c r="J72" s="1472" t="s">
        <v>1844</v>
      </c>
      <c r="L72" s="1487" t="s">
        <v>1839</v>
      </c>
      <c r="M72" s="1471"/>
      <c r="N72" s="1508">
        <f>N70*N71</f>
        <v>35.859200000000001</v>
      </c>
      <c r="O72" s="1471" t="s">
        <v>1843</v>
      </c>
      <c r="P72" s="1471"/>
      <c r="Q72" s="1471"/>
      <c r="R72" s="1471"/>
      <c r="S72" s="1471"/>
      <c r="T72" s="1471"/>
      <c r="U72" s="1471"/>
      <c r="V72" s="1471"/>
      <c r="W72" s="1488"/>
    </row>
    <row r="73" spans="2:23" ht="25.5">
      <c r="B73" s="1517" t="s">
        <v>1847</v>
      </c>
      <c r="C73" s="1509" t="s">
        <v>29</v>
      </c>
      <c r="D73" s="1518" t="s">
        <v>1848</v>
      </c>
      <c r="E73" s="1519" t="s">
        <v>1848</v>
      </c>
      <c r="F73" s="1520">
        <v>0.1</v>
      </c>
      <c r="G73" s="1520">
        <v>0.1</v>
      </c>
      <c r="H73" s="1520"/>
      <c r="I73" s="1474" t="str">
        <f>Referencer!$B$68</f>
        <v>62, Baseret på viden og praktisk erfaring fra tekniske eksperter fra jernbanesektoren i Danmark og internationale faglige netværk</v>
      </c>
      <c r="J73" s="1472" t="s">
        <v>1849</v>
      </c>
      <c r="L73" s="1487" t="s">
        <v>1845</v>
      </c>
      <c r="M73" s="1471"/>
      <c r="N73" s="1516">
        <v>73.25</v>
      </c>
      <c r="O73" s="1471" t="s">
        <v>1846</v>
      </c>
      <c r="P73" s="1471"/>
      <c r="Q73" s="1471"/>
      <c r="R73" s="1471"/>
      <c r="S73" s="1471"/>
      <c r="T73" s="1471"/>
      <c r="U73" s="1471"/>
      <c r="V73" s="1471"/>
      <c r="W73" s="1488"/>
    </row>
    <row r="74" spans="2:23" ht="13.5" thickBot="1">
      <c r="B74" s="1521"/>
      <c r="C74" s="1522"/>
      <c r="D74" s="1523"/>
      <c r="E74" s="1523"/>
      <c r="F74" s="1523"/>
      <c r="G74" s="1523"/>
      <c r="H74" s="1523"/>
      <c r="I74" s="1501"/>
      <c r="J74" s="1503"/>
      <c r="L74" s="1487" t="s">
        <v>1839</v>
      </c>
      <c r="M74" s="1471"/>
      <c r="N74" s="1471">
        <f>N73*N72</f>
        <v>2626.6864</v>
      </c>
      <c r="O74" s="1471" t="s">
        <v>1850</v>
      </c>
      <c r="P74" s="1471"/>
      <c r="Q74" s="1471"/>
      <c r="R74" s="1471"/>
      <c r="S74" s="1471"/>
      <c r="T74" s="1471"/>
      <c r="U74" s="1471"/>
      <c r="V74" s="1471"/>
      <c r="W74" s="1488"/>
    </row>
    <row r="75" spans="2:23" ht="13.5" thickBot="1">
      <c r="D75" s="1447" t="s">
        <v>886</v>
      </c>
      <c r="E75" s="1447" t="s">
        <v>25</v>
      </c>
      <c r="H75" s="1447"/>
      <c r="L75" s="1524" t="s">
        <v>1845</v>
      </c>
      <c r="M75" s="1525"/>
      <c r="N75" s="1525">
        <f>N73*N70</f>
        <v>3157.0750000000003</v>
      </c>
      <c r="O75" s="1525" t="s">
        <v>1851</v>
      </c>
      <c r="P75" s="1501"/>
      <c r="Q75" s="1501"/>
      <c r="R75" s="1501"/>
      <c r="S75" s="1501"/>
      <c r="T75" s="1501"/>
      <c r="U75" s="1501"/>
      <c r="V75" s="1501"/>
      <c r="W75" s="1526" t="s">
        <v>1852</v>
      </c>
    </row>
    <row r="76" spans="2:23" ht="18.75" customHeight="1" thickBot="1">
      <c r="B76" s="1504" t="s">
        <v>172</v>
      </c>
      <c r="D76" s="1447">
        <f>D78*N73</f>
        <v>2889.3550400000004</v>
      </c>
      <c r="E76" s="1447">
        <f>D78*D59</f>
        <v>54.784888888888894</v>
      </c>
      <c r="H76" s="1447"/>
      <c r="L76" s="1527"/>
      <c r="M76" s="1527"/>
      <c r="N76" s="1527"/>
      <c r="O76" s="1527"/>
      <c r="P76" s="1528"/>
      <c r="Q76" s="1528"/>
      <c r="R76" s="1528"/>
    </row>
    <row r="77" spans="2:23" ht="16.5" thickBot="1">
      <c r="B77" s="1455"/>
      <c r="C77" s="1449"/>
      <c r="D77" s="1529"/>
      <c r="E77" s="1529"/>
      <c r="F77" s="1529"/>
      <c r="G77" s="1529"/>
      <c r="H77" s="1529"/>
      <c r="I77" s="1449"/>
      <c r="J77" s="1450"/>
      <c r="L77" s="1504" t="s">
        <v>1853</v>
      </c>
    </row>
    <row r="78" spans="2:23" ht="12.75" customHeight="1">
      <c r="B78" s="1484" t="s">
        <v>1854</v>
      </c>
      <c r="C78" s="1471" t="s">
        <v>267</v>
      </c>
      <c r="D78" s="1516">
        <f>$N$66*$N$72</f>
        <v>39.445120000000003</v>
      </c>
      <c r="E78" s="1516">
        <f>$D$78*1.015</f>
        <v>40.036796799999998</v>
      </c>
      <c r="F78" s="1516">
        <f>$E$78*(1-$F$73)</f>
        <v>36.03311712</v>
      </c>
      <c r="G78" s="1516">
        <f>$E$78*(1-$F$73)</f>
        <v>36.03311712</v>
      </c>
      <c r="H78" s="1516"/>
      <c r="I78" s="1474" t="str">
        <f>Referencer!$B$68</f>
        <v>62, Baseret på viden og praktisk erfaring fra tekniske eksperter fra jernbanesektoren i Danmark og internationale faglige netværk</v>
      </c>
      <c r="J78" s="1472" t="s">
        <v>1855</v>
      </c>
      <c r="L78" s="2549"/>
      <c r="M78" s="2550"/>
      <c r="N78" s="2550"/>
      <c r="O78" s="1458"/>
      <c r="P78" s="1458"/>
      <c r="Q78" s="1458"/>
      <c r="R78" s="1459"/>
    </row>
    <row r="79" spans="2:23">
      <c r="B79" s="1484" t="s">
        <v>1856</v>
      </c>
      <c r="C79" s="1471" t="s">
        <v>7</v>
      </c>
      <c r="D79" s="1531">
        <f>$N$66*$N$74</f>
        <v>2889.3550400000004</v>
      </c>
      <c r="E79" s="1532">
        <f>$D$79*1.015</f>
        <v>2932.6953656000001</v>
      </c>
      <c r="F79" s="1532">
        <f>$E$79*(1-$F$73)</f>
        <v>2639.4258290400003</v>
      </c>
      <c r="G79" s="1532">
        <f>$E$79*(1-$F$73)</f>
        <v>2639.4258290400003</v>
      </c>
      <c r="H79" s="1532"/>
      <c r="I79" s="1474" t="str">
        <f>Referencer!$B$68</f>
        <v>62, Baseret på viden og praktisk erfaring fra tekniske eksperter fra jernbanesektoren i Danmark og internationale faglige netværk</v>
      </c>
      <c r="J79" s="1472" t="s">
        <v>1855</v>
      </c>
      <c r="L79" s="1530"/>
      <c r="M79" s="1466"/>
      <c r="N79" s="1466"/>
      <c r="O79" s="1466"/>
      <c r="P79" s="1466"/>
      <c r="Q79" s="1466"/>
      <c r="R79" s="1467"/>
    </row>
    <row r="80" spans="2:23">
      <c r="B80" s="1484"/>
      <c r="C80" s="1471"/>
      <c r="D80" s="1533"/>
      <c r="E80" s="1533"/>
      <c r="F80" s="1533"/>
      <c r="G80" s="1533"/>
      <c r="H80" s="1533"/>
      <c r="I80" s="1479"/>
      <c r="J80" s="1472"/>
      <c r="L80" s="2540" t="s">
        <v>1857</v>
      </c>
      <c r="M80" s="2541"/>
      <c r="N80" s="1466"/>
      <c r="O80" s="1466"/>
      <c r="P80" s="1466"/>
      <c r="Q80" s="1466"/>
      <c r="R80" s="1467"/>
    </row>
    <row r="81" spans="2:18" ht="12.75" customHeight="1">
      <c r="B81" s="1484" t="s">
        <v>1859</v>
      </c>
      <c r="C81" s="1471" t="s">
        <v>637</v>
      </c>
      <c r="D81" s="1533">
        <v>2.1</v>
      </c>
      <c r="E81" s="2328">
        <f t="shared" ref="E81:F83" si="2">D81</f>
        <v>2.1</v>
      </c>
      <c r="F81" s="2328">
        <f t="shared" si="2"/>
        <v>2.1</v>
      </c>
      <c r="G81" s="2328">
        <f>F81</f>
        <v>2.1</v>
      </c>
      <c r="H81" s="1533"/>
      <c r="I81" s="1479" t="str">
        <f>Referencer!$B$69</f>
        <v>63, Det lovgivende dokument for ikke vejgående maskiner (Non-Road Mobile Machinery, NRMM) indeholder i dag syv direktiver: "moder"-direktivet 97/68/EC, direktivændringerne som fremgår af Direktiv 2002/88/EC, Direktiv 2004/26/EC, Direktiv 2006/105/EC, Direktiv 2015/26/EU, Direktiv 2011/88/EU , og den sidste ændring af Direktiv 2012/46/EU, http://ec.europa.eu/enterprise/sectors/mechanical/documents/legislation/emissions-non-road</v>
      </c>
      <c r="J81" s="1472"/>
      <c r="L81" s="2537" t="s">
        <v>1858</v>
      </c>
      <c r="M81" s="2538"/>
      <c r="N81" s="2538"/>
      <c r="O81" s="2538"/>
      <c r="P81" s="2538"/>
      <c r="Q81" s="2538"/>
      <c r="R81" s="2539"/>
    </row>
    <row r="82" spans="2:18">
      <c r="B82" s="1484" t="s">
        <v>1623</v>
      </c>
      <c r="C82" s="1471" t="s">
        <v>637</v>
      </c>
      <c r="D82" s="1533">
        <v>0.66</v>
      </c>
      <c r="E82" s="2328">
        <f t="shared" si="2"/>
        <v>0.66</v>
      </c>
      <c r="F82" s="2328">
        <f t="shared" si="2"/>
        <v>0.66</v>
      </c>
      <c r="G82" s="2328">
        <f>F82</f>
        <v>0.66</v>
      </c>
      <c r="H82" s="1533"/>
      <c r="I82" s="1479" t="str">
        <f>Referencer!$B$69</f>
        <v>63, Det lovgivende dokument for ikke vejgående maskiner (Non-Road Mobile Machinery, NRMM) indeholder i dag syv direktiver: "moder"-direktivet 97/68/EC, direktivændringerne som fremgår af Direktiv 2002/88/EC, Direktiv 2004/26/EC, Direktiv 2006/105/EC, Direktiv 2015/26/EU, Direktiv 2011/88/EU , og den sidste ændring af Direktiv 2012/46/EU, http://ec.europa.eu/enterprise/sectors/mechanical/documents/legislation/emissions-non-road</v>
      </c>
      <c r="J82" s="1472"/>
      <c r="L82" s="2537" t="s">
        <v>1860</v>
      </c>
      <c r="M82" s="2538"/>
      <c r="N82" s="2538"/>
      <c r="O82" s="2538"/>
      <c r="P82" s="2538"/>
      <c r="Q82" s="2538"/>
      <c r="R82" s="2539"/>
    </row>
    <row r="83" spans="2:18">
      <c r="B83" s="1484" t="s">
        <v>167</v>
      </c>
      <c r="C83" s="1471" t="s">
        <v>637</v>
      </c>
      <c r="D83" s="1533">
        <v>5</v>
      </c>
      <c r="E83" s="2328">
        <f t="shared" si="2"/>
        <v>5</v>
      </c>
      <c r="F83" s="2328">
        <f t="shared" si="2"/>
        <v>5</v>
      </c>
      <c r="G83" s="2328">
        <f>F83</f>
        <v>5</v>
      </c>
      <c r="H83" s="1533"/>
      <c r="I83" s="1479" t="str">
        <f>Referencer!$B$69</f>
        <v>63, Det lovgivende dokument for ikke vejgående maskiner (Non-Road Mobile Machinery, NRMM) indeholder i dag syv direktiver: "moder"-direktivet 97/68/EC, direktivændringerne som fremgår af Direktiv 2002/88/EC, Direktiv 2004/26/EC, Direktiv 2006/105/EC, Direktiv 2015/26/EU, Direktiv 2011/88/EU , og den sidste ændring af Direktiv 2012/46/EU, http://ec.europa.eu/enterprise/sectors/mechanical/documents/legislation/emissions-non-road</v>
      </c>
      <c r="J83" s="1472"/>
      <c r="L83" s="2537" t="s">
        <v>1861</v>
      </c>
      <c r="M83" s="2538"/>
      <c r="N83" s="2538"/>
      <c r="O83" s="2538"/>
      <c r="P83" s="2538"/>
      <c r="Q83" s="2538"/>
      <c r="R83" s="2539"/>
    </row>
    <row r="84" spans="2:18">
      <c r="B84" s="1484" t="s">
        <v>1863</v>
      </c>
      <c r="C84" s="1471" t="s">
        <v>637</v>
      </c>
      <c r="D84" s="1533">
        <v>0.1</v>
      </c>
      <c r="E84" s="2328">
        <f>D84*0.05</f>
        <v>5.000000000000001E-3</v>
      </c>
      <c r="F84" s="2328">
        <f>E84</f>
        <v>5.000000000000001E-3</v>
      </c>
      <c r="G84" s="2328">
        <f>F84</f>
        <v>5.000000000000001E-3</v>
      </c>
      <c r="H84" s="1533"/>
      <c r="I84" s="1479" t="str">
        <f>Referencer!$B$69</f>
        <v>63, Det lovgivende dokument for ikke vejgående maskiner (Non-Road Mobile Machinery, NRMM) indeholder i dag syv direktiver: "moder"-direktivet 97/68/EC, direktivændringerne som fremgår af Direktiv 2002/88/EC, Direktiv 2004/26/EC, Direktiv 2006/105/EC, Direktiv 2015/26/EU, Direktiv 2011/88/EU , og den sidste ændring af Direktiv 2012/46/EU, http://ec.europa.eu/enterprise/sectors/mechanical/documents/legislation/emissions-non-road</v>
      </c>
      <c r="J84" s="1472" t="s">
        <v>1864</v>
      </c>
      <c r="L84" s="2537" t="s">
        <v>1862</v>
      </c>
      <c r="M84" s="2538"/>
      <c r="N84" s="2538"/>
      <c r="O84" s="2538"/>
      <c r="P84" s="2538"/>
      <c r="Q84" s="2538"/>
      <c r="R84" s="2539"/>
    </row>
    <row r="85" spans="2:18" ht="13.5" thickBot="1">
      <c r="B85" s="1521"/>
      <c r="C85" s="1501"/>
      <c r="D85" s="1501"/>
      <c r="E85" s="1501"/>
      <c r="F85" s="1501"/>
      <c r="G85" s="1501"/>
      <c r="H85" s="1501"/>
      <c r="I85" s="1501"/>
      <c r="J85" s="1534"/>
      <c r="L85" s="1481"/>
      <c r="M85" s="1482"/>
      <c r="N85" s="1482"/>
      <c r="O85" s="1482"/>
      <c r="P85" s="1482"/>
      <c r="Q85" s="1482"/>
      <c r="R85" s="1483"/>
    </row>
    <row r="86" spans="2:18" ht="13.5" customHeight="1">
      <c r="F86" s="1535"/>
      <c r="G86" s="1535"/>
      <c r="H86" s="1535"/>
      <c r="L86" s="2540" t="s">
        <v>1865</v>
      </c>
      <c r="M86" s="2541"/>
      <c r="N86" s="1482"/>
      <c r="O86" s="1482"/>
      <c r="P86" s="1482"/>
      <c r="Q86" s="1482"/>
      <c r="R86" s="1483"/>
    </row>
    <row r="87" spans="2:18" ht="12.75" customHeight="1">
      <c r="B87" s="1528"/>
      <c r="C87" s="1528"/>
      <c r="D87" s="2435"/>
      <c r="E87" s="1528"/>
      <c r="F87" s="2434"/>
      <c r="G87" s="2434"/>
      <c r="H87" s="2434"/>
      <c r="I87" s="1528"/>
      <c r="J87" s="1528"/>
      <c r="L87" s="2537" t="s">
        <v>1866</v>
      </c>
      <c r="M87" s="2538"/>
      <c r="N87" s="2538"/>
      <c r="O87" s="2538"/>
      <c r="P87" s="2538"/>
      <c r="Q87" s="2538"/>
      <c r="R87" s="2539"/>
    </row>
    <row r="88" spans="2:18" ht="12.75" customHeight="1">
      <c r="B88" s="1528"/>
      <c r="C88" s="1528"/>
      <c r="D88" s="1528"/>
      <c r="E88" s="1528"/>
      <c r="F88" s="2434"/>
      <c r="G88" s="2434"/>
      <c r="H88" s="2434"/>
      <c r="I88" s="1528"/>
      <c r="J88" s="1528"/>
      <c r="L88" s="2537" t="s">
        <v>1867</v>
      </c>
      <c r="M88" s="2538"/>
      <c r="N88" s="2538"/>
      <c r="O88" s="2538"/>
      <c r="P88" s="2538"/>
      <c r="Q88" s="2538"/>
      <c r="R88" s="2539"/>
    </row>
    <row r="89" spans="2:18" ht="12.75" customHeight="1">
      <c r="B89" s="2431"/>
      <c r="C89" s="2431"/>
      <c r="D89" s="2431"/>
      <c r="E89" s="2431"/>
      <c r="F89" s="2431"/>
      <c r="G89" s="2431"/>
      <c r="H89" s="2431"/>
      <c r="I89" s="2431"/>
      <c r="J89" s="2431"/>
      <c r="L89" s="2537"/>
      <c r="M89" s="2538"/>
      <c r="N89" s="2538"/>
      <c r="O89" s="2538"/>
      <c r="P89" s="2538"/>
      <c r="Q89" s="2538"/>
      <c r="R89" s="2539"/>
    </row>
    <row r="90" spans="2:18" ht="12.75" customHeight="1">
      <c r="B90" s="2431"/>
      <c r="C90" s="2431"/>
      <c r="D90" s="2431"/>
      <c r="E90" s="2431"/>
      <c r="F90" s="2431"/>
      <c r="G90" s="2431"/>
      <c r="H90" s="2431"/>
      <c r="I90" s="2431"/>
      <c r="J90" s="2431"/>
      <c r="L90" s="2537" t="s">
        <v>1868</v>
      </c>
      <c r="M90" s="2538"/>
      <c r="N90" s="2538"/>
      <c r="O90" s="2538"/>
      <c r="P90" s="2538"/>
      <c r="Q90" s="2538"/>
      <c r="R90" s="2539"/>
    </row>
    <row r="91" spans="2:18" ht="12.75" customHeight="1">
      <c r="B91" s="2431"/>
      <c r="C91" s="2431"/>
      <c r="D91" s="2431"/>
      <c r="E91" s="2431"/>
      <c r="F91" s="2431"/>
      <c r="G91" s="2431"/>
      <c r="H91" s="2431"/>
      <c r="I91" s="2431"/>
      <c r="J91" s="2431"/>
      <c r="L91" s="2537"/>
      <c r="M91" s="2538"/>
      <c r="N91" s="2538"/>
      <c r="O91" s="2538"/>
      <c r="P91" s="2538"/>
      <c r="Q91" s="2538"/>
      <c r="R91" s="2539"/>
    </row>
    <row r="92" spans="2:18" ht="12.75" customHeight="1">
      <c r="B92" s="1528"/>
      <c r="C92" s="2431"/>
      <c r="D92" s="2431"/>
      <c r="E92" s="2431"/>
      <c r="F92" s="2431"/>
      <c r="G92" s="2431"/>
      <c r="H92" s="2436"/>
      <c r="I92" s="2431"/>
      <c r="J92" s="2431"/>
      <c r="L92" s="2537"/>
      <c r="M92" s="2538"/>
      <c r="N92" s="2538"/>
      <c r="O92" s="2538"/>
      <c r="P92" s="2538"/>
      <c r="Q92" s="2538"/>
      <c r="R92" s="2539"/>
    </row>
    <row r="93" spans="2:18" ht="12.75" customHeight="1">
      <c r="B93" s="2431"/>
      <c r="C93" s="2431"/>
      <c r="D93" s="2431"/>
      <c r="E93" s="2431"/>
      <c r="F93" s="2431"/>
      <c r="G93" s="2431"/>
      <c r="H93" s="2431"/>
      <c r="I93" s="2431"/>
      <c r="J93" s="2431"/>
      <c r="L93" s="2537" t="s">
        <v>1869</v>
      </c>
      <c r="M93" s="2538"/>
      <c r="N93" s="2538"/>
      <c r="O93" s="2538"/>
      <c r="P93" s="2538"/>
      <c r="Q93" s="2538"/>
      <c r="R93" s="2539"/>
    </row>
    <row r="94" spans="2:18" ht="12.75" customHeight="1">
      <c r="B94" s="1528"/>
      <c r="C94" s="2431"/>
      <c r="D94" s="2431"/>
      <c r="E94" s="2431"/>
      <c r="F94" s="2431"/>
      <c r="G94" s="2431"/>
      <c r="H94" s="2431"/>
      <c r="I94" s="2431"/>
      <c r="J94" s="2431"/>
      <c r="L94" s="2537"/>
      <c r="M94" s="2538"/>
      <c r="N94" s="2538"/>
      <c r="O94" s="2538"/>
      <c r="P94" s="2538"/>
      <c r="Q94" s="2538"/>
      <c r="R94" s="2539"/>
    </row>
    <row r="95" spans="2:18">
      <c r="B95" s="2431"/>
      <c r="C95" s="2431"/>
      <c r="D95" s="2431"/>
      <c r="E95" s="2431"/>
      <c r="F95" s="2431"/>
      <c r="G95" s="2431"/>
      <c r="H95" s="2431"/>
      <c r="I95" s="2431"/>
      <c r="J95" s="2431"/>
      <c r="L95" s="1481"/>
      <c r="M95" s="1482"/>
      <c r="N95" s="1482"/>
      <c r="O95" s="1482"/>
      <c r="P95" s="1482"/>
      <c r="Q95" s="1482"/>
      <c r="R95" s="1483"/>
    </row>
    <row r="96" spans="2:18">
      <c r="B96" s="2431"/>
      <c r="C96" s="2431"/>
      <c r="D96" s="2431"/>
      <c r="E96" s="2431"/>
      <c r="F96" s="2431"/>
      <c r="G96" s="2431"/>
      <c r="H96" s="2431"/>
      <c r="I96" s="2431"/>
      <c r="J96" s="2431"/>
      <c r="L96" s="2540" t="s">
        <v>2321</v>
      </c>
      <c r="M96" s="2541"/>
      <c r="N96" s="1482"/>
      <c r="O96" s="1482"/>
      <c r="P96" s="1482"/>
      <c r="Q96" s="1482"/>
      <c r="R96" s="1483"/>
    </row>
    <row r="97" spans="2:18" ht="12.75" customHeight="1">
      <c r="B97" s="2431"/>
      <c r="C97" s="2431"/>
      <c r="D97" s="2431"/>
      <c r="E97" s="2431"/>
      <c r="F97" s="2431"/>
      <c r="G97" s="2431"/>
      <c r="H97" s="2431"/>
      <c r="I97" s="2431"/>
      <c r="J97" s="2431"/>
      <c r="L97" s="2537" t="s">
        <v>2322</v>
      </c>
      <c r="M97" s="2538"/>
      <c r="N97" s="2538"/>
      <c r="O97" s="2538"/>
      <c r="P97" s="2538"/>
      <c r="Q97" s="2538"/>
      <c r="R97" s="2539"/>
    </row>
    <row r="98" spans="2:18">
      <c r="B98" s="2431"/>
      <c r="C98" s="2431"/>
      <c r="D98" s="2431"/>
      <c r="E98" s="2431"/>
      <c r="F98" s="2431"/>
      <c r="G98" s="2431"/>
      <c r="H98" s="2431"/>
      <c r="I98" s="2431"/>
      <c r="J98" s="2431"/>
      <c r="L98" s="2537" t="s">
        <v>1870</v>
      </c>
      <c r="M98" s="2538"/>
      <c r="N98" s="2538"/>
      <c r="O98" s="2538"/>
      <c r="P98" s="2538"/>
      <c r="Q98" s="2538"/>
      <c r="R98" s="2539"/>
    </row>
    <row r="99" spans="2:18">
      <c r="B99" s="1528"/>
      <c r="C99" s="1528"/>
      <c r="D99" s="1528"/>
      <c r="E99" s="1528"/>
      <c r="F99" s="1528"/>
      <c r="G99" s="1528"/>
      <c r="H99" s="2434"/>
      <c r="I99" s="1528"/>
      <c r="J99" s="1528"/>
      <c r="L99" s="2537" t="s">
        <v>1871</v>
      </c>
      <c r="M99" s="2538"/>
      <c r="N99" s="2538"/>
      <c r="O99" s="2538"/>
      <c r="P99" s="2538"/>
      <c r="Q99" s="2538"/>
      <c r="R99" s="2539"/>
    </row>
    <row r="100" spans="2:18">
      <c r="B100" s="1528"/>
      <c r="C100" s="1528"/>
      <c r="D100" s="2435"/>
      <c r="E100" s="1528"/>
      <c r="F100" s="1528"/>
      <c r="G100" s="1528"/>
      <c r="H100" s="2434"/>
      <c r="I100" s="1528"/>
      <c r="J100" s="1528"/>
      <c r="L100" s="2537"/>
      <c r="M100" s="2538"/>
      <c r="N100" s="2538"/>
      <c r="O100" s="2538"/>
      <c r="P100" s="2538"/>
      <c r="Q100" s="2538"/>
      <c r="R100" s="2539"/>
    </row>
    <row r="101" spans="2:18">
      <c r="B101" s="1528"/>
      <c r="C101" s="1528"/>
      <c r="D101" s="1528"/>
      <c r="E101" s="1528"/>
      <c r="F101" s="1528"/>
      <c r="G101" s="1528"/>
      <c r="H101" s="1528"/>
      <c r="I101" s="2437"/>
      <c r="J101" s="1528"/>
      <c r="L101" s="2537" t="s">
        <v>2323</v>
      </c>
      <c r="M101" s="2538"/>
      <c r="N101" s="2538"/>
      <c r="O101" s="2538"/>
      <c r="P101" s="2538"/>
      <c r="Q101" s="2538"/>
      <c r="R101" s="2539"/>
    </row>
    <row r="102" spans="2:18">
      <c r="I102" s="1542"/>
      <c r="L102" s="2537"/>
      <c r="M102" s="2538"/>
      <c r="N102" s="2538"/>
      <c r="O102" s="2538"/>
      <c r="P102" s="2538"/>
      <c r="Q102" s="2538"/>
      <c r="R102" s="2539"/>
    </row>
    <row r="103" spans="2:18" ht="12.75" customHeight="1">
      <c r="L103" s="2537"/>
      <c r="M103" s="2538"/>
      <c r="N103" s="2538"/>
      <c r="O103" s="2538"/>
      <c r="P103" s="2538"/>
      <c r="Q103" s="2538"/>
      <c r="R103" s="2539"/>
    </row>
    <row r="104" spans="2:18" ht="12.75" customHeight="1">
      <c r="L104" s="2537" t="s">
        <v>2324</v>
      </c>
      <c r="M104" s="2538"/>
      <c r="N104" s="2538"/>
      <c r="O104" s="2538"/>
      <c r="P104" s="2538"/>
      <c r="Q104" s="2538"/>
      <c r="R104" s="2539"/>
    </row>
    <row r="105" spans="2:18">
      <c r="L105" s="2537"/>
      <c r="M105" s="2538"/>
      <c r="N105" s="2538"/>
      <c r="O105" s="2538"/>
      <c r="P105" s="2538"/>
      <c r="Q105" s="2538"/>
      <c r="R105" s="2539"/>
    </row>
    <row r="106" spans="2:18" ht="12.75" customHeight="1">
      <c r="L106" s="2537" t="s">
        <v>1872</v>
      </c>
      <c r="M106" s="2538"/>
      <c r="N106" s="2538"/>
      <c r="O106" s="2538"/>
      <c r="P106" s="2538"/>
      <c r="Q106" s="2538"/>
      <c r="R106" s="2539"/>
    </row>
    <row r="107" spans="2:18" ht="13.5" thickBot="1">
      <c r="L107" s="2566"/>
      <c r="M107" s="2567"/>
      <c r="N107" s="2567"/>
      <c r="O107" s="2567"/>
      <c r="P107" s="2567"/>
      <c r="Q107" s="2567"/>
      <c r="R107" s="2568"/>
    </row>
    <row r="108" spans="2:18" ht="12.75" customHeight="1"/>
    <row r="111" spans="2:18" ht="12.75" customHeight="1"/>
    <row r="113" ht="12.75" customHeight="1"/>
  </sheetData>
  <mergeCells count="23">
    <mergeCell ref="L84:R84"/>
    <mergeCell ref="L78:N78"/>
    <mergeCell ref="L80:M80"/>
    <mergeCell ref="L81:R81"/>
    <mergeCell ref="L82:R82"/>
    <mergeCell ref="L83:R83"/>
    <mergeCell ref="B6:N10"/>
    <mergeCell ref="B12:N13"/>
    <mergeCell ref="B14:N17"/>
    <mergeCell ref="L21:N21"/>
    <mergeCell ref="L22:W27"/>
    <mergeCell ref="L87:R87"/>
    <mergeCell ref="L88:R89"/>
    <mergeCell ref="L90:R92"/>
    <mergeCell ref="L93:R94"/>
    <mergeCell ref="L86:M86"/>
    <mergeCell ref="L104:R105"/>
    <mergeCell ref="L106:R107"/>
    <mergeCell ref="L96:M96"/>
    <mergeCell ref="L97:R97"/>
    <mergeCell ref="L98:R98"/>
    <mergeCell ref="L99:R100"/>
    <mergeCell ref="L101:R103"/>
  </mergeCells>
  <pageMargins left="0.15748031496062992" right="0.15748031496062992" top="1.25" bottom="0.19685039370078741" header="0.51181102362204722" footer="0.51181102362204722"/>
  <pageSetup paperSize="9" scale="59" orientation="landscape" r:id="rId1"/>
  <headerFooter alignWithMargins="0">
    <oddHeader>&amp;L&amp;"Arial"&amp;14&amp;BBeregningsmodel
&amp;"Arial"&amp;08&amp;B64329, Teknologivurdering af alternative drivmidler til transportsektoren&amp;R&amp;"Arial"&amp;08Page &amp;P of &amp;N</oddHeader>
    <oddFooter>&amp;L&amp;"Arial"&amp;08&amp;Z&amp;F
Sheet: &amp;A&amp;C&amp;"Arial"&amp;08Printed &amp;D &amp;T&amp;R&amp;G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267713" r:id="rId5" name="Button 1">
              <controlPr defaultSize="0" print="0" autoFill="0" autoPict="0">
                <anchor>
                  <from>
                    <xdr:col>8</xdr:col>
                    <xdr:colOff>114300</xdr:colOff>
                    <xdr:row>0</xdr:row>
                    <xdr:rowOff>38100</xdr:rowOff>
                  </from>
                  <to>
                    <xdr:col>9</xdr:col>
                    <xdr:colOff>800100</xdr:colOff>
                    <xdr:row>0</xdr:row>
                    <xdr:rowOff>238125</xdr:rowOff>
                  </to>
                </anchor>
              </controlPr>
            </control>
          </mc:Choice>
        </mc:AlternateContent>
        <mc:AlternateContent xmlns:mc="http://schemas.openxmlformats.org/markup-compatibility/2006">
          <mc:Choice Requires="x14">
            <control shapeId="1267714" r:id="rId6" name="Button 2">
              <controlPr defaultSize="0" print="0" autoFill="0" autoPict="0">
                <anchor>
                  <from>
                    <xdr:col>9</xdr:col>
                    <xdr:colOff>971550</xdr:colOff>
                    <xdr:row>0</xdr:row>
                    <xdr:rowOff>38100</xdr:rowOff>
                  </from>
                  <to>
                    <xdr:col>9</xdr:col>
                    <xdr:colOff>2038350</xdr:colOff>
                    <xdr:row>0</xdr:row>
                    <xdr:rowOff>238125</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002060"/>
    <pageSetUpPr fitToPage="1"/>
  </sheetPr>
  <dimension ref="B1:W110"/>
  <sheetViews>
    <sheetView topLeftCell="I25" zoomScale="80" zoomScaleNormal="80" workbookViewId="0">
      <selection activeCell="D80" sqref="D80"/>
    </sheetView>
  </sheetViews>
  <sheetFormatPr defaultColWidth="8.85546875" defaultRowHeight="12.75"/>
  <cols>
    <col min="1" max="1" width="2.85546875" style="1447" customWidth="1"/>
    <col min="2" max="2" width="26.85546875" style="1447" customWidth="1"/>
    <col min="3" max="3" width="15" style="1447" customWidth="1"/>
    <col min="4" max="7" width="14.5703125" style="1447" customWidth="1"/>
    <col min="8" max="8" width="15.85546875" style="172" customWidth="1"/>
    <col min="9" max="9" width="10.85546875" style="2360" customWidth="1"/>
    <col min="10" max="10" width="45.42578125" style="1447" customWidth="1"/>
    <col min="11" max="11" width="10.85546875" style="1447" bestFit="1" customWidth="1"/>
    <col min="12" max="12" width="9.28515625" style="1447" bestFit="1" customWidth="1"/>
    <col min="13" max="13" width="30.7109375" style="1447" bestFit="1" customWidth="1"/>
    <col min="14" max="14" width="8.85546875" style="1447"/>
    <col min="15" max="15" width="37.85546875" style="1447" customWidth="1"/>
    <col min="16" max="16384" width="8.85546875" style="1447"/>
  </cols>
  <sheetData>
    <row r="1" spans="2:18" s="2403" customFormat="1" ht="21">
      <c r="B1" s="2403" t="s">
        <v>1923</v>
      </c>
      <c r="I1" s="2404"/>
      <c r="Q1" s="2403">
        <f ca="1">'Log2015'!M1</f>
        <v>-8.0112614142160741</v>
      </c>
      <c r="R1" s="2403">
        <f ca="1">'Log2015'!N1</f>
        <v>-160807.124977848</v>
      </c>
    </row>
    <row r="2" spans="2:18" ht="15.75">
      <c r="B2" s="1504"/>
    </row>
    <row r="4" spans="2:18" ht="13.5" thickBot="1">
      <c r="B4" s="1446" t="s">
        <v>81</v>
      </c>
    </row>
    <row r="5" spans="2:18">
      <c r="B5" s="1448" t="s">
        <v>1790</v>
      </c>
      <c r="C5" s="1449"/>
      <c r="D5" s="1449"/>
      <c r="E5" s="1449"/>
      <c r="F5" s="1449"/>
      <c r="G5" s="1449"/>
      <c r="H5" s="221"/>
      <c r="I5" s="2356"/>
      <c r="J5" s="1449"/>
      <c r="K5" s="1449"/>
      <c r="L5" s="1449"/>
      <c r="M5" s="1449"/>
      <c r="N5" s="1450"/>
    </row>
    <row r="6" spans="2:18">
      <c r="B6" s="2575" t="s">
        <v>1924</v>
      </c>
      <c r="C6" s="2576"/>
      <c r="D6" s="2576"/>
      <c r="E6" s="2576"/>
      <c r="F6" s="2576"/>
      <c r="G6" s="2576"/>
      <c r="H6" s="2576"/>
      <c r="I6" s="2576"/>
      <c r="J6" s="2576"/>
      <c r="K6" s="2576"/>
      <c r="L6" s="2576"/>
      <c r="M6" s="2576"/>
      <c r="N6" s="2577"/>
    </row>
    <row r="7" spans="2:18">
      <c r="B7" s="2575"/>
      <c r="C7" s="2576"/>
      <c r="D7" s="2576"/>
      <c r="E7" s="2576"/>
      <c r="F7" s="2576"/>
      <c r="G7" s="2576"/>
      <c r="H7" s="2576"/>
      <c r="I7" s="2576"/>
      <c r="J7" s="2576"/>
      <c r="K7" s="2576"/>
      <c r="L7" s="2576"/>
      <c r="M7" s="2576"/>
      <c r="N7" s="2577"/>
    </row>
    <row r="8" spans="2:18">
      <c r="B8" s="2542" t="s">
        <v>1925</v>
      </c>
      <c r="C8" s="2543"/>
      <c r="D8" s="2543"/>
      <c r="E8" s="2543"/>
      <c r="F8" s="2543"/>
      <c r="G8" s="2543"/>
      <c r="H8" s="2543"/>
      <c r="I8" s="2543"/>
      <c r="J8" s="2543"/>
      <c r="K8" s="2543"/>
      <c r="L8" s="2543"/>
      <c r="M8" s="2543"/>
      <c r="N8" s="2544"/>
    </row>
    <row r="9" spans="2:18">
      <c r="B9" s="2542"/>
      <c r="C9" s="2543"/>
      <c r="D9" s="2543"/>
      <c r="E9" s="2543"/>
      <c r="F9" s="2543"/>
      <c r="G9" s="2543"/>
      <c r="H9" s="2543"/>
      <c r="I9" s="2543"/>
      <c r="J9" s="2543"/>
      <c r="K9" s="2543"/>
      <c r="L9" s="2543"/>
      <c r="M9" s="2543"/>
      <c r="N9" s="2544"/>
    </row>
    <row r="10" spans="2:18">
      <c r="B10" s="2542"/>
      <c r="C10" s="2543"/>
      <c r="D10" s="2543"/>
      <c r="E10" s="2543"/>
      <c r="F10" s="2543"/>
      <c r="G10" s="2543"/>
      <c r="H10" s="2543"/>
      <c r="I10" s="2543"/>
      <c r="J10" s="2543"/>
      <c r="K10" s="2543"/>
      <c r="L10" s="2543"/>
      <c r="M10" s="2543"/>
      <c r="N10" s="2544"/>
    </row>
    <row r="11" spans="2:18">
      <c r="B11" s="1556" t="s">
        <v>256</v>
      </c>
      <c r="C11" s="1471"/>
      <c r="D11" s="1471"/>
      <c r="E11" s="1471"/>
      <c r="F11" s="1471"/>
      <c r="G11" s="1471"/>
      <c r="H11" s="455"/>
      <c r="I11" s="2357"/>
      <c r="J11" s="1471"/>
      <c r="K11" s="1471"/>
      <c r="L11" s="1471"/>
      <c r="M11" s="1471"/>
      <c r="N11" s="1472"/>
    </row>
    <row r="12" spans="2:18">
      <c r="B12" s="2575" t="s">
        <v>1926</v>
      </c>
      <c r="C12" s="2576"/>
      <c r="D12" s="2576"/>
      <c r="E12" s="2576"/>
      <c r="F12" s="2576"/>
      <c r="G12" s="2576"/>
      <c r="H12" s="2576"/>
      <c r="I12" s="2576"/>
      <c r="J12" s="2576"/>
      <c r="K12" s="2576"/>
      <c r="L12" s="2576"/>
      <c r="M12" s="2576"/>
      <c r="N12" s="2577"/>
    </row>
    <row r="13" spans="2:18">
      <c r="B13" s="2575"/>
      <c r="C13" s="2576"/>
      <c r="D13" s="2576"/>
      <c r="E13" s="2576"/>
      <c r="F13" s="2576"/>
      <c r="G13" s="2576"/>
      <c r="H13" s="2576"/>
      <c r="I13" s="2576"/>
      <c r="J13" s="2576"/>
      <c r="K13" s="2576"/>
      <c r="L13" s="2576"/>
      <c r="M13" s="2576"/>
      <c r="N13" s="2577"/>
    </row>
    <row r="14" spans="2:18">
      <c r="B14" s="2542" t="s">
        <v>1927</v>
      </c>
      <c r="C14" s="2543"/>
      <c r="D14" s="2543"/>
      <c r="E14" s="2543"/>
      <c r="F14" s="2543"/>
      <c r="G14" s="2543"/>
      <c r="H14" s="2543"/>
      <c r="I14" s="2543"/>
      <c r="J14" s="2543"/>
      <c r="K14" s="2543"/>
      <c r="L14" s="2543"/>
      <c r="M14" s="2543"/>
      <c r="N14" s="2544"/>
    </row>
    <row r="15" spans="2:18">
      <c r="B15" s="2542"/>
      <c r="C15" s="2543"/>
      <c r="D15" s="2543"/>
      <c r="E15" s="2543"/>
      <c r="F15" s="2543"/>
      <c r="G15" s="2543"/>
      <c r="H15" s="2543"/>
      <c r="I15" s="2543"/>
      <c r="J15" s="2543"/>
      <c r="K15" s="2543"/>
      <c r="L15" s="2543"/>
      <c r="M15" s="2543"/>
      <c r="N15" s="2544"/>
    </row>
    <row r="16" spans="2:18">
      <c r="B16" s="1468"/>
      <c r="C16" s="1471"/>
      <c r="D16" s="1471"/>
      <c r="E16" s="1471"/>
      <c r="F16" s="1471"/>
      <c r="G16" s="1471"/>
      <c r="H16" s="455"/>
      <c r="I16" s="2357"/>
      <c r="J16" s="1471"/>
      <c r="K16" s="1471"/>
      <c r="L16" s="1471"/>
      <c r="M16" s="1471"/>
      <c r="N16" s="1472"/>
    </row>
    <row r="17" spans="2:23" ht="13.5" thickBot="1">
      <c r="B17" s="1521"/>
      <c r="C17" s="1501"/>
      <c r="D17" s="1501"/>
      <c r="E17" s="1501"/>
      <c r="F17" s="1501"/>
      <c r="G17" s="1501"/>
      <c r="H17" s="244"/>
      <c r="I17" s="2361"/>
      <c r="J17" s="1501"/>
      <c r="K17" s="1501"/>
      <c r="L17" s="1501"/>
      <c r="M17" s="1501"/>
      <c r="N17" s="1503"/>
    </row>
    <row r="19" spans="2:23" ht="13.5" thickBot="1">
      <c r="B19" s="1446" t="s">
        <v>144</v>
      </c>
      <c r="E19" s="1454"/>
    </row>
    <row r="20" spans="2:23">
      <c r="B20" s="1455"/>
      <c r="C20" s="1456"/>
      <c r="D20" s="1557"/>
      <c r="E20" s="1449"/>
      <c r="F20" s="1449"/>
      <c r="G20" s="1449"/>
      <c r="H20" s="221"/>
      <c r="I20" s="2356" t="s">
        <v>145</v>
      </c>
      <c r="J20" s="1450" t="s">
        <v>146</v>
      </c>
      <c r="L20" s="2578" t="s">
        <v>1928</v>
      </c>
      <c r="M20" s="2579"/>
      <c r="N20" s="2579"/>
      <c r="O20" s="2579"/>
      <c r="P20" s="2579"/>
      <c r="Q20" s="2579"/>
      <c r="R20" s="2579"/>
      <c r="S20" s="2579"/>
      <c r="T20" s="2579"/>
      <c r="U20" s="2579"/>
      <c r="V20" s="2579"/>
      <c r="W20" s="2580"/>
    </row>
    <row r="21" spans="2:23">
      <c r="B21" s="1460"/>
      <c r="C21" s="1461" t="s">
        <v>70</v>
      </c>
      <c r="D21" s="1506">
        <v>2013</v>
      </c>
      <c r="E21" s="1507">
        <v>2020</v>
      </c>
      <c r="F21" s="1507">
        <v>2035</v>
      </c>
      <c r="G21" s="1507">
        <v>2050</v>
      </c>
      <c r="H21" s="225" t="s">
        <v>978</v>
      </c>
      <c r="I21" s="2362"/>
      <c r="J21" s="1465"/>
      <c r="L21" s="2581"/>
      <c r="M21" s="2582"/>
      <c r="N21" s="2582"/>
      <c r="O21" s="2582"/>
      <c r="P21" s="2582"/>
      <c r="Q21" s="2582"/>
      <c r="R21" s="2582"/>
      <c r="S21" s="2582"/>
      <c r="T21" s="2582"/>
      <c r="U21" s="2582"/>
      <c r="V21" s="2582"/>
      <c r="W21" s="2583"/>
    </row>
    <row r="22" spans="2:23">
      <c r="B22" s="1468" t="s">
        <v>257</v>
      </c>
      <c r="C22" s="1469"/>
      <c r="D22" s="1477"/>
      <c r="E22" s="1478"/>
      <c r="F22" s="1478"/>
      <c r="G22" s="1478"/>
      <c r="H22" s="209"/>
      <c r="I22" s="2357"/>
      <c r="J22" s="1472"/>
      <c r="L22" s="2581"/>
      <c r="M22" s="2582"/>
      <c r="N22" s="2582"/>
      <c r="O22" s="2582"/>
      <c r="P22" s="2582"/>
      <c r="Q22" s="2582"/>
      <c r="R22" s="2582"/>
      <c r="S22" s="2582"/>
      <c r="T22" s="2582"/>
      <c r="U22" s="2582"/>
      <c r="V22" s="2582"/>
      <c r="W22" s="2583"/>
    </row>
    <row r="23" spans="2:23">
      <c r="B23" s="122" t="s">
        <v>848</v>
      </c>
      <c r="C23" s="210" t="s">
        <v>1645</v>
      </c>
      <c r="D23" s="2430">
        <f>Elmotor!D23</f>
        <v>0.87168797542226217</v>
      </c>
      <c r="E23" s="2118">
        <f>Elmotor!E23</f>
        <v>0.89936627482633358</v>
      </c>
      <c r="F23" s="2118">
        <f>Elmotor!F23</f>
        <v>0.89936627482633358</v>
      </c>
      <c r="G23" s="2118">
        <f>Elmotor!G23</f>
        <v>0.89936627482633358</v>
      </c>
      <c r="H23" s="1657"/>
      <c r="I23" s="2359"/>
      <c r="J23" s="1472" t="s">
        <v>2564</v>
      </c>
      <c r="L23" s="2581"/>
      <c r="M23" s="2582"/>
      <c r="N23" s="2582"/>
      <c r="O23" s="2582"/>
      <c r="P23" s="2582"/>
      <c r="Q23" s="2582"/>
      <c r="R23" s="2582"/>
      <c r="S23" s="2582"/>
      <c r="T23" s="2582"/>
      <c r="U23" s="2582"/>
      <c r="V23" s="2582"/>
      <c r="W23" s="2583"/>
    </row>
    <row r="24" spans="2:23">
      <c r="B24" s="122" t="s">
        <v>849</v>
      </c>
      <c r="C24" s="210" t="s">
        <v>1645</v>
      </c>
      <c r="D24" s="1585">
        <f>D23</f>
        <v>0.87168797542226217</v>
      </c>
      <c r="E24" s="1585">
        <f>E23</f>
        <v>0.89936627482633358</v>
      </c>
      <c r="F24" s="1585">
        <f>F23</f>
        <v>0.89936627482633358</v>
      </c>
      <c r="G24" s="1585">
        <f>G23</f>
        <v>0.89936627482633358</v>
      </c>
      <c r="H24" s="1657"/>
      <c r="I24" s="2359"/>
      <c r="J24" s="1472"/>
      <c r="L24" s="2581"/>
      <c r="M24" s="2582"/>
      <c r="N24" s="2582"/>
      <c r="O24" s="2582"/>
      <c r="P24" s="2582"/>
      <c r="Q24" s="2582"/>
      <c r="R24" s="2582"/>
      <c r="S24" s="2582"/>
      <c r="T24" s="2582"/>
      <c r="U24" s="2582"/>
      <c r="V24" s="2582"/>
      <c r="W24" s="2583"/>
    </row>
    <row r="25" spans="2:23">
      <c r="B25" s="122" t="s">
        <v>1971</v>
      </c>
      <c r="C25" s="210" t="s">
        <v>1024</v>
      </c>
      <c r="D25" s="1585">
        <f>D80</f>
        <v>18.507600000000004</v>
      </c>
      <c r="E25" s="1585">
        <f>E80</f>
        <v>17.938022389198764</v>
      </c>
      <c r="F25" s="1585">
        <f>F80</f>
        <v>17.938022389198764</v>
      </c>
      <c r="G25" s="1585">
        <f>G80</f>
        <v>17.938022389198764</v>
      </c>
      <c r="H25" s="1658"/>
      <c r="I25" s="2359"/>
      <c r="J25" s="1472"/>
      <c r="L25" s="2581"/>
      <c r="M25" s="2582"/>
      <c r="N25" s="2582"/>
      <c r="O25" s="2582"/>
      <c r="P25" s="2582"/>
      <c r="Q25" s="2582"/>
      <c r="R25" s="2582"/>
      <c r="S25" s="2582"/>
      <c r="T25" s="2582"/>
      <c r="U25" s="2582"/>
      <c r="V25" s="2582"/>
      <c r="W25" s="2583"/>
    </row>
    <row r="26" spans="2:23">
      <c r="B26" s="122" t="s">
        <v>1972</v>
      </c>
      <c r="C26" s="210" t="s">
        <v>1024</v>
      </c>
      <c r="D26" s="1558"/>
      <c r="E26" s="1559"/>
      <c r="F26" s="1559"/>
      <c r="G26" s="1559"/>
      <c r="H26" s="1658"/>
      <c r="I26" s="2359"/>
      <c r="J26" s="1472"/>
      <c r="L26" s="2581"/>
      <c r="M26" s="2582"/>
      <c r="N26" s="2582"/>
      <c r="O26" s="2582"/>
      <c r="P26" s="2582"/>
      <c r="Q26" s="2582"/>
      <c r="R26" s="2582"/>
      <c r="S26" s="2582"/>
      <c r="T26" s="2582"/>
      <c r="U26" s="2582"/>
      <c r="V26" s="2582"/>
      <c r="W26" s="2583"/>
    </row>
    <row r="27" spans="2:23">
      <c r="B27" s="1476" t="s">
        <v>98</v>
      </c>
      <c r="C27" s="1469" t="s">
        <v>259</v>
      </c>
      <c r="D27" s="1477">
        <v>30</v>
      </c>
      <c r="E27" s="1478">
        <v>30</v>
      </c>
      <c r="F27" s="1478">
        <v>30</v>
      </c>
      <c r="G27" s="1478">
        <v>30</v>
      </c>
      <c r="H27" s="212"/>
      <c r="I27" s="2357" t="str">
        <f>Referencer!$B$68</f>
        <v>62, Baseret på viden og praktisk erfaring fra tekniske eksperter fra jernbanesektoren i Danmark og internationale faglige netværk</v>
      </c>
      <c r="J27" s="1472" t="s">
        <v>2329</v>
      </c>
      <c r="L27" s="2581"/>
      <c r="M27" s="2582"/>
      <c r="N27" s="2582"/>
      <c r="O27" s="2582"/>
      <c r="P27" s="2582"/>
      <c r="Q27" s="2582"/>
      <c r="R27" s="2582"/>
      <c r="S27" s="2582"/>
      <c r="T27" s="2582"/>
      <c r="U27" s="2582"/>
      <c r="V27" s="2582"/>
      <c r="W27" s="2583"/>
    </row>
    <row r="28" spans="2:23">
      <c r="B28" s="1476" t="s">
        <v>260</v>
      </c>
      <c r="C28" s="1469" t="s">
        <v>261</v>
      </c>
      <c r="D28" s="1560">
        <f>+D73</f>
        <v>4033.2130934812653</v>
      </c>
      <c r="E28" s="1561">
        <f>+E73</f>
        <v>4033.2130934812653</v>
      </c>
      <c r="F28" s="1561">
        <f>+F73</f>
        <v>4033.2130934812653</v>
      </c>
      <c r="G28" s="1561">
        <f>+G73</f>
        <v>4033.2130934812653</v>
      </c>
      <c r="H28" s="1659"/>
      <c r="I28" s="2359"/>
      <c r="J28" s="1472" t="s">
        <v>1929</v>
      </c>
      <c r="L28" s="2581"/>
      <c r="M28" s="2582"/>
      <c r="N28" s="2582"/>
      <c r="O28" s="2582"/>
      <c r="P28" s="2582"/>
      <c r="Q28" s="2582"/>
      <c r="R28" s="2582"/>
      <c r="S28" s="2582"/>
      <c r="T28" s="2582"/>
      <c r="U28" s="2582"/>
      <c r="V28" s="2582"/>
      <c r="W28" s="2583"/>
    </row>
    <row r="29" spans="2:23">
      <c r="B29" s="1484"/>
      <c r="C29" s="1485"/>
      <c r="D29" s="1562"/>
      <c r="E29" s="1486"/>
      <c r="F29" s="1486"/>
      <c r="G29" s="1486"/>
      <c r="H29" s="90"/>
      <c r="I29" s="2363"/>
      <c r="J29" s="1472"/>
      <c r="L29" s="1487"/>
      <c r="M29" s="1471"/>
      <c r="N29" s="1471"/>
      <c r="O29" s="1471"/>
      <c r="P29" s="1471"/>
      <c r="Q29" s="1471"/>
      <c r="R29" s="1471"/>
      <c r="S29" s="1471"/>
      <c r="T29" s="1471"/>
      <c r="U29" s="1471"/>
      <c r="V29" s="1471"/>
      <c r="W29" s="1488"/>
    </row>
    <row r="30" spans="2:23">
      <c r="B30" s="1468" t="s">
        <v>33</v>
      </c>
      <c r="C30" s="1469"/>
      <c r="D30" s="1562"/>
      <c r="E30" s="1486"/>
      <c r="F30" s="1486"/>
      <c r="G30" s="1486"/>
      <c r="H30" s="90"/>
      <c r="I30" s="2363"/>
      <c r="J30" s="1472"/>
      <c r="L30" s="1468" t="s">
        <v>936</v>
      </c>
      <c r="M30" s="1471"/>
      <c r="N30" s="1471"/>
      <c r="O30" s="1471"/>
      <c r="P30" s="1471"/>
      <c r="Q30" s="1471"/>
      <c r="R30" s="1471"/>
      <c r="S30" s="1471"/>
      <c r="T30" s="1471"/>
      <c r="U30" s="1471"/>
      <c r="V30" s="1471"/>
      <c r="W30" s="1488"/>
    </row>
    <row r="31" spans="2:23" s="172" customFormat="1">
      <c r="B31" s="310" t="s">
        <v>157</v>
      </c>
      <c r="C31" s="210" t="s">
        <v>61</v>
      </c>
      <c r="D31" s="992">
        <f>HLOOKUP($H38,Supplementary!$C$44:$AF$46,3,FALSE)*D38</f>
        <v>56416482.232585192</v>
      </c>
      <c r="E31" s="992">
        <f>HLOOKUP($H38,Supplementary!$C$44:$AF$46,3,FALSE)*E38</f>
        <v>56416482.232585192</v>
      </c>
      <c r="F31" s="992">
        <f>HLOOKUP($H38,Supplementary!$C$44:$AF$46,3,FALSE)*F38</f>
        <v>56416482.232585192</v>
      </c>
      <c r="G31" s="992">
        <f>HLOOKUP($H38,Supplementary!$C$44:$AF$46,3,FALSE)*G38</f>
        <v>56416482.232585192</v>
      </c>
      <c r="H31" s="323">
        <f>priceYear</f>
        <v>2015</v>
      </c>
      <c r="I31" s="2364"/>
      <c r="J31" s="178"/>
    </row>
    <row r="32" spans="2:23" s="172" customFormat="1">
      <c r="B32" s="192" t="s">
        <v>262</v>
      </c>
      <c r="C32" s="210" t="s">
        <v>263</v>
      </c>
      <c r="D32" s="992">
        <f ca="1">HLOOKUP($H39,Supplementary!$C$44:$AF$46,3,FALSE)*D39</f>
        <v>2843.1814771352838</v>
      </c>
      <c r="E32" s="992">
        <f ca="1">HLOOKUP($H39,Supplementary!$C$44:$AF$46,3,FALSE)*E39</f>
        <v>2843.1814771352838</v>
      </c>
      <c r="F32" s="992">
        <f ca="1">HLOOKUP($H39,Supplementary!$C$44:$AF$46,3,FALSE)*F39</f>
        <v>2843.1814771352838</v>
      </c>
      <c r="G32" s="992">
        <f ca="1">HLOOKUP($H39,Supplementary!$C$44:$AF$46,3,FALSE)*G39</f>
        <v>2843.1814771352838</v>
      </c>
      <c r="H32" s="323">
        <f>priceYear</f>
        <v>2015</v>
      </c>
      <c r="I32" s="2364"/>
      <c r="J32" s="178"/>
    </row>
    <row r="33" spans="2:23" s="172" customFormat="1">
      <c r="B33" s="236" t="s">
        <v>162</v>
      </c>
      <c r="C33" s="210" t="s">
        <v>263</v>
      </c>
      <c r="D33" s="992">
        <f ca="1">HLOOKUP($H40,Supplementary!$C$44:$AF$46,3,FALSE)*D40</f>
        <v>909.93782038004292</v>
      </c>
      <c r="E33" s="992">
        <f ca="1">HLOOKUP($H40,Supplementary!$C$44:$AF$46,3,FALSE)*E40</f>
        <v>909.93782038004292</v>
      </c>
      <c r="F33" s="992">
        <f ca="1">HLOOKUP($H40,Supplementary!$C$44:$AF$46,3,FALSE)*F40</f>
        <v>909.93782038004292</v>
      </c>
      <c r="G33" s="992">
        <f ca="1">HLOOKUP($H40,Supplementary!$C$44:$AF$46,3,FALSE)*G40</f>
        <v>909.93782038004292</v>
      </c>
      <c r="H33" s="323">
        <f>priceYear</f>
        <v>2015</v>
      </c>
      <c r="I33" s="2364"/>
      <c r="J33" s="178"/>
    </row>
    <row r="34" spans="2:23" s="172" customFormat="1">
      <c r="B34" s="236" t="s">
        <v>163</v>
      </c>
      <c r="C34" s="210" t="s">
        <v>263</v>
      </c>
      <c r="D34" s="992">
        <f>HLOOKUP($H41,Supplementary!$C$44:$AF$46,3,FALSE)*D41</f>
        <v>1933.2436567552411</v>
      </c>
      <c r="E34" s="992">
        <f>HLOOKUP($H41,Supplementary!$C$44:$AF$46,3,FALSE)*E41</f>
        <v>1933.2436567552411</v>
      </c>
      <c r="F34" s="992">
        <f>HLOOKUP($H41,Supplementary!$C$44:$AF$46,3,FALSE)*F41</f>
        <v>1933.2436567552411</v>
      </c>
      <c r="G34" s="992">
        <f>HLOOKUP($H41,Supplementary!$C$44:$AF$46,3,FALSE)*G41</f>
        <v>1933.2436567552411</v>
      </c>
      <c r="H34" s="323">
        <f>priceYear</f>
        <v>2015</v>
      </c>
      <c r="I34" s="2364"/>
      <c r="J34" s="178"/>
    </row>
    <row r="35" spans="2:23" s="172" customFormat="1">
      <c r="B35" s="236"/>
      <c r="C35" s="210"/>
      <c r="D35" s="992"/>
      <c r="E35" s="992"/>
      <c r="F35" s="992"/>
      <c r="G35" s="992"/>
      <c r="H35" s="323"/>
      <c r="I35" s="2364"/>
      <c r="J35" s="178"/>
    </row>
    <row r="36" spans="2:23" s="172" customFormat="1">
      <c r="B36" s="236" t="s">
        <v>264</v>
      </c>
      <c r="C36" s="210" t="s">
        <v>263</v>
      </c>
      <c r="D36" s="992">
        <f>HLOOKUP($H43,Supplementary!$C$44:$AF$46,3,FALSE)*D43</f>
        <v>0</v>
      </c>
      <c r="E36" s="992">
        <f>HLOOKUP($H43,Supplementary!$C$44:$AF$46,3,FALSE)*E43</f>
        <v>0</v>
      </c>
      <c r="F36" s="992">
        <f>HLOOKUP($H43,Supplementary!$C$44:$AF$46,3,FALSE)*F43</f>
        <v>0</v>
      </c>
      <c r="G36" s="992">
        <f>HLOOKUP($H43,Supplementary!$C$44:$AF$46,3,FALSE)*G43</f>
        <v>0</v>
      </c>
      <c r="H36" s="323">
        <f>priceYear</f>
        <v>2015</v>
      </c>
      <c r="I36" s="2364"/>
      <c r="J36" s="178"/>
    </row>
    <row r="37" spans="2:23" s="172" customFormat="1">
      <c r="B37" s="216"/>
      <c r="C37" s="210"/>
      <c r="D37" s="156"/>
      <c r="E37" s="90"/>
      <c r="F37" s="90"/>
      <c r="G37" s="90"/>
      <c r="H37" s="90"/>
      <c r="I37" s="2364"/>
      <c r="J37" s="178"/>
    </row>
    <row r="38" spans="2:23">
      <c r="B38" s="1476" t="s">
        <v>157</v>
      </c>
      <c r="C38" s="1469" t="s">
        <v>61</v>
      </c>
      <c r="D38" s="1563">
        <v>53000000</v>
      </c>
      <c r="E38" s="1564">
        <v>53000000</v>
      </c>
      <c r="F38" s="1564">
        <v>53000000</v>
      </c>
      <c r="G38" s="1564">
        <v>53000000</v>
      </c>
      <c r="H38" s="407">
        <v>2011</v>
      </c>
      <c r="I38" s="1479" t="str">
        <f>Referencer!$B$60</f>
        <v>54, Niras (2011). Strategisk analyse af electrificering af banenettet - Opgave A, strategianalysen. Banedanmark.</v>
      </c>
      <c r="J38" s="1472" t="s">
        <v>2479</v>
      </c>
      <c r="L38" s="1487" t="s">
        <v>1930</v>
      </c>
      <c r="M38" s="1471"/>
      <c r="N38" s="1471"/>
      <c r="O38" s="1471" t="s">
        <v>1931</v>
      </c>
      <c r="P38" s="1471"/>
      <c r="Q38" s="1471"/>
      <c r="R38" s="1471"/>
      <c r="S38" s="1471"/>
      <c r="T38" s="1471"/>
      <c r="U38" s="1471"/>
      <c r="V38" s="1471"/>
      <c r="W38" s="1488"/>
    </row>
    <row r="39" spans="2:23">
      <c r="B39" s="1484" t="s">
        <v>262</v>
      </c>
      <c r="C39" s="1469" t="s">
        <v>263</v>
      </c>
      <c r="D39" s="1565">
        <f ca="1">SUM(D40:D43)</f>
        <v>2671.0034430529399</v>
      </c>
      <c r="E39" s="1566">
        <f ca="1">SUM(E40:E43)</f>
        <v>2671.0034430529399</v>
      </c>
      <c r="F39" s="1566">
        <f ca="1">SUM(F40:F43)</f>
        <v>2671.0034430529399</v>
      </c>
      <c r="G39" s="1566">
        <f ca="1">SUM(G40:G43)</f>
        <v>2671.0034430529399</v>
      </c>
      <c r="H39" s="407">
        <v>2011</v>
      </c>
      <c r="I39" s="2359"/>
      <c r="J39" s="1472"/>
      <c r="L39" s="1487" t="s">
        <v>1802</v>
      </c>
      <c r="M39" s="1471"/>
      <c r="N39" s="1471"/>
      <c r="O39" s="1471" t="s">
        <v>1932</v>
      </c>
      <c r="P39" s="1471"/>
      <c r="Q39" s="1471"/>
      <c r="R39" s="1471"/>
      <c r="S39" s="1471"/>
      <c r="T39" s="1471"/>
      <c r="U39" s="1471"/>
      <c r="V39" s="1471"/>
      <c r="W39" s="1488"/>
    </row>
    <row r="40" spans="2:23">
      <c r="B40" s="1492" t="s">
        <v>162</v>
      </c>
      <c r="C40" s="1469" t="s">
        <v>263</v>
      </c>
      <c r="D40" s="1493">
        <f ca="1">PMT(rSØK,D27,-D38)/D28</f>
        <v>854.83359776528857</v>
      </c>
      <c r="E40" s="1493">
        <f ca="1">PMT(rSØK,E27,-E38)/E28</f>
        <v>854.83359776528857</v>
      </c>
      <c r="F40" s="1493">
        <f ca="1">PMT(rSØK,F27,-F38)/F28</f>
        <v>854.83359776528857</v>
      </c>
      <c r="G40" s="1493">
        <f ca="1">PMT(rSØK,G27,-G38)/G28</f>
        <v>854.83359776528857</v>
      </c>
      <c r="H40" s="407">
        <v>2011</v>
      </c>
      <c r="I40" s="2359"/>
      <c r="J40" s="1472"/>
      <c r="L40" s="1487" t="s">
        <v>1933</v>
      </c>
      <c r="M40" s="1471"/>
      <c r="N40" s="1471"/>
      <c r="O40" s="1471" t="s">
        <v>1934</v>
      </c>
      <c r="P40" s="1471"/>
      <c r="Q40" s="1471"/>
      <c r="R40" s="1471"/>
      <c r="S40" s="1471"/>
      <c r="T40" s="1471"/>
      <c r="U40" s="1471"/>
      <c r="V40" s="1471"/>
      <c r="W40" s="1488"/>
    </row>
    <row r="41" spans="2:23">
      <c r="B41" s="1492" t="s">
        <v>163</v>
      </c>
      <c r="C41" s="1469" t="s">
        <v>263</v>
      </c>
      <c r="D41" s="1567">
        <f>D74/D67*1000</f>
        <v>1816.1698452876515</v>
      </c>
      <c r="E41" s="1568">
        <f>E74/E67*1000</f>
        <v>1816.1698452876515</v>
      </c>
      <c r="F41" s="1568">
        <f>F74/F67*1000</f>
        <v>1816.1698452876515</v>
      </c>
      <c r="G41" s="1568">
        <f>G74/G67*1000</f>
        <v>1816.1698452876515</v>
      </c>
      <c r="H41" s="407">
        <v>2011</v>
      </c>
      <c r="I41" s="1479" t="str">
        <f>Referencer!$B$67</f>
        <v>61, "European Benchmarking of the costs, performance and revenues of GB TOCs", Prepared for the Office of Rail Regulation, Hamburg, November 20th, 2012, Civity Management Consultants, http://www.rail-reg.gov.uk/upload/pdf/civity-toc-benchmarking-201112.pdf (modificeret dansk værdi ift EU gns.: 2,4£ x 1,36)</v>
      </c>
      <c r="J41" s="1472" t="s">
        <v>1844</v>
      </c>
      <c r="L41" s="1487" t="s">
        <v>1806</v>
      </c>
      <c r="M41" s="1471"/>
      <c r="N41" s="1471"/>
      <c r="O41" s="1471" t="s">
        <v>1935</v>
      </c>
      <c r="P41" s="1471"/>
      <c r="Q41" s="1471"/>
      <c r="R41" s="1471"/>
      <c r="S41" s="1471"/>
      <c r="T41" s="1471"/>
      <c r="U41" s="1471"/>
      <c r="V41" s="1471"/>
      <c r="W41" s="1488"/>
    </row>
    <row r="42" spans="2:23">
      <c r="B42" s="1492"/>
      <c r="C42" s="1469"/>
      <c r="D42" s="1562"/>
      <c r="E42" s="1486"/>
      <c r="F42" s="1486"/>
      <c r="G42" s="1486"/>
      <c r="H42" s="407"/>
      <c r="I42" s="2359"/>
      <c r="J42" s="1472"/>
      <c r="L42" s="1487" t="s">
        <v>1808</v>
      </c>
      <c r="M42" s="1471"/>
      <c r="N42" s="1471"/>
      <c r="O42" s="1471" t="s">
        <v>1936</v>
      </c>
      <c r="P42" s="1471"/>
      <c r="Q42" s="1569"/>
      <c r="R42" s="1471"/>
      <c r="S42" s="1471"/>
      <c r="T42" s="1471"/>
      <c r="U42" s="1471"/>
      <c r="V42" s="1471"/>
      <c r="W42" s="1488"/>
    </row>
    <row r="43" spans="2:23">
      <c r="B43" s="1492" t="s">
        <v>264</v>
      </c>
      <c r="C43" s="1469" t="s">
        <v>263</v>
      </c>
      <c r="D43" s="1477">
        <v>0</v>
      </c>
      <c r="E43" s="1478">
        <v>0</v>
      </c>
      <c r="F43" s="1478">
        <v>0</v>
      </c>
      <c r="G43" s="1478">
        <v>0</v>
      </c>
      <c r="H43" s="407">
        <v>2011</v>
      </c>
      <c r="I43" s="2359"/>
      <c r="J43" s="1472"/>
      <c r="L43" s="1487"/>
      <c r="M43" s="1471"/>
      <c r="N43" s="1471"/>
      <c r="O43" s="1471" t="s">
        <v>1937</v>
      </c>
      <c r="P43" s="1471"/>
      <c r="Q43" s="1471"/>
      <c r="R43" s="1471"/>
      <c r="S43" s="1471"/>
      <c r="T43" s="1471"/>
      <c r="U43" s="1471"/>
      <c r="V43" s="1471"/>
      <c r="W43" s="1488"/>
    </row>
    <row r="44" spans="2:23">
      <c r="B44" s="1492"/>
      <c r="C44" s="1469"/>
      <c r="D44" s="1562"/>
      <c r="E44" s="1486"/>
      <c r="F44" s="1486"/>
      <c r="G44" s="1486"/>
      <c r="H44" s="90"/>
      <c r="I44" s="2359"/>
      <c r="J44" s="1472"/>
      <c r="L44" s="1487" t="s">
        <v>1938</v>
      </c>
      <c r="M44" s="1471"/>
      <c r="N44" s="1471"/>
      <c r="O44" s="1471" t="s">
        <v>1939</v>
      </c>
      <c r="P44" s="1471"/>
      <c r="Q44" s="1471"/>
      <c r="R44" s="1471"/>
      <c r="S44" s="1471"/>
      <c r="T44" s="1471"/>
      <c r="U44" s="1471"/>
      <c r="V44" s="1471"/>
      <c r="W44" s="1488"/>
    </row>
    <row r="45" spans="2:23">
      <c r="B45" s="1468" t="s">
        <v>1940</v>
      </c>
      <c r="C45" s="1469"/>
      <c r="D45" s="1562"/>
      <c r="E45" s="1486"/>
      <c r="F45" s="1486"/>
      <c r="G45" s="1486"/>
      <c r="H45" s="252"/>
      <c r="I45" s="2359"/>
      <c r="J45" s="1472"/>
      <c r="L45" s="1487" t="s">
        <v>1812</v>
      </c>
      <c r="M45" s="1471"/>
      <c r="N45" s="1471"/>
      <c r="O45" s="1471" t="s">
        <v>1941</v>
      </c>
      <c r="P45" s="1471"/>
      <c r="Q45" s="1471"/>
      <c r="R45" s="1471"/>
      <c r="S45" s="1471"/>
      <c r="T45" s="1471"/>
      <c r="U45" s="1471"/>
      <c r="V45" s="1471"/>
      <c r="W45" s="1488"/>
    </row>
    <row r="46" spans="2:23">
      <c r="B46" s="418" t="s">
        <v>0</v>
      </c>
      <c r="C46" s="1469"/>
      <c r="D46" s="1562"/>
      <c r="E46" s="1486"/>
      <c r="F46" s="1486"/>
      <c r="G46" s="1486"/>
      <c r="H46" s="214"/>
      <c r="I46" s="2359"/>
      <c r="J46" s="1472"/>
      <c r="L46" s="1487"/>
      <c r="M46" s="1471"/>
      <c r="N46" s="1471"/>
      <c r="O46" s="1471"/>
      <c r="P46" s="1471"/>
      <c r="Q46" s="1471"/>
      <c r="R46" s="1471"/>
      <c r="S46" s="1471"/>
      <c r="T46" s="1471"/>
      <c r="U46" s="1471"/>
      <c r="V46" s="1471"/>
      <c r="W46" s="1488"/>
    </row>
    <row r="47" spans="2:23">
      <c r="B47" s="1484" t="s">
        <v>24</v>
      </c>
      <c r="C47" s="1469" t="s">
        <v>288</v>
      </c>
      <c r="D47" s="1589"/>
      <c r="E47" s="1589"/>
      <c r="F47" s="1589"/>
      <c r="G47" s="1589"/>
      <c r="H47" s="214"/>
      <c r="I47" s="2359"/>
      <c r="J47" s="2584" t="s">
        <v>1942</v>
      </c>
      <c r="L47" s="1487" t="s">
        <v>1814</v>
      </c>
      <c r="M47" s="1471"/>
      <c r="N47" s="1471"/>
      <c r="O47" s="1471" t="s">
        <v>1943</v>
      </c>
      <c r="P47" s="1471"/>
      <c r="Q47" s="1471"/>
      <c r="R47" s="1471"/>
      <c r="S47" s="1471"/>
      <c r="T47" s="1471"/>
      <c r="U47" s="1471"/>
      <c r="V47" s="1471"/>
      <c r="W47" s="1488"/>
    </row>
    <row r="48" spans="2:23">
      <c r="B48" s="1484" t="s">
        <v>27</v>
      </c>
      <c r="C48" s="1469" t="s">
        <v>288</v>
      </c>
      <c r="D48" s="1497"/>
      <c r="E48" s="1497"/>
      <c r="F48" s="1497"/>
      <c r="G48" s="1497"/>
      <c r="H48" s="1660"/>
      <c r="I48" s="1479"/>
      <c r="J48" s="2584"/>
      <c r="L48" s="1487" t="s">
        <v>1816</v>
      </c>
      <c r="M48" s="1471"/>
      <c r="N48" s="1471"/>
      <c r="O48" s="1471" t="s">
        <v>1817</v>
      </c>
      <c r="P48" s="1471"/>
      <c r="Q48" s="1471"/>
      <c r="R48" s="1471"/>
      <c r="S48" s="1471"/>
      <c r="T48" s="1471"/>
      <c r="U48" s="1471"/>
      <c r="V48" s="1471"/>
      <c r="W48" s="1488"/>
    </row>
    <row r="49" spans="2:23">
      <c r="B49" s="1484" t="s">
        <v>28</v>
      </c>
      <c r="C49" s="1469" t="s">
        <v>288</v>
      </c>
      <c r="D49" s="1497"/>
      <c r="E49" s="1497"/>
      <c r="F49" s="1497"/>
      <c r="G49" s="1497"/>
      <c r="H49" s="90"/>
      <c r="I49" s="1479"/>
      <c r="J49" s="1472"/>
      <c r="L49" s="1487" t="s">
        <v>1818</v>
      </c>
      <c r="M49" s="1471"/>
      <c r="N49" s="1471"/>
      <c r="O49" s="1471" t="s">
        <v>1944</v>
      </c>
      <c r="P49" s="1471"/>
      <c r="Q49" s="1471"/>
      <c r="R49" s="1471"/>
      <c r="S49" s="1471"/>
      <c r="T49" s="1471"/>
      <c r="U49" s="1471"/>
      <c r="V49" s="1471"/>
      <c r="W49" s="1488"/>
    </row>
    <row r="50" spans="2:23">
      <c r="B50" s="1484" t="s">
        <v>26</v>
      </c>
      <c r="C50" s="1469" t="s">
        <v>288</v>
      </c>
      <c r="D50" s="1497"/>
      <c r="E50" s="1497"/>
      <c r="F50" s="1497"/>
      <c r="G50" s="1497"/>
      <c r="H50" s="212"/>
      <c r="I50" s="1479"/>
      <c r="J50" s="1472"/>
      <c r="L50" s="1487" t="s">
        <v>1945</v>
      </c>
      <c r="M50" s="1471"/>
      <c r="N50" s="1471"/>
      <c r="O50" s="1471" t="s">
        <v>1946</v>
      </c>
      <c r="P50" s="1471"/>
      <c r="Q50" s="1471"/>
      <c r="R50" s="1471"/>
      <c r="S50" s="1471"/>
      <c r="T50" s="1471"/>
      <c r="U50" s="1471"/>
      <c r="V50" s="1471"/>
      <c r="W50" s="1488"/>
    </row>
    <row r="51" spans="2:23">
      <c r="B51" s="1484" t="s">
        <v>167</v>
      </c>
      <c r="C51" s="1469" t="s">
        <v>288</v>
      </c>
      <c r="D51" s="1497">
        <f t="shared" ref="D51:G52" si="0">D85/$D$80</f>
        <v>0</v>
      </c>
      <c r="E51" s="1497">
        <f t="shared" si="0"/>
        <v>0</v>
      </c>
      <c r="F51" s="1497">
        <f t="shared" si="0"/>
        <v>0</v>
      </c>
      <c r="G51" s="1497">
        <f t="shared" si="0"/>
        <v>0</v>
      </c>
      <c r="H51" s="90"/>
      <c r="I51" s="1479"/>
      <c r="J51" s="1472"/>
      <c r="L51" s="1487" t="s">
        <v>1820</v>
      </c>
      <c r="M51" s="1471"/>
      <c r="N51" s="1471"/>
      <c r="O51" s="1471" t="s">
        <v>1821</v>
      </c>
      <c r="P51" s="1471"/>
      <c r="Q51" s="1471"/>
      <c r="R51" s="1471"/>
      <c r="S51" s="1471"/>
      <c r="T51" s="1471"/>
      <c r="U51" s="1471"/>
      <c r="V51" s="1471"/>
      <c r="W51" s="1488"/>
    </row>
    <row r="52" spans="2:23">
      <c r="B52" s="1484" t="s">
        <v>45</v>
      </c>
      <c r="C52" s="1469" t="s">
        <v>288</v>
      </c>
      <c r="D52" s="1497">
        <f t="shared" si="0"/>
        <v>0</v>
      </c>
      <c r="E52" s="1497">
        <f t="shared" si="0"/>
        <v>0</v>
      </c>
      <c r="F52" s="1497">
        <f t="shared" si="0"/>
        <v>0</v>
      </c>
      <c r="G52" s="1497">
        <f t="shared" si="0"/>
        <v>0</v>
      </c>
      <c r="H52" s="90"/>
      <c r="I52" s="1479"/>
      <c r="J52" s="1472"/>
      <c r="L52" s="1487" t="s">
        <v>1822</v>
      </c>
      <c r="M52" s="1471"/>
      <c r="N52" s="1471"/>
      <c r="O52" s="1471" t="s">
        <v>1947</v>
      </c>
      <c r="P52" s="1471"/>
      <c r="Q52" s="1471"/>
      <c r="R52" s="1471"/>
      <c r="S52" s="1471"/>
      <c r="T52" s="1471"/>
      <c r="U52" s="1471"/>
      <c r="V52" s="1471"/>
      <c r="W52" s="1488"/>
    </row>
    <row r="53" spans="2:23">
      <c r="B53" s="1484"/>
      <c r="C53" s="1469"/>
      <c r="D53" s="1497"/>
      <c r="E53" s="1497"/>
      <c r="F53" s="1497"/>
      <c r="G53" s="1497"/>
      <c r="H53" s="90"/>
      <c r="I53" s="1479"/>
      <c r="J53" s="1472"/>
      <c r="L53" s="1487"/>
      <c r="M53" s="1471"/>
      <c r="N53" s="1471"/>
      <c r="O53" s="1471"/>
      <c r="P53" s="1471"/>
      <c r="Q53" s="1471"/>
      <c r="R53" s="1471"/>
      <c r="S53" s="1471"/>
      <c r="T53" s="1471"/>
      <c r="U53" s="1471"/>
      <c r="V53" s="1471"/>
      <c r="W53" s="1488"/>
    </row>
    <row r="54" spans="2:23">
      <c r="B54" s="418" t="s">
        <v>20</v>
      </c>
      <c r="C54" s="1469"/>
      <c r="D54" s="1497"/>
      <c r="E54" s="1497"/>
      <c r="F54" s="1497"/>
      <c r="G54" s="1497"/>
      <c r="H54" s="1660"/>
      <c r="I54" s="1479"/>
      <c r="J54" s="1472"/>
      <c r="L54" s="1487"/>
      <c r="M54" s="1471"/>
      <c r="N54" s="1471"/>
      <c r="O54" s="1471"/>
      <c r="P54" s="1471"/>
      <c r="Q54" s="1471"/>
      <c r="R54" s="1471"/>
      <c r="S54" s="1471"/>
      <c r="T54" s="1471"/>
      <c r="U54" s="1471"/>
      <c r="V54" s="1471"/>
      <c r="W54" s="1488"/>
    </row>
    <row r="55" spans="2:23">
      <c r="B55" s="1484" t="s">
        <v>24</v>
      </c>
      <c r="C55" s="1469" t="s">
        <v>288</v>
      </c>
      <c r="D55" s="1589"/>
      <c r="E55" s="1589"/>
      <c r="F55" s="1589"/>
      <c r="G55" s="1589"/>
      <c r="H55" s="1169"/>
      <c r="I55" s="1479"/>
      <c r="J55" s="1472"/>
      <c r="L55" s="1487"/>
      <c r="M55" s="1471"/>
      <c r="N55" s="1471"/>
      <c r="O55" s="1471"/>
      <c r="P55" s="1471"/>
      <c r="Q55" s="1471"/>
      <c r="R55" s="1471"/>
      <c r="S55" s="1471"/>
      <c r="T55" s="1471"/>
      <c r="U55" s="1471"/>
      <c r="V55" s="1471"/>
      <c r="W55" s="1488"/>
    </row>
    <row r="56" spans="2:23">
      <c r="B56" s="1484" t="s">
        <v>27</v>
      </c>
      <c r="C56" s="1469" t="s">
        <v>288</v>
      </c>
      <c r="D56" s="1497">
        <f>D48</f>
        <v>0</v>
      </c>
      <c r="E56" s="1497">
        <f>E48</f>
        <v>0</v>
      </c>
      <c r="F56" s="1497">
        <f>F48</f>
        <v>0</v>
      </c>
      <c r="G56" s="1497">
        <f>G48</f>
        <v>0</v>
      </c>
      <c r="H56" s="1169"/>
      <c r="I56" s="1479"/>
      <c r="J56" s="1472"/>
      <c r="L56" s="1487"/>
      <c r="M56" s="1471"/>
      <c r="N56" s="1471"/>
      <c r="O56" s="1471"/>
      <c r="P56" s="1471"/>
      <c r="Q56" s="1471"/>
      <c r="R56" s="1471"/>
      <c r="S56" s="1471"/>
      <c r="T56" s="1471"/>
      <c r="U56" s="1471"/>
      <c r="V56" s="1471"/>
      <c r="W56" s="1488"/>
    </row>
    <row r="57" spans="2:23">
      <c r="B57" s="1484" t="s">
        <v>28</v>
      </c>
      <c r="C57" s="1469" t="s">
        <v>288</v>
      </c>
      <c r="D57" s="1497">
        <f t="shared" ref="D57:G60" si="1">D49</f>
        <v>0</v>
      </c>
      <c r="E57" s="1497">
        <f t="shared" si="1"/>
        <v>0</v>
      </c>
      <c r="F57" s="1497">
        <f t="shared" si="1"/>
        <v>0</v>
      </c>
      <c r="G57" s="1497">
        <f t="shared" si="1"/>
        <v>0</v>
      </c>
      <c r="H57" s="1169"/>
      <c r="I57" s="1479"/>
      <c r="J57" s="1472"/>
      <c r="L57" s="1487"/>
      <c r="M57" s="1471"/>
      <c r="N57" s="1471"/>
      <c r="O57" s="1471"/>
      <c r="P57" s="1471"/>
      <c r="Q57" s="1471"/>
      <c r="R57" s="1471"/>
      <c r="S57" s="1471"/>
      <c r="T57" s="1471"/>
      <c r="U57" s="1471"/>
      <c r="V57" s="1471"/>
      <c r="W57" s="1488"/>
    </row>
    <row r="58" spans="2:23">
      <c r="B58" s="1484" t="s">
        <v>26</v>
      </c>
      <c r="C58" s="1469" t="s">
        <v>288</v>
      </c>
      <c r="D58" s="1497">
        <f t="shared" si="1"/>
        <v>0</v>
      </c>
      <c r="E58" s="1497">
        <f t="shared" si="1"/>
        <v>0</v>
      </c>
      <c r="F58" s="1497">
        <f t="shared" si="1"/>
        <v>0</v>
      </c>
      <c r="G58" s="1497">
        <f t="shared" si="1"/>
        <v>0</v>
      </c>
      <c r="H58" s="1169"/>
      <c r="I58" s="1479"/>
      <c r="J58" s="1472"/>
      <c r="L58" s="1487"/>
      <c r="M58" s="1471"/>
      <c r="N58" s="1471"/>
      <c r="O58" s="1471"/>
      <c r="P58" s="1471"/>
      <c r="Q58" s="1471"/>
      <c r="R58" s="1471"/>
      <c r="S58" s="1471"/>
      <c r="T58" s="1471"/>
      <c r="U58" s="1471"/>
      <c r="V58" s="1471"/>
      <c r="W58" s="1488"/>
    </row>
    <row r="59" spans="2:23">
      <c r="B59" s="1484" t="s">
        <v>167</v>
      </c>
      <c r="C59" s="1469" t="s">
        <v>288</v>
      </c>
      <c r="D59" s="1497">
        <f t="shared" si="1"/>
        <v>0</v>
      </c>
      <c r="E59" s="1497">
        <f t="shared" si="1"/>
        <v>0</v>
      </c>
      <c r="F59" s="1497">
        <f t="shared" si="1"/>
        <v>0</v>
      </c>
      <c r="G59" s="1497">
        <f t="shared" si="1"/>
        <v>0</v>
      </c>
      <c r="H59" s="1169"/>
      <c r="I59" s="1479"/>
      <c r="J59" s="1472"/>
      <c r="L59" s="1487"/>
      <c r="M59" s="1471"/>
      <c r="N59" s="1471"/>
      <c r="O59" s="1471"/>
      <c r="P59" s="1471"/>
      <c r="Q59" s="1471"/>
      <c r="R59" s="1471"/>
      <c r="S59" s="1471"/>
      <c r="T59" s="1471"/>
      <c r="U59" s="1471"/>
      <c r="V59" s="1471"/>
      <c r="W59" s="1488"/>
    </row>
    <row r="60" spans="2:23">
      <c r="B60" s="1484" t="s">
        <v>45</v>
      </c>
      <c r="C60" s="1469" t="s">
        <v>288</v>
      </c>
      <c r="D60" s="1497">
        <f t="shared" si="1"/>
        <v>0</v>
      </c>
      <c r="E60" s="1497">
        <f t="shared" si="1"/>
        <v>0</v>
      </c>
      <c r="F60" s="1497">
        <f t="shared" si="1"/>
        <v>0</v>
      </c>
      <c r="G60" s="1497">
        <f t="shared" si="1"/>
        <v>0</v>
      </c>
      <c r="H60" s="323"/>
      <c r="I60" s="1479"/>
      <c r="J60" s="1472"/>
      <c r="L60" s="1487" t="s">
        <v>1824</v>
      </c>
      <c r="M60" s="1471"/>
      <c r="N60" s="1471"/>
      <c r="O60" s="1471" t="s">
        <v>1825</v>
      </c>
      <c r="P60" s="1471"/>
      <c r="Q60" s="1471"/>
      <c r="R60" s="1471"/>
      <c r="S60" s="1471"/>
      <c r="T60" s="1471"/>
      <c r="U60" s="1471"/>
      <c r="V60" s="1471"/>
      <c r="W60" s="1488"/>
    </row>
    <row r="61" spans="2:23" ht="13.5" thickBot="1">
      <c r="B61" s="1498"/>
      <c r="C61" s="1499"/>
      <c r="D61" s="1500"/>
      <c r="E61" s="1501"/>
      <c r="F61" s="1501"/>
      <c r="G61" s="1501"/>
      <c r="H61" s="1501"/>
      <c r="I61" s="1232"/>
      <c r="J61" s="1503"/>
      <c r="L61" s="1487" t="s">
        <v>1826</v>
      </c>
      <c r="M61" s="1471"/>
      <c r="N61" s="1471"/>
      <c r="O61" s="1471" t="s">
        <v>1948</v>
      </c>
      <c r="P61" s="1471"/>
      <c r="Q61" s="1471"/>
      <c r="R61" s="1471"/>
      <c r="S61" s="1471"/>
      <c r="T61" s="1471"/>
      <c r="U61" s="1471"/>
      <c r="V61" s="1471"/>
      <c r="W61" s="1488"/>
    </row>
    <row r="62" spans="2:23">
      <c r="H62" s="1447"/>
      <c r="L62" s="1487"/>
      <c r="M62" s="1471"/>
      <c r="N62" s="1471"/>
      <c r="O62" s="1471" t="s">
        <v>1949</v>
      </c>
      <c r="P62" s="1471"/>
      <c r="Q62" s="1471"/>
      <c r="R62" s="1471"/>
      <c r="S62" s="1471"/>
      <c r="T62" s="1471"/>
      <c r="U62" s="1471"/>
      <c r="V62" s="1471"/>
      <c r="W62" s="1488"/>
    </row>
    <row r="63" spans="2:23">
      <c r="H63" s="1447"/>
      <c r="L63" s="1487" t="s">
        <v>1828</v>
      </c>
      <c r="M63" s="1471"/>
      <c r="N63" s="1471"/>
      <c r="O63" s="1471" t="s">
        <v>1950</v>
      </c>
      <c r="P63" s="1471"/>
      <c r="Q63" s="1471"/>
      <c r="R63" s="1471"/>
      <c r="S63" s="1471"/>
      <c r="T63" s="1471"/>
      <c r="U63" s="1471"/>
      <c r="V63" s="1471"/>
      <c r="W63" s="1488"/>
    </row>
    <row r="64" spans="2:23" ht="16.5" thickBot="1">
      <c r="B64" s="1504" t="s">
        <v>168</v>
      </c>
      <c r="H64" s="1447"/>
      <c r="L64" s="1487"/>
      <c r="M64" s="1471"/>
      <c r="N64" s="1471"/>
      <c r="O64" s="1471"/>
      <c r="P64" s="1471"/>
      <c r="Q64" s="1471"/>
      <c r="R64" s="1471"/>
      <c r="S64" s="1471"/>
      <c r="T64" s="1471"/>
      <c r="U64" s="1471"/>
      <c r="V64" s="1471"/>
      <c r="W64" s="1488"/>
    </row>
    <row r="65" spans="2:23">
      <c r="B65" s="1455"/>
      <c r="C65" s="1456"/>
      <c r="D65" s="1449"/>
      <c r="E65" s="1449"/>
      <c r="F65" s="1449"/>
      <c r="G65" s="1449"/>
      <c r="H65" s="1449"/>
      <c r="I65" s="2356" t="s">
        <v>145</v>
      </c>
      <c r="J65" s="1450" t="s">
        <v>146</v>
      </c>
      <c r="L65" s="1487" t="s">
        <v>1951</v>
      </c>
      <c r="M65" s="1471"/>
      <c r="N65" s="1471"/>
      <c r="O65" s="1471" t="s">
        <v>1952</v>
      </c>
      <c r="P65" s="1471"/>
      <c r="Q65" s="1471"/>
      <c r="R65" s="1471"/>
      <c r="S65" s="1471"/>
      <c r="T65" s="1471"/>
      <c r="U65" s="1471"/>
      <c r="V65" s="1471"/>
      <c r="W65" s="1488"/>
    </row>
    <row r="66" spans="2:23">
      <c r="B66" s="1460"/>
      <c r="C66" s="1461" t="s">
        <v>70</v>
      </c>
      <c r="D66" s="1506">
        <v>2015</v>
      </c>
      <c r="E66" s="1507">
        <v>2020</v>
      </c>
      <c r="F66" s="1507">
        <v>2035</v>
      </c>
      <c r="G66" s="1507">
        <v>2050</v>
      </c>
      <c r="H66" s="1507"/>
      <c r="I66" s="2362"/>
      <c r="J66" s="1465"/>
      <c r="L66" s="1487"/>
      <c r="M66" s="1471"/>
      <c r="N66" s="1471"/>
      <c r="O66" s="1471"/>
      <c r="P66" s="1471"/>
      <c r="Q66" s="1471"/>
      <c r="R66" s="1471"/>
      <c r="S66" s="1471"/>
      <c r="T66" s="1471"/>
      <c r="U66" s="1471"/>
      <c r="V66" s="1471"/>
      <c r="W66" s="1488"/>
    </row>
    <row r="67" spans="2:23">
      <c r="B67" s="1484" t="s">
        <v>266</v>
      </c>
      <c r="C67" s="1509" t="s">
        <v>267</v>
      </c>
      <c r="D67" s="2429">
        <f>D23*D80</f>
        <v>16.132852373925061</v>
      </c>
      <c r="E67" s="2429">
        <f>D67</f>
        <v>16.132852373925061</v>
      </c>
      <c r="F67" s="2429">
        <f t="shared" ref="F67:G67" si="2">E67</f>
        <v>16.132852373925061</v>
      </c>
      <c r="G67" s="2429">
        <f t="shared" si="2"/>
        <v>16.132852373925061</v>
      </c>
      <c r="H67" s="1570"/>
      <c r="I67" s="2357"/>
      <c r="J67" s="1472"/>
      <c r="L67" s="1468" t="s">
        <v>1953</v>
      </c>
      <c r="M67" s="1471"/>
      <c r="N67" s="1471"/>
      <c r="O67" s="1471"/>
      <c r="P67" s="1471"/>
      <c r="Q67" s="1471"/>
      <c r="R67" s="1471"/>
      <c r="S67" s="1471"/>
      <c r="T67" s="1471"/>
      <c r="U67" s="1471"/>
      <c r="V67" s="1471"/>
      <c r="W67" s="1488"/>
    </row>
    <row r="68" spans="2:23">
      <c r="B68" s="1484" t="s">
        <v>1831</v>
      </c>
      <c r="C68" s="1509" t="s">
        <v>2560</v>
      </c>
      <c r="D68" s="2427">
        <v>642</v>
      </c>
      <c r="E68" s="1570"/>
      <c r="F68" s="1570"/>
      <c r="G68" s="1570"/>
      <c r="H68" s="1570"/>
      <c r="I68" s="2426"/>
      <c r="J68" s="1472"/>
      <c r="L68" s="1468"/>
      <c r="M68" s="1471"/>
      <c r="N68" s="1471"/>
      <c r="O68" s="1471"/>
      <c r="P68" s="1471"/>
      <c r="Q68" s="1471"/>
      <c r="R68" s="1471"/>
      <c r="S68" s="1471"/>
      <c r="T68" s="1471"/>
      <c r="U68" s="1471"/>
      <c r="V68" s="1471"/>
      <c r="W68" s="1488"/>
    </row>
    <row r="69" spans="2:23">
      <c r="B69" s="1484" t="s">
        <v>2562</v>
      </c>
      <c r="C69" s="1509" t="s">
        <v>2560</v>
      </c>
      <c r="D69" s="2428">
        <v>673</v>
      </c>
      <c r="E69" s="1570"/>
      <c r="F69" s="1570"/>
      <c r="G69" s="1570"/>
      <c r="H69" s="1570"/>
      <c r="I69" s="2426"/>
      <c r="J69" s="1472"/>
      <c r="L69" s="1468"/>
      <c r="M69" s="1471"/>
      <c r="N69" s="1471"/>
      <c r="O69" s="1471"/>
      <c r="P69" s="1471"/>
      <c r="Q69" s="1471"/>
      <c r="R69" s="1471"/>
      <c r="S69" s="1471"/>
      <c r="T69" s="1471"/>
      <c r="U69" s="1471"/>
      <c r="V69" s="1471"/>
      <c r="W69" s="1488"/>
    </row>
    <row r="70" spans="2:23">
      <c r="B70" s="1484" t="s">
        <v>268</v>
      </c>
      <c r="C70" s="1509" t="s">
        <v>269</v>
      </c>
      <c r="D70" s="1571">
        <v>250000</v>
      </c>
      <c r="E70" s="1571">
        <v>250000</v>
      </c>
      <c r="F70" s="1571">
        <v>250000</v>
      </c>
      <c r="G70" s="1571">
        <v>250000</v>
      </c>
      <c r="H70" s="1571"/>
      <c r="I70" s="2357" t="str">
        <f>Referencer!$B$68</f>
        <v>62, Baseret på viden og praktisk erfaring fra tekniske eksperter fra jernbanesektoren i Danmark og internationale faglige netværk</v>
      </c>
      <c r="J70" s="1472" t="s">
        <v>1954</v>
      </c>
      <c r="L70" s="1487" t="s">
        <v>1831</v>
      </c>
      <c r="M70" s="1471"/>
      <c r="N70" s="1471">
        <v>642</v>
      </c>
      <c r="O70" s="1471" t="s">
        <v>1832</v>
      </c>
      <c r="P70" s="1471"/>
      <c r="Q70" s="1471"/>
      <c r="R70" s="1471"/>
      <c r="S70" s="1471"/>
      <c r="T70" s="1471"/>
      <c r="U70" s="1471"/>
      <c r="V70" s="1471"/>
      <c r="W70" s="1488"/>
    </row>
    <row r="71" spans="2:23">
      <c r="B71" s="1572"/>
      <c r="C71" s="1573"/>
      <c r="D71" s="1486"/>
      <c r="E71" s="1486"/>
      <c r="F71" s="1486"/>
      <c r="G71" s="1486"/>
      <c r="H71" s="1486"/>
      <c r="I71" s="2357"/>
      <c r="J71" s="1574"/>
      <c r="L71" s="1487" t="s">
        <v>1833</v>
      </c>
      <c r="M71" s="1471"/>
      <c r="N71" s="1505">
        <v>7.1</v>
      </c>
      <c r="O71" s="1471" t="s">
        <v>1955</v>
      </c>
      <c r="P71" s="1471"/>
      <c r="Q71" s="1471"/>
      <c r="R71" s="1471"/>
      <c r="S71" s="1471"/>
      <c r="T71" s="1471"/>
      <c r="U71" s="1471"/>
      <c r="V71" s="1471"/>
      <c r="W71" s="1488"/>
    </row>
    <row r="72" spans="2:23">
      <c r="B72" s="1484"/>
      <c r="C72" s="1509"/>
      <c r="D72" s="1575"/>
      <c r="E72" s="1575"/>
      <c r="F72" s="1575"/>
      <c r="G72" s="1575"/>
      <c r="H72" s="1575"/>
      <c r="I72" s="2357"/>
      <c r="J72" s="1472"/>
      <c r="L72" s="1487" t="s">
        <v>1835</v>
      </c>
      <c r="M72" s="1471"/>
      <c r="N72" s="1471">
        <v>53</v>
      </c>
      <c r="O72" s="1471" t="s">
        <v>1956</v>
      </c>
      <c r="P72" s="1471"/>
      <c r="Q72" s="1471"/>
      <c r="R72" s="1471"/>
      <c r="S72" s="1471"/>
      <c r="T72" s="1471"/>
      <c r="U72" s="1471"/>
      <c r="V72" s="1471"/>
      <c r="W72" s="1488"/>
    </row>
    <row r="73" spans="2:23">
      <c r="B73" s="1484" t="s">
        <v>260</v>
      </c>
      <c r="C73" s="1509" t="s">
        <v>261</v>
      </c>
      <c r="D73" s="1471">
        <f>+D67*D70/1000</f>
        <v>4033.2130934812653</v>
      </c>
      <c r="E73" s="1471">
        <f>+E67*E70/1000</f>
        <v>4033.2130934812653</v>
      </c>
      <c r="F73" s="1471">
        <f>+F67*F70/1000</f>
        <v>4033.2130934812653</v>
      </c>
      <c r="G73" s="1471">
        <f>+G67*G70/1000</f>
        <v>4033.2130934812653</v>
      </c>
      <c r="H73" s="1471"/>
      <c r="I73" s="2357"/>
      <c r="J73" s="1472"/>
      <c r="L73" s="1487"/>
      <c r="M73" s="1471"/>
      <c r="N73" s="1471"/>
      <c r="O73" s="1471"/>
      <c r="P73" s="1471"/>
      <c r="Q73" s="1471"/>
      <c r="R73" s="1471"/>
      <c r="S73" s="1471"/>
      <c r="T73" s="1471"/>
      <c r="U73" s="1471"/>
      <c r="V73" s="1471"/>
      <c r="W73" s="1488"/>
    </row>
    <row r="74" spans="2:23">
      <c r="B74" s="1484" t="s">
        <v>271</v>
      </c>
      <c r="C74" s="1509" t="s">
        <v>55</v>
      </c>
      <c r="D74" s="1514">
        <v>29.3</v>
      </c>
      <c r="E74" s="1515">
        <v>29.3</v>
      </c>
      <c r="F74" s="1515">
        <v>29.3</v>
      </c>
      <c r="G74" s="1515">
        <v>29.3</v>
      </c>
      <c r="H74" s="1515"/>
      <c r="I74" s="1479" t="str">
        <f>Referencer!$B$67</f>
        <v>61, "European Benchmarking of the costs, performance and revenues of GB TOCs", Prepared for the Office of Rail Regulation, Hamburg, November 20th, 2012, Civity Management Consultants, http://www.rail-reg.gov.uk/upload/pdf/civity-toc-benchmarking-201112.pdf (modificeret dansk værdi ift EU gns.: 2,4£ x 1,36)</v>
      </c>
      <c r="J74" s="1472" t="s">
        <v>1844</v>
      </c>
      <c r="L74" s="1487"/>
      <c r="M74" s="1471"/>
      <c r="N74" s="1471"/>
      <c r="O74" s="1471"/>
      <c r="P74" s="1471"/>
      <c r="Q74" s="1471"/>
      <c r="R74" s="1471"/>
      <c r="S74" s="1471"/>
      <c r="T74" s="1471"/>
      <c r="U74" s="1471"/>
      <c r="V74" s="1471"/>
      <c r="W74" s="1488"/>
    </row>
    <row r="75" spans="2:23" ht="25.5">
      <c r="B75" s="1517" t="s">
        <v>1847</v>
      </c>
      <c r="C75" s="1509" t="s">
        <v>29</v>
      </c>
      <c r="D75" s="1576"/>
      <c r="E75" s="379">
        <v>0.08</v>
      </c>
      <c r="F75" s="379">
        <v>0.15</v>
      </c>
      <c r="G75" s="379">
        <v>0.15</v>
      </c>
      <c r="H75" s="379"/>
      <c r="I75" s="1479" t="str">
        <f>Referencer!$B$66</f>
        <v>60, EU projektet Railenergy (www.railenergy.eu)</v>
      </c>
      <c r="J75" s="1472" t="s">
        <v>1959</v>
      </c>
      <c r="L75" s="1487" t="s">
        <v>1957</v>
      </c>
      <c r="M75" s="1471"/>
      <c r="N75" s="1505">
        <v>3.6</v>
      </c>
      <c r="O75" s="1471" t="s">
        <v>1958</v>
      </c>
      <c r="P75" s="1471"/>
      <c r="Q75" s="1471"/>
      <c r="R75" s="1471"/>
      <c r="S75" s="1471"/>
      <c r="T75" s="1471"/>
      <c r="U75" s="1471"/>
      <c r="V75" s="1471"/>
      <c r="W75" s="1488"/>
    </row>
    <row r="76" spans="2:23">
      <c r="B76" s="1484" t="s">
        <v>2563</v>
      </c>
      <c r="C76" s="1509"/>
      <c r="D76" s="2427">
        <v>97</v>
      </c>
      <c r="E76" s="1577"/>
      <c r="F76" s="1577"/>
      <c r="G76" s="1577"/>
      <c r="H76" s="1577"/>
      <c r="I76" s="2357"/>
      <c r="J76" s="1472"/>
      <c r="L76" s="1487"/>
      <c r="M76" s="1471"/>
      <c r="N76" s="1471"/>
      <c r="O76" s="1471"/>
      <c r="P76" s="1471"/>
      <c r="Q76" s="1471"/>
      <c r="R76" s="1471"/>
      <c r="S76" s="1471"/>
      <c r="T76" s="1471"/>
      <c r="U76" s="1471"/>
      <c r="V76" s="1471"/>
      <c r="W76" s="1488"/>
    </row>
    <row r="77" spans="2:23" ht="13.5" thickBot="1">
      <c r="B77" s="1521"/>
      <c r="C77" s="1522"/>
      <c r="D77" s="1579"/>
      <c r="E77" s="1579"/>
      <c r="F77" s="1579"/>
      <c r="G77" s="1579"/>
      <c r="H77" s="1579"/>
      <c r="I77" s="1232"/>
      <c r="J77" s="1503"/>
      <c r="L77" s="1578"/>
      <c r="M77" s="1501"/>
      <c r="N77" s="1501"/>
      <c r="O77" s="1501"/>
      <c r="P77" s="1501"/>
      <c r="Q77" s="1501"/>
      <c r="R77" s="1501"/>
      <c r="S77" s="1501"/>
      <c r="T77" s="1501"/>
      <c r="U77" s="1501"/>
      <c r="V77" s="1501"/>
      <c r="W77" s="1526" t="s">
        <v>1960</v>
      </c>
    </row>
    <row r="78" spans="2:23">
      <c r="D78" s="1580"/>
      <c r="E78" s="1580"/>
      <c r="F78" s="1580"/>
      <c r="G78" s="1580"/>
      <c r="H78" s="1580"/>
    </row>
    <row r="79" spans="2:23" ht="16.5" thickBot="1">
      <c r="B79" s="1504" t="s">
        <v>172</v>
      </c>
      <c r="H79" s="1447"/>
    </row>
    <row r="80" spans="2:23" ht="16.5" thickBot="1">
      <c r="B80" s="1455" t="s">
        <v>273</v>
      </c>
      <c r="C80" s="1449"/>
      <c r="D80" s="1581">
        <f>N72*N75/1000*D76</f>
        <v>18.507600000000004</v>
      </c>
      <c r="E80" s="1582">
        <f>E67/E23</f>
        <v>17.938022389198764</v>
      </c>
      <c r="F80" s="1582">
        <f>F67/F23</f>
        <v>17.938022389198764</v>
      </c>
      <c r="G80" s="1582">
        <f>G67/G23</f>
        <v>17.938022389198764</v>
      </c>
      <c r="H80" s="1582"/>
      <c r="I80" s="1219"/>
      <c r="J80" s="1450" t="s">
        <v>2561</v>
      </c>
      <c r="L80" s="1504" t="s">
        <v>1853</v>
      </c>
    </row>
    <row r="81" spans="2:18">
      <c r="B81" s="1484"/>
      <c r="C81" s="1471"/>
      <c r="D81" s="1471"/>
      <c r="E81" s="1471"/>
      <c r="F81" s="1471"/>
      <c r="G81" s="1471"/>
      <c r="H81" s="1471"/>
      <c r="I81" s="2357"/>
      <c r="J81" s="1472"/>
      <c r="L81" s="2549"/>
      <c r="M81" s="2550"/>
      <c r="N81" s="2550"/>
      <c r="O81" s="1458"/>
      <c r="P81" s="1458"/>
      <c r="Q81" s="1458"/>
      <c r="R81" s="1459"/>
    </row>
    <row r="82" spans="2:18">
      <c r="B82" s="1484" t="s">
        <v>24</v>
      </c>
      <c r="C82" s="1471" t="s">
        <v>7</v>
      </c>
      <c r="D82" s="1584">
        <v>0</v>
      </c>
      <c r="E82" s="1584">
        <v>0</v>
      </c>
      <c r="F82" s="1584">
        <v>0</v>
      </c>
      <c r="G82" s="1584">
        <v>0</v>
      </c>
      <c r="H82" s="1584"/>
      <c r="I82" s="2357"/>
      <c r="J82" s="1472"/>
      <c r="L82" s="1530"/>
      <c r="M82" s="1466"/>
      <c r="N82" s="1466"/>
      <c r="O82" s="1466"/>
      <c r="P82" s="1466"/>
      <c r="Q82" s="1466"/>
      <c r="R82" s="1467"/>
    </row>
    <row r="83" spans="2:18" ht="12.75" customHeight="1">
      <c r="B83" s="1484" t="s">
        <v>27</v>
      </c>
      <c r="C83" s="1471" t="s">
        <v>7</v>
      </c>
      <c r="D83" s="1584">
        <v>0</v>
      </c>
      <c r="E83" s="1584">
        <v>0</v>
      </c>
      <c r="F83" s="1584">
        <v>0</v>
      </c>
      <c r="G83" s="1584">
        <v>0</v>
      </c>
      <c r="H83" s="1584"/>
      <c r="I83" s="2357"/>
      <c r="J83" s="1472"/>
      <c r="L83" s="2540" t="s">
        <v>1961</v>
      </c>
      <c r="M83" s="2541"/>
      <c r="N83" s="1466"/>
      <c r="O83" s="1466"/>
      <c r="P83" s="1466"/>
      <c r="Q83" s="1466"/>
      <c r="R83" s="1467"/>
    </row>
    <row r="84" spans="2:18" ht="12.75" customHeight="1">
      <c r="B84" s="1484" t="s">
        <v>28</v>
      </c>
      <c r="C84" s="1471" t="s">
        <v>7</v>
      </c>
      <c r="D84" s="1584">
        <v>0</v>
      </c>
      <c r="E84" s="1584">
        <v>0</v>
      </c>
      <c r="F84" s="1584">
        <v>0</v>
      </c>
      <c r="G84" s="1584">
        <v>0</v>
      </c>
      <c r="H84" s="1584"/>
      <c r="I84" s="2357"/>
      <c r="J84" s="1472"/>
      <c r="L84" s="2537" t="s">
        <v>1962</v>
      </c>
      <c r="M84" s="2538"/>
      <c r="N84" s="2538"/>
      <c r="O84" s="2538"/>
      <c r="P84" s="2538"/>
      <c r="Q84" s="2538"/>
      <c r="R84" s="2539"/>
    </row>
    <row r="85" spans="2:18" ht="12.75" customHeight="1">
      <c r="B85" s="1484" t="s">
        <v>26</v>
      </c>
      <c r="C85" s="1471" t="s">
        <v>7</v>
      </c>
      <c r="D85" s="1584">
        <v>0</v>
      </c>
      <c r="E85" s="1584">
        <v>0</v>
      </c>
      <c r="F85" s="1584">
        <v>0</v>
      </c>
      <c r="G85" s="1584">
        <v>0</v>
      </c>
      <c r="H85" s="1584"/>
      <c r="I85" s="2357"/>
      <c r="J85" s="1472"/>
      <c r="L85" s="2537" t="s">
        <v>1963</v>
      </c>
      <c r="M85" s="2538"/>
      <c r="N85" s="2538"/>
      <c r="O85" s="2538"/>
      <c r="P85" s="2538"/>
      <c r="Q85" s="2538"/>
      <c r="R85" s="2539"/>
    </row>
    <row r="86" spans="2:18" ht="12.75" customHeight="1">
      <c r="B86" s="1484" t="s">
        <v>167</v>
      </c>
      <c r="C86" s="1471" t="s">
        <v>7</v>
      </c>
      <c r="D86" s="1584">
        <v>0</v>
      </c>
      <c r="E86" s="1584">
        <v>0</v>
      </c>
      <c r="F86" s="1584">
        <v>0</v>
      </c>
      <c r="G86" s="1584">
        <v>0</v>
      </c>
      <c r="H86" s="1584"/>
      <c r="I86" s="2357"/>
      <c r="J86" s="1472"/>
      <c r="L86" s="2537" t="s">
        <v>1964</v>
      </c>
      <c r="M86" s="2538"/>
      <c r="N86" s="2538"/>
      <c r="O86" s="2538"/>
      <c r="P86" s="2538"/>
      <c r="Q86" s="2538"/>
      <c r="R86" s="2539"/>
    </row>
    <row r="87" spans="2:18">
      <c r="B87" s="1484" t="s">
        <v>45</v>
      </c>
      <c r="C87" s="1471" t="s">
        <v>7</v>
      </c>
      <c r="D87" s="1584">
        <v>0</v>
      </c>
      <c r="E87" s="1584">
        <v>0</v>
      </c>
      <c r="F87" s="1584">
        <v>0</v>
      </c>
      <c r="G87" s="1584">
        <v>0</v>
      </c>
      <c r="H87" s="1584"/>
      <c r="I87" s="2357"/>
      <c r="J87" s="1472"/>
      <c r="L87" s="2537"/>
      <c r="M87" s="2538"/>
      <c r="N87" s="2538"/>
      <c r="O87" s="2538"/>
      <c r="P87" s="2538"/>
      <c r="Q87" s="2538"/>
      <c r="R87" s="2539"/>
    </row>
    <row r="88" spans="2:18" ht="13.5" thickBot="1">
      <c r="B88" s="1521"/>
      <c r="C88" s="1501"/>
      <c r="D88" s="1501"/>
      <c r="E88" s="1501"/>
      <c r="F88" s="1501"/>
      <c r="G88" s="1501"/>
      <c r="H88" s="1501"/>
      <c r="I88" s="2361"/>
      <c r="J88" s="1503"/>
      <c r="L88" s="1481"/>
      <c r="M88" s="1482"/>
      <c r="N88" s="1482"/>
      <c r="O88" s="1482"/>
      <c r="P88" s="1482"/>
      <c r="Q88" s="1482"/>
      <c r="R88" s="1483"/>
    </row>
    <row r="89" spans="2:18" ht="13.5" customHeight="1">
      <c r="H89" s="1447"/>
      <c r="L89" s="2540" t="s">
        <v>1965</v>
      </c>
      <c r="M89" s="2541"/>
      <c r="N89" s="1482"/>
      <c r="O89" s="1482"/>
      <c r="P89" s="1482"/>
      <c r="Q89" s="1482"/>
      <c r="R89" s="1483"/>
    </row>
    <row r="90" spans="2:18" ht="12.75" customHeight="1">
      <c r="H90" s="1447"/>
      <c r="L90" s="2537" t="s">
        <v>1966</v>
      </c>
      <c r="M90" s="2538"/>
      <c r="N90" s="2538"/>
      <c r="O90" s="2538"/>
      <c r="P90" s="2538"/>
      <c r="Q90" s="2538"/>
      <c r="R90" s="2539"/>
    </row>
    <row r="91" spans="2:18" ht="12.75" customHeight="1">
      <c r="B91" s="1504"/>
      <c r="F91" s="1535"/>
      <c r="G91" s="1535"/>
      <c r="H91" s="1535"/>
      <c r="L91" s="2537" t="s">
        <v>1967</v>
      </c>
      <c r="M91" s="2538"/>
      <c r="N91" s="2538"/>
      <c r="O91" s="2538"/>
      <c r="P91" s="2538"/>
      <c r="Q91" s="2538"/>
      <c r="R91" s="2539"/>
    </row>
    <row r="92" spans="2:18" ht="16.5" customHeight="1">
      <c r="B92" s="2574"/>
      <c r="C92" s="2574"/>
      <c r="D92" s="2574"/>
      <c r="E92" s="2574"/>
      <c r="F92" s="2574"/>
      <c r="G92" s="2574"/>
      <c r="H92" s="2574"/>
      <c r="I92" s="2574"/>
      <c r="J92" s="2574"/>
      <c r="L92" s="2537" t="s">
        <v>1942</v>
      </c>
      <c r="M92" s="2538"/>
      <c r="N92" s="2538"/>
      <c r="O92" s="2538"/>
      <c r="P92" s="2538"/>
      <c r="Q92" s="2538"/>
      <c r="R92" s="2539"/>
    </row>
    <row r="93" spans="2:18" ht="12.75" customHeight="1">
      <c r="B93" s="2431"/>
      <c r="C93" s="2431"/>
      <c r="D93" s="2431"/>
      <c r="E93" s="2431"/>
      <c r="F93" s="2431"/>
      <c r="G93" s="2431"/>
      <c r="H93" s="2431"/>
      <c r="I93" s="2432"/>
      <c r="J93" s="2431"/>
      <c r="L93" s="2537" t="s">
        <v>1968</v>
      </c>
      <c r="M93" s="2538"/>
      <c r="N93" s="2538"/>
      <c r="O93" s="2538"/>
      <c r="P93" s="2538"/>
      <c r="Q93" s="2538"/>
      <c r="R93" s="2539"/>
    </row>
    <row r="94" spans="2:18">
      <c r="B94" s="2574"/>
      <c r="C94" s="2574"/>
      <c r="D94" s="2574"/>
      <c r="E94" s="2574"/>
      <c r="F94" s="2574"/>
      <c r="G94" s="2574"/>
      <c r="H94" s="2574"/>
      <c r="I94" s="2574"/>
      <c r="J94" s="2574"/>
      <c r="L94" s="2537"/>
      <c r="M94" s="2538"/>
      <c r="N94" s="2538"/>
      <c r="O94" s="2538"/>
      <c r="P94" s="2538"/>
      <c r="Q94" s="2538"/>
      <c r="R94" s="2539"/>
    </row>
    <row r="95" spans="2:18">
      <c r="B95" s="1528"/>
      <c r="C95" s="1528"/>
      <c r="D95" s="1528"/>
      <c r="E95" s="1528"/>
      <c r="F95" s="1528"/>
      <c r="G95" s="1528"/>
      <c r="H95" s="1528"/>
      <c r="I95" s="2433"/>
      <c r="J95" s="1528"/>
      <c r="L95" s="2537"/>
      <c r="M95" s="2538"/>
      <c r="N95" s="2538"/>
      <c r="O95" s="2538"/>
      <c r="P95" s="2538"/>
      <c r="Q95" s="2538"/>
      <c r="R95" s="2539"/>
    </row>
    <row r="96" spans="2:18" ht="12.75" customHeight="1">
      <c r="B96" s="2574"/>
      <c r="C96" s="2574"/>
      <c r="D96" s="2574"/>
      <c r="E96" s="2574"/>
      <c r="F96" s="2574"/>
      <c r="G96" s="2574"/>
      <c r="H96" s="2574"/>
      <c r="I96" s="2574"/>
      <c r="J96" s="2574"/>
      <c r="L96" s="1481"/>
      <c r="M96" s="1482"/>
      <c r="N96" s="1482"/>
      <c r="O96" s="1482"/>
      <c r="P96" s="1482"/>
      <c r="Q96" s="1482"/>
      <c r="R96" s="1483"/>
    </row>
    <row r="97" spans="2:18">
      <c r="B97" s="2574"/>
      <c r="C97" s="2574"/>
      <c r="D97" s="2574"/>
      <c r="E97" s="2574"/>
      <c r="F97" s="2574"/>
      <c r="G97" s="2574"/>
      <c r="H97" s="2574"/>
      <c r="I97" s="2574"/>
      <c r="J97" s="2574"/>
      <c r="L97" s="1481"/>
      <c r="M97" s="1482"/>
      <c r="N97" s="1482"/>
      <c r="O97" s="1482"/>
      <c r="P97" s="1482"/>
      <c r="Q97" s="1482"/>
      <c r="R97" s="1483"/>
    </row>
    <row r="98" spans="2:18">
      <c r="B98" s="2574"/>
      <c r="C98" s="2574"/>
      <c r="D98" s="2574"/>
      <c r="E98" s="2574"/>
      <c r="F98" s="2574"/>
      <c r="G98" s="2574"/>
      <c r="H98" s="2574"/>
      <c r="I98" s="2574"/>
      <c r="J98" s="2574"/>
      <c r="L98" s="1481"/>
      <c r="M98" s="1482"/>
      <c r="N98" s="1482"/>
      <c r="O98" s="1482"/>
      <c r="P98" s="1482"/>
      <c r="Q98" s="1482"/>
      <c r="R98" s="1483"/>
    </row>
    <row r="99" spans="2:18" ht="12.75" customHeight="1">
      <c r="B99" s="2574"/>
      <c r="C99" s="2574"/>
      <c r="D99" s="2574"/>
      <c r="E99" s="2574"/>
      <c r="F99" s="2574"/>
      <c r="G99" s="2574"/>
      <c r="H99" s="2574"/>
      <c r="I99" s="2574"/>
      <c r="J99" s="2574"/>
      <c r="L99" s="2540" t="s">
        <v>2330</v>
      </c>
      <c r="M99" s="2541"/>
      <c r="N99" s="2541"/>
      <c r="O99" s="2541"/>
      <c r="P99" s="2541"/>
      <c r="Q99" s="2541"/>
      <c r="R99" s="1483"/>
    </row>
    <row r="100" spans="2:18" ht="12.75" customHeight="1">
      <c r="B100" s="2574"/>
      <c r="C100" s="2574"/>
      <c r="D100" s="2574"/>
      <c r="E100" s="2574"/>
      <c r="F100" s="2574"/>
      <c r="G100" s="2574"/>
      <c r="H100" s="2574"/>
      <c r="I100" s="2574"/>
      <c r="J100" s="2574"/>
      <c r="L100" s="2537" t="s">
        <v>2331</v>
      </c>
      <c r="M100" s="2538"/>
      <c r="N100" s="2538"/>
      <c r="O100" s="2538"/>
      <c r="P100" s="2538"/>
      <c r="Q100" s="2538"/>
      <c r="R100" s="2539"/>
    </row>
    <row r="101" spans="2:18" ht="12.75" customHeight="1">
      <c r="B101" s="2431"/>
      <c r="C101" s="2431"/>
      <c r="D101" s="2431"/>
      <c r="E101" s="2431"/>
      <c r="F101" s="2431"/>
      <c r="G101" s="2431"/>
      <c r="H101" s="2434"/>
      <c r="I101" s="2432"/>
      <c r="J101" s="2431"/>
      <c r="L101" s="2537" t="s">
        <v>1969</v>
      </c>
      <c r="M101" s="2538"/>
      <c r="N101" s="2538"/>
      <c r="O101" s="2538"/>
      <c r="P101" s="2538"/>
      <c r="Q101" s="2538"/>
      <c r="R101" s="2539"/>
    </row>
    <row r="102" spans="2:18" ht="13.5" customHeight="1">
      <c r="H102" s="134"/>
      <c r="L102" s="2537" t="s">
        <v>2332</v>
      </c>
      <c r="M102" s="2538"/>
      <c r="N102" s="2538"/>
      <c r="O102" s="2538"/>
      <c r="P102" s="2538"/>
      <c r="Q102" s="2538"/>
      <c r="R102" s="2539"/>
    </row>
    <row r="103" spans="2:18" ht="12.75" customHeight="1">
      <c r="L103" s="2537"/>
      <c r="M103" s="2538"/>
      <c r="N103" s="2538"/>
      <c r="O103" s="2538"/>
      <c r="P103" s="2538"/>
      <c r="Q103" s="2538"/>
      <c r="R103" s="2539"/>
    </row>
    <row r="104" spans="2:18" ht="12.75" customHeight="1">
      <c r="L104" s="2537" t="s">
        <v>1942</v>
      </c>
      <c r="M104" s="2538"/>
      <c r="N104" s="2538"/>
      <c r="O104" s="2538"/>
      <c r="P104" s="2538"/>
      <c r="Q104" s="2538"/>
      <c r="R104" s="2539"/>
    </row>
    <row r="105" spans="2:18" ht="12.75" customHeight="1">
      <c r="L105" s="2537" t="s">
        <v>1970</v>
      </c>
      <c r="M105" s="2538"/>
      <c r="N105" s="2538"/>
      <c r="O105" s="2538"/>
      <c r="P105" s="2538"/>
      <c r="Q105" s="2538"/>
      <c r="R105" s="2539"/>
    </row>
    <row r="106" spans="2:18">
      <c r="L106" s="1481"/>
      <c r="M106" s="1482"/>
      <c r="N106" s="1482"/>
      <c r="O106" s="1482"/>
      <c r="P106" s="1482"/>
      <c r="Q106" s="1482"/>
      <c r="R106" s="1483"/>
    </row>
    <row r="107" spans="2:18">
      <c r="E107" s="334"/>
      <c r="L107" s="2537"/>
      <c r="M107" s="2538"/>
      <c r="N107" s="2538"/>
      <c r="O107" s="2538"/>
      <c r="P107" s="2538"/>
      <c r="Q107" s="2538"/>
      <c r="R107" s="2539"/>
    </row>
    <row r="108" spans="2:18">
      <c r="L108" s="2537"/>
      <c r="M108" s="2538"/>
      <c r="N108" s="2538"/>
      <c r="O108" s="2538"/>
      <c r="P108" s="2538"/>
      <c r="Q108" s="2538"/>
      <c r="R108" s="2539"/>
    </row>
    <row r="109" spans="2:18">
      <c r="L109" s="1481"/>
      <c r="M109" s="1482"/>
      <c r="N109" s="1482"/>
      <c r="O109" s="1482"/>
      <c r="P109" s="1482"/>
      <c r="Q109" s="1482"/>
      <c r="R109" s="1483"/>
    </row>
    <row r="110" spans="2:18" ht="13.5" thickBot="1">
      <c r="L110" s="1551"/>
      <c r="M110" s="1552"/>
      <c r="N110" s="1552"/>
      <c r="O110" s="1552"/>
      <c r="P110" s="1552"/>
      <c r="Q110" s="1552"/>
      <c r="R110" s="1553"/>
    </row>
  </sheetData>
  <mergeCells count="31">
    <mergeCell ref="L87:R87"/>
    <mergeCell ref="B6:N7"/>
    <mergeCell ref="B8:N10"/>
    <mergeCell ref="B12:N13"/>
    <mergeCell ref="B14:N15"/>
    <mergeCell ref="L20:W28"/>
    <mergeCell ref="J47:J48"/>
    <mergeCell ref="L81:N81"/>
    <mergeCell ref="L83:M83"/>
    <mergeCell ref="L84:R84"/>
    <mergeCell ref="L85:R85"/>
    <mergeCell ref="L86:R86"/>
    <mergeCell ref="L89:M89"/>
    <mergeCell ref="L90:R90"/>
    <mergeCell ref="L91:R91"/>
    <mergeCell ref="L92:R92"/>
    <mergeCell ref="B92:J92"/>
    <mergeCell ref="L93:R95"/>
    <mergeCell ref="L107:R108"/>
    <mergeCell ref="B94:J94"/>
    <mergeCell ref="B96:J96"/>
    <mergeCell ref="B97:J97"/>
    <mergeCell ref="B98:J98"/>
    <mergeCell ref="L99:Q99"/>
    <mergeCell ref="B99:J99"/>
    <mergeCell ref="L100:R100"/>
    <mergeCell ref="B100:J100"/>
    <mergeCell ref="L101:R101"/>
    <mergeCell ref="L102:R103"/>
    <mergeCell ref="L104:R104"/>
    <mergeCell ref="L105:R105"/>
  </mergeCells>
  <pageMargins left="0.15748031496062992" right="0.15748031496062992" top="1.25" bottom="0.19685039370078741" header="0.51181102362204722" footer="0.51181102362204722"/>
  <pageSetup paperSize="9" scale="59" orientation="landscape" r:id="rId1"/>
  <headerFooter alignWithMargins="0">
    <oddHeader>&amp;L&amp;"Arial"&amp;14&amp;BBeregningsmodel
&amp;"Arial"&amp;08&amp;B64329, Teknologivurdering af alternative drivmidler til transportsektoren&amp;R&amp;"Arial"&amp;08Page &amp;P of &amp;N</oddHeader>
    <oddFooter>&amp;L&amp;"Arial"&amp;08&amp;Z&amp;F
Sheet: &amp;A&amp;C&amp;"Arial"&amp;08Printed &amp;D &amp;T&amp;R&amp;G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270785" r:id="rId5" name="Button 1">
              <controlPr defaultSize="0" print="0" autoFill="0" autoPict="0">
                <anchor>
                  <from>
                    <xdr:col>9</xdr:col>
                    <xdr:colOff>104775</xdr:colOff>
                    <xdr:row>0</xdr:row>
                    <xdr:rowOff>38100</xdr:rowOff>
                  </from>
                  <to>
                    <xdr:col>9</xdr:col>
                    <xdr:colOff>1171575</xdr:colOff>
                    <xdr:row>0</xdr:row>
                    <xdr:rowOff>238125</xdr:rowOff>
                  </to>
                </anchor>
              </controlPr>
            </control>
          </mc:Choice>
        </mc:AlternateContent>
        <mc:AlternateContent xmlns:mc="http://schemas.openxmlformats.org/markup-compatibility/2006">
          <mc:Choice Requires="x14">
            <control shapeId="1270786" r:id="rId6" name="Button 2">
              <controlPr defaultSize="0" print="0" autoFill="0" autoPict="0">
                <anchor>
                  <from>
                    <xdr:col>9</xdr:col>
                    <xdr:colOff>1343025</xdr:colOff>
                    <xdr:row>0</xdr:row>
                    <xdr:rowOff>38100</xdr:rowOff>
                  </from>
                  <to>
                    <xdr:col>9</xdr:col>
                    <xdr:colOff>2409825</xdr:colOff>
                    <xdr:row>0</xdr:row>
                    <xdr:rowOff>238125</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FFFF00"/>
  </sheetPr>
  <dimension ref="B1:CB104"/>
  <sheetViews>
    <sheetView zoomScale="80" zoomScaleNormal="80" workbookViewId="0">
      <selection activeCell="C8" sqref="C8:D8"/>
    </sheetView>
  </sheetViews>
  <sheetFormatPr defaultRowHeight="12.75"/>
  <cols>
    <col min="1" max="1" width="2" style="1241" customWidth="1"/>
    <col min="2" max="2" width="17" style="1241" customWidth="1"/>
    <col min="3" max="3" width="5.42578125" style="1241" customWidth="1"/>
    <col min="4" max="4" width="20.85546875" style="1241" customWidth="1"/>
    <col min="5" max="5" width="11.140625" style="1241" customWidth="1"/>
    <col min="6" max="6" width="9.42578125" style="1241" customWidth="1"/>
    <col min="7" max="7" width="10.5703125" style="1241" customWidth="1"/>
    <col min="8" max="8" width="7.5703125" style="1241" customWidth="1"/>
    <col min="9" max="9" width="9.7109375" style="1241" customWidth="1"/>
    <col min="10" max="10" width="11.140625" style="1241" customWidth="1"/>
    <col min="11" max="11" width="9.7109375" style="1241" customWidth="1"/>
    <col min="12" max="12" width="10.42578125" style="1241" customWidth="1"/>
    <col min="13" max="13" width="10.5703125" style="1241" customWidth="1"/>
    <col min="14" max="14" width="8" style="1241" customWidth="1"/>
    <col min="15" max="15" width="12.42578125" style="1241" customWidth="1"/>
    <col min="16" max="16" width="8" style="1241" customWidth="1"/>
    <col min="17" max="18" width="8.85546875" style="1241" customWidth="1"/>
    <col min="19" max="19" width="9.140625" style="1241" customWidth="1"/>
    <col min="20" max="20" width="2.85546875" style="1241" customWidth="1"/>
    <col min="21" max="21" width="13" style="1241" bestFit="1" customWidth="1"/>
    <col min="22" max="29" width="11.140625" style="1241" customWidth="1"/>
    <col min="30" max="35" width="6" style="1241" bestFit="1" customWidth="1"/>
    <col min="36" max="36" width="2.5703125" style="1241" customWidth="1"/>
    <col min="37" max="37" width="16.5703125" style="1241" bestFit="1" customWidth="1"/>
    <col min="38" max="38" width="4.42578125" style="1241" bestFit="1" customWidth="1"/>
    <col min="39" max="39" width="5.140625" style="1241" bestFit="1" customWidth="1"/>
    <col min="40" max="41" width="4.85546875" style="1241" bestFit="1" customWidth="1"/>
    <col min="42" max="42" width="5.140625" style="1241" bestFit="1" customWidth="1"/>
    <col min="43" max="44" width="4.85546875" style="1241" bestFit="1" customWidth="1"/>
    <col min="45" max="45" width="4.42578125" style="1241" bestFit="1" customWidth="1"/>
    <col min="46" max="46" width="4.85546875" style="1241" bestFit="1" customWidth="1"/>
    <col min="47" max="47" width="4.7109375" style="1241" bestFit="1" customWidth="1"/>
    <col min="48" max="48" width="5.140625" style="1241" bestFit="1" customWidth="1"/>
    <col min="49" max="49" width="4.85546875" style="1241" bestFit="1" customWidth="1"/>
    <col min="50" max="50" width="3.42578125" style="1241" bestFit="1" customWidth="1"/>
    <col min="51" max="52" width="4.85546875" style="1241" bestFit="1" customWidth="1"/>
    <col min="53" max="53" width="9.140625" style="1241"/>
    <col min="54" max="54" width="9.140625" style="1241" customWidth="1"/>
    <col min="55" max="55" width="4.42578125" style="1241" bestFit="1" customWidth="1"/>
    <col min="56" max="56" width="5.140625" style="1241" bestFit="1" customWidth="1"/>
    <col min="57" max="57" width="4.85546875" style="1241" bestFit="1" customWidth="1"/>
    <col min="58" max="58" width="10.42578125" style="1241" customWidth="1"/>
    <col min="59" max="59" width="5.140625" style="1241" bestFit="1" customWidth="1"/>
    <col min="60" max="60" width="5.85546875" style="1241" bestFit="1" customWidth="1"/>
    <col min="61" max="62" width="5.42578125" style="1241" bestFit="1" customWidth="1"/>
    <col min="63" max="63" width="5.140625" style="1241" bestFit="1" customWidth="1"/>
    <col min="64" max="64" width="4.85546875" style="1241" bestFit="1" customWidth="1"/>
    <col min="65" max="66" width="5.42578125" style="1241" bestFit="1" customWidth="1"/>
    <col min="67" max="70" width="5.85546875" style="1241" bestFit="1" customWidth="1"/>
    <col min="71" max="71" width="16.5703125" style="1241" customWidth="1"/>
    <col min="72" max="72" width="5.85546875" style="1241" bestFit="1" customWidth="1"/>
    <col min="73" max="73" width="7.5703125" style="1241" bestFit="1" customWidth="1"/>
    <col min="74" max="75" width="7.140625" style="1241" bestFit="1" customWidth="1"/>
    <col min="76" max="76" width="6.140625" style="1241" bestFit="1" customWidth="1"/>
    <col min="77" max="77" width="6" style="1241" bestFit="1" customWidth="1"/>
    <col min="78" max="79" width="7.140625" style="1241" bestFit="1" customWidth="1"/>
    <col min="80" max="85" width="7.5703125" style="1241" bestFit="1" customWidth="1"/>
    <col min="86" max="86" width="6.42578125" style="1241" bestFit="1" customWidth="1"/>
    <col min="87" max="87" width="9.140625" style="1241"/>
    <col min="88" max="88" width="16.28515625" style="1241" customWidth="1"/>
    <col min="89" max="103" width="7.28515625" style="1241" bestFit="1" customWidth="1"/>
    <col min="104" max="16384" width="9.140625" style="1241"/>
  </cols>
  <sheetData>
    <row r="1" spans="2:29" s="465" customFormat="1" ht="21">
      <c r="B1" s="465" t="s">
        <v>1668</v>
      </c>
      <c r="H1" s="465" t="s">
        <v>1669</v>
      </c>
      <c r="I1" s="2389">
        <f ca="1">'Log2015'!M1</f>
        <v>-8.0112614142160741</v>
      </c>
      <c r="J1" s="2389">
        <f ca="1">'Log2015'!N1</f>
        <v>-160807.124977848</v>
      </c>
    </row>
    <row r="3" spans="2:29">
      <c r="B3" s="1240" t="s">
        <v>1670</v>
      </c>
      <c r="C3" s="1240">
        <f>MAX($C$12:$C$44)</f>
        <v>20</v>
      </c>
    </row>
    <row r="5" spans="2:29">
      <c r="B5" s="1242" t="s">
        <v>2136</v>
      </c>
    </row>
    <row r="6" spans="2:29" ht="25.5">
      <c r="B6" s="1243"/>
      <c r="C6" s="1243"/>
      <c r="D6" s="1244" t="str">
        <f>D11</f>
        <v>Gruppe</v>
      </c>
      <c r="E6" s="1244" t="str">
        <f>E11</f>
        <v>Gruppe nummer</v>
      </c>
      <c r="F6" s="1244" t="str">
        <f>F11</f>
        <v>Crude price</v>
      </c>
      <c r="G6" s="1244" t="str">
        <f>G11</f>
        <v>Gas price</v>
      </c>
      <c r="H6" s="1244" t="str">
        <f t="shared" ref="H6:S6" si="0">H11</f>
        <v>Elec. price</v>
      </c>
      <c r="I6" s="1244" t="str">
        <f t="shared" si="0"/>
        <v>Heat price</v>
      </c>
      <c r="J6" s="1244" t="str">
        <f t="shared" si="0"/>
        <v>Straw price</v>
      </c>
      <c r="K6" s="1244" t="str">
        <f t="shared" si="0"/>
        <v>Wood price</v>
      </c>
      <c r="L6" s="1244" t="str">
        <f t="shared" si="0"/>
        <v>Food price</v>
      </c>
      <c r="M6" s="1244" t="str">
        <f t="shared" si="0"/>
        <v>Interest rate</v>
      </c>
      <c r="N6" s="1244" t="str">
        <f t="shared" si="0"/>
        <v>O&amp;M cost</v>
      </c>
      <c r="O6" s="1244" t="str">
        <f t="shared" si="0"/>
        <v>Capital cost</v>
      </c>
      <c r="P6" s="1244" t="str">
        <f t="shared" si="0"/>
        <v>CO₂ price</v>
      </c>
      <c r="Q6" s="1244" t="str">
        <f t="shared" si="0"/>
        <v>ILUC</v>
      </c>
      <c r="R6" s="1244">
        <f t="shared" si="0"/>
        <v>0</v>
      </c>
      <c r="S6" s="1244">
        <f t="shared" si="0"/>
        <v>0</v>
      </c>
      <c r="U6" s="1244"/>
      <c r="V6" s="1244" t="str">
        <f ca="1">VLOOKUP($D7,$D$48:$L$53,2,0)</f>
        <v>Conv. gasoline</v>
      </c>
      <c r="W6" s="1244" t="str">
        <f ca="1">VLOOKUP($D7,$D$48:$L$53,3,0)</f>
        <v>E85-1g</v>
      </c>
      <c r="X6" s="1244" t="str">
        <f ca="1">VLOOKUP($D7,$D$48:$L$53,4,0)</f>
        <v>E85-2g</v>
      </c>
      <c r="Y6" s="1244" t="str">
        <f ca="1">VLOOKUP($D7,$D$48:$L$53,5,0)</f>
        <v>B-Naturgas</v>
      </c>
      <c r="Z6" s="1244" t="str">
        <f ca="1">VLOOKUP($D7,$D$48:$L$53,6,0)</f>
        <v>MeOH</v>
      </c>
      <c r="AA6" s="1244" t="str">
        <f ca="1">VLOOKUP($D7,$D$48:$L$53,7,0)</f>
        <v>B-Brint</v>
      </c>
      <c r="AB6" s="1244" t="str">
        <f ca="1">VLOOKUP($D7,$D$48:$L$53,8,0)</f>
        <v>Elbil</v>
      </c>
      <c r="AC6" s="1244" t="str">
        <f ca="1">VLOOKUP($D7,$D$48:$L$53,9,0)</f>
        <v>Plugin Hybrid</v>
      </c>
    </row>
    <row r="7" spans="2:29" ht="17.25" customHeight="1">
      <c r="B7" s="1245" t="str">
        <f ca="1">OFFSET(B$11,Cockpit!$B$20,0)</f>
        <v>Baseline</v>
      </c>
      <c r="C7" s="1245"/>
      <c r="D7" s="1246" t="str">
        <f ca="1">OFFSET(D$11,Cockpit!$B$20,0)</f>
        <v>Cars A</v>
      </c>
      <c r="E7" s="1246">
        <f ca="1">OFFSET(E$11,Cockpit!$B$20,0)</f>
        <v>1</v>
      </c>
      <c r="F7" s="1269">
        <f ca="1">OFFSET(F$11,Cockpit!$B$20,0)</f>
        <v>0</v>
      </c>
      <c r="G7" s="1269">
        <f ca="1">OFFSET(G$11,Cockpit!$B$20,0)</f>
        <v>0</v>
      </c>
      <c r="H7" s="1270">
        <f ca="1">OFFSET(H$11,Cockpit!$B$20,0)</f>
        <v>0</v>
      </c>
      <c r="I7" s="1270">
        <f ca="1">OFFSET(I$11,Cockpit!$B$20,0)</f>
        <v>0</v>
      </c>
      <c r="J7" s="1270">
        <f ca="1">OFFSET(J$11,Cockpit!$B$20,0)</f>
        <v>0</v>
      </c>
      <c r="K7" s="1270">
        <f ca="1">OFFSET(K$11,Cockpit!$B$20,0)</f>
        <v>0</v>
      </c>
      <c r="L7" s="1269">
        <f ca="1">OFFSET(L$11,Cockpit!$B$20,0)</f>
        <v>0</v>
      </c>
      <c r="M7" s="1270">
        <f ca="1">OFFSET(M$11,Cockpit!$B$20,0)</f>
        <v>0.05</v>
      </c>
      <c r="N7" s="1270">
        <f ca="1">OFFSET(N$11,Cockpit!$B$20,0)</f>
        <v>0</v>
      </c>
      <c r="O7" s="1270">
        <f ca="1">OFFSET(O$11,Cockpit!$B$20,0)</f>
        <v>0</v>
      </c>
      <c r="P7" s="1270">
        <f ca="1">OFFSET(P$11,Cockpit!$B$20,0)</f>
        <v>0</v>
      </c>
      <c r="Q7" s="1270">
        <f ca="1">OFFSET(Q$11,Cockpit!$B$20,0)</f>
        <v>0</v>
      </c>
      <c r="R7" s="1270">
        <f ca="1">OFFSET(R$11,Cockpit!$B$20,0)</f>
        <v>0</v>
      </c>
      <c r="S7" s="1270">
        <f ca="1">OFFSET(S$11,Cockpit!$B$20,0)</f>
        <v>0</v>
      </c>
      <c r="U7" s="1245" t="str">
        <f ca="1">B7</f>
        <v>Baseline</v>
      </c>
      <c r="V7" s="1263">
        <f ca="1">IFERROR(OFFSET(Vehicles!$E$24,0,MATCH(Sensitivity!V$6,Vehicles!$F$6:$AN$6,0)),0)</f>
        <v>1.4854748199882093</v>
      </c>
      <c r="W7" s="1263">
        <f ca="1">IFERROR(OFFSET(Vehicles!$E$24,0,MATCH(Sensitivity!W$6,Vehicles!$F$6:$AN$6,0)),0)</f>
        <v>1.5857057027759596</v>
      </c>
      <c r="X7" s="1263">
        <f ca="1">IFERROR(OFFSET(Vehicles!$E$24,0,MATCH(Sensitivity!X$6,Vehicles!$F$6:$AN$6,0)),0)</f>
        <v>1.5444122668469531</v>
      </c>
      <c r="Y7" s="1263">
        <f ca="1">IFERROR(OFFSET(Vehicles!$E$24,0,MATCH(Sensitivity!Y$6,Vehicles!$F$6:$AN$6,0)),0)</f>
        <v>1.3864546445612862</v>
      </c>
      <c r="Z7" s="1263">
        <f ca="1">IFERROR(OFFSET(Vehicles!$E$24,0,MATCH(Sensitivity!Z$6,Vehicles!$F$6:$AN$6,0)),0)</f>
        <v>1.8158692777681844</v>
      </c>
      <c r="AA7" s="1263">
        <f ca="1">IFERROR(OFFSET(Vehicles!$E$24,0,MATCH(Sensitivity!AA$6,Vehicles!$F$6:$AN$6,0)),0)</f>
        <v>1.7693777678709823</v>
      </c>
      <c r="AB7" s="1263">
        <f ca="1">IFERROR(OFFSET(Vehicles!$E$24,0,MATCH(Sensitivity!AB$6,Vehicles!$F$6:$AN$6,0)),0)</f>
        <v>1.5031614990571662</v>
      </c>
      <c r="AC7" s="1263">
        <f ca="1">IFERROR(OFFSET(Vehicles!$E$24,0,MATCH(Sensitivity!AC$6,Vehicles!$F$6:$AN$6,0)),0)</f>
        <v>1.4311277691880082</v>
      </c>
    </row>
    <row r="8" spans="2:29">
      <c r="G8" s="1247"/>
      <c r="H8" s="1247"/>
      <c r="I8" s="1247"/>
      <c r="J8" s="1247"/>
      <c r="K8" s="1247"/>
      <c r="L8" s="1247"/>
      <c r="M8" s="1247"/>
      <c r="N8" s="1247"/>
      <c r="O8" s="1247"/>
      <c r="P8" s="1247"/>
      <c r="Q8" s="1247"/>
      <c r="R8" s="1247"/>
      <c r="S8" s="1247"/>
    </row>
    <row r="9" spans="2:29">
      <c r="D9" s="1247"/>
      <c r="E9" s="1247"/>
      <c r="F9" s="1247"/>
      <c r="G9" s="1247"/>
      <c r="H9" s="1247"/>
      <c r="I9" s="1247"/>
      <c r="J9" s="1247"/>
      <c r="K9" s="1247"/>
      <c r="L9" s="1247"/>
      <c r="M9" s="1247"/>
      <c r="N9" s="1247"/>
      <c r="O9" s="1247"/>
      <c r="P9" s="1247"/>
      <c r="Q9" s="1247"/>
      <c r="R9" s="1247"/>
      <c r="S9" s="1247"/>
    </row>
    <row r="10" spans="2:29">
      <c r="B10" s="1242" t="s">
        <v>2137</v>
      </c>
      <c r="D10" s="1247"/>
      <c r="E10" s="1247"/>
      <c r="F10" s="1247"/>
      <c r="G10" s="1247"/>
      <c r="H10" s="1247"/>
      <c r="I10" s="1247"/>
      <c r="J10" s="1247"/>
      <c r="K10" s="1247"/>
      <c r="L10" s="1247"/>
      <c r="M10" s="1247"/>
      <c r="N10" s="1247"/>
      <c r="O10" s="1247"/>
      <c r="P10" s="1247"/>
      <c r="Q10" s="1247"/>
      <c r="R10" s="1247"/>
      <c r="S10" s="1247"/>
    </row>
    <row r="11" spans="2:29" ht="25.5">
      <c r="B11" s="1243"/>
      <c r="C11" s="1243"/>
      <c r="D11" s="1248" t="s">
        <v>1675</v>
      </c>
      <c r="E11" s="1248" t="s">
        <v>1676</v>
      </c>
      <c r="F11" s="1248" t="s">
        <v>1692</v>
      </c>
      <c r="G11" s="1248" t="s">
        <v>1694</v>
      </c>
      <c r="H11" s="1248" t="s">
        <v>1695</v>
      </c>
      <c r="I11" s="1248" t="s">
        <v>1696</v>
      </c>
      <c r="J11" s="1248" t="s">
        <v>1697</v>
      </c>
      <c r="K11" s="1248" t="s">
        <v>1693</v>
      </c>
      <c r="L11" s="1248" t="s">
        <v>1708</v>
      </c>
      <c r="M11" s="1248" t="s">
        <v>1710</v>
      </c>
      <c r="N11" s="1248" t="s">
        <v>1699</v>
      </c>
      <c r="O11" s="1248" t="s">
        <v>1698</v>
      </c>
      <c r="P11" s="1248" t="s">
        <v>1706</v>
      </c>
      <c r="Q11" s="1248" t="s">
        <v>1700</v>
      </c>
      <c r="R11" s="1248"/>
      <c r="S11" s="1248"/>
      <c r="U11" s="1244"/>
      <c r="V11" s="1244" t="str">
        <f t="shared" ref="V11:AC11" ca="1" si="1">V6</f>
        <v>Conv. gasoline</v>
      </c>
      <c r="W11" s="1244" t="str">
        <f t="shared" ca="1" si="1"/>
        <v>E85-1g</v>
      </c>
      <c r="X11" s="1244" t="str">
        <f t="shared" ca="1" si="1"/>
        <v>E85-2g</v>
      </c>
      <c r="Y11" s="1244" t="str">
        <f t="shared" ca="1" si="1"/>
        <v>B-Naturgas</v>
      </c>
      <c r="Z11" s="1244" t="str">
        <f t="shared" ca="1" si="1"/>
        <v>MeOH</v>
      </c>
      <c r="AA11" s="1244" t="str">
        <f t="shared" ca="1" si="1"/>
        <v>B-Brint</v>
      </c>
      <c r="AB11" s="1244" t="str">
        <f t="shared" ca="1" si="1"/>
        <v>Elbil</v>
      </c>
      <c r="AC11" s="1244" t="str">
        <f t="shared" ca="1" si="1"/>
        <v>Plugin Hybrid</v>
      </c>
    </row>
    <row r="12" spans="2:29">
      <c r="B12" s="1249" t="s">
        <v>1701</v>
      </c>
      <c r="C12" s="1266">
        <v>1</v>
      </c>
      <c r="D12" s="1264" t="s">
        <v>1680</v>
      </c>
      <c r="E12" s="1254">
        <f>COUNTIF(D$12:D12,D12)</f>
        <v>1</v>
      </c>
      <c r="F12" s="1265">
        <v>0</v>
      </c>
      <c r="G12" s="1265">
        <v>0</v>
      </c>
      <c r="H12" s="1265">
        <v>0</v>
      </c>
      <c r="I12" s="1265">
        <v>0</v>
      </c>
      <c r="J12" s="1265">
        <v>0</v>
      </c>
      <c r="K12" s="1265">
        <v>0</v>
      </c>
      <c r="L12" s="1265">
        <v>0</v>
      </c>
      <c r="M12" s="1265">
        <v>0.05</v>
      </c>
      <c r="N12" s="1265">
        <v>0</v>
      </c>
      <c r="O12" s="1265">
        <v>0</v>
      </c>
      <c r="P12" s="1265">
        <v>0</v>
      </c>
      <c r="Q12" s="1265">
        <v>0</v>
      </c>
      <c r="R12" s="1265">
        <v>0</v>
      </c>
      <c r="S12" s="1265">
        <v>0</v>
      </c>
      <c r="U12" s="1250" t="s">
        <v>1701</v>
      </c>
      <c r="V12" s="1262">
        <v>1.4724593159667367</v>
      </c>
      <c r="W12" s="1262">
        <v>1.4745527520751238</v>
      </c>
      <c r="X12" s="1262">
        <v>1.4267708077393384</v>
      </c>
      <c r="Y12" s="1262">
        <v>1.3803814888063681</v>
      </c>
      <c r="Z12" s="1262">
        <v>1.8103902617223755</v>
      </c>
      <c r="AA12" s="1262">
        <v>1.7708909112978517</v>
      </c>
      <c r="AB12" s="1262">
        <v>1.3614819970754357</v>
      </c>
      <c r="AC12" s="1262">
        <v>1.4265706494839208</v>
      </c>
    </row>
    <row r="13" spans="2:29">
      <c r="B13" s="1249" t="s">
        <v>1726</v>
      </c>
      <c r="C13" s="1266">
        <f t="shared" ref="C13:C31" si="2">C12+1</f>
        <v>2</v>
      </c>
      <c r="D13" s="1264" t="s">
        <v>1680</v>
      </c>
      <c r="E13" s="1254">
        <f>COUNTIF(D$12:D13,D13)</f>
        <v>2</v>
      </c>
      <c r="F13" s="1265">
        <v>0.3</v>
      </c>
      <c r="G13" s="1265">
        <v>0.2</v>
      </c>
      <c r="H13" s="1265">
        <v>0.2</v>
      </c>
      <c r="I13" s="1265">
        <v>0.2</v>
      </c>
      <c r="J13" s="1265">
        <v>0</v>
      </c>
      <c r="K13" s="1265">
        <v>0</v>
      </c>
      <c r="L13" s="1265">
        <v>0</v>
      </c>
      <c r="M13" s="1265">
        <v>0.05</v>
      </c>
      <c r="N13" s="1265">
        <v>0</v>
      </c>
      <c r="O13" s="1265">
        <v>0</v>
      </c>
      <c r="P13" s="1265">
        <v>0</v>
      </c>
      <c r="Q13" s="1265">
        <v>0</v>
      </c>
      <c r="R13" s="1265">
        <v>0</v>
      </c>
      <c r="S13" s="1265">
        <v>0</v>
      </c>
      <c r="U13" s="1250" t="s">
        <v>1726</v>
      </c>
      <c r="V13" s="1262">
        <v>1.5485914534761422</v>
      </c>
      <c r="W13" s="1262">
        <v>1.4882275967733198</v>
      </c>
      <c r="X13" s="1262">
        <v>1.4123727461406463</v>
      </c>
      <c r="Y13" s="1262">
        <v>1.3803814888063681</v>
      </c>
      <c r="Z13" s="1262">
        <v>1.8178983774976805</v>
      </c>
      <c r="AA13" s="1262">
        <v>1.7848120749958716</v>
      </c>
      <c r="AB13" s="1262">
        <v>1.3704217832943029</v>
      </c>
      <c r="AC13" s="1262">
        <v>1.4504658202775609</v>
      </c>
    </row>
    <row r="14" spans="2:29">
      <c r="B14" s="1249" t="s">
        <v>1725</v>
      </c>
      <c r="C14" s="1266">
        <f t="shared" si="2"/>
        <v>3</v>
      </c>
      <c r="D14" s="1264" t="s">
        <v>1680</v>
      </c>
      <c r="E14" s="1254">
        <f>COUNTIF(D$12:D14,D14)</f>
        <v>3</v>
      </c>
      <c r="F14" s="1265">
        <v>0.3</v>
      </c>
      <c r="G14" s="1265">
        <v>0.2</v>
      </c>
      <c r="H14" s="1265">
        <v>0.2</v>
      </c>
      <c r="I14" s="1265">
        <v>0.2</v>
      </c>
      <c r="J14" s="1265">
        <v>0.2</v>
      </c>
      <c r="K14" s="1265">
        <v>0.3</v>
      </c>
      <c r="L14" s="1265">
        <v>0.3</v>
      </c>
      <c r="M14" s="1265">
        <v>0.05</v>
      </c>
      <c r="N14" s="1265">
        <v>0</v>
      </c>
      <c r="O14" s="1265">
        <v>0</v>
      </c>
      <c r="P14" s="1265">
        <v>0</v>
      </c>
      <c r="Q14" s="1265">
        <v>0</v>
      </c>
      <c r="R14" s="1265">
        <v>0</v>
      </c>
      <c r="S14" s="1265">
        <v>0</v>
      </c>
      <c r="U14" s="1250" t="s">
        <v>1725</v>
      </c>
      <c r="V14" s="1262">
        <v>1.5485914534761422</v>
      </c>
      <c r="W14" s="1262">
        <v>1.5591129084488549</v>
      </c>
      <c r="X14" s="1262">
        <v>1.4123727461406463</v>
      </c>
      <c r="Y14" s="1262">
        <v>1.3803814888063681</v>
      </c>
      <c r="Z14" s="1262">
        <v>1.8178983774976805</v>
      </c>
      <c r="AA14" s="1262">
        <v>1.7848120749958716</v>
      </c>
      <c r="AB14" s="1262">
        <v>1.3704217832943029</v>
      </c>
      <c r="AC14" s="1262">
        <v>1.4504658202775609</v>
      </c>
    </row>
    <row r="15" spans="2:29">
      <c r="B15" s="1249" t="s">
        <v>1704</v>
      </c>
      <c r="C15" s="1266">
        <f t="shared" si="2"/>
        <v>4</v>
      </c>
      <c r="D15" s="1264" t="s">
        <v>1680</v>
      </c>
      <c r="E15" s="1254">
        <f>COUNTIF(D$12:D15,D15)</f>
        <v>4</v>
      </c>
      <c r="F15" s="1265">
        <v>0</v>
      </c>
      <c r="G15" s="1265">
        <v>0</v>
      </c>
      <c r="H15" s="1265">
        <v>0</v>
      </c>
      <c r="I15" s="1265">
        <v>0</v>
      </c>
      <c r="J15" s="1265">
        <v>0</v>
      </c>
      <c r="K15" s="1265">
        <v>0</v>
      </c>
      <c r="L15" s="1265">
        <v>0</v>
      </c>
      <c r="M15" s="1265">
        <v>0.05</v>
      </c>
      <c r="N15" s="1265">
        <v>0.2</v>
      </c>
      <c r="O15" s="1265">
        <v>0.2</v>
      </c>
      <c r="P15" s="1265">
        <v>0</v>
      </c>
      <c r="Q15" s="1265">
        <v>0</v>
      </c>
      <c r="R15" s="1265">
        <v>0</v>
      </c>
      <c r="S15" s="1265">
        <v>0</v>
      </c>
      <c r="U15" s="1250" t="s">
        <v>1704</v>
      </c>
      <c r="V15" s="1262">
        <v>1.4838485804726758</v>
      </c>
      <c r="W15" s="1262">
        <v>1.4857554773434789</v>
      </c>
      <c r="X15" s="1262">
        <v>1.4537240770686095</v>
      </c>
      <c r="Y15" s="1262">
        <v>1.3854419532575326</v>
      </c>
      <c r="Z15" s="1262">
        <v>1.8159264415145273</v>
      </c>
      <c r="AA15" s="1262">
        <v>1.7842155461407845</v>
      </c>
      <c r="AB15" s="1262">
        <v>1.3687326943065776</v>
      </c>
      <c r="AC15" s="1262">
        <v>1.4316661588546082</v>
      </c>
    </row>
    <row r="16" spans="2:29">
      <c r="B16" s="1249" t="s">
        <v>1724</v>
      </c>
      <c r="C16" s="1266">
        <f t="shared" si="2"/>
        <v>5</v>
      </c>
      <c r="D16" s="1264" t="s">
        <v>1680</v>
      </c>
      <c r="E16" s="1254">
        <f>COUNTIF(D$12:D16,D16)</f>
        <v>5</v>
      </c>
      <c r="F16" s="1265">
        <v>0</v>
      </c>
      <c r="G16" s="1265">
        <v>0</v>
      </c>
      <c r="H16" s="1265">
        <v>0</v>
      </c>
      <c r="I16" s="1265">
        <v>0</v>
      </c>
      <c r="J16" s="1265">
        <v>0</v>
      </c>
      <c r="K16" s="1265">
        <v>0</v>
      </c>
      <c r="L16" s="1265">
        <v>0</v>
      </c>
      <c r="M16" s="1265">
        <v>0.03</v>
      </c>
      <c r="N16" s="1265">
        <v>0</v>
      </c>
      <c r="O16" s="1265">
        <v>0</v>
      </c>
      <c r="P16" s="1265">
        <v>0</v>
      </c>
      <c r="Q16" s="1265">
        <v>0</v>
      </c>
      <c r="R16" s="1265">
        <v>0</v>
      </c>
      <c r="S16" s="1265">
        <v>0</v>
      </c>
      <c r="U16" s="1250" t="s">
        <v>1724</v>
      </c>
      <c r="V16" s="1262">
        <v>1.3697663856161979</v>
      </c>
      <c r="W16" s="1262">
        <v>1.3688465645150398</v>
      </c>
      <c r="X16" s="1262">
        <v>1.3128996651598421</v>
      </c>
      <c r="Y16" s="1262">
        <v>1.2654785646320104</v>
      </c>
      <c r="Z16" s="1262">
        <v>1.5927266110693397</v>
      </c>
      <c r="AA16" s="1262">
        <v>1.5588200557577878</v>
      </c>
      <c r="AB16" s="1262">
        <v>1.1896628547279142</v>
      </c>
      <c r="AC16" s="1262">
        <v>1.2692661285743818</v>
      </c>
    </row>
    <row r="17" spans="2:80">
      <c r="B17" s="1249" t="s">
        <v>1701</v>
      </c>
      <c r="C17" s="1266">
        <f t="shared" si="2"/>
        <v>6</v>
      </c>
      <c r="D17" s="1264" t="s">
        <v>1679</v>
      </c>
      <c r="E17" s="1254">
        <f>COUNTIF(D$12:D17,D17)</f>
        <v>1</v>
      </c>
      <c r="F17" s="1265">
        <v>0</v>
      </c>
      <c r="G17" s="1265">
        <v>0</v>
      </c>
      <c r="H17" s="1265">
        <v>0</v>
      </c>
      <c r="I17" s="1265">
        <v>0</v>
      </c>
      <c r="J17" s="1265">
        <v>0</v>
      </c>
      <c r="K17" s="1265">
        <v>0</v>
      </c>
      <c r="L17" s="1265">
        <v>0</v>
      </c>
      <c r="M17" s="1265">
        <v>0.05</v>
      </c>
      <c r="N17" s="1265">
        <v>0</v>
      </c>
      <c r="O17" s="1265">
        <v>0</v>
      </c>
      <c r="P17" s="1265">
        <v>0</v>
      </c>
      <c r="Q17" s="1265">
        <v>0</v>
      </c>
      <c r="R17" s="1265">
        <v>0</v>
      </c>
      <c r="S17" s="1265">
        <v>0</v>
      </c>
      <c r="U17" s="1250" t="s">
        <v>1701</v>
      </c>
      <c r="V17" s="1262">
        <v>1.461037935176611</v>
      </c>
      <c r="W17" s="1262">
        <v>1.4998933428132517</v>
      </c>
      <c r="X17" s="1262">
        <v>1.5145160968587721</v>
      </c>
      <c r="Y17" s="1262">
        <v>1.3803814888063681</v>
      </c>
      <c r="Z17" s="1262">
        <v>1.57707284334984</v>
      </c>
      <c r="AA17" s="1262">
        <v>0</v>
      </c>
      <c r="AB17" s="1262">
        <v>0</v>
      </c>
      <c r="AC17" s="1262">
        <v>0</v>
      </c>
    </row>
    <row r="18" spans="2:80">
      <c r="B18" s="1249" t="s">
        <v>1702</v>
      </c>
      <c r="C18" s="1266">
        <f t="shared" si="2"/>
        <v>7</v>
      </c>
      <c r="D18" s="1264" t="s">
        <v>1679</v>
      </c>
      <c r="E18" s="1254">
        <f>COUNTIF(D$12:D18,D18)</f>
        <v>2</v>
      </c>
      <c r="F18" s="1265">
        <v>0.3</v>
      </c>
      <c r="G18" s="1265">
        <v>0.2</v>
      </c>
      <c r="H18" s="1265">
        <v>0.2</v>
      </c>
      <c r="I18" s="1265">
        <v>0.2</v>
      </c>
      <c r="J18" s="1265">
        <v>0</v>
      </c>
      <c r="K18" s="1265">
        <v>0</v>
      </c>
      <c r="L18" s="1265">
        <v>0</v>
      </c>
      <c r="M18" s="1265">
        <v>0.05</v>
      </c>
      <c r="N18" s="1265">
        <v>0</v>
      </c>
      <c r="O18" s="1265">
        <v>0</v>
      </c>
      <c r="P18" s="1265">
        <v>0</v>
      </c>
      <c r="Q18" s="1265">
        <v>0</v>
      </c>
      <c r="R18" s="1265">
        <v>0</v>
      </c>
      <c r="S18" s="1265">
        <v>0</v>
      </c>
      <c r="U18" s="1250" t="s">
        <v>1702</v>
      </c>
      <c r="V18" s="1262">
        <v>1.51900201540816</v>
      </c>
      <c r="W18" s="1262">
        <v>1.4608579680587832</v>
      </c>
      <c r="X18" s="1262">
        <v>1.4991700320183732</v>
      </c>
      <c r="Y18" s="1262">
        <v>1.3803814888063681</v>
      </c>
      <c r="Z18" s="1262">
        <v>1.57707284334984</v>
      </c>
      <c r="AA18" s="1262">
        <v>0</v>
      </c>
      <c r="AB18" s="1262">
        <v>0</v>
      </c>
      <c r="AC18" s="1262">
        <v>0</v>
      </c>
    </row>
    <row r="19" spans="2:80">
      <c r="B19" s="1249" t="s">
        <v>1703</v>
      </c>
      <c r="C19" s="1266">
        <f t="shared" si="2"/>
        <v>8</v>
      </c>
      <c r="D19" s="1264" t="s">
        <v>1679</v>
      </c>
      <c r="E19" s="1254">
        <f>COUNTIF(D$12:D19,D19)</f>
        <v>3</v>
      </c>
      <c r="F19" s="1265">
        <v>0.3</v>
      </c>
      <c r="G19" s="1265">
        <v>0.2</v>
      </c>
      <c r="H19" s="1265">
        <v>0.2</v>
      </c>
      <c r="I19" s="1265">
        <v>0.2</v>
      </c>
      <c r="J19" s="1265">
        <v>0.2</v>
      </c>
      <c r="K19" s="1265">
        <v>0.3</v>
      </c>
      <c r="L19" s="1265">
        <v>0.3</v>
      </c>
      <c r="M19" s="1265">
        <v>0.05</v>
      </c>
      <c r="N19" s="1265">
        <v>0</v>
      </c>
      <c r="O19" s="1265">
        <v>0</v>
      </c>
      <c r="P19" s="1265">
        <v>0</v>
      </c>
      <c r="Q19" s="1265">
        <v>0</v>
      </c>
      <c r="R19" s="1265">
        <v>0</v>
      </c>
      <c r="S19" s="1265">
        <v>0</v>
      </c>
      <c r="U19" s="1250" t="s">
        <v>1703</v>
      </c>
      <c r="V19" s="1262">
        <v>1.51900201540816</v>
      </c>
      <c r="W19" s="1262">
        <v>1.4608579680587832</v>
      </c>
      <c r="X19" s="1262">
        <v>1.4991700320183732</v>
      </c>
      <c r="Y19" s="1262">
        <v>1.3803814888063681</v>
      </c>
      <c r="Z19" s="1262">
        <v>1.57707284334984</v>
      </c>
      <c r="AA19" s="1262">
        <v>0</v>
      </c>
      <c r="AB19" s="1262">
        <v>0</v>
      </c>
      <c r="AC19" s="1262">
        <v>0</v>
      </c>
    </row>
    <row r="20" spans="2:80">
      <c r="B20" s="1249" t="s">
        <v>1704</v>
      </c>
      <c r="C20" s="1266">
        <f t="shared" si="2"/>
        <v>9</v>
      </c>
      <c r="D20" s="1264" t="s">
        <v>1679</v>
      </c>
      <c r="E20" s="1254">
        <f>COUNTIF(D$12:D20,D20)</f>
        <v>4</v>
      </c>
      <c r="F20" s="1265">
        <v>0</v>
      </c>
      <c r="G20" s="1265">
        <v>0</v>
      </c>
      <c r="H20" s="1265">
        <v>0</v>
      </c>
      <c r="I20" s="1265">
        <v>0</v>
      </c>
      <c r="J20" s="1265">
        <v>0</v>
      </c>
      <c r="K20" s="1265">
        <v>0</v>
      </c>
      <c r="L20" s="1265">
        <v>0</v>
      </c>
      <c r="M20" s="1265">
        <v>0.05</v>
      </c>
      <c r="N20" s="1265">
        <v>0.2</v>
      </c>
      <c r="O20" s="1265">
        <v>0.2</v>
      </c>
      <c r="P20" s="1265">
        <v>0</v>
      </c>
      <c r="Q20" s="1265">
        <v>0</v>
      </c>
      <c r="R20" s="1265">
        <v>0</v>
      </c>
      <c r="S20" s="1265">
        <v>0</v>
      </c>
      <c r="U20" s="1250" t="s">
        <v>1704</v>
      </c>
      <c r="V20" s="1262">
        <v>1.4674562995487679</v>
      </c>
      <c r="W20" s="1262">
        <v>1.5491642987354353</v>
      </c>
      <c r="X20" s="1262">
        <v>1.5346787777847781</v>
      </c>
      <c r="Y20" s="1262">
        <v>1.3854419532575326</v>
      </c>
      <c r="Z20" s="1262">
        <v>1.6304220422598039</v>
      </c>
      <c r="AA20" s="1262">
        <v>0</v>
      </c>
      <c r="AB20" s="1262">
        <v>0</v>
      </c>
      <c r="AC20" s="1262">
        <v>0</v>
      </c>
    </row>
    <row r="21" spans="2:80">
      <c r="B21" s="1249" t="s">
        <v>1724</v>
      </c>
      <c r="C21" s="1266">
        <f t="shared" si="2"/>
        <v>10</v>
      </c>
      <c r="D21" s="1264" t="s">
        <v>1679</v>
      </c>
      <c r="E21" s="1254">
        <f>COUNTIF(D$12:D21,D21)</f>
        <v>5</v>
      </c>
      <c r="F21" s="1265">
        <v>0</v>
      </c>
      <c r="G21" s="1265">
        <v>0</v>
      </c>
      <c r="H21" s="1265">
        <v>0</v>
      </c>
      <c r="I21" s="1265">
        <v>0</v>
      </c>
      <c r="J21" s="1265">
        <v>0</v>
      </c>
      <c r="K21" s="1265">
        <v>0</v>
      </c>
      <c r="L21" s="1265">
        <v>0</v>
      </c>
      <c r="M21" s="1265">
        <v>0.03</v>
      </c>
      <c r="N21" s="1265">
        <v>0</v>
      </c>
      <c r="O21" s="1265">
        <v>0</v>
      </c>
      <c r="P21" s="1265">
        <v>0</v>
      </c>
      <c r="Q21" s="1265">
        <v>0</v>
      </c>
      <c r="R21" s="1265">
        <v>0</v>
      </c>
      <c r="S21" s="1265">
        <v>0</v>
      </c>
      <c r="U21" s="1250" t="s">
        <v>1724</v>
      </c>
      <c r="V21" s="1262">
        <v>1.3478447051992275</v>
      </c>
      <c r="W21" s="1262">
        <v>1.3688950307996166</v>
      </c>
      <c r="X21" s="1262">
        <v>1.3889175916113461</v>
      </c>
      <c r="Y21" s="1262">
        <v>1.2654785646320104</v>
      </c>
      <c r="Z21" s="1262">
        <v>1.4424188916778919</v>
      </c>
      <c r="AA21" s="1262">
        <v>0</v>
      </c>
      <c r="AB21" s="1262">
        <v>0</v>
      </c>
      <c r="AC21" s="1262">
        <v>0</v>
      </c>
    </row>
    <row r="22" spans="2:80">
      <c r="B22" s="1249" t="s">
        <v>1701</v>
      </c>
      <c r="C22" s="1266">
        <f t="shared" si="2"/>
        <v>11</v>
      </c>
      <c r="D22" s="1264" t="s">
        <v>1678</v>
      </c>
      <c r="E22" s="1254">
        <f>COUNTIF(D$12:D22,D22)</f>
        <v>1</v>
      </c>
      <c r="F22" s="1265">
        <v>0</v>
      </c>
      <c r="G22" s="1265">
        <v>0</v>
      </c>
      <c r="H22" s="1265">
        <v>0</v>
      </c>
      <c r="I22" s="1265">
        <v>0</v>
      </c>
      <c r="J22" s="1265">
        <v>0</v>
      </c>
      <c r="K22" s="1265">
        <v>0</v>
      </c>
      <c r="L22" s="1265">
        <v>0</v>
      </c>
      <c r="M22" s="1265">
        <v>0.05</v>
      </c>
      <c r="N22" s="1265">
        <v>0</v>
      </c>
      <c r="O22" s="1265">
        <v>0</v>
      </c>
      <c r="P22" s="1265">
        <v>0</v>
      </c>
      <c r="Q22" s="1265">
        <v>0</v>
      </c>
      <c r="R22" s="1265">
        <v>0</v>
      </c>
      <c r="S22" s="1265">
        <v>0</v>
      </c>
      <c r="U22" s="1250" t="s">
        <v>1701</v>
      </c>
      <c r="V22" s="1262">
        <v>3.3801542242445661</v>
      </c>
      <c r="W22" s="1262">
        <v>3.2977026030420116</v>
      </c>
      <c r="X22" s="1262">
        <v>6.5976169276117087</v>
      </c>
      <c r="Y22" s="1262">
        <v>6.5413061227168496</v>
      </c>
      <c r="Z22" s="1262">
        <v>7.1701507235412869</v>
      </c>
      <c r="AA22" s="1262">
        <v>0</v>
      </c>
      <c r="AB22" s="1262">
        <v>0</v>
      </c>
      <c r="AC22" s="1262">
        <v>0</v>
      </c>
    </row>
    <row r="23" spans="2:80">
      <c r="B23" s="1249" t="s">
        <v>1702</v>
      </c>
      <c r="C23" s="1266">
        <f t="shared" si="2"/>
        <v>12</v>
      </c>
      <c r="D23" s="1264" t="s">
        <v>1678</v>
      </c>
      <c r="E23" s="1254">
        <f>COUNTIF(D$12:D23,D23)</f>
        <v>2</v>
      </c>
      <c r="F23" s="1265">
        <v>0.3</v>
      </c>
      <c r="G23" s="1265">
        <v>0.2</v>
      </c>
      <c r="H23" s="1265">
        <v>0.2</v>
      </c>
      <c r="I23" s="1265">
        <v>0.2</v>
      </c>
      <c r="J23" s="1265">
        <v>0</v>
      </c>
      <c r="K23" s="1265">
        <v>0</v>
      </c>
      <c r="L23" s="1265">
        <v>0</v>
      </c>
      <c r="M23" s="1265">
        <v>0.05</v>
      </c>
      <c r="N23" s="1265">
        <v>0</v>
      </c>
      <c r="O23" s="1265">
        <v>0</v>
      </c>
      <c r="P23" s="1265">
        <v>0</v>
      </c>
      <c r="Q23" s="1265">
        <v>0</v>
      </c>
      <c r="R23" s="1265">
        <v>0</v>
      </c>
      <c r="S23" s="1265">
        <v>0</v>
      </c>
      <c r="U23" s="1250" t="s">
        <v>1702</v>
      </c>
      <c r="V23" s="1262">
        <v>3.767856963206055</v>
      </c>
      <c r="W23" s="1262">
        <v>3.2977026030420116</v>
      </c>
      <c r="X23" s="1262">
        <v>7.1989438757409783</v>
      </c>
      <c r="Y23" s="1262">
        <v>6.5413061227168496</v>
      </c>
      <c r="Z23" s="1262">
        <v>7.6327099144099559</v>
      </c>
      <c r="AA23" s="1262">
        <v>0</v>
      </c>
      <c r="AB23" s="1262">
        <v>0</v>
      </c>
      <c r="AC23" s="1262">
        <v>0</v>
      </c>
    </row>
    <row r="24" spans="2:80">
      <c r="B24" s="1249" t="s">
        <v>1703</v>
      </c>
      <c r="C24" s="1266">
        <f t="shared" si="2"/>
        <v>13</v>
      </c>
      <c r="D24" s="1264" t="s">
        <v>1678</v>
      </c>
      <c r="E24" s="1254">
        <f>COUNTIF(D$12:D24,D24)</f>
        <v>3</v>
      </c>
      <c r="F24" s="1265">
        <v>0.3</v>
      </c>
      <c r="G24" s="1265">
        <v>0.2</v>
      </c>
      <c r="H24" s="1265">
        <v>0.2</v>
      </c>
      <c r="I24" s="1265">
        <v>0.2</v>
      </c>
      <c r="J24" s="1265">
        <v>0.2</v>
      </c>
      <c r="K24" s="1265">
        <v>0.3</v>
      </c>
      <c r="L24" s="1265">
        <v>0.3</v>
      </c>
      <c r="M24" s="1265">
        <v>0.05</v>
      </c>
      <c r="N24" s="1265">
        <v>0</v>
      </c>
      <c r="O24" s="1265">
        <v>0</v>
      </c>
      <c r="P24" s="1265">
        <v>0</v>
      </c>
      <c r="Q24" s="1265">
        <v>0</v>
      </c>
      <c r="R24" s="1265">
        <v>0</v>
      </c>
      <c r="S24" s="1265">
        <v>0</v>
      </c>
      <c r="U24" s="1250" t="s">
        <v>1703</v>
      </c>
      <c r="V24" s="1262">
        <v>3.767856963206055</v>
      </c>
      <c r="W24" s="1262">
        <v>3.2977026030420116</v>
      </c>
      <c r="X24" s="1262">
        <v>7.1989438757409783</v>
      </c>
      <c r="Y24" s="1262">
        <v>6.5413061227168496</v>
      </c>
      <c r="Z24" s="1262">
        <v>7.6327099144099559</v>
      </c>
      <c r="AA24" s="1262">
        <v>0</v>
      </c>
      <c r="AB24" s="1262">
        <v>0</v>
      </c>
      <c r="AC24" s="1262">
        <v>0</v>
      </c>
    </row>
    <row r="25" spans="2:80">
      <c r="B25" s="1249" t="s">
        <v>1704</v>
      </c>
      <c r="C25" s="1266">
        <f t="shared" si="2"/>
        <v>14</v>
      </c>
      <c r="D25" s="1264" t="s">
        <v>1678</v>
      </c>
      <c r="E25" s="1254">
        <f>COUNTIF(D$12:D25,D25)</f>
        <v>4</v>
      </c>
      <c r="F25" s="1265">
        <v>0</v>
      </c>
      <c r="G25" s="1265">
        <v>0</v>
      </c>
      <c r="H25" s="1265">
        <v>0</v>
      </c>
      <c r="I25" s="1265">
        <v>0</v>
      </c>
      <c r="J25" s="1265">
        <v>0</v>
      </c>
      <c r="K25" s="1265">
        <v>0</v>
      </c>
      <c r="L25" s="1265">
        <v>0</v>
      </c>
      <c r="M25" s="1265">
        <v>0.05</v>
      </c>
      <c r="N25" s="1265">
        <v>0.2</v>
      </c>
      <c r="O25" s="1265">
        <v>0.2</v>
      </c>
      <c r="P25" s="1265">
        <v>0</v>
      </c>
      <c r="Q25" s="1265">
        <v>0</v>
      </c>
      <c r="R25" s="1265">
        <v>0</v>
      </c>
      <c r="S25" s="1265">
        <v>0</v>
      </c>
      <c r="U25" s="1250" t="s">
        <v>1704</v>
      </c>
      <c r="V25" s="1262">
        <v>3.4231064103505844</v>
      </c>
      <c r="W25" s="1262">
        <v>3.3244580883726105</v>
      </c>
      <c r="X25" s="1262">
        <v>6.6642357682621434</v>
      </c>
      <c r="Y25" s="1262">
        <v>6.5828038804646081</v>
      </c>
      <c r="Z25" s="1262">
        <v>7.2213959855800836</v>
      </c>
      <c r="AA25" s="1262">
        <v>0</v>
      </c>
      <c r="AB25" s="1262">
        <v>0</v>
      </c>
      <c r="AC25" s="1262">
        <v>0</v>
      </c>
    </row>
    <row r="26" spans="2:80">
      <c r="B26" s="1249" t="s">
        <v>1724</v>
      </c>
      <c r="C26" s="1266">
        <f t="shared" si="2"/>
        <v>15</v>
      </c>
      <c r="D26" s="1264" t="s">
        <v>1678</v>
      </c>
      <c r="E26" s="1254">
        <f>COUNTIF(D$12:D26,D26)</f>
        <v>5</v>
      </c>
      <c r="F26" s="1265">
        <v>0</v>
      </c>
      <c r="G26" s="1265">
        <v>0</v>
      </c>
      <c r="H26" s="1265">
        <v>0</v>
      </c>
      <c r="I26" s="1265">
        <v>0</v>
      </c>
      <c r="J26" s="1265">
        <v>0</v>
      </c>
      <c r="K26" s="1265">
        <v>0</v>
      </c>
      <c r="L26" s="1265">
        <v>0</v>
      </c>
      <c r="M26" s="1265">
        <v>0.03</v>
      </c>
      <c r="N26" s="1265">
        <v>0</v>
      </c>
      <c r="O26" s="1265">
        <v>0</v>
      </c>
      <c r="P26" s="1265">
        <v>0</v>
      </c>
      <c r="Q26" s="1265">
        <v>0</v>
      </c>
      <c r="R26" s="1265">
        <v>0</v>
      </c>
      <c r="S26" s="1265">
        <v>0</v>
      </c>
      <c r="U26" s="1250" t="s">
        <v>1724</v>
      </c>
      <c r="V26" s="1262">
        <v>3.3065616754419147</v>
      </c>
      <c r="W26" s="1262">
        <v>3.1769702679632328</v>
      </c>
      <c r="X26" s="1262">
        <v>6.3999655049861932</v>
      </c>
      <c r="Y26" s="1262">
        <v>6.2779047403141144</v>
      </c>
      <c r="Z26" s="1262">
        <v>6.870287427578754</v>
      </c>
      <c r="AA26" s="1262">
        <v>0</v>
      </c>
      <c r="AB26" s="1262">
        <v>0</v>
      </c>
      <c r="AC26" s="1262">
        <v>0</v>
      </c>
    </row>
    <row r="27" spans="2:80">
      <c r="B27" s="1249" t="s">
        <v>1701</v>
      </c>
      <c r="C27" s="1266">
        <f t="shared" si="2"/>
        <v>16</v>
      </c>
      <c r="D27" s="1264" t="s">
        <v>1711</v>
      </c>
      <c r="E27" s="1254">
        <f>COUNTIF(D$12:D27,D27)</f>
        <v>1</v>
      </c>
      <c r="F27" s="1265">
        <v>0</v>
      </c>
      <c r="G27" s="1265">
        <v>0</v>
      </c>
      <c r="H27" s="1265">
        <v>0</v>
      </c>
      <c r="I27" s="1265">
        <v>0</v>
      </c>
      <c r="J27" s="1265">
        <v>0</v>
      </c>
      <c r="K27" s="1265">
        <v>0</v>
      </c>
      <c r="L27" s="1265">
        <v>0</v>
      </c>
      <c r="M27" s="1265">
        <v>0.05</v>
      </c>
      <c r="N27" s="1265">
        <v>0</v>
      </c>
      <c r="O27" s="1265">
        <v>0</v>
      </c>
      <c r="P27" s="1265">
        <v>0</v>
      </c>
      <c r="Q27" s="1265">
        <v>0</v>
      </c>
      <c r="R27" s="1265">
        <v>0</v>
      </c>
      <c r="S27" s="1265">
        <v>0</v>
      </c>
      <c r="U27" s="1250" t="s">
        <v>1701</v>
      </c>
      <c r="V27" s="1262">
        <v>13.513008208535584</v>
      </c>
      <c r="W27" s="1262">
        <v>4526.1631985456925</v>
      </c>
      <c r="X27" s="1262">
        <v>4687.5424465616752</v>
      </c>
      <c r="Y27" s="1262">
        <v>4687.5424465616752</v>
      </c>
      <c r="Z27" s="1262">
        <v>0</v>
      </c>
      <c r="AA27" s="1262">
        <v>0</v>
      </c>
      <c r="AB27" s="1262">
        <v>0</v>
      </c>
      <c r="AC27" s="1262">
        <v>0</v>
      </c>
    </row>
    <row r="28" spans="2:80">
      <c r="B28" s="1249" t="s">
        <v>1702</v>
      </c>
      <c r="C28" s="1266">
        <f t="shared" si="2"/>
        <v>17</v>
      </c>
      <c r="D28" s="1264" t="s">
        <v>1711</v>
      </c>
      <c r="E28" s="1254">
        <f>COUNTIF(D$12:D28,D28)</f>
        <v>2</v>
      </c>
      <c r="F28" s="1265">
        <v>0.3</v>
      </c>
      <c r="G28" s="1265">
        <v>0.2</v>
      </c>
      <c r="H28" s="1265">
        <v>0.2</v>
      </c>
      <c r="I28" s="1265">
        <v>0.2</v>
      </c>
      <c r="J28" s="1265">
        <v>0</v>
      </c>
      <c r="K28" s="1265">
        <v>0</v>
      </c>
      <c r="L28" s="1265">
        <v>0</v>
      </c>
      <c r="M28" s="1265">
        <v>0.05</v>
      </c>
      <c r="N28" s="1265">
        <v>0</v>
      </c>
      <c r="O28" s="1265">
        <v>0</v>
      </c>
      <c r="P28" s="1265">
        <v>0</v>
      </c>
      <c r="Q28" s="1265">
        <v>0</v>
      </c>
      <c r="R28" s="1265">
        <v>0</v>
      </c>
      <c r="S28" s="1265">
        <v>0</v>
      </c>
      <c r="U28" s="1250" t="s">
        <v>1702</v>
      </c>
      <c r="V28" s="1262">
        <v>17.338391301249438</v>
      </c>
      <c r="W28" s="1262">
        <v>4712.4427659418834</v>
      </c>
      <c r="X28" s="1262">
        <v>4921.1707560309496</v>
      </c>
      <c r="Y28" s="1262">
        <v>4921.1707560309496</v>
      </c>
      <c r="Z28" s="1262">
        <v>0</v>
      </c>
      <c r="AA28" s="1262">
        <v>0</v>
      </c>
      <c r="AB28" s="1262">
        <v>0</v>
      </c>
      <c r="AC28" s="1262">
        <v>0</v>
      </c>
    </row>
    <row r="29" spans="2:80">
      <c r="B29" s="1249" t="s">
        <v>1703</v>
      </c>
      <c r="C29" s="1266">
        <f t="shared" si="2"/>
        <v>18</v>
      </c>
      <c r="D29" s="1264" t="s">
        <v>1711</v>
      </c>
      <c r="E29" s="1254">
        <f>COUNTIF(D$12:D29,D29)</f>
        <v>3</v>
      </c>
      <c r="F29" s="1265">
        <v>0.3</v>
      </c>
      <c r="G29" s="1265">
        <v>0.2</v>
      </c>
      <c r="H29" s="1265">
        <v>0.2</v>
      </c>
      <c r="I29" s="1265">
        <v>0.2</v>
      </c>
      <c r="J29" s="1265">
        <v>0.2</v>
      </c>
      <c r="K29" s="1265">
        <v>0.3</v>
      </c>
      <c r="L29" s="1265">
        <v>0.3</v>
      </c>
      <c r="M29" s="1265">
        <v>0.05</v>
      </c>
      <c r="N29" s="1265">
        <v>0</v>
      </c>
      <c r="O29" s="1265">
        <v>0</v>
      </c>
      <c r="P29" s="1265">
        <v>0</v>
      </c>
      <c r="Q29" s="1265">
        <v>0</v>
      </c>
      <c r="R29" s="1265">
        <v>0</v>
      </c>
      <c r="S29" s="1265">
        <v>0</v>
      </c>
      <c r="U29" s="1250" t="s">
        <v>1703</v>
      </c>
      <c r="V29" s="1262">
        <v>17.338391301249438</v>
      </c>
      <c r="W29" s="1262">
        <v>4712.4427659418834</v>
      </c>
      <c r="X29" s="1262">
        <v>4921.1707560309496</v>
      </c>
      <c r="Y29" s="1262">
        <v>4921.1707560309496</v>
      </c>
      <c r="Z29" s="1262">
        <v>0</v>
      </c>
      <c r="AA29" s="1262">
        <v>0</v>
      </c>
      <c r="AB29" s="1262">
        <v>0</v>
      </c>
      <c r="AC29" s="1262">
        <v>0</v>
      </c>
    </row>
    <row r="30" spans="2:80">
      <c r="B30" s="1249" t="s">
        <v>1704</v>
      </c>
      <c r="C30" s="1266">
        <f t="shared" si="2"/>
        <v>19</v>
      </c>
      <c r="D30" s="1264" t="s">
        <v>1711</v>
      </c>
      <c r="E30" s="1254">
        <f>COUNTIF(D$12:D30,D30)</f>
        <v>4</v>
      </c>
      <c r="F30" s="1265">
        <v>0</v>
      </c>
      <c r="G30" s="1265">
        <v>0</v>
      </c>
      <c r="H30" s="1265">
        <v>0</v>
      </c>
      <c r="I30" s="1265">
        <v>0</v>
      </c>
      <c r="J30" s="1265">
        <v>0</v>
      </c>
      <c r="K30" s="1265">
        <v>0</v>
      </c>
      <c r="L30" s="1265">
        <v>0</v>
      </c>
      <c r="M30" s="1265">
        <v>0.05</v>
      </c>
      <c r="N30" s="1265">
        <v>0.2</v>
      </c>
      <c r="O30" s="1265">
        <v>0.2</v>
      </c>
      <c r="P30" s="1265">
        <v>0</v>
      </c>
      <c r="Q30" s="1265">
        <v>0</v>
      </c>
      <c r="R30" s="1265">
        <v>0</v>
      </c>
      <c r="S30" s="1265">
        <v>0</v>
      </c>
      <c r="U30" s="1250" t="s">
        <v>1704</v>
      </c>
      <c r="V30" s="1262">
        <v>33.556907732010998</v>
      </c>
      <c r="W30" s="1262">
        <v>4602.4050726757305</v>
      </c>
      <c r="X30" s="1262">
        <v>4713.4252831256845</v>
      </c>
      <c r="Y30" s="1262">
        <v>4713.4252831256845</v>
      </c>
      <c r="Z30" s="1262">
        <v>0</v>
      </c>
      <c r="AA30" s="1262">
        <v>0</v>
      </c>
      <c r="AB30" s="1262">
        <v>0</v>
      </c>
      <c r="AC30" s="1262">
        <v>0</v>
      </c>
    </row>
    <row r="31" spans="2:80">
      <c r="B31" s="1249" t="s">
        <v>1724</v>
      </c>
      <c r="C31" s="1266">
        <f t="shared" si="2"/>
        <v>20</v>
      </c>
      <c r="D31" s="1264" t="s">
        <v>1711</v>
      </c>
      <c r="E31" s="1254">
        <f>COUNTIF(D$12:D31,D31)</f>
        <v>5</v>
      </c>
      <c r="F31" s="1265">
        <v>0</v>
      </c>
      <c r="G31" s="1265">
        <v>0</v>
      </c>
      <c r="H31" s="1265">
        <v>0</v>
      </c>
      <c r="I31" s="1265">
        <v>0</v>
      </c>
      <c r="J31" s="1265">
        <v>0</v>
      </c>
      <c r="K31" s="1265">
        <v>0</v>
      </c>
      <c r="L31" s="1265">
        <v>0</v>
      </c>
      <c r="M31" s="1265">
        <v>0.03</v>
      </c>
      <c r="N31" s="1265">
        <v>0</v>
      </c>
      <c r="O31" s="1265">
        <v>0</v>
      </c>
      <c r="P31" s="1265">
        <v>0</v>
      </c>
      <c r="Q31" s="1265">
        <v>0</v>
      </c>
      <c r="R31" s="1265">
        <v>0</v>
      </c>
      <c r="S31" s="1265">
        <v>0</v>
      </c>
      <c r="U31" s="1250" t="s">
        <v>1724</v>
      </c>
      <c r="V31" s="1262">
        <v>13.513008208535584</v>
      </c>
      <c r="W31" s="1262">
        <v>4526.1631985456925</v>
      </c>
      <c r="X31" s="1262">
        <v>4687.5424465616752</v>
      </c>
      <c r="Y31" s="1262">
        <v>4687.5424465616752</v>
      </c>
      <c r="Z31" s="1262">
        <v>0</v>
      </c>
      <c r="AA31" s="1262">
        <v>0</v>
      </c>
      <c r="AB31" s="1262">
        <v>0</v>
      </c>
      <c r="AC31" s="1262">
        <v>0</v>
      </c>
      <c r="BN31" s="1253"/>
      <c r="BO31" s="1253"/>
      <c r="BP31" s="1253"/>
      <c r="BQ31" s="1253"/>
      <c r="BR31" s="1253"/>
      <c r="BS31" s="1253"/>
      <c r="BT31" s="1253"/>
      <c r="BU31" s="1253"/>
      <c r="BV31" s="1253"/>
      <c r="BW31" s="1253"/>
      <c r="BX31" s="1253"/>
      <c r="BY31" s="1253"/>
      <c r="BZ31" s="1253"/>
      <c r="CA31" s="1253"/>
      <c r="CB31" s="1253"/>
    </row>
    <row r="32" spans="2:80">
      <c r="U32" s="1252"/>
    </row>
    <row r="34" spans="2:80">
      <c r="AE34" s="1252"/>
    </row>
    <row r="39" spans="2:80">
      <c r="D39" s="1242" t="s">
        <v>2100</v>
      </c>
    </row>
    <row r="40" spans="2:80">
      <c r="D40" s="1701" t="s">
        <v>2132</v>
      </c>
      <c r="E40" s="1702"/>
      <c r="F40" s="1702"/>
      <c r="G40" s="1702"/>
      <c r="H40" s="1702"/>
      <c r="I40" s="1702"/>
      <c r="J40" s="1702"/>
      <c r="K40" s="1702"/>
      <c r="L40" s="1703"/>
    </row>
    <row r="41" spans="2:80">
      <c r="D41" s="1704" t="s">
        <v>2133</v>
      </c>
      <c r="E41" s="1705"/>
      <c r="F41" s="1705"/>
      <c r="G41" s="1705"/>
      <c r="H41" s="1705"/>
      <c r="I41" s="1705"/>
      <c r="J41" s="1705"/>
      <c r="K41" s="1705"/>
      <c r="L41" s="1706"/>
    </row>
    <row r="42" spans="2:80">
      <c r="D42" s="1704" t="s">
        <v>2134</v>
      </c>
      <c r="E42" s="1705"/>
      <c r="F42" s="1705"/>
      <c r="G42" s="1705"/>
      <c r="H42" s="1705"/>
      <c r="I42" s="1705"/>
      <c r="J42" s="1705"/>
      <c r="K42" s="1705"/>
      <c r="L42" s="1706"/>
    </row>
    <row r="43" spans="2:80">
      <c r="D43" s="1704" t="s">
        <v>2135</v>
      </c>
      <c r="E43" s="1705"/>
      <c r="F43" s="1705"/>
      <c r="G43" s="1705"/>
      <c r="H43" s="1705"/>
      <c r="I43" s="1705"/>
      <c r="J43" s="1705"/>
      <c r="K43" s="1705"/>
      <c r="L43" s="1706"/>
    </row>
    <row r="44" spans="2:80">
      <c r="D44" s="1707"/>
      <c r="E44" s="1708"/>
      <c r="F44" s="1708"/>
      <c r="G44" s="1708"/>
      <c r="H44" s="1708"/>
      <c r="I44" s="1708"/>
      <c r="J44" s="1708"/>
      <c r="K44" s="1708"/>
      <c r="L44" s="1709"/>
      <c r="BM44" s="1242" t="s">
        <v>1671</v>
      </c>
    </row>
    <row r="45" spans="2:80" ht="51">
      <c r="U45" s="1242" t="s">
        <v>1712</v>
      </c>
      <c r="BM45" s="1244"/>
      <c r="BN45" s="1244" t="str">
        <f t="shared" ref="BN45:BU45" si="3">V46</f>
        <v>Conv. gasoline</v>
      </c>
      <c r="BO45" s="1244" t="str">
        <f t="shared" si="3"/>
        <v>E85-1g</v>
      </c>
      <c r="BP45" s="1244" t="str">
        <f t="shared" si="3"/>
        <v>E85-2g</v>
      </c>
      <c r="BQ45" s="1244" t="str">
        <f t="shared" si="3"/>
        <v>B-Naturgas</v>
      </c>
      <c r="BR45" s="1244" t="str">
        <f t="shared" si="3"/>
        <v>MeOH</v>
      </c>
      <c r="BS45" s="1244" t="str">
        <f t="shared" si="3"/>
        <v>B-Brint</v>
      </c>
      <c r="BT45" s="1244" t="str">
        <f t="shared" si="3"/>
        <v>Elbil</v>
      </c>
      <c r="BU45" s="1244" t="str">
        <f t="shared" si="3"/>
        <v>Plugin Hybrid</v>
      </c>
      <c r="BV45" s="1244" t="e">
        <f>#REF!</f>
        <v>#REF!</v>
      </c>
      <c r="BW45" s="1244" t="e">
        <f>#REF!</f>
        <v>#REF!</v>
      </c>
      <c r="BX45" s="1244" t="e">
        <f>#REF!</f>
        <v>#REF!</v>
      </c>
      <c r="BY45" s="1244" t="e">
        <f>#REF!</f>
        <v>#REF!</v>
      </c>
      <c r="BZ45" s="1244" t="e">
        <f>#REF!</f>
        <v>#REF!</v>
      </c>
      <c r="CA45" s="1244" t="e">
        <f>#REF!</f>
        <v>#REF!</v>
      </c>
      <c r="CB45" s="1244" t="e">
        <f>#REF!</f>
        <v>#REF!</v>
      </c>
    </row>
    <row r="46" spans="2:80" ht="25.5">
      <c r="D46" s="1242" t="s">
        <v>1691</v>
      </c>
      <c r="U46" s="1244" t="str">
        <f t="shared" ref="U46:AC46" si="4">D48</f>
        <v>Cars A</v>
      </c>
      <c r="V46" s="1244" t="str">
        <f t="shared" si="4"/>
        <v>Conv. gasoline</v>
      </c>
      <c r="W46" s="1244" t="str">
        <f t="shared" si="4"/>
        <v>E85-1g</v>
      </c>
      <c r="X46" s="1244" t="str">
        <f t="shared" si="4"/>
        <v>E85-2g</v>
      </c>
      <c r="Y46" s="1244" t="str">
        <f t="shared" si="4"/>
        <v>B-Naturgas</v>
      </c>
      <c r="Z46" s="1244" t="str">
        <f t="shared" si="4"/>
        <v>MeOH</v>
      </c>
      <c r="AA46" s="1244" t="str">
        <f t="shared" si="4"/>
        <v>B-Brint</v>
      </c>
      <c r="AB46" s="1244" t="str">
        <f t="shared" si="4"/>
        <v>Elbil</v>
      </c>
      <c r="AC46" s="1244" t="str">
        <f t="shared" si="4"/>
        <v>Plugin Hybrid</v>
      </c>
      <c r="BM46" s="1250" t="str">
        <f>U47</f>
        <v>Baseline</v>
      </c>
      <c r="BN46" s="1251">
        <f t="shared" ref="BN46:BU49" si="5">V47/$V47-1</f>
        <v>0</v>
      </c>
      <c r="BO46" s="1251">
        <f t="shared" si="5"/>
        <v>1.4217276400689816E-3</v>
      </c>
      <c r="BP46" s="1251">
        <f t="shared" si="5"/>
        <v>-3.1028706689530283E-2</v>
      </c>
      <c r="BQ46" s="1251">
        <f t="shared" si="5"/>
        <v>-6.2533359096523022E-2</v>
      </c>
      <c r="BR46" s="1251">
        <f t="shared" si="5"/>
        <v>0.22950104093964163</v>
      </c>
      <c r="BS46" s="1251">
        <f t="shared" si="5"/>
        <v>0.20267561357726271</v>
      </c>
      <c r="BT46" s="1251">
        <f t="shared" si="5"/>
        <v>-7.5368682644001872E-2</v>
      </c>
      <c r="BU46" s="1251">
        <f t="shared" si="5"/>
        <v>-3.116464134880903E-2</v>
      </c>
      <c r="BV46" s="1251" t="e">
        <f>#REF!/$V47-1</f>
        <v>#REF!</v>
      </c>
      <c r="BW46" s="1251" t="e">
        <f>#REF!/$V47-1</f>
        <v>#REF!</v>
      </c>
      <c r="BX46" s="1251" t="e">
        <f>#REF!/$V47-1</f>
        <v>#REF!</v>
      </c>
      <c r="BY46" s="1251" t="e">
        <f>#REF!/$V47-1</f>
        <v>#REF!</v>
      </c>
      <c r="BZ46" s="1251" t="e">
        <f>#REF!/$V47-1</f>
        <v>#REF!</v>
      </c>
      <c r="CA46" s="1251" t="e">
        <f>#REF!/$V47-1</f>
        <v>#REF!</v>
      </c>
      <c r="CB46" s="1251" t="e">
        <f>#REF!/$V47-1</f>
        <v>#REF!</v>
      </c>
    </row>
    <row r="47" spans="2:80">
      <c r="B47" s="1242" t="s">
        <v>1677</v>
      </c>
      <c r="D47" s="1245"/>
      <c r="E47" s="1245" t="s">
        <v>1683</v>
      </c>
      <c r="F47" s="1245" t="s">
        <v>1684</v>
      </c>
      <c r="G47" s="1245" t="s">
        <v>1686</v>
      </c>
      <c r="H47" s="1245" t="s">
        <v>1685</v>
      </c>
      <c r="I47" s="1245" t="s">
        <v>1687</v>
      </c>
      <c r="J47" s="1245" t="s">
        <v>1688</v>
      </c>
      <c r="K47" s="1245" t="s">
        <v>1689</v>
      </c>
      <c r="L47" s="1245" t="s">
        <v>1690</v>
      </c>
      <c r="U47" s="1250" t="str">
        <f>U$12</f>
        <v>Baseline</v>
      </c>
      <c r="V47" s="1271">
        <f t="shared" ref="V47:AC47" si="6">V$12</f>
        <v>1.4724593159667367</v>
      </c>
      <c r="W47" s="1271">
        <f t="shared" si="6"/>
        <v>1.4745527520751238</v>
      </c>
      <c r="X47" s="1271">
        <f t="shared" si="6"/>
        <v>1.4267708077393384</v>
      </c>
      <c r="Y47" s="1271">
        <f t="shared" si="6"/>
        <v>1.3803814888063681</v>
      </c>
      <c r="Z47" s="1271">
        <f t="shared" si="6"/>
        <v>1.8103902617223755</v>
      </c>
      <c r="AA47" s="1271">
        <f t="shared" si="6"/>
        <v>1.7708909112978517</v>
      </c>
      <c r="AB47" s="1272">
        <f t="shared" si="6"/>
        <v>1.3614819970754357</v>
      </c>
      <c r="AC47" s="1271">
        <f t="shared" si="6"/>
        <v>1.4265706494839208</v>
      </c>
      <c r="BM47" s="1250" t="str">
        <f>U48</f>
        <v>Fossil prices</v>
      </c>
      <c r="BN47" s="1251">
        <f t="shared" si="5"/>
        <v>0</v>
      </c>
      <c r="BO47" s="1251">
        <f t="shared" si="5"/>
        <v>-3.8979846212713443E-2</v>
      </c>
      <c r="BP47" s="1251">
        <f t="shared" si="5"/>
        <v>-8.7962972435192022E-2</v>
      </c>
      <c r="BQ47" s="1251">
        <f t="shared" si="5"/>
        <v>-0.10862126630764435</v>
      </c>
      <c r="BR47" s="1251">
        <f t="shared" si="5"/>
        <v>0.17390443645870679</v>
      </c>
      <c r="BS47" s="1251">
        <f t="shared" si="5"/>
        <v>0.15253901924195823</v>
      </c>
      <c r="BT47" s="1251">
        <f t="shared" si="5"/>
        <v>-0.11505272729091953</v>
      </c>
      <c r="BU47" s="1251">
        <f t="shared" si="5"/>
        <v>-6.336444191159496E-2</v>
      </c>
      <c r="BV47" s="1251" t="e">
        <f>#REF!/$V48-1</f>
        <v>#REF!</v>
      </c>
      <c r="BW47" s="1251" t="e">
        <f>#REF!/$V48-1</f>
        <v>#REF!</v>
      </c>
      <c r="BX47" s="1251" t="e">
        <f>#REF!/$V48-1</f>
        <v>#REF!</v>
      </c>
      <c r="BY47" s="1251" t="e">
        <f>#REF!/$V48-1</f>
        <v>#REF!</v>
      </c>
      <c r="BZ47" s="1251" t="e">
        <f>#REF!/$V48-1</f>
        <v>#REF!</v>
      </c>
      <c r="CA47" s="1251" t="e">
        <f>#REF!/$V48-1</f>
        <v>#REF!</v>
      </c>
      <c r="CB47" s="1251" t="e">
        <f>#REF!/$V48-1</f>
        <v>#REF!</v>
      </c>
    </row>
    <row r="48" spans="2:80">
      <c r="B48" s="1256" t="s">
        <v>961</v>
      </c>
      <c r="D48" s="1257" t="s">
        <v>1680</v>
      </c>
      <c r="E48" s="1260" t="s">
        <v>962</v>
      </c>
      <c r="F48" s="1260" t="s">
        <v>84</v>
      </c>
      <c r="G48" s="1260" t="s">
        <v>1597</v>
      </c>
      <c r="H48" s="1260" t="s">
        <v>30</v>
      </c>
      <c r="I48" s="1260" t="s">
        <v>82</v>
      </c>
      <c r="J48" s="1260" t="s">
        <v>96</v>
      </c>
      <c r="K48" s="1260" t="s">
        <v>19</v>
      </c>
      <c r="L48" s="1260" t="s">
        <v>667</v>
      </c>
      <c r="U48" s="1250" t="str">
        <f t="shared" ref="U48:AC48" si="7">U13</f>
        <v>Fossil prices</v>
      </c>
      <c r="V48" s="1271">
        <f t="shared" si="7"/>
        <v>1.5485914534761422</v>
      </c>
      <c r="W48" s="1271">
        <f t="shared" si="7"/>
        <v>1.4882275967733198</v>
      </c>
      <c r="X48" s="1271">
        <f t="shared" si="7"/>
        <v>1.4123727461406463</v>
      </c>
      <c r="Y48" s="1271">
        <f t="shared" si="7"/>
        <v>1.3803814888063681</v>
      </c>
      <c r="Z48" s="1271">
        <f t="shared" si="7"/>
        <v>1.8178983774976805</v>
      </c>
      <c r="AA48" s="1271">
        <f t="shared" si="7"/>
        <v>1.7848120749958716</v>
      </c>
      <c r="AB48" s="1271">
        <f t="shared" si="7"/>
        <v>1.3704217832943029</v>
      </c>
      <c r="AC48" s="1271">
        <f t="shared" si="7"/>
        <v>1.4504658202775609</v>
      </c>
      <c r="BM48" s="1250" t="str">
        <f>U49</f>
        <v>All prices</v>
      </c>
      <c r="BN48" s="1251">
        <f t="shared" si="5"/>
        <v>0</v>
      </c>
      <c r="BO48" s="1251">
        <f t="shared" si="5"/>
        <v>6.7942096342421543E-3</v>
      </c>
      <c r="BP48" s="1251">
        <f t="shared" si="5"/>
        <v>-8.7962972435192022E-2</v>
      </c>
      <c r="BQ48" s="1251">
        <f t="shared" si="5"/>
        <v>-0.10862126630764435</v>
      </c>
      <c r="BR48" s="1251">
        <f t="shared" si="5"/>
        <v>0.17390443645870679</v>
      </c>
      <c r="BS48" s="1251">
        <f t="shared" si="5"/>
        <v>0.15253901924195823</v>
      </c>
      <c r="BT48" s="1251">
        <f t="shared" si="5"/>
        <v>-0.11505272729091953</v>
      </c>
      <c r="BU48" s="1251">
        <f t="shared" si="5"/>
        <v>-6.336444191159496E-2</v>
      </c>
      <c r="BV48" s="1251" t="e">
        <f>#REF!/$V49-1</f>
        <v>#REF!</v>
      </c>
      <c r="BW48" s="1251" t="e">
        <f>#REF!/$V49-1</f>
        <v>#REF!</v>
      </c>
      <c r="BX48" s="1251" t="e">
        <f>#REF!/$V49-1</f>
        <v>#REF!</v>
      </c>
      <c r="BY48" s="1251" t="e">
        <f>#REF!/$V49-1</f>
        <v>#REF!</v>
      </c>
      <c r="BZ48" s="1251" t="e">
        <f>#REF!/$V49-1</f>
        <v>#REF!</v>
      </c>
      <c r="CA48" s="1251" t="e">
        <f>#REF!/$V49-1</f>
        <v>#REF!</v>
      </c>
      <c r="CB48" s="1251" t="e">
        <f>#REF!/$V49-1</f>
        <v>#REF!</v>
      </c>
    </row>
    <row r="49" spans="2:80">
      <c r="B49" s="1256" t="s">
        <v>962</v>
      </c>
      <c r="D49" s="1258" t="s">
        <v>1679</v>
      </c>
      <c r="E49" s="1255" t="s">
        <v>961</v>
      </c>
      <c r="F49" s="1255" t="s">
        <v>1598</v>
      </c>
      <c r="G49" s="1255" t="s">
        <v>11</v>
      </c>
      <c r="H49" s="1255" t="s">
        <v>30</v>
      </c>
      <c r="I49" s="1255" t="s">
        <v>4</v>
      </c>
      <c r="J49" s="1255"/>
      <c r="K49" s="1255"/>
      <c r="L49" s="1255"/>
      <c r="U49" s="1250" t="str">
        <f t="shared" ref="U49:AC49" si="8">U14</f>
        <v>All prices</v>
      </c>
      <c r="V49" s="1271">
        <f t="shared" si="8"/>
        <v>1.5485914534761422</v>
      </c>
      <c r="W49" s="1271">
        <f t="shared" si="8"/>
        <v>1.5591129084488549</v>
      </c>
      <c r="X49" s="1271">
        <f t="shared" si="8"/>
        <v>1.4123727461406463</v>
      </c>
      <c r="Y49" s="1271">
        <f t="shared" si="8"/>
        <v>1.3803814888063681</v>
      </c>
      <c r="Z49" s="1271">
        <f t="shared" si="8"/>
        <v>1.8178983774976805</v>
      </c>
      <c r="AA49" s="1271">
        <f t="shared" si="8"/>
        <v>1.7848120749958716</v>
      </c>
      <c r="AB49" s="1271">
        <f t="shared" si="8"/>
        <v>1.3704217832943029</v>
      </c>
      <c r="AC49" s="1271">
        <f t="shared" si="8"/>
        <v>1.4504658202775609</v>
      </c>
      <c r="BM49" s="1250" t="str">
        <f>U50</f>
        <v>Costs</v>
      </c>
      <c r="BN49" s="1251">
        <f t="shared" si="5"/>
        <v>0</v>
      </c>
      <c r="BO49" s="1251">
        <f t="shared" si="5"/>
        <v>1.2851020622304254E-3</v>
      </c>
      <c r="BP49" s="1251">
        <f t="shared" si="5"/>
        <v>-2.030160206405307E-2</v>
      </c>
      <c r="BQ49" s="1251">
        <f t="shared" si="5"/>
        <v>-6.6318510197176606E-2</v>
      </c>
      <c r="BR49" s="1251">
        <f t="shared" si="5"/>
        <v>0.22379497841758833</v>
      </c>
      <c r="BS49" s="1251">
        <f t="shared" si="5"/>
        <v>0.20242426998341556</v>
      </c>
      <c r="BT49" s="1251">
        <f t="shared" si="5"/>
        <v>-7.757926764294798E-2</v>
      </c>
      <c r="BU49" s="1251">
        <f t="shared" si="5"/>
        <v>-3.5166945134957772E-2</v>
      </c>
      <c r="BV49" s="1251" t="e">
        <f>#REF!/$V50-1</f>
        <v>#REF!</v>
      </c>
      <c r="BW49" s="1251" t="e">
        <f>#REF!/$V50-1</f>
        <v>#REF!</v>
      </c>
      <c r="BX49" s="1251" t="e">
        <f>#REF!/$V50-1</f>
        <v>#REF!</v>
      </c>
      <c r="BY49" s="1251" t="e">
        <f>#REF!/$V50-1</f>
        <v>#REF!</v>
      </c>
      <c r="BZ49" s="1251" t="e">
        <f>#REF!/$V50-1</f>
        <v>#REF!</v>
      </c>
      <c r="CA49" s="1251" t="e">
        <f>#REF!/$V50-1</f>
        <v>#REF!</v>
      </c>
      <c r="CB49" s="1251" t="e">
        <f>#REF!/$V50-1</f>
        <v>#REF!</v>
      </c>
    </row>
    <row r="50" spans="2:80">
      <c r="B50" s="1256" t="s">
        <v>84</v>
      </c>
      <c r="D50" s="1258" t="s">
        <v>1678</v>
      </c>
      <c r="E50" s="1255" t="s">
        <v>604</v>
      </c>
      <c r="F50" s="1255" t="s">
        <v>632</v>
      </c>
      <c r="G50" s="1255" t="s">
        <v>671</v>
      </c>
      <c r="H50" s="1255" t="s">
        <v>672</v>
      </c>
      <c r="I50" s="1255" t="s">
        <v>673</v>
      </c>
      <c r="J50" s="1255"/>
      <c r="K50" s="1255"/>
      <c r="L50" s="1255"/>
      <c r="U50" s="1250" t="str">
        <f t="shared" ref="U50:AC50" si="9">U15</f>
        <v>Costs</v>
      </c>
      <c r="V50" s="1271">
        <f t="shared" si="9"/>
        <v>1.4838485804726758</v>
      </c>
      <c r="W50" s="1271">
        <f t="shared" si="9"/>
        <v>1.4857554773434789</v>
      </c>
      <c r="X50" s="1271">
        <f t="shared" si="9"/>
        <v>1.4537240770686095</v>
      </c>
      <c r="Y50" s="1271">
        <f t="shared" si="9"/>
        <v>1.3854419532575326</v>
      </c>
      <c r="Z50" s="1271">
        <f t="shared" si="9"/>
        <v>1.8159264415145273</v>
      </c>
      <c r="AA50" s="1271">
        <f t="shared" si="9"/>
        <v>1.7842155461407845</v>
      </c>
      <c r="AB50" s="1271">
        <f t="shared" si="9"/>
        <v>1.3687326943065776</v>
      </c>
      <c r="AC50" s="1271">
        <f t="shared" si="9"/>
        <v>1.4316661588546082</v>
      </c>
      <c r="BM50" s="1250"/>
      <c r="BN50" s="1250"/>
      <c r="BO50" s="1250"/>
      <c r="BP50" s="1250"/>
      <c r="BQ50" s="1250"/>
      <c r="BR50" s="1250"/>
      <c r="BS50" s="1250"/>
      <c r="BT50" s="1250"/>
      <c r="BU50" s="1250"/>
      <c r="BV50" s="1250"/>
      <c r="BW50" s="1250"/>
      <c r="BX50" s="1250"/>
      <c r="BY50" s="1250"/>
      <c r="BZ50" s="1250"/>
      <c r="CA50" s="1250"/>
      <c r="CB50" s="1250"/>
    </row>
    <row r="51" spans="2:80">
      <c r="B51" s="1256" t="s">
        <v>1597</v>
      </c>
      <c r="D51" s="1258" t="s">
        <v>1711</v>
      </c>
      <c r="E51" s="1255" t="s">
        <v>1656</v>
      </c>
      <c r="F51" s="1255" t="s">
        <v>1647</v>
      </c>
      <c r="G51" s="1255" t="s">
        <v>1648</v>
      </c>
      <c r="H51" s="1255" t="s">
        <v>1648</v>
      </c>
      <c r="I51" s="1255"/>
      <c r="J51" s="1255"/>
      <c r="K51" s="1255"/>
      <c r="L51" s="1255"/>
      <c r="U51" s="1250" t="str">
        <f t="shared" ref="U51:AC51" si="10">U16</f>
        <v>IRR</v>
      </c>
      <c r="V51" s="1271">
        <f t="shared" si="10"/>
        <v>1.3697663856161979</v>
      </c>
      <c r="W51" s="1271">
        <f t="shared" si="10"/>
        <v>1.3688465645150398</v>
      </c>
      <c r="X51" s="1271">
        <f t="shared" si="10"/>
        <v>1.3128996651598421</v>
      </c>
      <c r="Y51" s="1271">
        <f t="shared" si="10"/>
        <v>1.2654785646320104</v>
      </c>
      <c r="Z51" s="1271">
        <f t="shared" si="10"/>
        <v>1.5927266110693397</v>
      </c>
      <c r="AA51" s="1271">
        <f t="shared" si="10"/>
        <v>1.5588200557577878</v>
      </c>
      <c r="AB51" s="1271">
        <f t="shared" si="10"/>
        <v>1.1896628547279142</v>
      </c>
      <c r="AC51" s="1271">
        <f t="shared" si="10"/>
        <v>1.2692661285743818</v>
      </c>
      <c r="BM51" s="1250"/>
      <c r="BN51" s="1250"/>
      <c r="BO51" s="1250"/>
      <c r="BP51" s="1250"/>
      <c r="BQ51" s="1250"/>
      <c r="BR51" s="1250"/>
      <c r="BS51" s="1250"/>
      <c r="BT51" s="1250"/>
      <c r="BU51" s="1250"/>
      <c r="BV51" s="1250"/>
      <c r="BW51" s="1250"/>
      <c r="BX51" s="1250"/>
      <c r="BY51" s="1250"/>
      <c r="BZ51" s="1250"/>
      <c r="CA51" s="1250"/>
      <c r="CB51" s="1250"/>
    </row>
    <row r="52" spans="2:80">
      <c r="B52" s="1256" t="s">
        <v>1598</v>
      </c>
      <c r="D52" s="1258" t="s">
        <v>1681</v>
      </c>
      <c r="E52" s="1255"/>
      <c r="F52" s="1255"/>
      <c r="G52" s="1255"/>
      <c r="H52" s="1255"/>
      <c r="I52" s="1255"/>
      <c r="J52" s="1255"/>
      <c r="K52" s="1255"/>
      <c r="L52" s="1255"/>
      <c r="U52" s="1250"/>
      <c r="V52" s="1250"/>
      <c r="W52" s="1250"/>
      <c r="X52" s="1250"/>
      <c r="Y52" s="1250"/>
      <c r="Z52" s="1250"/>
      <c r="AA52" s="1250"/>
      <c r="AB52" s="1250"/>
      <c r="AC52" s="1250"/>
    </row>
    <row r="53" spans="2:80">
      <c r="B53" s="1256" t="s">
        <v>11</v>
      </c>
      <c r="D53" s="1259" t="s">
        <v>1682</v>
      </c>
      <c r="E53" s="1261"/>
      <c r="F53" s="1261"/>
      <c r="G53" s="1261"/>
      <c r="H53" s="1261"/>
      <c r="I53" s="1261"/>
      <c r="J53" s="1261"/>
      <c r="K53" s="1261"/>
      <c r="L53" s="1261"/>
    </row>
    <row r="54" spans="2:80">
      <c r="B54" s="1256" t="s">
        <v>30</v>
      </c>
    </row>
    <row r="55" spans="2:80">
      <c r="B55" s="1256" t="s">
        <v>4</v>
      </c>
    </row>
    <row r="56" spans="2:80">
      <c r="B56" s="1256" t="s">
        <v>82</v>
      </c>
    </row>
    <row r="57" spans="2:80">
      <c r="B57" s="1256" t="s">
        <v>96</v>
      </c>
    </row>
    <row r="58" spans="2:80">
      <c r="B58" s="1256" t="s">
        <v>19</v>
      </c>
    </row>
    <row r="59" spans="2:80">
      <c r="B59" s="1256" t="s">
        <v>667</v>
      </c>
    </row>
    <row r="60" spans="2:80">
      <c r="B60" s="1256" t="s">
        <v>667</v>
      </c>
    </row>
    <row r="61" spans="2:80">
      <c r="B61" s="1256" t="s">
        <v>1656</v>
      </c>
    </row>
    <row r="62" spans="2:80">
      <c r="B62" s="1256" t="s">
        <v>1647</v>
      </c>
      <c r="BM62" s="1242" t="s">
        <v>1672</v>
      </c>
    </row>
    <row r="63" spans="2:80" ht="51">
      <c r="B63" s="1256" t="s">
        <v>1648</v>
      </c>
      <c r="U63" s="1242" t="s">
        <v>1672</v>
      </c>
      <c r="BM63" s="1244"/>
      <c r="BN63" s="1244" t="str">
        <f t="shared" ref="BN63:BU63" si="11">V64</f>
        <v>Conv. diesel</v>
      </c>
      <c r="BO63" s="1244" t="str">
        <f t="shared" si="11"/>
        <v>Biodiesel-2g</v>
      </c>
      <c r="BP63" s="1244" t="str">
        <f t="shared" si="11"/>
        <v>DME</v>
      </c>
      <c r="BQ63" s="1244" t="str">
        <f t="shared" si="11"/>
        <v>B-Naturgas</v>
      </c>
      <c r="BR63" s="1244" t="str">
        <f t="shared" si="11"/>
        <v>Biogas</v>
      </c>
      <c r="BS63" s="1244">
        <f t="shared" si="11"/>
        <v>0</v>
      </c>
      <c r="BT63" s="1244">
        <f t="shared" si="11"/>
        <v>0</v>
      </c>
      <c r="BU63" s="1244">
        <f t="shared" si="11"/>
        <v>0</v>
      </c>
      <c r="BV63" s="1244" t="e">
        <f>#REF!</f>
        <v>#REF!</v>
      </c>
      <c r="BW63" s="1244" t="e">
        <f>#REF!</f>
        <v>#REF!</v>
      </c>
      <c r="BX63" s="1244" t="e">
        <f>#REF!</f>
        <v>#REF!</v>
      </c>
      <c r="BY63" s="1244" t="e">
        <f>#REF!</f>
        <v>#REF!</v>
      </c>
      <c r="BZ63" s="1244" t="e">
        <f>#REF!</f>
        <v>#REF!</v>
      </c>
      <c r="CA63" s="1244" t="e">
        <f>#REF!</f>
        <v>#REF!</v>
      </c>
      <c r="CB63" s="1244" t="e">
        <f>#REF!</f>
        <v>#REF!</v>
      </c>
    </row>
    <row r="64" spans="2:80" ht="25.5">
      <c r="B64" s="1256" t="s">
        <v>1648</v>
      </c>
      <c r="U64" s="1244"/>
      <c r="V64" s="1244" t="str">
        <f t="shared" ref="V64:AC64" si="12">E49</f>
        <v>Conv. diesel</v>
      </c>
      <c r="W64" s="1244" t="str">
        <f t="shared" si="12"/>
        <v>Biodiesel-2g</v>
      </c>
      <c r="X64" s="1244" t="str">
        <f t="shared" si="12"/>
        <v>DME</v>
      </c>
      <c r="Y64" s="1244" t="str">
        <f t="shared" si="12"/>
        <v>B-Naturgas</v>
      </c>
      <c r="Z64" s="1244" t="str">
        <f t="shared" si="12"/>
        <v>Biogas</v>
      </c>
      <c r="AA64" s="1244">
        <f t="shared" si="12"/>
        <v>0</v>
      </c>
      <c r="AB64" s="1244">
        <f t="shared" si="12"/>
        <v>0</v>
      </c>
      <c r="AC64" s="1244">
        <f t="shared" si="12"/>
        <v>0</v>
      </c>
      <c r="BM64" s="1250" t="str">
        <f>U65</f>
        <v>Baseline</v>
      </c>
      <c r="BN64" s="1251">
        <f t="shared" ref="BN64:BU68" si="13">V65/$V65-1</f>
        <v>0</v>
      </c>
      <c r="BO64" s="1251">
        <f t="shared" si="13"/>
        <v>2.6594386566659578E-2</v>
      </c>
      <c r="BP64" s="1251">
        <f t="shared" si="13"/>
        <v>3.6602856362998315E-2</v>
      </c>
      <c r="BQ64" s="1251">
        <f t="shared" si="13"/>
        <v>-5.5204895388628605E-2</v>
      </c>
      <c r="BR64" s="1251">
        <f t="shared" si="13"/>
        <v>7.9419504024857979E-2</v>
      </c>
      <c r="BS64" s="1251">
        <f t="shared" si="13"/>
        <v>-1</v>
      </c>
      <c r="BT64" s="1251">
        <f t="shared" si="13"/>
        <v>-1</v>
      </c>
      <c r="BU64" s="1251">
        <f t="shared" si="13"/>
        <v>-1</v>
      </c>
      <c r="BV64" s="1251" t="e">
        <f>#REF!/$V65-1</f>
        <v>#REF!</v>
      </c>
      <c r="BW64" s="1251" t="e">
        <f>#REF!/$V65-1</f>
        <v>#REF!</v>
      </c>
      <c r="BX64" s="1251" t="e">
        <f>#REF!/$V65-1</f>
        <v>#REF!</v>
      </c>
      <c r="BY64" s="1251" t="e">
        <f>#REF!/$V65-1</f>
        <v>#REF!</v>
      </c>
      <c r="BZ64" s="1251" t="e">
        <f>#REF!/$V65-1</f>
        <v>#REF!</v>
      </c>
      <c r="CA64" s="1251" t="e">
        <f>#REF!/$V65-1</f>
        <v>#REF!</v>
      </c>
      <c r="CB64" s="1251" t="e">
        <f>#REF!/$V65-1</f>
        <v>#REF!</v>
      </c>
    </row>
    <row r="65" spans="2:80">
      <c r="B65" s="1256" t="s">
        <v>604</v>
      </c>
      <c r="U65" s="1250" t="str">
        <f>U$12</f>
        <v>Baseline</v>
      </c>
      <c r="V65" s="1250">
        <f t="shared" ref="V65:AC69" si="14">V17</f>
        <v>1.461037935176611</v>
      </c>
      <c r="W65" s="1250">
        <f t="shared" si="14"/>
        <v>1.4998933428132517</v>
      </c>
      <c r="X65" s="1250">
        <f t="shared" si="14"/>
        <v>1.5145160968587721</v>
      </c>
      <c r="Y65" s="1250">
        <f t="shared" si="14"/>
        <v>1.3803814888063681</v>
      </c>
      <c r="Z65" s="1250">
        <f t="shared" si="14"/>
        <v>1.57707284334984</v>
      </c>
      <c r="AA65" s="1250">
        <f t="shared" si="14"/>
        <v>0</v>
      </c>
      <c r="AB65" s="1250">
        <f t="shared" si="14"/>
        <v>0</v>
      </c>
      <c r="AC65" s="1250">
        <f t="shared" si="14"/>
        <v>0</v>
      </c>
      <c r="BM65" s="1250" t="str">
        <f>U66</f>
        <v>Baseline</v>
      </c>
      <c r="BN65" s="1251">
        <f t="shared" si="13"/>
        <v>0</v>
      </c>
      <c r="BO65" s="1251">
        <f t="shared" si="13"/>
        <v>-3.8277794736008564E-2</v>
      </c>
      <c r="BP65" s="1251">
        <f t="shared" si="13"/>
        <v>-1.3055929609453454E-2</v>
      </c>
      <c r="BQ65" s="1251">
        <f t="shared" si="13"/>
        <v>-9.125763178434243E-2</v>
      </c>
      <c r="BR65" s="1251">
        <f t="shared" si="13"/>
        <v>3.8229592424916081E-2</v>
      </c>
      <c r="BS65" s="1251">
        <f t="shared" si="13"/>
        <v>-1</v>
      </c>
      <c r="BT65" s="1251">
        <f t="shared" si="13"/>
        <v>-1</v>
      </c>
      <c r="BU65" s="1251">
        <f t="shared" si="13"/>
        <v>-1</v>
      </c>
      <c r="BV65" s="1251" t="e">
        <f>#REF!/$V66-1</f>
        <v>#REF!</v>
      </c>
      <c r="BW65" s="1251" t="e">
        <f>#REF!/$V66-1</f>
        <v>#REF!</v>
      </c>
      <c r="BX65" s="1251" t="e">
        <f>#REF!/$V66-1</f>
        <v>#REF!</v>
      </c>
      <c r="BY65" s="1251" t="e">
        <f>#REF!/$V66-1</f>
        <v>#REF!</v>
      </c>
      <c r="BZ65" s="1251" t="e">
        <f>#REF!/$V66-1</f>
        <v>#REF!</v>
      </c>
      <c r="CA65" s="1251" t="e">
        <f>#REF!/$V66-1</f>
        <v>#REF!</v>
      </c>
      <c r="CB65" s="1251" t="e">
        <f>#REF!/$V66-1</f>
        <v>#REF!</v>
      </c>
    </row>
    <row r="66" spans="2:80">
      <c r="B66" s="1256" t="s">
        <v>632</v>
      </c>
      <c r="U66" s="1250" t="str">
        <f>U17</f>
        <v>Baseline</v>
      </c>
      <c r="V66" s="1250">
        <f t="shared" si="14"/>
        <v>1.51900201540816</v>
      </c>
      <c r="W66" s="1250">
        <f t="shared" si="14"/>
        <v>1.4608579680587832</v>
      </c>
      <c r="X66" s="1250">
        <f t="shared" si="14"/>
        <v>1.4991700320183732</v>
      </c>
      <c r="Y66" s="1250">
        <f t="shared" si="14"/>
        <v>1.3803814888063681</v>
      </c>
      <c r="Z66" s="1250">
        <f t="shared" si="14"/>
        <v>1.57707284334984</v>
      </c>
      <c r="AA66" s="1250">
        <f t="shared" si="14"/>
        <v>0</v>
      </c>
      <c r="AB66" s="1250">
        <f t="shared" si="14"/>
        <v>0</v>
      </c>
      <c r="AC66" s="1250">
        <f t="shared" si="14"/>
        <v>0</v>
      </c>
      <c r="BM66" s="1250" t="str">
        <f>U67</f>
        <v>All ressources</v>
      </c>
      <c r="BN66" s="1251">
        <f t="shared" si="13"/>
        <v>0</v>
      </c>
      <c r="BO66" s="1251">
        <f t="shared" si="13"/>
        <v>-3.8277794736008564E-2</v>
      </c>
      <c r="BP66" s="1251">
        <f t="shared" si="13"/>
        <v>-1.3055929609453454E-2</v>
      </c>
      <c r="BQ66" s="1251">
        <f t="shared" si="13"/>
        <v>-9.125763178434243E-2</v>
      </c>
      <c r="BR66" s="1251">
        <f t="shared" si="13"/>
        <v>3.8229592424916081E-2</v>
      </c>
      <c r="BS66" s="1251">
        <f t="shared" si="13"/>
        <v>-1</v>
      </c>
      <c r="BT66" s="1251">
        <f t="shared" si="13"/>
        <v>-1</v>
      </c>
      <c r="BU66" s="1251">
        <f t="shared" si="13"/>
        <v>-1</v>
      </c>
      <c r="BV66" s="1251" t="e">
        <f>#REF!/$V67-1</f>
        <v>#REF!</v>
      </c>
      <c r="BW66" s="1251" t="e">
        <f>#REF!/$V67-1</f>
        <v>#REF!</v>
      </c>
      <c r="BX66" s="1251" t="e">
        <f>#REF!/$V67-1</f>
        <v>#REF!</v>
      </c>
      <c r="BY66" s="1251" t="e">
        <f>#REF!/$V67-1</f>
        <v>#REF!</v>
      </c>
      <c r="BZ66" s="1251" t="e">
        <f>#REF!/$V67-1</f>
        <v>#REF!</v>
      </c>
      <c r="CA66" s="1251" t="e">
        <f>#REF!/$V67-1</f>
        <v>#REF!</v>
      </c>
      <c r="CB66" s="1251" t="e">
        <f>#REF!/$V67-1</f>
        <v>#REF!</v>
      </c>
    </row>
    <row r="67" spans="2:80">
      <c r="B67" s="1256" t="s">
        <v>671</v>
      </c>
      <c r="U67" s="1250" t="str">
        <f>U19</f>
        <v>All ressources</v>
      </c>
      <c r="V67" s="1250">
        <f t="shared" si="14"/>
        <v>1.51900201540816</v>
      </c>
      <c r="W67" s="1250">
        <f t="shared" si="14"/>
        <v>1.4608579680587832</v>
      </c>
      <c r="X67" s="1250">
        <f t="shared" si="14"/>
        <v>1.4991700320183732</v>
      </c>
      <c r="Y67" s="1250">
        <f t="shared" si="14"/>
        <v>1.3803814888063681</v>
      </c>
      <c r="Z67" s="1250">
        <f t="shared" si="14"/>
        <v>1.57707284334984</v>
      </c>
      <c r="AA67" s="1250">
        <f t="shared" si="14"/>
        <v>0</v>
      </c>
      <c r="AB67" s="1250">
        <f t="shared" si="14"/>
        <v>0</v>
      </c>
      <c r="AC67" s="1250">
        <f t="shared" si="14"/>
        <v>0</v>
      </c>
      <c r="BM67" s="1250" t="str">
        <f>U68</f>
        <v>Fosill ressources</v>
      </c>
      <c r="BN67" s="1251">
        <f t="shared" si="13"/>
        <v>0</v>
      </c>
      <c r="BO67" s="1251">
        <f t="shared" si="13"/>
        <v>5.5680022097960968E-2</v>
      </c>
      <c r="BP67" s="1251">
        <f t="shared" si="13"/>
        <v>4.5808845044776225E-2</v>
      </c>
      <c r="BQ67" s="1251">
        <f t="shared" si="13"/>
        <v>-5.5888782729989317E-2</v>
      </c>
      <c r="BR67" s="1251">
        <f t="shared" si="13"/>
        <v>0.11105321689044279</v>
      </c>
      <c r="BS67" s="1251">
        <f t="shared" si="13"/>
        <v>-1</v>
      </c>
      <c r="BT67" s="1251">
        <f t="shared" si="13"/>
        <v>-1</v>
      </c>
      <c r="BU67" s="1251">
        <f t="shared" si="13"/>
        <v>-1</v>
      </c>
      <c r="BV67" s="1251" t="e">
        <f>#REF!/$V68-1</f>
        <v>#REF!</v>
      </c>
      <c r="BW67" s="1251" t="e">
        <f>#REF!/$V68-1</f>
        <v>#REF!</v>
      </c>
      <c r="BX67" s="1251" t="e">
        <f>#REF!/$V68-1</f>
        <v>#REF!</v>
      </c>
      <c r="BY67" s="1251" t="e">
        <f>#REF!/$V68-1</f>
        <v>#REF!</v>
      </c>
      <c r="BZ67" s="1251" t="e">
        <f>#REF!/$V68-1</f>
        <v>#REF!</v>
      </c>
      <c r="CA67" s="1251" t="e">
        <f>#REF!/$V68-1</f>
        <v>#REF!</v>
      </c>
      <c r="CB67" s="1251" t="e">
        <f>#REF!/$V68-1</f>
        <v>#REF!</v>
      </c>
    </row>
    <row r="68" spans="2:80">
      <c r="B68" s="1256" t="s">
        <v>672</v>
      </c>
      <c r="U68" s="1250" t="str">
        <f>U18</f>
        <v>Fosill ressources</v>
      </c>
      <c r="V68" s="1250">
        <f t="shared" si="14"/>
        <v>1.4674562995487679</v>
      </c>
      <c r="W68" s="1250">
        <f t="shared" si="14"/>
        <v>1.5491642987354353</v>
      </c>
      <c r="X68" s="1250">
        <f t="shared" si="14"/>
        <v>1.5346787777847781</v>
      </c>
      <c r="Y68" s="1250">
        <f t="shared" si="14"/>
        <v>1.3854419532575326</v>
      </c>
      <c r="Z68" s="1250">
        <f t="shared" si="14"/>
        <v>1.6304220422598039</v>
      </c>
      <c r="AA68" s="1250">
        <f t="shared" si="14"/>
        <v>0</v>
      </c>
      <c r="AB68" s="1250">
        <f t="shared" si="14"/>
        <v>0</v>
      </c>
      <c r="AC68" s="1250">
        <f t="shared" si="14"/>
        <v>0</v>
      </c>
      <c r="BM68" s="1250" t="str">
        <f>U69</f>
        <v>Fosill ressources</v>
      </c>
      <c r="BN68" s="1251">
        <f t="shared" si="13"/>
        <v>0</v>
      </c>
      <c r="BO68" s="1251">
        <f t="shared" si="13"/>
        <v>1.5617767773385749E-2</v>
      </c>
      <c r="BP68" s="1251">
        <f t="shared" si="13"/>
        <v>3.0473010914152443E-2</v>
      </c>
      <c r="BQ68" s="1251">
        <f t="shared" si="13"/>
        <v>-6.1109518217859149E-2</v>
      </c>
      <c r="BR68" s="1251">
        <f t="shared" si="13"/>
        <v>7.0166975552784727E-2</v>
      </c>
      <c r="BS68" s="1251">
        <f t="shared" si="13"/>
        <v>-1</v>
      </c>
      <c r="BT68" s="1251">
        <f t="shared" si="13"/>
        <v>-1</v>
      </c>
      <c r="BU68" s="1251">
        <f t="shared" si="13"/>
        <v>-1</v>
      </c>
      <c r="BV68" s="1251" t="e">
        <f>#REF!/$V69-1</f>
        <v>#REF!</v>
      </c>
      <c r="BW68" s="1251" t="e">
        <f>#REF!/$V69-1</f>
        <v>#REF!</v>
      </c>
      <c r="BX68" s="1251" t="e">
        <f>#REF!/$V69-1</f>
        <v>#REF!</v>
      </c>
      <c r="BY68" s="1251" t="e">
        <f>#REF!/$V69-1</f>
        <v>#REF!</v>
      </c>
      <c r="BZ68" s="1251" t="e">
        <f>#REF!/$V69-1</f>
        <v>#REF!</v>
      </c>
      <c r="CA68" s="1251" t="e">
        <f>#REF!/$V69-1</f>
        <v>#REF!</v>
      </c>
      <c r="CB68" s="1251" t="e">
        <f>#REF!/$V69-1</f>
        <v>#REF!</v>
      </c>
    </row>
    <row r="69" spans="2:80">
      <c r="B69" s="1256" t="s">
        <v>673</v>
      </c>
      <c r="U69" s="1250" t="str">
        <f>U28</f>
        <v>Fosill ressources</v>
      </c>
      <c r="V69" s="1250">
        <f t="shared" si="14"/>
        <v>1.3478447051992275</v>
      </c>
      <c r="W69" s="1250">
        <f t="shared" si="14"/>
        <v>1.3688950307996166</v>
      </c>
      <c r="X69" s="1250">
        <f t="shared" si="14"/>
        <v>1.3889175916113461</v>
      </c>
      <c r="Y69" s="1250">
        <f t="shared" si="14"/>
        <v>1.2654785646320104</v>
      </c>
      <c r="Z69" s="1250">
        <f t="shared" si="14"/>
        <v>1.4424188916778919</v>
      </c>
      <c r="AA69" s="1250">
        <f t="shared" si="14"/>
        <v>0</v>
      </c>
      <c r="AB69" s="1250">
        <f t="shared" si="14"/>
        <v>0</v>
      </c>
      <c r="AC69" s="1250">
        <f t="shared" si="14"/>
        <v>0</v>
      </c>
    </row>
    <row r="79" spans="2:80">
      <c r="BM79" s="1242" t="s">
        <v>1673</v>
      </c>
    </row>
    <row r="80" spans="2:80" ht="38.25">
      <c r="U80" s="1242" t="s">
        <v>1673</v>
      </c>
      <c r="BM80" s="1244"/>
      <c r="BN80" s="1244" t="str">
        <f t="shared" ref="BN80:BU80" si="15">V81</f>
        <v>L-Diesel</v>
      </c>
      <c r="BO80" s="1244" t="str">
        <f t="shared" si="15"/>
        <v>L-CNG</v>
      </c>
      <c r="BP80" s="1244" t="str">
        <f t="shared" si="15"/>
        <v>B-Diesel</v>
      </c>
      <c r="BQ80" s="1244" t="str">
        <f t="shared" si="15"/>
        <v>B-CNG</v>
      </c>
      <c r="BR80" s="1244" t="str">
        <f t="shared" si="15"/>
        <v>B-Hybrid</v>
      </c>
      <c r="BS80" s="1244">
        <f t="shared" si="15"/>
        <v>0</v>
      </c>
      <c r="BT80" s="1244">
        <f t="shared" si="15"/>
        <v>0</v>
      </c>
      <c r="BU80" s="1244">
        <f t="shared" si="15"/>
        <v>0</v>
      </c>
      <c r="BV80" s="1244" t="e">
        <f>#REF!</f>
        <v>#REF!</v>
      </c>
      <c r="BW80" s="1244" t="e">
        <f>#REF!</f>
        <v>#REF!</v>
      </c>
      <c r="BX80" s="1244" t="e">
        <f>#REF!</f>
        <v>#REF!</v>
      </c>
      <c r="BY80" s="1244" t="e">
        <f>#REF!</f>
        <v>#REF!</v>
      </c>
      <c r="BZ80" s="1244" t="e">
        <f>#REF!</f>
        <v>#REF!</v>
      </c>
      <c r="CA80" s="1244" t="e">
        <f>#REF!</f>
        <v>#REF!</v>
      </c>
      <c r="CB80" s="1244" t="e">
        <f>#REF!</f>
        <v>#REF!</v>
      </c>
    </row>
    <row r="81" spans="21:80">
      <c r="U81" s="1244"/>
      <c r="V81" s="1244" t="str">
        <f t="shared" ref="V81:AC81" si="16">E50</f>
        <v>L-Diesel</v>
      </c>
      <c r="W81" s="1244" t="str">
        <f t="shared" si="16"/>
        <v>L-CNG</v>
      </c>
      <c r="X81" s="1244" t="str">
        <f t="shared" si="16"/>
        <v>B-Diesel</v>
      </c>
      <c r="Y81" s="1244" t="str">
        <f t="shared" si="16"/>
        <v>B-CNG</v>
      </c>
      <c r="Z81" s="1244" t="str">
        <f t="shared" si="16"/>
        <v>B-Hybrid</v>
      </c>
      <c r="AA81" s="1244">
        <f t="shared" si="16"/>
        <v>0</v>
      </c>
      <c r="AB81" s="1244">
        <f t="shared" si="16"/>
        <v>0</v>
      </c>
      <c r="AC81" s="1244">
        <f t="shared" si="16"/>
        <v>0</v>
      </c>
      <c r="BM81" s="1250" t="str">
        <f t="shared" ref="BM81:BM86" si="17">U82</f>
        <v>Baseline</v>
      </c>
      <c r="BN81" s="1251">
        <f t="shared" ref="BN81:BU86" si="18">V82/$V82-1</f>
        <v>0</v>
      </c>
      <c r="BO81" s="1251">
        <f t="shared" si="18"/>
        <v>-2.439285776109279E-2</v>
      </c>
      <c r="BP81" s="1251">
        <f t="shared" si="18"/>
        <v>0.95186861010349788</v>
      </c>
      <c r="BQ81" s="1251">
        <f t="shared" si="18"/>
        <v>0.93520936879108585</v>
      </c>
      <c r="BR81" s="1251">
        <f t="shared" si="18"/>
        <v>1.1212495785288468</v>
      </c>
      <c r="BS81" s="1251">
        <f t="shared" si="18"/>
        <v>-1</v>
      </c>
      <c r="BT81" s="1251">
        <f t="shared" si="18"/>
        <v>-1</v>
      </c>
      <c r="BU81" s="1251">
        <f t="shared" si="18"/>
        <v>-1</v>
      </c>
      <c r="BV81" s="1251" t="e">
        <f>#REF!/$V82-1</f>
        <v>#REF!</v>
      </c>
      <c r="BW81" s="1251" t="e">
        <f>#REF!/$V82-1</f>
        <v>#REF!</v>
      </c>
      <c r="BX81" s="1251" t="e">
        <f>#REF!/$V82-1</f>
        <v>#REF!</v>
      </c>
      <c r="BY81" s="1251" t="e">
        <f>#REF!/$V82-1</f>
        <v>#REF!</v>
      </c>
      <c r="BZ81" s="1251" t="e">
        <f>#REF!/$V82-1</f>
        <v>#REF!</v>
      </c>
      <c r="CA81" s="1251" t="e">
        <f>#REF!/$V82-1</f>
        <v>#REF!</v>
      </c>
      <c r="CB81" s="1251" t="e">
        <f>#REF!/$V82-1</f>
        <v>#REF!</v>
      </c>
    </row>
    <row r="82" spans="21:80">
      <c r="U82" s="1250" t="str">
        <f>U$12</f>
        <v>Baseline</v>
      </c>
      <c r="V82" s="1250">
        <f t="shared" ref="V82:AC86" si="19">V22</f>
        <v>3.3801542242445661</v>
      </c>
      <c r="W82" s="1250">
        <f t="shared" si="19"/>
        <v>3.2977026030420116</v>
      </c>
      <c r="X82" s="1250">
        <f t="shared" si="19"/>
        <v>6.5976169276117087</v>
      </c>
      <c r="Y82" s="1250">
        <f t="shared" si="19"/>
        <v>6.5413061227168496</v>
      </c>
      <c r="Z82" s="1250">
        <f t="shared" si="19"/>
        <v>7.1701507235412869</v>
      </c>
      <c r="AA82" s="1250">
        <f t="shared" si="19"/>
        <v>0</v>
      </c>
      <c r="AB82" s="1250">
        <f t="shared" si="19"/>
        <v>0</v>
      </c>
      <c r="AC82" s="1250">
        <f t="shared" si="19"/>
        <v>0</v>
      </c>
      <c r="BM82" s="1250" t="str">
        <f t="shared" si="17"/>
        <v>Costs</v>
      </c>
      <c r="BN82" s="1251">
        <f t="shared" si="18"/>
        <v>0</v>
      </c>
      <c r="BO82" s="1251">
        <f t="shared" si="18"/>
        <v>-0.12478031006888091</v>
      </c>
      <c r="BP82" s="1251">
        <f t="shared" si="18"/>
        <v>0.9106202666503096</v>
      </c>
      <c r="BQ82" s="1251">
        <f t="shared" si="18"/>
        <v>0.73608132861574371</v>
      </c>
      <c r="BR82" s="1251">
        <f t="shared" si="18"/>
        <v>1.025743012260028</v>
      </c>
      <c r="BS82" s="1251">
        <f t="shared" si="18"/>
        <v>-1</v>
      </c>
      <c r="BT82" s="1251">
        <f t="shared" si="18"/>
        <v>-1</v>
      </c>
      <c r="BU82" s="1251">
        <f t="shared" si="18"/>
        <v>-1</v>
      </c>
      <c r="BV82" s="1251" t="e">
        <f>#REF!/$V83-1</f>
        <v>#REF!</v>
      </c>
      <c r="BW82" s="1251" t="e">
        <f>#REF!/$V83-1</f>
        <v>#REF!</v>
      </c>
      <c r="BX82" s="1251" t="e">
        <f>#REF!/$V83-1</f>
        <v>#REF!</v>
      </c>
      <c r="BY82" s="1251" t="e">
        <f>#REF!/$V83-1</f>
        <v>#REF!</v>
      </c>
      <c r="BZ82" s="1251" t="e">
        <f>#REF!/$V83-1</f>
        <v>#REF!</v>
      </c>
      <c r="CA82" s="1251" t="e">
        <f>#REF!/$V83-1</f>
        <v>#REF!</v>
      </c>
      <c r="CB82" s="1251" t="e">
        <f>#REF!/$V83-1</f>
        <v>#REF!</v>
      </c>
    </row>
    <row r="83" spans="21:80">
      <c r="U83" s="1250" t="str">
        <f>U20</f>
        <v>Costs</v>
      </c>
      <c r="V83" s="1250">
        <f t="shared" si="19"/>
        <v>3.767856963206055</v>
      </c>
      <c r="W83" s="1250">
        <f t="shared" si="19"/>
        <v>3.2977026030420116</v>
      </c>
      <c r="X83" s="1250">
        <f t="shared" si="19"/>
        <v>7.1989438757409783</v>
      </c>
      <c r="Y83" s="1250">
        <f t="shared" si="19"/>
        <v>6.5413061227168496</v>
      </c>
      <c r="Z83" s="1250">
        <f t="shared" si="19"/>
        <v>7.6327099144099559</v>
      </c>
      <c r="AA83" s="1250">
        <f t="shared" si="19"/>
        <v>0</v>
      </c>
      <c r="AB83" s="1250">
        <f t="shared" si="19"/>
        <v>0</v>
      </c>
      <c r="AC83" s="1250">
        <f t="shared" si="19"/>
        <v>0</v>
      </c>
      <c r="BM83" s="1250" t="str">
        <f t="shared" si="17"/>
        <v>IRR</v>
      </c>
      <c r="BN83" s="1251">
        <f t="shared" si="18"/>
        <v>0</v>
      </c>
      <c r="BO83" s="1251">
        <f t="shared" si="18"/>
        <v>-0.12478031006888091</v>
      </c>
      <c r="BP83" s="1251">
        <f t="shared" si="18"/>
        <v>0.9106202666503096</v>
      </c>
      <c r="BQ83" s="1251">
        <f t="shared" si="18"/>
        <v>0.73608132861574371</v>
      </c>
      <c r="BR83" s="1251">
        <f t="shared" si="18"/>
        <v>1.025743012260028</v>
      </c>
      <c r="BS83" s="1251">
        <f t="shared" si="18"/>
        <v>-1</v>
      </c>
      <c r="BT83" s="1251">
        <f t="shared" si="18"/>
        <v>-1</v>
      </c>
      <c r="BU83" s="1251">
        <f t="shared" si="18"/>
        <v>-1</v>
      </c>
      <c r="BV83" s="1251" t="e">
        <f>#REF!/$V84-1</f>
        <v>#REF!</v>
      </c>
      <c r="BW83" s="1251" t="e">
        <f>#REF!/$V84-1</f>
        <v>#REF!</v>
      </c>
      <c r="BX83" s="1251" t="e">
        <f>#REF!/$V84-1</f>
        <v>#REF!</v>
      </c>
      <c r="BY83" s="1251" t="e">
        <f>#REF!/$V84-1</f>
        <v>#REF!</v>
      </c>
      <c r="BZ83" s="1251" t="e">
        <f>#REF!/$V84-1</f>
        <v>#REF!</v>
      </c>
      <c r="CA83" s="1251" t="e">
        <f>#REF!/$V84-1</f>
        <v>#REF!</v>
      </c>
      <c r="CB83" s="1251" t="e">
        <f>#REF!/$V84-1</f>
        <v>#REF!</v>
      </c>
    </row>
    <row r="84" spans="21:80">
      <c r="U84" s="1250" t="str">
        <f>U21</f>
        <v>IRR</v>
      </c>
      <c r="V84" s="1250">
        <f t="shared" si="19"/>
        <v>3.767856963206055</v>
      </c>
      <c r="W84" s="1250">
        <f t="shared" si="19"/>
        <v>3.2977026030420116</v>
      </c>
      <c r="X84" s="1250">
        <f t="shared" si="19"/>
        <v>7.1989438757409783</v>
      </c>
      <c r="Y84" s="1250">
        <f t="shared" si="19"/>
        <v>6.5413061227168496</v>
      </c>
      <c r="Z84" s="1250">
        <f t="shared" si="19"/>
        <v>7.6327099144099559</v>
      </c>
      <c r="AA84" s="1250">
        <f t="shared" si="19"/>
        <v>0</v>
      </c>
      <c r="AB84" s="1250">
        <f t="shared" si="19"/>
        <v>0</v>
      </c>
      <c r="AC84" s="1250">
        <f t="shared" si="19"/>
        <v>0</v>
      </c>
      <c r="BM84" s="1250" t="str">
        <f t="shared" si="17"/>
        <v>Baseline</v>
      </c>
      <c r="BN84" s="1251">
        <f t="shared" si="18"/>
        <v>0</v>
      </c>
      <c r="BO84" s="1251">
        <f t="shared" si="18"/>
        <v>-2.8818362666052977E-2</v>
      </c>
      <c r="BP84" s="1251">
        <f t="shared" si="18"/>
        <v>0.94683862240192873</v>
      </c>
      <c r="BQ84" s="1251">
        <f t="shared" si="18"/>
        <v>0.92304973650831279</v>
      </c>
      <c r="BR84" s="1251">
        <f t="shared" si="18"/>
        <v>1.1096031264889863</v>
      </c>
      <c r="BS84" s="1251">
        <f t="shared" si="18"/>
        <v>-1</v>
      </c>
      <c r="BT84" s="1251">
        <f t="shared" si="18"/>
        <v>-1</v>
      </c>
      <c r="BU84" s="1251">
        <f t="shared" si="18"/>
        <v>-1</v>
      </c>
      <c r="BV84" s="1251" t="e">
        <f>#REF!/$V85-1</f>
        <v>#REF!</v>
      </c>
      <c r="BW84" s="1251" t="e">
        <f>#REF!/$V85-1</f>
        <v>#REF!</v>
      </c>
      <c r="BX84" s="1251" t="e">
        <f>#REF!/$V85-1</f>
        <v>#REF!</v>
      </c>
      <c r="BY84" s="1251" t="e">
        <f>#REF!/$V85-1</f>
        <v>#REF!</v>
      </c>
      <c r="BZ84" s="1251" t="e">
        <f>#REF!/$V85-1</f>
        <v>#REF!</v>
      </c>
      <c r="CA84" s="1251" t="e">
        <f>#REF!/$V85-1</f>
        <v>#REF!</v>
      </c>
      <c r="CB84" s="1251" t="e">
        <f>#REF!/$V85-1</f>
        <v>#REF!</v>
      </c>
    </row>
    <row r="85" spans="21:80">
      <c r="U85" s="1250" t="str">
        <f>U22</f>
        <v>Baseline</v>
      </c>
      <c r="V85" s="1250">
        <f t="shared" si="19"/>
        <v>3.4231064103505844</v>
      </c>
      <c r="W85" s="1250">
        <f t="shared" si="19"/>
        <v>3.3244580883726105</v>
      </c>
      <c r="X85" s="1250">
        <f t="shared" si="19"/>
        <v>6.6642357682621434</v>
      </c>
      <c r="Y85" s="1250">
        <f t="shared" si="19"/>
        <v>6.5828038804646081</v>
      </c>
      <c r="Z85" s="1250">
        <f t="shared" si="19"/>
        <v>7.2213959855800836</v>
      </c>
      <c r="AA85" s="1250">
        <f t="shared" si="19"/>
        <v>0</v>
      </c>
      <c r="AB85" s="1250">
        <f t="shared" si="19"/>
        <v>0</v>
      </c>
      <c r="AC85" s="1250">
        <f t="shared" si="19"/>
        <v>0</v>
      </c>
      <c r="BM85" s="1250" t="str">
        <f t="shared" si="17"/>
        <v>Costs</v>
      </c>
      <c r="BN85" s="1251">
        <f t="shared" si="18"/>
        <v>0</v>
      </c>
      <c r="BO85" s="1251">
        <f t="shared" si="18"/>
        <v>-3.9192194248535372E-2</v>
      </c>
      <c r="BP85" s="1251">
        <f t="shared" si="18"/>
        <v>0.93553489490887909</v>
      </c>
      <c r="BQ85" s="1251">
        <f t="shared" si="18"/>
        <v>0.89862018511270803</v>
      </c>
      <c r="BR85" s="1251">
        <f t="shared" si="18"/>
        <v>1.0777738635891483</v>
      </c>
      <c r="BS85" s="1251">
        <f t="shared" si="18"/>
        <v>-1</v>
      </c>
      <c r="BT85" s="1251">
        <f t="shared" si="18"/>
        <v>-1</v>
      </c>
      <c r="BU85" s="1251">
        <f t="shared" si="18"/>
        <v>-1</v>
      </c>
      <c r="BV85" s="1251" t="e">
        <f>#REF!/$V86-1</f>
        <v>#REF!</v>
      </c>
      <c r="BW85" s="1251" t="e">
        <f>#REF!/$V86-1</f>
        <v>#REF!</v>
      </c>
      <c r="BX85" s="1251" t="e">
        <f>#REF!/$V86-1</f>
        <v>#REF!</v>
      </c>
      <c r="BY85" s="1251" t="e">
        <f>#REF!/$V86-1</f>
        <v>#REF!</v>
      </c>
      <c r="BZ85" s="1251" t="e">
        <f>#REF!/$V86-1</f>
        <v>#REF!</v>
      </c>
      <c r="CA85" s="1251" t="e">
        <f>#REF!/$V86-1</f>
        <v>#REF!</v>
      </c>
      <c r="CB85" s="1251" t="e">
        <f>#REF!/$V86-1</f>
        <v>#REF!</v>
      </c>
    </row>
    <row r="86" spans="21:80">
      <c r="U86" s="1250" t="str">
        <f>U25</f>
        <v>Costs</v>
      </c>
      <c r="V86" s="1250">
        <f t="shared" si="19"/>
        <v>3.3065616754419147</v>
      </c>
      <c r="W86" s="1250">
        <f t="shared" si="19"/>
        <v>3.1769702679632328</v>
      </c>
      <c r="X86" s="1250">
        <f t="shared" si="19"/>
        <v>6.3999655049861932</v>
      </c>
      <c r="Y86" s="1250">
        <f t="shared" si="19"/>
        <v>6.2779047403141144</v>
      </c>
      <c r="Z86" s="1250">
        <f t="shared" si="19"/>
        <v>6.870287427578754</v>
      </c>
      <c r="AA86" s="1250">
        <f t="shared" si="19"/>
        <v>0</v>
      </c>
      <c r="AB86" s="1250">
        <f t="shared" si="19"/>
        <v>0</v>
      </c>
      <c r="AC86" s="1250">
        <f t="shared" si="19"/>
        <v>0</v>
      </c>
      <c r="BM86" s="1250">
        <f t="shared" si="17"/>
        <v>0</v>
      </c>
      <c r="BN86" s="1251" t="e">
        <f t="shared" si="18"/>
        <v>#DIV/0!</v>
      </c>
      <c r="BO86" s="1251" t="e">
        <f t="shared" si="18"/>
        <v>#DIV/0!</v>
      </c>
      <c r="BP86" s="1251" t="e">
        <f t="shared" si="18"/>
        <v>#DIV/0!</v>
      </c>
      <c r="BQ86" s="1251" t="e">
        <f t="shared" si="18"/>
        <v>#DIV/0!</v>
      </c>
      <c r="BR86" s="1251" t="e">
        <f t="shared" si="18"/>
        <v>#DIV/0!</v>
      </c>
      <c r="BS86" s="1251" t="e">
        <f t="shared" si="18"/>
        <v>#DIV/0!</v>
      </c>
      <c r="BT86" s="1251" t="e">
        <f t="shared" si="18"/>
        <v>#DIV/0!</v>
      </c>
      <c r="BU86" s="1251" t="e">
        <f t="shared" si="18"/>
        <v>#DIV/0!</v>
      </c>
      <c r="BV86" s="1251" t="e">
        <f>#REF!/$V87-1</f>
        <v>#REF!</v>
      </c>
      <c r="BW86" s="1251" t="e">
        <f>#REF!/$V87-1</f>
        <v>#REF!</v>
      </c>
      <c r="BX86" s="1251" t="e">
        <f>#REF!/$V87-1</f>
        <v>#REF!</v>
      </c>
      <c r="BY86" s="1251" t="e">
        <f>#REF!/$V87-1</f>
        <v>#REF!</v>
      </c>
      <c r="BZ86" s="1251" t="e">
        <f>#REF!/$V87-1</f>
        <v>#REF!</v>
      </c>
      <c r="CA86" s="1251" t="e">
        <f>#REF!/$V87-1</f>
        <v>#REF!</v>
      </c>
      <c r="CB86" s="1251" t="e">
        <f>#REF!/$V87-1</f>
        <v>#REF!</v>
      </c>
    </row>
    <row r="97" spans="21:80">
      <c r="BM97" s="1241" t="s">
        <v>1674</v>
      </c>
    </row>
    <row r="98" spans="21:80" ht="51">
      <c r="U98" s="1241" t="s">
        <v>1674</v>
      </c>
      <c r="BM98" s="1244"/>
      <c r="BN98" s="1244" t="str">
        <f t="shared" ref="BN98:BU98" si="20">V99</f>
        <v>Aircraft Fossil</v>
      </c>
      <c r="BO98" s="1244" t="str">
        <f t="shared" si="20"/>
        <v>9000TEU HFO</v>
      </c>
      <c r="BP98" s="1244" t="str">
        <f t="shared" si="20"/>
        <v>9000TEU Diesel</v>
      </c>
      <c r="BQ98" s="1244" t="str">
        <f t="shared" si="20"/>
        <v>9000TEU Diesel</v>
      </c>
      <c r="BR98" s="1244">
        <f t="shared" si="20"/>
        <v>0</v>
      </c>
      <c r="BS98" s="1244">
        <f t="shared" si="20"/>
        <v>0</v>
      </c>
      <c r="BT98" s="1244">
        <f t="shared" si="20"/>
        <v>0</v>
      </c>
      <c r="BU98" s="1244">
        <f t="shared" si="20"/>
        <v>0</v>
      </c>
      <c r="BV98" s="1244" t="e">
        <f>#REF!</f>
        <v>#REF!</v>
      </c>
      <c r="BW98" s="1244" t="e">
        <f>#REF!</f>
        <v>#REF!</v>
      </c>
      <c r="BX98" s="1244" t="e">
        <f>#REF!</f>
        <v>#REF!</v>
      </c>
      <c r="BY98" s="1244" t="e">
        <f>#REF!</f>
        <v>#REF!</v>
      </c>
      <c r="BZ98" s="1244" t="e">
        <f>#REF!</f>
        <v>#REF!</v>
      </c>
      <c r="CA98" s="1244" t="e">
        <f>#REF!</f>
        <v>#REF!</v>
      </c>
      <c r="CB98" s="1244" t="e">
        <f>#REF!</f>
        <v>#REF!</v>
      </c>
    </row>
    <row r="99" spans="21:80" ht="25.5">
      <c r="U99" s="1244"/>
      <c r="V99" s="1244" t="str">
        <f t="shared" ref="V99:AC99" si="21">E51</f>
        <v>Aircraft Fossil</v>
      </c>
      <c r="W99" s="1244" t="str">
        <f t="shared" si="21"/>
        <v>9000TEU HFO</v>
      </c>
      <c r="X99" s="1244" t="str">
        <f t="shared" si="21"/>
        <v>9000TEU Diesel</v>
      </c>
      <c r="Y99" s="1244" t="str">
        <f t="shared" si="21"/>
        <v>9000TEU Diesel</v>
      </c>
      <c r="Z99" s="1244">
        <f t="shared" si="21"/>
        <v>0</v>
      </c>
      <c r="AA99" s="1244">
        <f t="shared" si="21"/>
        <v>0</v>
      </c>
      <c r="AB99" s="1244">
        <f t="shared" si="21"/>
        <v>0</v>
      </c>
      <c r="AC99" s="1244">
        <f t="shared" si="21"/>
        <v>0</v>
      </c>
      <c r="BM99" s="1250" t="str">
        <f>U100</f>
        <v>Baseline</v>
      </c>
      <c r="BN99" s="1251">
        <f t="shared" ref="BN99:BU102" si="22">V100/$V100-1</f>
        <v>0</v>
      </c>
      <c r="BO99" s="1251">
        <f t="shared" si="22"/>
        <v>333.94860128085401</v>
      </c>
      <c r="BP99" s="1251">
        <f t="shared" si="22"/>
        <v>345.89111219519253</v>
      </c>
      <c r="BQ99" s="1251">
        <f t="shared" si="22"/>
        <v>345.89111219519253</v>
      </c>
      <c r="BR99" s="1251">
        <f t="shared" si="22"/>
        <v>-1</v>
      </c>
      <c r="BS99" s="1251">
        <f t="shared" si="22"/>
        <v>-1</v>
      </c>
      <c r="BT99" s="1251">
        <f t="shared" si="22"/>
        <v>-1</v>
      </c>
      <c r="BU99" s="1251">
        <f t="shared" si="22"/>
        <v>-1</v>
      </c>
      <c r="BV99" s="1251" t="e">
        <f>#REF!/$V100-1</f>
        <v>#REF!</v>
      </c>
      <c r="BW99" s="1251" t="e">
        <f>#REF!/$V100-1</f>
        <v>#REF!</v>
      </c>
      <c r="BX99" s="1251" t="e">
        <f>#REF!/$V100-1</f>
        <v>#REF!</v>
      </c>
      <c r="BY99" s="1251" t="e">
        <f>#REF!/$V100-1</f>
        <v>#REF!</v>
      </c>
      <c r="BZ99" s="1251" t="e">
        <f>#REF!/$V100-1</f>
        <v>#REF!</v>
      </c>
      <c r="CA99" s="1251" t="e">
        <f>#REF!/$V100-1</f>
        <v>#REF!</v>
      </c>
      <c r="CB99" s="1251" t="e">
        <f>#REF!/$V100-1</f>
        <v>#REF!</v>
      </c>
    </row>
    <row r="100" spans="21:80">
      <c r="U100" s="1250" t="str">
        <f t="shared" ref="U100:AC100" si="23">U27</f>
        <v>Baseline</v>
      </c>
      <c r="V100" s="1250">
        <f t="shared" si="23"/>
        <v>13.513008208535584</v>
      </c>
      <c r="W100" s="1250">
        <f t="shared" si="23"/>
        <v>4526.1631985456925</v>
      </c>
      <c r="X100" s="1250">
        <f t="shared" si="23"/>
        <v>4687.5424465616752</v>
      </c>
      <c r="Y100" s="1250">
        <f t="shared" si="23"/>
        <v>4687.5424465616752</v>
      </c>
      <c r="Z100" s="1250">
        <f t="shared" si="23"/>
        <v>0</v>
      </c>
      <c r="AA100" s="1250">
        <f t="shared" si="23"/>
        <v>0</v>
      </c>
      <c r="AB100" s="1250">
        <f t="shared" si="23"/>
        <v>0</v>
      </c>
      <c r="AC100" s="1250">
        <f t="shared" si="23"/>
        <v>0</v>
      </c>
      <c r="BM100" s="1250" t="str">
        <f>U101</f>
        <v>Fosill ressources</v>
      </c>
      <c r="BN100" s="1251">
        <f t="shared" si="22"/>
        <v>0</v>
      </c>
      <c r="BO100" s="1251">
        <f t="shared" si="22"/>
        <v>270.79238742883234</v>
      </c>
      <c r="BP100" s="1251">
        <f t="shared" si="22"/>
        <v>282.8308739563584</v>
      </c>
      <c r="BQ100" s="1251">
        <f t="shared" si="22"/>
        <v>282.8308739563584</v>
      </c>
      <c r="BR100" s="1251">
        <f t="shared" si="22"/>
        <v>-1</v>
      </c>
      <c r="BS100" s="1251">
        <f t="shared" si="22"/>
        <v>-1</v>
      </c>
      <c r="BT100" s="1251">
        <f t="shared" si="22"/>
        <v>-1</v>
      </c>
      <c r="BU100" s="1251">
        <f t="shared" si="22"/>
        <v>-1</v>
      </c>
      <c r="BV100" s="1251" t="e">
        <f>#REF!/$V101-1</f>
        <v>#REF!</v>
      </c>
      <c r="BW100" s="1251" t="e">
        <f>#REF!/$V101-1</f>
        <v>#REF!</v>
      </c>
      <c r="BX100" s="1251" t="e">
        <f>#REF!/$V101-1</f>
        <v>#REF!</v>
      </c>
      <c r="BY100" s="1251" t="e">
        <f>#REF!/$V101-1</f>
        <v>#REF!</v>
      </c>
      <c r="BZ100" s="1251" t="e">
        <f>#REF!/$V101-1</f>
        <v>#REF!</v>
      </c>
      <c r="CA100" s="1251" t="e">
        <f>#REF!/$V101-1</f>
        <v>#REF!</v>
      </c>
      <c r="CB100" s="1251" t="e">
        <f>#REF!/$V101-1</f>
        <v>#REF!</v>
      </c>
    </row>
    <row r="101" spans="21:80">
      <c r="U101" s="1250" t="str">
        <f t="shared" ref="U101:AC101" si="24">U28</f>
        <v>Fosill ressources</v>
      </c>
      <c r="V101" s="1250">
        <f t="shared" si="24"/>
        <v>17.338391301249438</v>
      </c>
      <c r="W101" s="1250">
        <f t="shared" si="24"/>
        <v>4712.4427659418834</v>
      </c>
      <c r="X101" s="1250">
        <f t="shared" si="24"/>
        <v>4921.1707560309496</v>
      </c>
      <c r="Y101" s="1250">
        <f t="shared" si="24"/>
        <v>4921.1707560309496</v>
      </c>
      <c r="Z101" s="1250">
        <f t="shared" si="24"/>
        <v>0</v>
      </c>
      <c r="AA101" s="1250">
        <f t="shared" si="24"/>
        <v>0</v>
      </c>
      <c r="AB101" s="1250">
        <f t="shared" si="24"/>
        <v>0</v>
      </c>
      <c r="AC101" s="1250">
        <f t="shared" si="24"/>
        <v>0</v>
      </c>
      <c r="BM101" s="1250" t="str">
        <f>U102</f>
        <v>All ressources</v>
      </c>
      <c r="BN101" s="1251">
        <f t="shared" si="22"/>
        <v>0</v>
      </c>
      <c r="BO101" s="1251">
        <f t="shared" si="22"/>
        <v>270.79238742883234</v>
      </c>
      <c r="BP101" s="1251">
        <f t="shared" si="22"/>
        <v>282.8308739563584</v>
      </c>
      <c r="BQ101" s="1251">
        <f t="shared" si="22"/>
        <v>282.8308739563584</v>
      </c>
      <c r="BR101" s="1251">
        <f t="shared" si="22"/>
        <v>-1</v>
      </c>
      <c r="BS101" s="1251">
        <f t="shared" si="22"/>
        <v>-1</v>
      </c>
      <c r="BT101" s="1251">
        <f t="shared" si="22"/>
        <v>-1</v>
      </c>
      <c r="BU101" s="1251">
        <f t="shared" si="22"/>
        <v>-1</v>
      </c>
      <c r="BV101" s="1251" t="e">
        <f>#REF!/$V102-1</f>
        <v>#REF!</v>
      </c>
      <c r="BW101" s="1251" t="e">
        <f>#REF!/$V102-1</f>
        <v>#REF!</v>
      </c>
      <c r="BX101" s="1251" t="e">
        <f>#REF!/$V102-1</f>
        <v>#REF!</v>
      </c>
      <c r="BY101" s="1251" t="e">
        <f>#REF!/$V102-1</f>
        <v>#REF!</v>
      </c>
      <c r="BZ101" s="1251" t="e">
        <f>#REF!/$V102-1</f>
        <v>#REF!</v>
      </c>
      <c r="CA101" s="1251" t="e">
        <f>#REF!/$V102-1</f>
        <v>#REF!</v>
      </c>
      <c r="CB101" s="1251" t="e">
        <f>#REF!/$V102-1</f>
        <v>#REF!</v>
      </c>
    </row>
    <row r="102" spans="21:80">
      <c r="U102" s="1250" t="str">
        <f t="shared" ref="U102:AC102" si="25">U29</f>
        <v>All ressources</v>
      </c>
      <c r="V102" s="1250">
        <f t="shared" si="25"/>
        <v>17.338391301249438</v>
      </c>
      <c r="W102" s="1250">
        <f t="shared" si="25"/>
        <v>4712.4427659418834</v>
      </c>
      <c r="X102" s="1250">
        <f t="shared" si="25"/>
        <v>4921.1707560309496</v>
      </c>
      <c r="Y102" s="1250">
        <f t="shared" si="25"/>
        <v>4921.1707560309496</v>
      </c>
      <c r="Z102" s="1250">
        <f t="shared" si="25"/>
        <v>0</v>
      </c>
      <c r="AA102" s="1250">
        <f t="shared" si="25"/>
        <v>0</v>
      </c>
      <c r="AB102" s="1250">
        <f t="shared" si="25"/>
        <v>0</v>
      </c>
      <c r="AC102" s="1250">
        <f t="shared" si="25"/>
        <v>0</v>
      </c>
      <c r="BM102" s="1250" t="str">
        <f>U103</f>
        <v>Costs</v>
      </c>
      <c r="BN102" s="1251">
        <f t="shared" si="22"/>
        <v>0</v>
      </c>
      <c r="BO102" s="1251">
        <f t="shared" si="22"/>
        <v>136.15224029076285</v>
      </c>
      <c r="BP102" s="1251">
        <f t="shared" si="22"/>
        <v>139.46065629072845</v>
      </c>
      <c r="BQ102" s="1251">
        <f t="shared" si="22"/>
        <v>139.46065629072845</v>
      </c>
      <c r="BR102" s="1251">
        <f t="shared" si="22"/>
        <v>-1</v>
      </c>
      <c r="BS102" s="1251">
        <f t="shared" si="22"/>
        <v>-1</v>
      </c>
      <c r="BT102" s="1251">
        <f t="shared" si="22"/>
        <v>-1</v>
      </c>
      <c r="BU102" s="1251">
        <f t="shared" si="22"/>
        <v>-1</v>
      </c>
      <c r="BV102" s="1251" t="e">
        <f>#REF!/$V103-1</f>
        <v>#REF!</v>
      </c>
      <c r="BW102" s="1251" t="e">
        <f>#REF!/$V103-1</f>
        <v>#REF!</v>
      </c>
      <c r="BX102" s="1251" t="e">
        <f>#REF!/$V103-1</f>
        <v>#REF!</v>
      </c>
      <c r="BY102" s="1251" t="e">
        <f>#REF!/$V103-1</f>
        <v>#REF!</v>
      </c>
      <c r="BZ102" s="1251" t="e">
        <f>#REF!/$V103-1</f>
        <v>#REF!</v>
      </c>
      <c r="CA102" s="1251" t="e">
        <f>#REF!/$V103-1</f>
        <v>#REF!</v>
      </c>
      <c r="CB102" s="1251" t="e">
        <f>#REF!/$V103-1</f>
        <v>#REF!</v>
      </c>
    </row>
    <row r="103" spans="21:80">
      <c r="U103" s="1250" t="str">
        <f t="shared" ref="U103:AC103" si="26">U30</f>
        <v>Costs</v>
      </c>
      <c r="V103" s="1250">
        <f t="shared" si="26"/>
        <v>33.556907732010998</v>
      </c>
      <c r="W103" s="1250">
        <f t="shared" si="26"/>
        <v>4602.4050726757305</v>
      </c>
      <c r="X103" s="1250">
        <f t="shared" si="26"/>
        <v>4713.4252831256845</v>
      </c>
      <c r="Y103" s="1250">
        <f t="shared" si="26"/>
        <v>4713.4252831256845</v>
      </c>
      <c r="Z103" s="1250">
        <f t="shared" si="26"/>
        <v>0</v>
      </c>
      <c r="AA103" s="1250">
        <f t="shared" si="26"/>
        <v>0</v>
      </c>
      <c r="AB103" s="1250">
        <f t="shared" si="26"/>
        <v>0</v>
      </c>
      <c r="AC103" s="1250">
        <f t="shared" si="26"/>
        <v>0</v>
      </c>
      <c r="BM103" s="1250"/>
      <c r="BN103" s="1250"/>
      <c r="BO103" s="1250"/>
      <c r="BP103" s="1250"/>
      <c r="BQ103" s="1250"/>
      <c r="BR103" s="1250"/>
      <c r="BS103" s="1250"/>
      <c r="BT103" s="1250"/>
      <c r="BU103" s="1250"/>
      <c r="BV103" s="1250"/>
      <c r="BW103" s="1250"/>
      <c r="BX103" s="1250"/>
      <c r="BY103" s="1250"/>
      <c r="BZ103" s="1250"/>
      <c r="CA103" s="1250"/>
      <c r="CB103" s="1250"/>
    </row>
    <row r="104" spans="21:80">
      <c r="U104" s="1250" t="str">
        <f t="shared" ref="U104:AC104" si="27">U31</f>
        <v>IRR</v>
      </c>
      <c r="V104" s="1250">
        <f t="shared" si="27"/>
        <v>13.513008208535584</v>
      </c>
      <c r="W104" s="1250">
        <f t="shared" si="27"/>
        <v>4526.1631985456925</v>
      </c>
      <c r="X104" s="1250">
        <f t="shared" si="27"/>
        <v>4687.5424465616752</v>
      </c>
      <c r="Y104" s="1250">
        <f t="shared" si="27"/>
        <v>4687.5424465616752</v>
      </c>
      <c r="Z104" s="1250">
        <f t="shared" si="27"/>
        <v>0</v>
      </c>
      <c r="AA104" s="1250">
        <f t="shared" si="27"/>
        <v>0</v>
      </c>
      <c r="AB104" s="1250">
        <f t="shared" si="27"/>
        <v>0</v>
      </c>
      <c r="AC104" s="1250">
        <f t="shared" si="27"/>
        <v>0</v>
      </c>
      <c r="BM104" s="1250"/>
      <c r="BN104" s="1250"/>
      <c r="BO104" s="1250"/>
      <c r="BP104" s="1250"/>
      <c r="BQ104" s="1250"/>
      <c r="BR104" s="1250"/>
      <c r="BS104" s="1250"/>
      <c r="BT104" s="1250"/>
      <c r="BU104" s="1250"/>
      <c r="BV104" s="1250"/>
      <c r="BW104" s="1250"/>
      <c r="BX104" s="1250"/>
      <c r="BY104" s="1250"/>
      <c r="BZ104" s="1250"/>
      <c r="CA104" s="1250"/>
      <c r="CB104" s="1250"/>
    </row>
  </sheetData>
  <dataValidations disablePrompts="1" count="2">
    <dataValidation type="list" allowBlank="1" showInputMessage="1" showErrorMessage="1" sqref="E48:L53">
      <formula1>$B$48:$B$69</formula1>
    </dataValidation>
    <dataValidation type="list" allowBlank="1" showInputMessage="1" showErrorMessage="1" sqref="D12:D31">
      <formula1>$D$48:$D$53</formula1>
    </dataValidation>
  </dataValidations>
  <pageMargins left="0.70866141732283472" right="0.70866141732283472" top="0.74803149606299213" bottom="0.74803149606299213" header="0.31496062992125984" footer="0.31496062992125984"/>
  <pageSetup paperSize="9" scale="59" fitToWidth="2" orientation="landscape" r:id="rId1"/>
  <colBreaks count="1" manualBreakCount="1">
    <brk id="9" max="62" man="1"/>
  </colBreaks>
  <drawing r:id="rId2"/>
  <legacyDrawing r:id="rId3"/>
  <mc:AlternateContent xmlns:mc="http://schemas.openxmlformats.org/markup-compatibility/2006">
    <mc:Choice Requires="x14">
      <controls>
        <mc:AlternateContent xmlns:mc="http://schemas.openxmlformats.org/markup-compatibility/2006">
          <mc:Choice Requires="x14">
            <control shapeId="1201154" r:id="rId4" name="Button 2">
              <controlPr defaultSize="0" print="0" autoFill="0" autoPict="0" macro="[0]!KørFølsomhed">
                <anchor moveWithCells="1" sizeWithCells="1">
                  <from>
                    <xdr:col>3</xdr:col>
                    <xdr:colOff>885825</xdr:colOff>
                    <xdr:row>1</xdr:row>
                    <xdr:rowOff>152400</xdr:rowOff>
                  </from>
                  <to>
                    <xdr:col>8</xdr:col>
                    <xdr:colOff>0</xdr:colOff>
                    <xdr:row>3</xdr:row>
                    <xdr:rowOff>95250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FFFF00"/>
  </sheetPr>
  <dimension ref="A1:DS130"/>
  <sheetViews>
    <sheetView topLeftCell="BF1" zoomScale="80" zoomScaleNormal="80" workbookViewId="0">
      <selection activeCell="B108" sqref="B108:DS108"/>
    </sheetView>
  </sheetViews>
  <sheetFormatPr defaultRowHeight="12.75"/>
  <cols>
    <col min="1" max="1" width="2.7109375" style="70" customWidth="1"/>
    <col min="2" max="2" width="11.42578125" style="70" customWidth="1"/>
    <col min="3" max="3" width="10.42578125" style="70" bestFit="1" customWidth="1"/>
    <col min="4" max="4" width="12.42578125" style="70" customWidth="1"/>
    <col min="5" max="5" width="10.42578125" style="70" bestFit="1" customWidth="1"/>
    <col min="6" max="6" width="10.28515625" style="523" customWidth="1"/>
    <col min="7" max="7" width="10.42578125" style="70" bestFit="1" customWidth="1"/>
    <col min="8" max="8" width="10.28515625" style="523" customWidth="1"/>
    <col min="9" max="9" width="10.85546875" style="70" bestFit="1" customWidth="1"/>
    <col min="10" max="12" width="10" style="70" bestFit="1" customWidth="1"/>
    <col min="13" max="13" width="10.28515625" style="70" bestFit="1" customWidth="1"/>
    <col min="14" max="14" width="13.42578125" style="70" customWidth="1"/>
    <col min="15" max="16" width="10.85546875" style="70" bestFit="1" customWidth="1"/>
    <col min="17" max="17" width="11.5703125" style="70" customWidth="1"/>
    <col min="18" max="18" width="10.85546875" style="70" bestFit="1" customWidth="1"/>
    <col min="19" max="19" width="10.7109375" style="523" customWidth="1"/>
    <col min="20" max="20" width="12.140625" style="70" customWidth="1"/>
    <col min="21" max="22" width="11.7109375" style="70" bestFit="1" customWidth="1"/>
    <col min="23" max="24" width="10.7109375" style="70" bestFit="1" customWidth="1"/>
    <col min="25" max="25" width="10.42578125" style="70" customWidth="1"/>
    <col min="26" max="28" width="10.7109375" style="70" bestFit="1" customWidth="1"/>
    <col min="29" max="29" width="10.85546875" style="70" bestFit="1" customWidth="1"/>
    <col min="30" max="30" width="10.28515625" style="70" bestFit="1" customWidth="1"/>
    <col min="31" max="31" width="10.42578125" style="70" bestFit="1" customWidth="1"/>
    <col min="32" max="32" width="10.28515625" style="70" bestFit="1" customWidth="1"/>
    <col min="33" max="33" width="11.140625" style="70" customWidth="1"/>
    <col min="34" max="34" width="9.85546875" style="70" bestFit="1" customWidth="1"/>
    <col min="35" max="35" width="10.42578125" style="70" bestFit="1" customWidth="1"/>
    <col min="36" max="36" width="10" style="70" bestFit="1" customWidth="1"/>
    <col min="37" max="37" width="10.42578125" style="70" bestFit="1" customWidth="1"/>
    <col min="38" max="40" width="9.28515625" style="70" bestFit="1" customWidth="1"/>
    <col min="41" max="41" width="9.140625" style="70"/>
    <col min="42" max="42" width="11.42578125" style="70" customWidth="1"/>
    <col min="43" max="43" width="8.5703125" style="70" customWidth="1"/>
    <col min="44" max="45" width="9.140625" style="70"/>
    <col min="46" max="46" width="9.140625" style="523"/>
    <col min="47" max="47" width="9.140625" style="70"/>
    <col min="48" max="48" width="9.140625" style="523"/>
    <col min="49" max="49" width="12.85546875" style="70" customWidth="1"/>
    <col min="50" max="50" width="12" style="70" customWidth="1"/>
    <col min="51" max="52" width="9.140625" style="70"/>
    <col min="53" max="53" width="10.7109375" style="70" customWidth="1"/>
    <col min="54" max="56" width="9.140625" style="70"/>
    <col min="57" max="57" width="9.85546875" style="2348" bestFit="1" customWidth="1"/>
    <col min="58" max="59" width="9.28515625" style="2348" bestFit="1" customWidth="1"/>
    <col min="60" max="61" width="9.85546875" style="2348" bestFit="1" customWidth="1"/>
    <col min="62" max="62" width="10.140625" style="2348" bestFit="1" customWidth="1"/>
    <col min="63" max="69" width="9.85546875" style="2348" bestFit="1" customWidth="1"/>
    <col min="70" max="77" width="9.140625" style="70"/>
    <col min="78" max="78" width="13.5703125" style="70" customWidth="1"/>
    <col min="79" max="80" width="9.140625" style="70"/>
    <col min="81" max="81" width="2.5703125" style="70" customWidth="1"/>
    <col min="82" max="82" width="11.42578125" style="70" customWidth="1"/>
    <col min="83" max="83" width="10.7109375" style="70" customWidth="1"/>
    <col min="84" max="85" width="10" style="70" customWidth="1"/>
    <col min="86" max="86" width="10" style="523" customWidth="1"/>
    <col min="87" max="87" width="10" style="70" customWidth="1"/>
    <col min="88" max="88" width="10" style="523" customWidth="1"/>
    <col min="89" max="91" width="9.42578125" style="70" customWidth="1"/>
    <col min="92" max="92" width="10" style="70" customWidth="1"/>
    <col min="93" max="93" width="9.42578125" style="70" customWidth="1"/>
    <col min="94" max="94" width="10" style="70" customWidth="1"/>
    <col min="95" max="96" width="9.42578125" style="70" customWidth="1"/>
    <col min="97" max="97" width="10" style="70" customWidth="1"/>
    <col min="98" max="98" width="9.42578125" style="70" customWidth="1"/>
    <col min="99" max="99" width="9.42578125" style="523" customWidth="1"/>
    <col min="100" max="100" width="9.5703125" style="70" customWidth="1"/>
    <col min="101" max="108" width="9.42578125" style="70" customWidth="1"/>
    <col min="109" max="112" width="10" style="70" customWidth="1"/>
    <col min="113" max="113" width="11" style="70" customWidth="1"/>
    <col min="114" max="114" width="10" style="70" customWidth="1"/>
    <col min="115" max="117" width="11" style="70" customWidth="1"/>
    <col min="118" max="120" width="9.42578125" style="70" customWidth="1"/>
    <col min="121" max="121" width="2.5703125" style="70" customWidth="1"/>
    <col min="122" max="122" width="9.140625" style="70"/>
    <col min="123" max="123" width="100.7109375" style="70" customWidth="1"/>
    <col min="124" max="16384" width="9.140625" style="70"/>
  </cols>
  <sheetData>
    <row r="1" spans="1:123" s="465" customFormat="1" ht="21">
      <c r="A1" s="465" t="s">
        <v>697</v>
      </c>
      <c r="M1" s="2399">
        <f ca="1">CHOOSE(chosenYear,'Log2015'!$D$4,'Log2020'!$D$4,'Log2035'!$D$4,'Log2050'!$D$4)</f>
        <v>-8.0112614142160741</v>
      </c>
      <c r="N1" s="465">
        <f ca="1">CHOOSE(chosenYear,'Log2015'!$D$5,'Log2020'!$D$5,'Log2035'!$D$5,'Log2050'!$D$5)</f>
        <v>-160807.124977848</v>
      </c>
      <c r="T1" s="468"/>
      <c r="U1" s="2388"/>
      <c r="V1" s="2388"/>
      <c r="W1" s="2388"/>
      <c r="Y1" s="2389"/>
      <c r="AA1" s="2388"/>
      <c r="AC1" s="2389"/>
    </row>
    <row r="2" spans="1:123">
      <c r="A2" s="393" t="s">
        <v>2652</v>
      </c>
      <c r="M2" s="70">
        <f ca="1">M1</f>
        <v>-8.0112614142160741</v>
      </c>
    </row>
    <row r="4" spans="1:123">
      <c r="B4" s="398" t="s">
        <v>2653</v>
      </c>
      <c r="C4" s="289" t="s">
        <v>68</v>
      </c>
      <c r="D4" s="400">
        <f ca="1">SUM(C16:AN16)</f>
        <v>-8.0112614142160741</v>
      </c>
      <c r="K4" s="402" t="s">
        <v>2087</v>
      </c>
      <c r="L4" s="546"/>
    </row>
    <row r="5" spans="1:123">
      <c r="B5" s="399" t="s">
        <v>2653</v>
      </c>
      <c r="C5" s="290" t="s">
        <v>7</v>
      </c>
      <c r="D5" s="401">
        <f ca="1">SUM(AQ16:CB16)</f>
        <v>-160807.124977848</v>
      </c>
      <c r="K5" s="402" t="s">
        <v>2088</v>
      </c>
      <c r="L5" s="846"/>
      <c r="M5" s="207"/>
      <c r="N5" s="207"/>
      <c r="O5" s="207"/>
      <c r="P5" s="207"/>
      <c r="Q5" s="207"/>
      <c r="R5" s="207"/>
      <c r="S5" s="342"/>
      <c r="T5" s="207"/>
      <c r="U5" s="207"/>
      <c r="V5" s="207"/>
      <c r="W5" s="403"/>
    </row>
    <row r="6" spans="1:123">
      <c r="B6" s="399" t="s">
        <v>2653</v>
      </c>
      <c r="C6" s="290"/>
      <c r="D6" s="401">
        <f ca="1">D5+D4</f>
        <v>-160815.13623926221</v>
      </c>
    </row>
    <row r="10" spans="1:123">
      <c r="B10" s="393" t="s">
        <v>702</v>
      </c>
      <c r="C10" s="70">
        <f>COUNT($B$26:$B$130)</f>
        <v>83</v>
      </c>
    </row>
    <row r="12" spans="1:123">
      <c r="B12" s="87" t="s">
        <v>698</v>
      </c>
      <c r="AP12" s="87" t="s">
        <v>700</v>
      </c>
      <c r="CD12" s="87" t="s">
        <v>1657</v>
      </c>
    </row>
    <row r="13" spans="1:123" ht="62.25" customHeight="1">
      <c r="B13" s="392" t="s">
        <v>690</v>
      </c>
      <c r="C13" s="427" t="str">
        <f ca="1">OFFSET(Vehicles!$F$6,0,COLUMN()-COLUMN($C$13))</f>
        <v>Conv. diesel</v>
      </c>
      <c r="D13" s="427" t="str">
        <f ca="1">OFFSET(Vehicles!$F$6,0,COLUMN()-COLUMN($C$13))</f>
        <v>Conv. gasoline</v>
      </c>
      <c r="E13" s="427" t="str">
        <f ca="1">OFFSET(Vehicles!$F$6,0,COLUMN()-COLUMN($C$13))</f>
        <v>E85-1g</v>
      </c>
      <c r="F13" s="427" t="str">
        <f ca="1">OFFSET(Vehicles!$F$6,0,COLUMN()-COLUMN($C$13))</f>
        <v>E85-1g Sugarb.</v>
      </c>
      <c r="G13" s="427" t="str">
        <f ca="1">OFFSET(Vehicles!$F$6,0,COLUMN()-COLUMN($C$13))</f>
        <v>E85-2g</v>
      </c>
      <c r="H13" s="427" t="str">
        <f ca="1">OFFSET(Vehicles!$F$6,0,COLUMN()-COLUMN($C$13))</f>
        <v>Biodiesel-1g RME</v>
      </c>
      <c r="I13" s="427" t="str">
        <f ca="1">OFFSET(Vehicles!$F$6,0,COLUMN()-COLUMN($C$13))</f>
        <v>Biodiesel-2g</v>
      </c>
      <c r="J13" s="427" t="str">
        <f ca="1">OFFSET(Vehicles!$F$6,0,COLUMN()-COLUMN($C$13))</f>
        <v>DME</v>
      </c>
      <c r="K13" s="427" t="str">
        <f ca="1">OFFSET(Vehicles!$F$6,0,COLUMN()-COLUMN($C$13))</f>
        <v>B-Naturgas</v>
      </c>
      <c r="L13" s="427" t="str">
        <f ca="1">OFFSET(Vehicles!$F$6,0,COLUMN()-COLUMN($C$13))</f>
        <v>Biogas</v>
      </c>
      <c r="M13" s="427" t="str">
        <f ca="1">OFFSET(Vehicles!$F$6,0,COLUMN()-COLUMN($C$13))</f>
        <v>MeOH</v>
      </c>
      <c r="N13" s="427" t="str">
        <f ca="1">OFFSET(Vehicles!$F$6,0,COLUMN()-COLUMN($C$13))</f>
        <v>B-Brint</v>
      </c>
      <c r="O13" s="427" t="str">
        <f ca="1">OFFSET(Vehicles!$F$6,0,COLUMN()-COLUMN($C$13))</f>
        <v>Elbil</v>
      </c>
      <c r="P13" s="427" t="str">
        <f ca="1">OFFSET(Vehicles!$F$6,0,COLUMN()-COLUMN($C$13))</f>
        <v>Plugin Hybrid</v>
      </c>
      <c r="Q13" s="427" t="str">
        <f ca="1">OFFSET(Vehicles!$F$6,0,COLUMN()-COLUMN($C$13))</f>
        <v>Fast Ferry</v>
      </c>
      <c r="R13" s="427" t="str">
        <f ca="1">OFFSET(Vehicles!$F$6,0,COLUMN()-COLUMN($C$13))</f>
        <v>Aircraft Fossil</v>
      </c>
      <c r="S13" s="427" t="str">
        <f ca="1">OFFSET(Vehicles!$F$6,0,COLUMN()-COLUMN($C$13))</f>
        <v>Aircraft Biofuel</v>
      </c>
      <c r="T13" s="427" t="str">
        <f ca="1">OFFSET(Vehicles!$F$6,0,COLUMN()-COLUMN($C$13))</f>
        <v>9000TEU HFO</v>
      </c>
      <c r="U13" s="427" t="str">
        <f ca="1">OFFSET(Vehicles!$F$6,0,COLUMN()-COLUMN($C$13))</f>
        <v>9000TEU Diesel</v>
      </c>
      <c r="V13" s="427" t="str">
        <f ca="1">OFFSET(Vehicles!$F$6,0,COLUMN()-COLUMN($C$13))</f>
        <v>9000TEU BioDiesel</v>
      </c>
      <c r="W13" s="427" t="str">
        <f ca="1">OFFSET(Vehicles!$F$6,0,COLUMN()-COLUMN($C$13))</f>
        <v>9000TEU LNG</v>
      </c>
      <c r="X13" s="427" t="str">
        <f ca="1">OFFSET(Vehicles!$F$6,0,COLUMN()-COLUMN($C$13))</f>
        <v>IC Tog Diesel</v>
      </c>
      <c r="Y13" s="427" t="str">
        <f ca="1">OFFSET(Vehicles!$F$6,0,COLUMN()-COLUMN($C$13))</f>
        <v>IC Tog Biodiesel</v>
      </c>
      <c r="Z13" s="427" t="str">
        <f ca="1">OFFSET(Vehicles!$F$6,0,COLUMN()-COLUMN($C$13))</f>
        <v>IC Tog El</v>
      </c>
      <c r="AA13" s="427" t="str">
        <f ca="1">OFFSET(Vehicles!$F$6,0,COLUMN()-COLUMN($C$13))</f>
        <v>Lokaltog Diesel</v>
      </c>
      <c r="AB13" s="427" t="str">
        <f ca="1">OFFSET(Vehicles!$F$6,0,COLUMN()-COLUMN($C$13))</f>
        <v>Lokaltog biodiesel</v>
      </c>
      <c r="AC13" s="427" t="str">
        <f ca="1">OFFSET(Vehicles!$F$6,0,COLUMN()-COLUMN($C$13))</f>
        <v>Lokaltog Gas</v>
      </c>
      <c r="AD13" s="427" t="str">
        <f ca="1">OFFSET(Vehicles!$F$6,0,COLUMN()-COLUMN($C$13))</f>
        <v>L-Diesel</v>
      </c>
      <c r="AE13" s="427" t="str">
        <f ca="1">OFFSET(Vehicles!$F$6,0,COLUMN()-COLUMN($C$13))</f>
        <v>L-BioDiesel</v>
      </c>
      <c r="AF13" s="427" t="str">
        <f ca="1">OFFSET(Vehicles!$F$6,0,COLUMN()-COLUMN($C$13))</f>
        <v>L-CNG</v>
      </c>
      <c r="AG13" s="427" t="str">
        <f ca="1">OFFSET(Vehicles!$F$6,0,COLUMN()-COLUMN($C$13))</f>
        <v>L-DME</v>
      </c>
      <c r="AH13" s="427" t="str">
        <f ca="1">OFFSET(Vehicles!$F$6,0,COLUMN()-COLUMN($C$13))</f>
        <v>B-Diesel</v>
      </c>
      <c r="AI13" s="427" t="str">
        <f ca="1">OFFSET(Vehicles!$F$6,0,COLUMN()-COLUMN($C$13))</f>
        <v>B-Biodiesel</v>
      </c>
      <c r="AJ13" s="427" t="str">
        <f ca="1">OFFSET(Vehicles!$F$6,0,COLUMN()-COLUMN($C$13))</f>
        <v>B-CNG</v>
      </c>
      <c r="AK13" s="427" t="str">
        <f ca="1">OFFSET(Vehicles!$F$6,0,COLUMN()-COLUMN($C$13))</f>
        <v>B-Hybrid</v>
      </c>
      <c r="AL13" s="427" t="str">
        <f ca="1">OFFSET(Vehicles!$F$6,0,COLUMN()-COLUMN($C$13))</f>
        <v>Fast Ferry - Biodiesel</v>
      </c>
      <c r="AM13" s="427" t="str">
        <f ca="1">OFFSET(Vehicles!$F$6,0,COLUMN()-COLUMN($C$13))</f>
        <v>Ren brint</v>
      </c>
      <c r="AN13" s="427">
        <f ca="1">OFFSET(Vehicles!$F$6,0,COLUMN()-COLUMN($C$13))</f>
        <v>0</v>
      </c>
      <c r="AO13" s="391"/>
      <c r="AP13" s="392" t="s">
        <v>690</v>
      </c>
      <c r="AQ13" s="427" t="str">
        <f t="shared" ref="AQ13:CB13" ca="1" si="0">C13</f>
        <v>Conv. diesel</v>
      </c>
      <c r="AR13" s="392" t="str">
        <f t="shared" ca="1" si="0"/>
        <v>Conv. gasoline</v>
      </c>
      <c r="AS13" s="392" t="str">
        <f t="shared" ca="1" si="0"/>
        <v>E85-1g</v>
      </c>
      <c r="AT13" s="392" t="str">
        <f t="shared" ca="1" si="0"/>
        <v>E85-1g Sugarb.</v>
      </c>
      <c r="AU13" s="392" t="str">
        <f t="shared" ca="1" si="0"/>
        <v>E85-2g</v>
      </c>
      <c r="AV13" s="392" t="str">
        <f t="shared" ca="1" si="0"/>
        <v>Biodiesel-1g RME</v>
      </c>
      <c r="AW13" s="392" t="str">
        <f t="shared" ca="1" si="0"/>
        <v>Biodiesel-2g</v>
      </c>
      <c r="AX13" s="392" t="str">
        <f t="shared" ca="1" si="0"/>
        <v>DME</v>
      </c>
      <c r="AY13" s="392" t="str">
        <f t="shared" ca="1" si="0"/>
        <v>B-Naturgas</v>
      </c>
      <c r="AZ13" s="392" t="str">
        <f t="shared" ca="1" si="0"/>
        <v>Biogas</v>
      </c>
      <c r="BA13" s="392" t="str">
        <f t="shared" ca="1" si="0"/>
        <v>MeOH</v>
      </c>
      <c r="BB13" s="392" t="str">
        <f t="shared" ca="1" si="0"/>
        <v>B-Brint</v>
      </c>
      <c r="BC13" s="392" t="str">
        <f t="shared" ca="1" si="0"/>
        <v>Elbil</v>
      </c>
      <c r="BD13" s="392" t="str">
        <f t="shared" ca="1" si="0"/>
        <v>Plugin Hybrid</v>
      </c>
      <c r="BE13" s="2349" t="str">
        <f t="shared" ca="1" si="0"/>
        <v>Fast Ferry</v>
      </c>
      <c r="BF13" s="2349" t="str">
        <f t="shared" ca="1" si="0"/>
        <v>Aircraft Fossil</v>
      </c>
      <c r="BG13" s="2349" t="str">
        <f t="shared" ca="1" si="0"/>
        <v>Aircraft Biofuel</v>
      </c>
      <c r="BH13" s="2349" t="str">
        <f t="shared" ca="1" si="0"/>
        <v>9000TEU HFO</v>
      </c>
      <c r="BI13" s="2349" t="str">
        <f t="shared" ca="1" si="0"/>
        <v>9000TEU Diesel</v>
      </c>
      <c r="BJ13" s="2349" t="str">
        <f t="shared" ca="1" si="0"/>
        <v>9000TEU BioDiesel</v>
      </c>
      <c r="BK13" s="2349" t="str">
        <f t="shared" ca="1" si="0"/>
        <v>9000TEU LNG</v>
      </c>
      <c r="BL13" s="2349" t="str">
        <f t="shared" ca="1" si="0"/>
        <v>IC Tog Diesel</v>
      </c>
      <c r="BM13" s="2349" t="str">
        <f t="shared" ca="1" si="0"/>
        <v>IC Tog Biodiesel</v>
      </c>
      <c r="BN13" s="2349" t="str">
        <f t="shared" ca="1" si="0"/>
        <v>IC Tog El</v>
      </c>
      <c r="BO13" s="2349" t="str">
        <f t="shared" ca="1" si="0"/>
        <v>Lokaltog Diesel</v>
      </c>
      <c r="BP13" s="2349" t="str">
        <f t="shared" ca="1" si="0"/>
        <v>Lokaltog biodiesel</v>
      </c>
      <c r="BQ13" s="2349" t="str">
        <f t="shared" ca="1" si="0"/>
        <v>Lokaltog Gas</v>
      </c>
      <c r="BR13" s="392" t="str">
        <f t="shared" ca="1" si="0"/>
        <v>L-Diesel</v>
      </c>
      <c r="BS13" s="392" t="str">
        <f t="shared" ca="1" si="0"/>
        <v>L-BioDiesel</v>
      </c>
      <c r="BT13" s="392" t="str">
        <f t="shared" ca="1" si="0"/>
        <v>L-CNG</v>
      </c>
      <c r="BU13" s="392" t="str">
        <f t="shared" ca="1" si="0"/>
        <v>L-DME</v>
      </c>
      <c r="BV13" s="392" t="str">
        <f t="shared" ca="1" si="0"/>
        <v>B-Diesel</v>
      </c>
      <c r="BW13" s="392" t="str">
        <f t="shared" ca="1" si="0"/>
        <v>B-Biodiesel</v>
      </c>
      <c r="BX13" s="392" t="str">
        <f t="shared" ca="1" si="0"/>
        <v>B-CNG</v>
      </c>
      <c r="BY13" s="392" t="str">
        <f t="shared" ca="1" si="0"/>
        <v>B-Hybrid</v>
      </c>
      <c r="BZ13" s="392" t="str">
        <f t="shared" ca="1" si="0"/>
        <v>Fast Ferry - Biodiesel</v>
      </c>
      <c r="CA13" s="392" t="str">
        <f t="shared" ca="1" si="0"/>
        <v>Ren brint</v>
      </c>
      <c r="CB13" s="392">
        <f t="shared" ca="1" si="0"/>
        <v>0</v>
      </c>
      <c r="CD13" s="392" t="s">
        <v>690</v>
      </c>
      <c r="CE13" s="392" t="str">
        <f t="shared" ref="CE13:DP13" ca="1" si="1">C13</f>
        <v>Conv. diesel</v>
      </c>
      <c r="CF13" s="392" t="str">
        <f t="shared" ca="1" si="1"/>
        <v>Conv. gasoline</v>
      </c>
      <c r="CG13" s="392" t="str">
        <f t="shared" ca="1" si="1"/>
        <v>E85-1g</v>
      </c>
      <c r="CH13" s="392" t="str">
        <f t="shared" ca="1" si="1"/>
        <v>E85-1g Sugarb.</v>
      </c>
      <c r="CI13" s="392" t="str">
        <f t="shared" ca="1" si="1"/>
        <v>E85-2g</v>
      </c>
      <c r="CJ13" s="392" t="str">
        <f t="shared" ca="1" si="1"/>
        <v>Biodiesel-1g RME</v>
      </c>
      <c r="CK13" s="392" t="str">
        <f t="shared" ca="1" si="1"/>
        <v>Biodiesel-2g</v>
      </c>
      <c r="CL13" s="392" t="str">
        <f t="shared" ca="1" si="1"/>
        <v>DME</v>
      </c>
      <c r="CM13" s="392" t="str">
        <f t="shared" ca="1" si="1"/>
        <v>B-Naturgas</v>
      </c>
      <c r="CN13" s="392" t="str">
        <f t="shared" ca="1" si="1"/>
        <v>Biogas</v>
      </c>
      <c r="CO13" s="392" t="str">
        <f t="shared" ca="1" si="1"/>
        <v>MeOH</v>
      </c>
      <c r="CP13" s="392" t="str">
        <f t="shared" ca="1" si="1"/>
        <v>B-Brint</v>
      </c>
      <c r="CQ13" s="392" t="str">
        <f t="shared" ca="1" si="1"/>
        <v>Elbil</v>
      </c>
      <c r="CR13" s="392" t="str">
        <f t="shared" ca="1" si="1"/>
        <v>Plugin Hybrid</v>
      </c>
      <c r="CS13" s="392" t="str">
        <f t="shared" ca="1" si="1"/>
        <v>Fast Ferry</v>
      </c>
      <c r="CT13" s="392" t="str">
        <f t="shared" ca="1" si="1"/>
        <v>Aircraft Fossil</v>
      </c>
      <c r="CU13" s="392" t="str">
        <f t="shared" ca="1" si="1"/>
        <v>Aircraft Biofuel</v>
      </c>
      <c r="CV13" s="392" t="str">
        <f t="shared" ca="1" si="1"/>
        <v>9000TEU HFO</v>
      </c>
      <c r="CW13" s="392" t="str">
        <f t="shared" ca="1" si="1"/>
        <v>9000TEU Diesel</v>
      </c>
      <c r="CX13" s="392" t="str">
        <f t="shared" ca="1" si="1"/>
        <v>9000TEU BioDiesel</v>
      </c>
      <c r="CY13" s="392" t="str">
        <f t="shared" ca="1" si="1"/>
        <v>9000TEU LNG</v>
      </c>
      <c r="CZ13" s="392" t="str">
        <f t="shared" ca="1" si="1"/>
        <v>IC Tog Diesel</v>
      </c>
      <c r="DA13" s="392" t="str">
        <f t="shared" ca="1" si="1"/>
        <v>IC Tog Biodiesel</v>
      </c>
      <c r="DB13" s="392" t="str">
        <f t="shared" ca="1" si="1"/>
        <v>IC Tog El</v>
      </c>
      <c r="DC13" s="392" t="str">
        <f t="shared" ca="1" si="1"/>
        <v>Lokaltog Diesel</v>
      </c>
      <c r="DD13" s="392" t="str">
        <f t="shared" ca="1" si="1"/>
        <v>Lokaltog biodiesel</v>
      </c>
      <c r="DE13" s="392" t="str">
        <f t="shared" ca="1" si="1"/>
        <v>Lokaltog Gas</v>
      </c>
      <c r="DF13" s="392" t="str">
        <f t="shared" ca="1" si="1"/>
        <v>L-Diesel</v>
      </c>
      <c r="DG13" s="392" t="str">
        <f t="shared" ca="1" si="1"/>
        <v>L-BioDiesel</v>
      </c>
      <c r="DH13" s="392" t="str">
        <f t="shared" ca="1" si="1"/>
        <v>L-CNG</v>
      </c>
      <c r="DI13" s="392" t="str">
        <f t="shared" ca="1" si="1"/>
        <v>L-DME</v>
      </c>
      <c r="DJ13" s="392" t="str">
        <f t="shared" ca="1" si="1"/>
        <v>B-Diesel</v>
      </c>
      <c r="DK13" s="392" t="str">
        <f t="shared" ca="1" si="1"/>
        <v>B-Biodiesel</v>
      </c>
      <c r="DL13" s="392" t="str">
        <f t="shared" ca="1" si="1"/>
        <v>B-CNG</v>
      </c>
      <c r="DM13" s="392" t="str">
        <f t="shared" ca="1" si="1"/>
        <v>B-Hybrid</v>
      </c>
      <c r="DN13" s="392" t="str">
        <f t="shared" ca="1" si="1"/>
        <v>Fast Ferry - Biodiesel</v>
      </c>
      <c r="DO13" s="392" t="str">
        <f t="shared" ca="1" si="1"/>
        <v>Ren brint</v>
      </c>
      <c r="DP13" s="392">
        <f t="shared" ca="1" si="1"/>
        <v>0</v>
      </c>
      <c r="DR13" s="392" t="s">
        <v>709</v>
      </c>
      <c r="DS13" s="404" t="s">
        <v>710</v>
      </c>
    </row>
    <row r="14" spans="1:123">
      <c r="B14" s="394">
        <f ca="1">NOW()</f>
        <v>41897.397369212966</v>
      </c>
      <c r="C14" s="434">
        <f ca="1">IF(C13=0,0,OFFSET(Vehicles!$F$24,0,COLUMN()-COLUMN($C$13)))</f>
        <v>1.470725339012354</v>
      </c>
      <c r="D14" s="434">
        <f ca="1">IF(D13=0,0,OFFSET(Vehicles!$F$24,0,COLUMN()-COLUMN($C$13)))</f>
        <v>1.4854748199882093</v>
      </c>
      <c r="E14" s="434">
        <f ca="1">IF(E13=0,0,OFFSET(Vehicles!$F$24,0,COLUMN()-COLUMN($C$13)))</f>
        <v>1.5857057027759596</v>
      </c>
      <c r="F14" s="434">
        <f ca="1">IF(F13=0,0,OFFSET(Vehicles!$F$24,0,COLUMN()-COLUMN($C$13)))</f>
        <v>1.4571230805536857</v>
      </c>
      <c r="G14" s="434">
        <f ca="1">IF(G13=0,0,OFFSET(Vehicles!$F$24,0,COLUMN()-COLUMN($C$13)))</f>
        <v>1.5444122668469531</v>
      </c>
      <c r="H14" s="434">
        <f ca="1">IF(H13=0,0,OFFSET(Vehicles!$F$24,0,COLUMN()-COLUMN($C$13)))</f>
        <v>1.4749866399349132</v>
      </c>
      <c r="I14" s="434">
        <f ca="1">IF(I13=0,0,OFFSET(Vehicles!$F$24,0,COLUMN()-COLUMN($C$13)))</f>
        <v>1.5401595887982942</v>
      </c>
      <c r="J14" s="434">
        <f ca="1">IF(J13=0,0,OFFSET(Vehicles!$F$24,0,COLUMN()-COLUMN($C$13)))</f>
        <v>1.5581135818536227</v>
      </c>
      <c r="K14" s="434">
        <f ca="1">IF(K13=0,0,OFFSET(Vehicles!$F$24,0,COLUMN()-COLUMN($C$13)))</f>
        <v>1.3864546445612862</v>
      </c>
      <c r="L14" s="434">
        <f ca="1">IF(L13=0,0,OFFSET(Vehicles!$F$24,0,COLUMN()-COLUMN($C$13)))</f>
        <v>1.6296539719899525</v>
      </c>
      <c r="M14" s="434">
        <f ca="1">IF(M13=0,0,OFFSET(Vehicles!$F$24,0,COLUMN()-COLUMN($C$13)))</f>
        <v>1.8158692777681844</v>
      </c>
      <c r="N14" s="434">
        <f ca="1">IF(N13=0,0,OFFSET(Vehicles!$F$24,0,COLUMN()-COLUMN($C$13)))</f>
        <v>1.7693777678709823</v>
      </c>
      <c r="O14" s="434">
        <f ca="1">IF(O13=0,0,OFFSET(Vehicles!$F$24,0,COLUMN()-COLUMN($C$13)))</f>
        <v>1.5031614990571662</v>
      </c>
      <c r="P14" s="434">
        <f ca="1">IF(P13=0,0,OFFSET(Vehicles!$F$24,0,COLUMN()-COLUMN($C$13)))</f>
        <v>1.4311277691880082</v>
      </c>
      <c r="Q14" s="434">
        <f ca="1">IF(Q13=0,0,OFFSET(Vehicles!$F$24,0,COLUMN()-COLUMN($C$13)))</f>
        <v>969.07697429578423</v>
      </c>
      <c r="R14" s="434">
        <f ca="1">IF(R13=0,0,OFFSET(Vehicles!$F$24,0,COLUMN()-COLUMN($C$13)))</f>
        <v>56.70829724251977</v>
      </c>
      <c r="S14" s="434">
        <f ca="1">IF(S13=0,0,OFFSET(Vehicles!$F$24,0,COLUMN()-COLUMN($C$13)))</f>
        <v>62.236896493288555</v>
      </c>
      <c r="T14" s="434">
        <f ca="1">IF(T13=0,0,OFFSET(Vehicles!$F$24,0,COLUMN()-COLUMN($C$13)))</f>
        <v>3729.5721162109244</v>
      </c>
      <c r="U14" s="434">
        <f ca="1">IF(U13=0,0,OFFSET(Vehicles!$F$24,0,COLUMN()-COLUMN($C$13)))</f>
        <v>1804.3946997505116</v>
      </c>
      <c r="V14" s="434">
        <f ca="1">IF(V13=0,0,OFFSET(Vehicles!$F$24,0,COLUMN()-COLUMN($C$13)))</f>
        <v>2082.0786831155383</v>
      </c>
      <c r="W14" s="434">
        <f ca="1">IF(W13=0,0,OFFSET(Vehicles!$F$24,0,COLUMN()-COLUMN($C$13)))</f>
        <v>1075.2454359084275</v>
      </c>
      <c r="X14" s="434">
        <f ca="1">IF(X13=0,0,OFFSET(Vehicles!$F$24,0,COLUMN()-COLUMN($C$13)))</f>
        <v>52.236431661707684</v>
      </c>
      <c r="Y14" s="434">
        <f ca="1">IF(Y13=0,0,OFFSET(Vehicles!$F$24,0,COLUMN()-COLUMN($C$13)))</f>
        <v>53.907663926079785</v>
      </c>
      <c r="Z14" s="434">
        <f ca="1">IF(Z13=0,0,OFFSET(Vehicles!$F$24,0,COLUMN()-COLUMN($C$13)))</f>
        <v>52.784194889146562</v>
      </c>
      <c r="AA14" s="434">
        <f ca="1">IF(AA13=0,0,OFFSET(Vehicles!$F$24,0,COLUMN()-COLUMN($C$13)))</f>
        <v>46.07295682875607</v>
      </c>
      <c r="AB14" s="434">
        <f ca="1">IF(AB13=0,0,OFFSET(Vehicles!$F$24,0,COLUMN()-COLUMN($C$13)))</f>
        <v>47.440328681424155</v>
      </c>
      <c r="AC14" s="434">
        <f ca="1">IF(AC13=0,0,OFFSET(Vehicles!$F$24,0,COLUMN()-COLUMN($C$13)))</f>
        <v>48.579708377593732</v>
      </c>
      <c r="AD14" s="434">
        <f ca="1">IF(AD13=0,0,OFFSET(Vehicles!$F$24,0,COLUMN()-COLUMN($C$13)))</f>
        <v>8.6055674102599848</v>
      </c>
      <c r="AE14" s="434">
        <f ca="1">IF(AE13=0,0,OFFSET(Vehicles!$F$24,0,COLUMN()-COLUMN($C$13)))</f>
        <v>8.7397368719796251</v>
      </c>
      <c r="AF14" s="434">
        <f ca="1">IF(AF13=0,0,OFFSET(Vehicles!$F$24,0,COLUMN()-COLUMN($C$13)))</f>
        <v>8.2930962339881127</v>
      </c>
      <c r="AG14" s="434">
        <f ca="1">IF(AG13=0,0,OFFSET(Vehicles!$F$24,0,COLUMN()-COLUMN($C$13)))</f>
        <v>8.8991791794710018</v>
      </c>
      <c r="AH14" s="434">
        <f ca="1">IF(AH13=0,0,OFFSET(Vehicles!$F$24,0,COLUMN()-COLUMN($C$13)))</f>
        <v>8.4349530668691539</v>
      </c>
      <c r="AI14" s="434">
        <f ca="1">IF(AI13=0,0,OFFSET(Vehicles!$F$24,0,COLUMN()-COLUMN($C$13)))</f>
        <v>8.4852358415485778</v>
      </c>
      <c r="AJ14" s="434">
        <f ca="1">IF(AJ13=0,0,OFFSET(Vehicles!$F$24,0,COLUMN()-COLUMN($C$13)))</f>
        <v>8.2759511224302926</v>
      </c>
      <c r="AK14" s="434">
        <f ca="1">IF(AK13=0,0,OFFSET(Vehicles!$F$24,0,COLUMN()-COLUMN($C$13)))</f>
        <v>9.2110560506352304</v>
      </c>
      <c r="AL14" s="434">
        <f ca="1">IF(AL13=0,0,OFFSET(Vehicles!$F$24,0,COLUMN()-COLUMN($C$13)))</f>
        <v>1148.5070700595998</v>
      </c>
      <c r="AM14" s="434">
        <f ca="1">IF(AM13=0,0,OFFSET(Vehicles!$F$24,0,COLUMN()-COLUMN($C$13)))</f>
        <v>2.0749934702262522</v>
      </c>
      <c r="AN14" s="434">
        <f ca="1">IF(AN13=0,0,OFFSET(Vehicles!$F$24,0,COLUMN()-COLUMN($C$13)))</f>
        <v>0</v>
      </c>
      <c r="AP14" s="394">
        <f ca="1">NOW()</f>
        <v>41897.397369212966</v>
      </c>
      <c r="AQ14" s="395">
        <f ca="1">IF(AQ13=0,0,OFFSET(Vehicles!$F$188,0,COLUMN()-COLUMN($AQ$13)))</f>
        <v>130.30849928407619</v>
      </c>
      <c r="AR14" s="395">
        <f ca="1">IF(AR13=0,0,OFFSET(Vehicles!$F$188,0,COLUMN()-COLUMN($AQ$13)))</f>
        <v>173.36485076842851</v>
      </c>
      <c r="AS14" s="395">
        <f ca="1">IF(AS13=0,0,OFFSET(Vehicles!$F$188,0,COLUMN()-COLUMN($AQ$13)))</f>
        <v>656.49203682319421</v>
      </c>
      <c r="AT14" s="395">
        <f ca="1">IF(AT13=0,0,OFFSET(Vehicles!$F$188,0,COLUMN()-COLUMN($AQ$13)))</f>
        <v>822.1090351161464</v>
      </c>
      <c r="AU14" s="395">
        <f ca="1">IF(AU13=0,0,OFFSET(Vehicles!$F$188,0,COLUMN()-COLUMN($AQ$13)))</f>
        <v>30.800961196343653</v>
      </c>
      <c r="AV14" s="395">
        <f ca="1">IF(AV13=0,0,OFFSET(Vehicles!$F$188,0,COLUMN()-COLUMN($AQ$13)))</f>
        <v>545.73459990388676</v>
      </c>
      <c r="AW14" s="395">
        <f ca="1">IF(AW13=0,0,OFFSET(Vehicles!$F$188,0,COLUMN()-COLUMN($AQ$13)))</f>
        <v>-44.357441516486432</v>
      </c>
      <c r="AX14" s="395">
        <f ca="1">IF(AX13=0,0,OFFSET(Vehicles!$F$188,0,COLUMN()-COLUMN($AQ$13)))</f>
        <v>-47.025624439545666</v>
      </c>
      <c r="AY14" s="395">
        <f ca="1">IF(AY13=0,0,OFFSET(Vehicles!$F$188,0,COLUMN()-COLUMN($AQ$13)))</f>
        <v>148.46711957195433</v>
      </c>
      <c r="AZ14" s="395">
        <f ca="1">IF(AZ13=0,0,OFFSET(Vehicles!$F$188,0,COLUMN()-COLUMN($AQ$13)))</f>
        <v>-118.74945696650954</v>
      </c>
      <c r="BA14" s="395">
        <f ca="1">IF(BA13=0,0,OFFSET(Vehicles!$F$188,0,COLUMN()-COLUMN($AQ$13)))</f>
        <v>-8.1116204832290713</v>
      </c>
      <c r="BB14" s="395">
        <f ca="1">IF(BB13=0,0,OFFSET(Vehicles!$F$188,0,COLUMN()-COLUMN($AQ$13)))</f>
        <v>4.243005198355692</v>
      </c>
      <c r="BC14" s="395">
        <f ca="1">IF(BC13=0,0,OFFSET(Vehicles!$F$188,0,COLUMN()-COLUMN($AQ$13)))</f>
        <v>2.3500131018202395</v>
      </c>
      <c r="BD14" s="395">
        <f ca="1">IF(BD13=0,0,OFFSET(Vehicles!$F$188,0,COLUMN()-COLUMN($AQ$13)))</f>
        <v>99.25718830055304</v>
      </c>
      <c r="BE14" s="1968">
        <f ca="1">IF(BE13=0,0,OFFSET(Vehicles!$F$188,0,COLUMN()-COLUMN($AQ$13)))</f>
        <v>350298.61560125841</v>
      </c>
      <c r="BF14" s="1968">
        <f ca="1">IF(BF13=0,0,OFFSET(Vehicles!$F$188,0,COLUMN()-COLUMN($AQ$13)))</f>
        <v>8160.5219186429176</v>
      </c>
      <c r="BG14" s="1968">
        <f ca="1">IF(BG13=0,0,OFFSET(Vehicles!$F$188,0,COLUMN()-COLUMN($AQ$13)))</f>
        <v>-9019.7786071368864</v>
      </c>
      <c r="BH14" s="1968">
        <f ca="1">IF(BH13=0,0,OFFSET(Vehicles!$F$188,0,COLUMN()-COLUMN($AQ$13)))</f>
        <v>562273.26292468584</v>
      </c>
      <c r="BI14" s="1968">
        <f ca="1">IF(BI13=0,0,OFFSET(Vehicles!$F$188,0,COLUMN()-COLUMN($AQ$13)))</f>
        <v>542118.16882409609</v>
      </c>
      <c r="BJ14" s="1968">
        <f ca="1">IF(BJ13=0,0,OFFSET(Vehicles!$F$188,0,COLUMN()-COLUMN($AQ$13)))</f>
        <v>-191292.0431264916</v>
      </c>
      <c r="BK14" s="1968">
        <f ca="1">IF(BK13=0,0,OFFSET(Vehicles!$F$188,0,COLUMN()-COLUMN($AQ$13)))</f>
        <v>528613.83067174477</v>
      </c>
      <c r="BL14" s="1968">
        <f ca="1">IF(BL13=0,0,OFFSET(Vehicles!$F$188,0,COLUMN()-COLUMN($AQ$13)))</f>
        <v>3264.8815206779341</v>
      </c>
      <c r="BM14" s="1968">
        <f ca="1">IF(BM13=0,0,OFFSET(Vehicles!$F$188,0,COLUMN()-COLUMN($AQ$13)))</f>
        <v>-1152.0474549139462</v>
      </c>
      <c r="BN14" s="1968">
        <f ca="1">IF(BN13=0,0,OFFSET(Vehicles!$F$188,0,COLUMN()-COLUMN($AQ$13)))</f>
        <v>100.57603941182192</v>
      </c>
      <c r="BO14" s="1968">
        <f ca="1">IF(BO13=0,0,OFFSET(Vehicles!$F$188,0,COLUMN()-COLUMN($AQ$13)))</f>
        <v>2671.266698736491</v>
      </c>
      <c r="BP14" s="1968">
        <f ca="1">IF(BP13=0,0,OFFSET(Vehicles!$F$188,0,COLUMN()-COLUMN($AQ$13)))</f>
        <v>-942.58428129322851</v>
      </c>
      <c r="BQ14" s="1968">
        <f ca="1">IF(BQ13=0,0,OFFSET(Vehicles!$F$188,0,COLUMN()-COLUMN($AQ$13)))</f>
        <v>2385.0901574690902</v>
      </c>
      <c r="BR14" s="395">
        <f ca="1">IF(BR13=0,0,OFFSET(Vehicles!$F$188,0,COLUMN()-COLUMN($AQ$13)))</f>
        <v>1183.2686415251512</v>
      </c>
      <c r="BS14" s="395">
        <f ca="1">IF(BS13=0,0,OFFSET(Vehicles!$F$188,0,COLUMN()-COLUMN($AQ$13)))</f>
        <v>4944.1121441584437</v>
      </c>
      <c r="BT14" s="395">
        <f ca="1">IF(BT13=0,0,OFFSET(Vehicles!$F$188,0,COLUMN()-COLUMN($AQ$13)))</f>
        <v>1205.3277162569384</v>
      </c>
      <c r="BU14" s="395">
        <f ca="1">IF(BU13=0,0,OFFSET(Vehicles!$F$188,0,COLUMN()-COLUMN($AQ$13)))</f>
        <v>-398.61279216049684</v>
      </c>
      <c r="BV14" s="395">
        <f ca="1">IF(BV13=0,0,OFFSET(Vehicles!$F$188,0,COLUMN()-COLUMN($AQ$13)))</f>
        <v>1247.9778083912533</v>
      </c>
      <c r="BW14" s="395">
        <f ca="1">IF(BW13=0,0,OFFSET(Vehicles!$F$188,0,COLUMN()-COLUMN($AQ$13)))</f>
        <v>5221.8434347449474</v>
      </c>
      <c r="BX14" s="395">
        <f ca="1">IF(BX13=0,0,OFFSET(Vehicles!$F$188,0,COLUMN()-COLUMN($AQ$13)))</f>
        <v>1299.8312299017655</v>
      </c>
      <c r="BY14" s="395">
        <f ca="1">IF(BY13=0,0,OFFSET(Vehicles!$F$188,0,COLUMN()-COLUMN($AQ$13)))</f>
        <v>959.98292953173348</v>
      </c>
      <c r="BZ14" s="395">
        <f ca="1">IF(BZ13=0,0,OFFSET(Vehicles!$F$188,0,COLUMN()-COLUMN($AQ$13)))</f>
        <v>-123606.51558330099</v>
      </c>
      <c r="CA14" s="395">
        <f ca="1">IF(CA13=0,0,OFFSET(Vehicles!$F$188,0,COLUMN()-COLUMN($AQ$13)))</f>
        <v>7.4868508085085361</v>
      </c>
      <c r="CB14" s="395">
        <f ca="1">IF(CB13=0,0,OFFSET(Vehicles!$F$188,0,COLUMN()-COLUMN($AQ$13)))</f>
        <v>0</v>
      </c>
      <c r="CD14" s="394">
        <f ca="1">NOW()</f>
        <v>41897.397369212966</v>
      </c>
      <c r="CE14" s="395">
        <f ca="1">IF(CE13=0,0,OFFSET(Vehicles!$F$63,0,COLUMN()-COLUMN($CE$13)))</f>
        <v>0.23759628394566742</v>
      </c>
      <c r="CF14" s="395">
        <f ca="1">IF(CF13=0,0,OFFSET(Vehicles!$F$63,0,COLUMN()-COLUMN($CE$13)))</f>
        <v>0.16769792432989633</v>
      </c>
      <c r="CG14" s="395">
        <f ca="1">IF(CG13=0,0,OFFSET(Vehicles!$F$63,0,COLUMN()-COLUMN($CE$13)))</f>
        <v>0.13923731496982597</v>
      </c>
      <c r="CH14" s="395">
        <f ca="1">IF(CH13=0,0,OFFSET(Vehicles!$F$63,0,COLUMN()-COLUMN($CE$13)))</f>
        <v>0.14097114871113556</v>
      </c>
      <c r="CI14" s="395">
        <f ca="1">IF(CI13=0,0,OFFSET(Vehicles!$F$63,0,COLUMN()-COLUMN($CE$13)))</f>
        <v>0.12872803566339891</v>
      </c>
      <c r="CJ14" s="395">
        <f ca="1">IF(CJ13=0,0,OFFSET(Vehicles!$F$63,0,COLUMN()-COLUMN($CE$13)))</f>
        <v>0.20776980245257207</v>
      </c>
      <c r="CK14" s="395">
        <f ca="1">IF(CK13=0,0,OFFSET(Vehicles!$F$63,0,COLUMN()-COLUMN($CE$13)))</f>
        <v>0.20005420011599015</v>
      </c>
      <c r="CL14" s="395">
        <f ca="1">IF(CL13=0,0,OFFSET(Vehicles!$F$63,0,COLUMN()-COLUMN($CE$13)))</f>
        <v>0.2150045900352773</v>
      </c>
      <c r="CM14" s="395">
        <f ca="1">IF(CM13=0,0,OFFSET(Vehicles!$F$63,0,COLUMN()-COLUMN($CE$13)))</f>
        <v>0.16831539661914319</v>
      </c>
      <c r="CN14" s="395">
        <f ca="1">IF(CN13=0,0,OFFSET(Vehicles!$F$63,0,COLUMN()-COLUMN($CE$13)))</f>
        <v>0.15819847757401839</v>
      </c>
      <c r="CO14" s="395">
        <f ca="1">IF(CO13=0,0,OFFSET(Vehicles!$F$63,0,COLUMN()-COLUMN($CE$13)))</f>
        <v>0.55351751631068857</v>
      </c>
      <c r="CP14" s="395">
        <f ca="1">IF(CP13=0,0,OFFSET(Vehicles!$F$63,0,COLUMN()-COLUMN($CE$13)))</f>
        <v>0.54869968593943474</v>
      </c>
      <c r="CQ14" s="395">
        <f ca="1">IF(CQ13=0,0,OFFSET(Vehicles!$F$63,0,COLUMN()-COLUMN($CE$13)))</f>
        <v>0.65414862139188079</v>
      </c>
      <c r="CR14" s="395">
        <f ca="1">IF(CR13=0,0,OFFSET(Vehicles!$F$63,0,COLUMN()-COLUMN($CE$13)))</f>
        <v>0.37402054072693969</v>
      </c>
      <c r="CS14" s="395">
        <f ca="1">IF(CS13=0,0,OFFSET(Vehicles!$F$63,0,COLUMN()-COLUMN($CE$13)))</f>
        <v>0.37407164929552272</v>
      </c>
      <c r="CT14" s="395">
        <f ca="1">IF(CT13=0,0,OFFSET(Vehicles!$F$63,0,COLUMN()-COLUMN($CE$13)))</f>
        <v>0.447221292916757</v>
      </c>
      <c r="CU14" s="395">
        <f ca="1">IF(CU13=0,0,OFFSET(Vehicles!$F$63,0,COLUMN()-COLUMN($CE$13)))</f>
        <v>0.3622790598707698</v>
      </c>
      <c r="CV14" s="395">
        <f ca="1">IF(CV13=0,0,OFFSET(Vehicles!$F$63,0,COLUMN()-COLUMN($CE$13)))</f>
        <v>0.47428587647615433</v>
      </c>
      <c r="CW14" s="395">
        <f ca="1">IF(CW13=0,0,OFFSET(Vehicles!$F$63,0,COLUMN()-COLUMN($CE$13)))</f>
        <v>0.45146578363252743</v>
      </c>
      <c r="CX14" s="395">
        <f ca="1">IF(CX13=0,0,OFFSET(Vehicles!$F$63,0,COLUMN()-COLUMN($CE$13)))</f>
        <v>0.38013063472405745</v>
      </c>
      <c r="CY14" s="395">
        <f ca="1">IF(CY13=0,0,OFFSET(Vehicles!$F$63,0,COLUMN()-COLUMN($CE$13)))</f>
        <v>0.40611005021873081</v>
      </c>
      <c r="CZ14" s="395">
        <f ca="1">IF(CZ13=0,0,OFFSET(Vehicles!$F$63,0,COLUMN()-COLUMN($CE$13)))</f>
        <v>0.29816004259848461</v>
      </c>
      <c r="DA14" s="395">
        <f ca="1">IF(DA13=0,0,OFFSET(Vehicles!$F$63,0,COLUMN()-COLUMN($CE$13)))</f>
        <v>0.25104840798869349</v>
      </c>
      <c r="DB14" s="395">
        <f ca="1">IF(DB13=0,0,OFFSET(Vehicles!$F$63,0,COLUMN()-COLUMN($CE$13)))</f>
        <v>0.69049021146920753</v>
      </c>
      <c r="DC14" s="395">
        <f ca="1">IF(DC13=0,0,OFFSET(Vehicles!$F$63,0,COLUMN()-COLUMN($CE$13)))</f>
        <v>0.29816004259848461</v>
      </c>
      <c r="DD14" s="395">
        <f ca="1">IF(DD13=0,0,OFFSET(Vehicles!$F$63,0,COLUMN()-COLUMN($CE$13)))</f>
        <v>0.25104840798869349</v>
      </c>
      <c r="DE14" s="395">
        <f ca="1">IF(DE13=0,0,OFFSET(Vehicles!$F$63,0,COLUMN()-COLUMN($CE$13)))</f>
        <v>0.28718003652181961</v>
      </c>
      <c r="DF14" s="395">
        <f ca="1">IF(DF13=0,0,OFFSET(Vehicles!$F$63,0,COLUMN()-COLUMN($CE$13)))</f>
        <v>0.37270005324810579</v>
      </c>
      <c r="DG14" s="395">
        <f ca="1">IF(DG13=0,0,OFFSET(Vehicles!$F$63,0,COLUMN()-COLUMN($CE$13)))</f>
        <v>0.32591341561187775</v>
      </c>
      <c r="DH14" s="395">
        <f ca="1">IF(DH13=0,0,OFFSET(Vehicles!$F$63,0,COLUMN()-COLUMN($CE$13)))</f>
        <v>0.29089665540578735</v>
      </c>
      <c r="DI14" s="395">
        <f ca="1">IF(DI13=0,0,OFFSET(Vehicles!$F$63,0,COLUMN()-COLUMN($CE$13)))</f>
        <v>0.33726210201612128</v>
      </c>
      <c r="DJ14" s="395">
        <f ca="1">IF(DJ13=0,0,OFFSET(Vehicles!$F$63,0,COLUMN()-COLUMN($CE$13)))</f>
        <v>0.30102696608500845</v>
      </c>
      <c r="DK14" s="395">
        <f ca="1">IF(DK13=0,0,OFFSET(Vehicles!$F$63,0,COLUMN()-COLUMN($CE$13)))</f>
        <v>0.26323775876343969</v>
      </c>
      <c r="DL14" s="395">
        <f ca="1">IF(DL13=0,0,OFFSET(Vehicles!$F$63,0,COLUMN()-COLUMN($CE$13)))</f>
        <v>0.22790901296842467</v>
      </c>
      <c r="DM14" s="395">
        <f ca="1">IF(DM13=0,0,OFFSET(Vehicles!$F$63,0,COLUMN()-COLUMN($CE$13)))</f>
        <v>0.39133505591051104</v>
      </c>
      <c r="DN14" s="395">
        <f ca="1">IF(DN13=0,0,OFFSET(Vehicles!$F$63,0,COLUMN()-COLUMN($CE$13)))</f>
        <v>0.31496538305707616</v>
      </c>
      <c r="DO14" s="395">
        <f ca="1">IF(DO13=0,0,OFFSET(Vehicles!$F$63,0,COLUMN()-COLUMN($CE$13)))</f>
        <v>0.3139907650936678</v>
      </c>
      <c r="DP14" s="395">
        <f ca="1">IF(DP13=0,0,OFFSET(Vehicles!$F$63,0,COLUMN()-COLUMN($CE$13)))</f>
        <v>0</v>
      </c>
      <c r="DR14" s="207">
        <f>L4</f>
        <v>0</v>
      </c>
      <c r="DS14" s="207">
        <f>L5</f>
        <v>0</v>
      </c>
    </row>
    <row r="15" spans="1:123" s="523" customFormat="1">
      <c r="B15" s="838">
        <f ca="1">OFFSET(B25,$C$10,0)</f>
        <v>41892.605923495372</v>
      </c>
      <c r="C15" s="839">
        <f ca="1">OFFSET(C25,$C$10,0)</f>
        <v>1.470725339012354</v>
      </c>
      <c r="D15" s="839">
        <f t="shared" ref="D15:AN15" ca="1" si="2">OFFSET(D25,$C$10,0)</f>
        <v>1.4854748199882093</v>
      </c>
      <c r="E15" s="839">
        <f t="shared" ca="1" si="2"/>
        <v>1.5566719070119084</v>
      </c>
      <c r="F15" s="839">
        <f ca="1">OFFSET(F25,$C$10,0)</f>
        <v>1.418776557846448</v>
      </c>
      <c r="G15" s="839">
        <f t="shared" ca="1" si="2"/>
        <v>1.5452128600065675</v>
      </c>
      <c r="H15" s="839">
        <f ca="1">OFFSET(H25,$C$10,0)</f>
        <v>1.4507320272048265</v>
      </c>
      <c r="I15" s="839">
        <f t="shared" ca="1" si="2"/>
        <v>1.5413603739899224</v>
      </c>
      <c r="J15" s="839">
        <f t="shared" ca="1" si="2"/>
        <v>1.5607106488889637</v>
      </c>
      <c r="K15" s="839">
        <f t="shared" ca="1" si="2"/>
        <v>1.3864546445612862</v>
      </c>
      <c r="L15" s="839">
        <f t="shared" ca="1" si="2"/>
        <v>1.6296539719899525</v>
      </c>
      <c r="M15" s="839">
        <f t="shared" ca="1" si="2"/>
        <v>1.8164116790263696</v>
      </c>
      <c r="N15" s="839">
        <f t="shared" ca="1" si="2"/>
        <v>1.7693777678709823</v>
      </c>
      <c r="O15" s="839">
        <f t="shared" ca="1" si="2"/>
        <v>1.5031614990571662</v>
      </c>
      <c r="P15" s="839">
        <f t="shared" ca="1" si="2"/>
        <v>1.4311277691880082</v>
      </c>
      <c r="Q15" s="839">
        <f t="shared" ca="1" si="2"/>
        <v>969.07697429578423</v>
      </c>
      <c r="R15" s="839">
        <f t="shared" ca="1" si="2"/>
        <v>56.70829724251977</v>
      </c>
      <c r="S15" s="839">
        <f ca="1">OFFSET(S25,$C$10,0)</f>
        <v>62.40879318816927</v>
      </c>
      <c r="T15" s="839">
        <f t="shared" ca="1" si="2"/>
        <v>3729.5721162109244</v>
      </c>
      <c r="U15" s="839">
        <f t="shared" ca="1" si="2"/>
        <v>1804.3946997505116</v>
      </c>
      <c r="V15" s="839">
        <f t="shared" ca="1" si="2"/>
        <v>2087.1206971330562</v>
      </c>
      <c r="W15" s="839">
        <f t="shared" ca="1" si="2"/>
        <v>1075.2454359084275</v>
      </c>
      <c r="X15" s="839">
        <f t="shared" ca="1" si="2"/>
        <v>52.236431661707684</v>
      </c>
      <c r="Y15" s="839">
        <f t="shared" ca="1" si="2"/>
        <v>53.938029221580763</v>
      </c>
      <c r="Z15" s="839">
        <f t="shared" ca="1" si="2"/>
        <v>52.784194889146562</v>
      </c>
      <c r="AA15" s="839">
        <f t="shared" ca="1" si="2"/>
        <v>46.07295682875607</v>
      </c>
      <c r="AB15" s="839">
        <f t="shared" ca="1" si="2"/>
        <v>47.465173014106767</v>
      </c>
      <c r="AC15" s="839">
        <f t="shared" ca="1" si="2"/>
        <v>48.579708377593732</v>
      </c>
      <c r="AD15" s="839">
        <f t="shared" ca="1" si="2"/>
        <v>8.6055674102599848</v>
      </c>
      <c r="AE15" s="839">
        <f t="shared" ca="1" si="2"/>
        <v>8.5201603875971159</v>
      </c>
      <c r="AF15" s="839">
        <f t="shared" ca="1" si="2"/>
        <v>8.2930962339881127</v>
      </c>
      <c r="AG15" s="839">
        <f t="shared" ca="1" si="2"/>
        <v>8.9214238843182443</v>
      </c>
      <c r="AH15" s="839">
        <f t="shared" ca="1" si="2"/>
        <v>8.4349530668691539</v>
      </c>
      <c r="AI15" s="839">
        <f t="shared" ca="1" si="2"/>
        <v>8.2532220810631216</v>
      </c>
      <c r="AJ15" s="839">
        <f t="shared" ca="1" si="2"/>
        <v>8.2759511224302926</v>
      </c>
      <c r="AK15" s="839">
        <f t="shared" ca="1" si="2"/>
        <v>9.2110560506352304</v>
      </c>
      <c r="AL15" s="839">
        <f t="shared" ca="1" si="2"/>
        <v>1151.765050757811</v>
      </c>
      <c r="AM15" s="839">
        <f t="shared" ca="1" si="2"/>
        <v>2.0749934702262522</v>
      </c>
      <c r="AN15" s="839">
        <f t="shared" ca="1" si="2"/>
        <v>0</v>
      </c>
      <c r="AP15" s="838">
        <f ca="1">OFFSET(AP25,$C$10,0)</f>
        <v>41892.605923495372</v>
      </c>
      <c r="AQ15" s="450">
        <f ca="1">OFFSET(AQ25,$C$10,0)</f>
        <v>130.30849928407619</v>
      </c>
      <c r="AR15" s="450">
        <f t="shared" ref="AR15:CB15" ca="1" si="3">OFFSET(AR25,$C$10,0)</f>
        <v>173.36485076842851</v>
      </c>
      <c r="AS15" s="450">
        <f t="shared" ca="1" si="3"/>
        <v>73.70725642315162</v>
      </c>
      <c r="AT15" s="450">
        <f ca="1">OFFSET(AT25,$C$10,0)</f>
        <v>52.393287417976921</v>
      </c>
      <c r="AU15" s="450">
        <f t="shared" ca="1" si="3"/>
        <v>46.870975344936802</v>
      </c>
      <c r="AV15" s="450">
        <f ca="1">OFFSET(AV25,$C$10,0)</f>
        <v>58.880615379642592</v>
      </c>
      <c r="AW15" s="450">
        <f t="shared" ca="1" si="3"/>
        <v>-20.254518843273139</v>
      </c>
      <c r="AX15" s="450">
        <f t="shared" ca="1" si="3"/>
        <v>5.1043538166706366</v>
      </c>
      <c r="AY15" s="450">
        <f t="shared" ca="1" si="3"/>
        <v>148.46711957195433</v>
      </c>
      <c r="AZ15" s="450">
        <f t="shared" ca="1" si="3"/>
        <v>-118.74945696650954</v>
      </c>
      <c r="BA15" s="450">
        <f t="shared" ca="1" si="3"/>
        <v>2.7758019092514807</v>
      </c>
      <c r="BB15" s="450">
        <f t="shared" ca="1" si="3"/>
        <v>4.243005198355692</v>
      </c>
      <c r="BC15" s="450">
        <f t="shared" ca="1" si="3"/>
        <v>2.3500131018202395</v>
      </c>
      <c r="BD15" s="450">
        <f t="shared" ca="1" si="3"/>
        <v>99.25718830055304</v>
      </c>
      <c r="BE15" s="1969">
        <f t="shared" ca="1" si="3"/>
        <v>350298.61560125841</v>
      </c>
      <c r="BF15" s="1969">
        <f t="shared" ca="1" si="3"/>
        <v>8160.5219186429176</v>
      </c>
      <c r="BG15" s="1969">
        <f ca="1">OFFSET(BG25,$C$10,0)</f>
        <v>-5569.359020539483</v>
      </c>
      <c r="BH15" s="1969">
        <f t="shared" ca="1" si="3"/>
        <v>562273.26292468584</v>
      </c>
      <c r="BI15" s="1969">
        <f t="shared" ca="1" si="3"/>
        <v>542118.16882409609</v>
      </c>
      <c r="BJ15" s="1969">
        <f t="shared" ca="1" si="3"/>
        <v>-90085.53689311925</v>
      </c>
      <c r="BK15" s="1969">
        <f t="shared" ca="1" si="3"/>
        <v>528613.83067174477</v>
      </c>
      <c r="BL15" s="1969">
        <f t="shared" ca="1" si="3"/>
        <v>3264.8815206779341</v>
      </c>
      <c r="BM15" s="1969">
        <f t="shared" ca="1" si="3"/>
        <v>-542.53596650461941</v>
      </c>
      <c r="BN15" s="1969">
        <f t="shared" ca="1" si="3"/>
        <v>100.57603941182192</v>
      </c>
      <c r="BO15" s="1969">
        <f t="shared" ca="1" si="3"/>
        <v>2671.266698736491</v>
      </c>
      <c r="BP15" s="1969">
        <f t="shared" ca="1" si="3"/>
        <v>-443.89306350377939</v>
      </c>
      <c r="BQ15" s="1969">
        <f t="shared" ca="1" si="3"/>
        <v>2385.0901574690902</v>
      </c>
      <c r="BR15" s="450">
        <f t="shared" ca="1" si="3"/>
        <v>1183.2686415251512</v>
      </c>
      <c r="BS15" s="450">
        <f t="shared" ca="1" si="3"/>
        <v>536.63355362854861</v>
      </c>
      <c r="BT15" s="450">
        <f t="shared" ca="1" si="3"/>
        <v>1205.3277162569384</v>
      </c>
      <c r="BU15" s="450">
        <f t="shared" ca="1" si="3"/>
        <v>47.897045368771771</v>
      </c>
      <c r="BV15" s="450">
        <f t="shared" ca="1" si="3"/>
        <v>1247.9778083912533</v>
      </c>
      <c r="BW15" s="450">
        <f t="shared" ca="1" si="3"/>
        <v>564.71594259245558</v>
      </c>
      <c r="BX15" s="450">
        <f t="shared" ca="1" si="3"/>
        <v>1299.8312299017655</v>
      </c>
      <c r="BY15" s="450">
        <f t="shared" ca="1" si="3"/>
        <v>959.98292953173348</v>
      </c>
      <c r="BZ15" s="450">
        <f t="shared" ca="1" si="3"/>
        <v>-58210.258711316463</v>
      </c>
      <c r="CA15" s="450">
        <f t="shared" ca="1" si="3"/>
        <v>7.4868508085085361</v>
      </c>
      <c r="CB15" s="450">
        <f t="shared" ca="1" si="3"/>
        <v>0</v>
      </c>
      <c r="CD15" s="838">
        <f ca="1">OFFSET(CD25,$C$10,0)</f>
        <v>41892.605923495372</v>
      </c>
      <c r="CE15" s="450">
        <f ca="1">OFFSET(CE25,$C$10,0)</f>
        <v>0.23759628394566742</v>
      </c>
      <c r="CF15" s="450">
        <f t="shared" ref="CF15:DP15" ca="1" si="4">OFFSET(CF25,$C$10,0)</f>
        <v>0.16769792432989633</v>
      </c>
      <c r="CG15" s="450">
        <f t="shared" ca="1" si="4"/>
        <v>0.13923731496982597</v>
      </c>
      <c r="CH15" s="450">
        <f ca="1">OFFSET(CH25,$C$10,0)</f>
        <v>0.14097114871113556</v>
      </c>
      <c r="CI15" s="450">
        <f t="shared" ca="1" si="4"/>
        <v>0.12872803566339891</v>
      </c>
      <c r="CJ15" s="450">
        <f ca="1">OFFSET(CJ25,$C$10,0)</f>
        <v>0.20776980245257207</v>
      </c>
      <c r="CK15" s="450">
        <f t="shared" ca="1" si="4"/>
        <v>0.20005420011599015</v>
      </c>
      <c r="CL15" s="450">
        <f t="shared" ca="1" si="4"/>
        <v>0.2150045900352773</v>
      </c>
      <c r="CM15" s="450">
        <f t="shared" ca="1" si="4"/>
        <v>0.16831539661914319</v>
      </c>
      <c r="CN15" s="450">
        <f t="shared" ca="1" si="4"/>
        <v>0.15819847757401839</v>
      </c>
      <c r="CO15" s="450">
        <f t="shared" ca="1" si="4"/>
        <v>0.55351751631068857</v>
      </c>
      <c r="CP15" s="450">
        <f t="shared" ca="1" si="4"/>
        <v>0.54869968593943474</v>
      </c>
      <c r="CQ15" s="450">
        <f t="shared" ca="1" si="4"/>
        <v>0.65414862139188079</v>
      </c>
      <c r="CR15" s="450">
        <f t="shared" ca="1" si="4"/>
        <v>0.37402054072693969</v>
      </c>
      <c r="CS15" s="450">
        <f t="shared" ca="1" si="4"/>
        <v>0.37407164929552272</v>
      </c>
      <c r="CT15" s="450">
        <f t="shared" ca="1" si="4"/>
        <v>0.447221292916757</v>
      </c>
      <c r="CU15" s="450">
        <f ca="1">OFFSET(CU25,$C$10,0)</f>
        <v>0.3622790598707698</v>
      </c>
      <c r="CV15" s="450">
        <f t="shared" ca="1" si="4"/>
        <v>0.47428587647615433</v>
      </c>
      <c r="CW15" s="450">
        <f t="shared" ca="1" si="4"/>
        <v>0.45146578363252743</v>
      </c>
      <c r="CX15" s="450">
        <f t="shared" ca="1" si="4"/>
        <v>0.38013063472405745</v>
      </c>
      <c r="CY15" s="450">
        <f t="shared" ca="1" si="4"/>
        <v>0.40611005021873081</v>
      </c>
      <c r="CZ15" s="450">
        <f t="shared" ca="1" si="4"/>
        <v>0.29816004259848461</v>
      </c>
      <c r="DA15" s="450">
        <f t="shared" ca="1" si="4"/>
        <v>0.25104840798869349</v>
      </c>
      <c r="DB15" s="450">
        <f t="shared" ca="1" si="4"/>
        <v>0.69049021146920753</v>
      </c>
      <c r="DC15" s="450">
        <f t="shared" ca="1" si="4"/>
        <v>0.29816004259848461</v>
      </c>
      <c r="DD15" s="450">
        <f t="shared" ca="1" si="4"/>
        <v>0.25104840798869349</v>
      </c>
      <c r="DE15" s="450">
        <f t="shared" ca="1" si="4"/>
        <v>0.28718003652181961</v>
      </c>
      <c r="DF15" s="450">
        <f t="shared" ca="1" si="4"/>
        <v>0.37270005324810579</v>
      </c>
      <c r="DG15" s="450">
        <f t="shared" ca="1" si="4"/>
        <v>0.32591341561187775</v>
      </c>
      <c r="DH15" s="450">
        <f t="shared" ca="1" si="4"/>
        <v>0.29089665540578735</v>
      </c>
      <c r="DI15" s="450">
        <f t="shared" ca="1" si="4"/>
        <v>0.33726210201612128</v>
      </c>
      <c r="DJ15" s="450">
        <f t="shared" ca="1" si="4"/>
        <v>0.30102696608500845</v>
      </c>
      <c r="DK15" s="450">
        <f t="shared" ca="1" si="4"/>
        <v>0.26323775876343969</v>
      </c>
      <c r="DL15" s="450">
        <f t="shared" ca="1" si="4"/>
        <v>0.22790901296842467</v>
      </c>
      <c r="DM15" s="450">
        <f t="shared" ca="1" si="4"/>
        <v>0.39133505591051104</v>
      </c>
      <c r="DN15" s="450">
        <f t="shared" ca="1" si="4"/>
        <v>0.31496538305707616</v>
      </c>
      <c r="DO15" s="450">
        <f t="shared" ca="1" si="4"/>
        <v>0.3139907650936678</v>
      </c>
      <c r="DP15" s="450">
        <f t="shared" ca="1" si="4"/>
        <v>0</v>
      </c>
      <c r="DR15" s="455"/>
      <c r="DS15" s="455"/>
    </row>
    <row r="16" spans="1:123">
      <c r="B16" s="396" t="s">
        <v>701</v>
      </c>
      <c r="C16" s="397">
        <f ca="1">C14-C15</f>
        <v>0</v>
      </c>
      <c r="D16" s="397">
        <f t="shared" ref="D16:AN16" ca="1" si="5">D14-D15</f>
        <v>0</v>
      </c>
      <c r="E16" s="397">
        <f t="shared" ca="1" si="5"/>
        <v>2.9033795764051185E-2</v>
      </c>
      <c r="F16" s="397">
        <f ca="1">F14-F15</f>
        <v>3.8346522707237707E-2</v>
      </c>
      <c r="G16" s="397">
        <f t="shared" ca="1" si="5"/>
        <v>-8.0059315961444888E-4</v>
      </c>
      <c r="H16" s="397">
        <f ca="1">H14-H15</f>
        <v>2.4254612730086667E-2</v>
      </c>
      <c r="I16" s="397">
        <f t="shared" ca="1" si="5"/>
        <v>-1.2007851916282508E-3</v>
      </c>
      <c r="J16" s="397">
        <f t="shared" ca="1" si="5"/>
        <v>-2.5970670353410164E-3</v>
      </c>
      <c r="K16" s="397">
        <f t="shared" ca="1" si="5"/>
        <v>0</v>
      </c>
      <c r="L16" s="397">
        <f t="shared" ca="1" si="5"/>
        <v>0</v>
      </c>
      <c r="M16" s="397">
        <f t="shared" ca="1" si="5"/>
        <v>-5.424012581851656E-4</v>
      </c>
      <c r="N16" s="397">
        <f t="shared" ca="1" si="5"/>
        <v>0</v>
      </c>
      <c r="O16" s="397">
        <f t="shared" ca="1" si="5"/>
        <v>0</v>
      </c>
      <c r="P16" s="397">
        <f t="shared" ca="1" si="5"/>
        <v>0</v>
      </c>
      <c r="Q16" s="397">
        <f t="shared" ca="1" si="5"/>
        <v>0</v>
      </c>
      <c r="R16" s="397">
        <f t="shared" ca="1" si="5"/>
        <v>0</v>
      </c>
      <c r="S16" s="397">
        <f ca="1">S14-S15</f>
        <v>-0.17189669488071502</v>
      </c>
      <c r="T16" s="397">
        <f t="shared" ca="1" si="5"/>
        <v>0</v>
      </c>
      <c r="U16" s="397">
        <f t="shared" ca="1" si="5"/>
        <v>0</v>
      </c>
      <c r="V16" s="397">
        <f t="shared" ca="1" si="5"/>
        <v>-5.0420140175178858</v>
      </c>
      <c r="W16" s="397">
        <f t="shared" ca="1" si="5"/>
        <v>0</v>
      </c>
      <c r="X16" s="397">
        <f t="shared" ca="1" si="5"/>
        <v>0</v>
      </c>
      <c r="Y16" s="397">
        <f t="shared" ca="1" si="5"/>
        <v>-3.0365295500978107E-2</v>
      </c>
      <c r="Z16" s="397">
        <f t="shared" ca="1" si="5"/>
        <v>0</v>
      </c>
      <c r="AA16" s="397">
        <f t="shared" ca="1" si="5"/>
        <v>0</v>
      </c>
      <c r="AB16" s="397">
        <f t="shared" ca="1" si="5"/>
        <v>-2.4844332682611991E-2</v>
      </c>
      <c r="AC16" s="397">
        <f t="shared" ca="1" si="5"/>
        <v>0</v>
      </c>
      <c r="AD16" s="397">
        <f t="shared" ca="1" si="5"/>
        <v>0</v>
      </c>
      <c r="AE16" s="397">
        <f t="shared" ca="1" si="5"/>
        <v>0.21957648438250921</v>
      </c>
      <c r="AF16" s="397">
        <f t="shared" ca="1" si="5"/>
        <v>0</v>
      </c>
      <c r="AG16" s="397">
        <f t="shared" ca="1" si="5"/>
        <v>-2.2244704847242502E-2</v>
      </c>
      <c r="AH16" s="397">
        <f t="shared" ca="1" si="5"/>
        <v>0</v>
      </c>
      <c r="AI16" s="397">
        <f t="shared" ca="1" si="5"/>
        <v>0.23201376048545619</v>
      </c>
      <c r="AJ16" s="397">
        <f t="shared" ca="1" si="5"/>
        <v>0</v>
      </c>
      <c r="AK16" s="397">
        <f t="shared" ca="1" si="5"/>
        <v>0</v>
      </c>
      <c r="AL16" s="397">
        <f t="shared" ca="1" si="5"/>
        <v>-3.2579806982112132</v>
      </c>
      <c r="AM16" s="397">
        <f t="shared" ca="1" si="5"/>
        <v>0</v>
      </c>
      <c r="AN16" s="397">
        <f t="shared" ca="1" si="5"/>
        <v>0</v>
      </c>
      <c r="AP16" s="396" t="s">
        <v>701</v>
      </c>
      <c r="AQ16" s="397">
        <f ca="1">AQ14-AQ15</f>
        <v>0</v>
      </c>
      <c r="AR16" s="397">
        <f t="shared" ref="AR16:CB16" ca="1" si="6">AR14-AR15</f>
        <v>0</v>
      </c>
      <c r="AS16" s="397">
        <f t="shared" ca="1" si="6"/>
        <v>582.78478040004256</v>
      </c>
      <c r="AT16" s="397">
        <f ca="1">AT14-AT15</f>
        <v>769.71574769816948</v>
      </c>
      <c r="AU16" s="397">
        <f t="shared" ca="1" si="6"/>
        <v>-16.070014148593149</v>
      </c>
      <c r="AV16" s="397">
        <f ca="1">AV14-AV15</f>
        <v>486.8539845242442</v>
      </c>
      <c r="AW16" s="397">
        <f t="shared" ca="1" si="6"/>
        <v>-24.102922673213293</v>
      </c>
      <c r="AX16" s="397">
        <f t="shared" ca="1" si="6"/>
        <v>-52.129978256216305</v>
      </c>
      <c r="AY16" s="397">
        <f t="shared" ca="1" si="6"/>
        <v>0</v>
      </c>
      <c r="AZ16" s="397">
        <f t="shared" ca="1" si="6"/>
        <v>0</v>
      </c>
      <c r="BA16" s="397">
        <f t="shared" ca="1" si="6"/>
        <v>-10.887422392480552</v>
      </c>
      <c r="BB16" s="397">
        <f t="shared" ca="1" si="6"/>
        <v>0</v>
      </c>
      <c r="BC16" s="397">
        <f t="shared" ca="1" si="6"/>
        <v>0</v>
      </c>
      <c r="BD16" s="397">
        <f t="shared" ca="1" si="6"/>
        <v>0</v>
      </c>
      <c r="BE16" s="2350">
        <f t="shared" ca="1" si="6"/>
        <v>0</v>
      </c>
      <c r="BF16" s="2350">
        <f t="shared" ca="1" si="6"/>
        <v>0</v>
      </c>
      <c r="BG16" s="2350">
        <f ca="1">BG14-BG15</f>
        <v>-3450.4195865974034</v>
      </c>
      <c r="BH16" s="2350">
        <f t="shared" ca="1" si="6"/>
        <v>0</v>
      </c>
      <c r="BI16" s="2350">
        <f t="shared" ca="1" si="6"/>
        <v>0</v>
      </c>
      <c r="BJ16" s="2350">
        <f t="shared" ca="1" si="6"/>
        <v>-101206.50623337235</v>
      </c>
      <c r="BK16" s="2350">
        <f t="shared" ca="1" si="6"/>
        <v>0</v>
      </c>
      <c r="BL16" s="2350">
        <f t="shared" ca="1" si="6"/>
        <v>0</v>
      </c>
      <c r="BM16" s="2350">
        <f t="shared" ca="1" si="6"/>
        <v>-609.51148840932683</v>
      </c>
      <c r="BN16" s="2350">
        <f t="shared" ca="1" si="6"/>
        <v>0</v>
      </c>
      <c r="BO16" s="2350">
        <f t="shared" ca="1" si="6"/>
        <v>0</v>
      </c>
      <c r="BP16" s="2350">
        <f t="shared" ca="1" si="6"/>
        <v>-498.69121778944913</v>
      </c>
      <c r="BQ16" s="2350">
        <f t="shared" ca="1" si="6"/>
        <v>0</v>
      </c>
      <c r="BR16" s="397">
        <f t="shared" ca="1" si="6"/>
        <v>0</v>
      </c>
      <c r="BS16" s="397">
        <f t="shared" ca="1" si="6"/>
        <v>4407.478590529895</v>
      </c>
      <c r="BT16" s="397">
        <f t="shared" ca="1" si="6"/>
        <v>0</v>
      </c>
      <c r="BU16" s="397">
        <f t="shared" ca="1" si="6"/>
        <v>-446.50983752926862</v>
      </c>
      <c r="BV16" s="397">
        <f t="shared" ca="1" si="6"/>
        <v>0</v>
      </c>
      <c r="BW16" s="397">
        <f t="shared" ca="1" si="6"/>
        <v>4657.1274921524919</v>
      </c>
      <c r="BX16" s="397">
        <f t="shared" ca="1" si="6"/>
        <v>0</v>
      </c>
      <c r="BY16" s="397">
        <f t="shared" ca="1" si="6"/>
        <v>0</v>
      </c>
      <c r="BZ16" s="397">
        <f t="shared" ca="1" si="6"/>
        <v>-65396.256871984529</v>
      </c>
      <c r="CA16" s="397">
        <f t="shared" ca="1" si="6"/>
        <v>0</v>
      </c>
      <c r="CB16" s="397">
        <f t="shared" ca="1" si="6"/>
        <v>0</v>
      </c>
      <c r="CD16" s="396" t="s">
        <v>701</v>
      </c>
      <c r="CE16" s="397">
        <f ca="1">CE14-CE15</f>
        <v>0</v>
      </c>
      <c r="CF16" s="397">
        <f t="shared" ref="CF16:DP16" ca="1" si="7">CF14-CF15</f>
        <v>0</v>
      </c>
      <c r="CG16" s="397">
        <f t="shared" ca="1" si="7"/>
        <v>0</v>
      </c>
      <c r="CH16" s="397">
        <f ca="1">CH14-CH15</f>
        <v>0</v>
      </c>
      <c r="CI16" s="397">
        <f t="shared" ca="1" si="7"/>
        <v>0</v>
      </c>
      <c r="CJ16" s="397">
        <f ca="1">CJ14-CJ15</f>
        <v>0</v>
      </c>
      <c r="CK16" s="397">
        <f t="shared" ca="1" si="7"/>
        <v>0</v>
      </c>
      <c r="CL16" s="397">
        <f t="shared" ca="1" si="7"/>
        <v>0</v>
      </c>
      <c r="CM16" s="397">
        <f t="shared" ca="1" si="7"/>
        <v>0</v>
      </c>
      <c r="CN16" s="397">
        <f t="shared" ca="1" si="7"/>
        <v>0</v>
      </c>
      <c r="CO16" s="397">
        <f t="shared" ca="1" si="7"/>
        <v>0</v>
      </c>
      <c r="CP16" s="397">
        <f t="shared" ca="1" si="7"/>
        <v>0</v>
      </c>
      <c r="CQ16" s="397">
        <f t="shared" ca="1" si="7"/>
        <v>0</v>
      </c>
      <c r="CR16" s="397">
        <f t="shared" ca="1" si="7"/>
        <v>0</v>
      </c>
      <c r="CS16" s="397">
        <f t="shared" ca="1" si="7"/>
        <v>0</v>
      </c>
      <c r="CT16" s="397">
        <f t="shared" ca="1" si="7"/>
        <v>0</v>
      </c>
      <c r="CU16" s="397">
        <f ca="1">CU14-CU15</f>
        <v>0</v>
      </c>
      <c r="CV16" s="397">
        <f t="shared" ca="1" si="7"/>
        <v>0</v>
      </c>
      <c r="CW16" s="397">
        <f t="shared" ca="1" si="7"/>
        <v>0</v>
      </c>
      <c r="CX16" s="397">
        <f t="shared" ca="1" si="7"/>
        <v>0</v>
      </c>
      <c r="CY16" s="397">
        <f t="shared" ca="1" si="7"/>
        <v>0</v>
      </c>
      <c r="CZ16" s="397">
        <f t="shared" ca="1" si="7"/>
        <v>0</v>
      </c>
      <c r="DA16" s="397">
        <f t="shared" ca="1" si="7"/>
        <v>0</v>
      </c>
      <c r="DB16" s="397">
        <f t="shared" ca="1" si="7"/>
        <v>0</v>
      </c>
      <c r="DC16" s="397">
        <f t="shared" ca="1" si="7"/>
        <v>0</v>
      </c>
      <c r="DD16" s="397">
        <f t="shared" ca="1" si="7"/>
        <v>0</v>
      </c>
      <c r="DE16" s="397">
        <f t="shared" ca="1" si="7"/>
        <v>0</v>
      </c>
      <c r="DF16" s="397">
        <f t="shared" ca="1" si="7"/>
        <v>0</v>
      </c>
      <c r="DG16" s="397">
        <f t="shared" ca="1" si="7"/>
        <v>0</v>
      </c>
      <c r="DH16" s="397">
        <f t="shared" ca="1" si="7"/>
        <v>0</v>
      </c>
      <c r="DI16" s="397">
        <f t="shared" ca="1" si="7"/>
        <v>0</v>
      </c>
      <c r="DJ16" s="397">
        <f t="shared" ca="1" si="7"/>
        <v>0</v>
      </c>
      <c r="DK16" s="397">
        <f t="shared" ca="1" si="7"/>
        <v>0</v>
      </c>
      <c r="DL16" s="397">
        <f t="shared" ca="1" si="7"/>
        <v>0</v>
      </c>
      <c r="DM16" s="397">
        <f t="shared" ca="1" si="7"/>
        <v>0</v>
      </c>
      <c r="DN16" s="397">
        <f t="shared" ca="1" si="7"/>
        <v>0</v>
      </c>
      <c r="DO16" s="397">
        <f t="shared" ca="1" si="7"/>
        <v>0</v>
      </c>
      <c r="DP16" s="397">
        <f t="shared" ca="1" si="7"/>
        <v>0</v>
      </c>
    </row>
    <row r="17" spans="2:123">
      <c r="C17" s="817" t="str">
        <f t="shared" ref="C17:AN17" ca="1" si="8">IF(C16&lt;&gt;0,C16/C14,"")</f>
        <v/>
      </c>
      <c r="D17" s="817" t="str">
        <f t="shared" ca="1" si="8"/>
        <v/>
      </c>
      <c r="E17" s="817">
        <f t="shared" ca="1" si="8"/>
        <v>1.8309700036535276E-2</v>
      </c>
      <c r="F17" s="817">
        <f ca="1">IF(F16&lt;&gt;0,F16/F14,"")</f>
        <v>2.6316598246914451E-2</v>
      </c>
      <c r="G17" s="817">
        <f t="shared" ca="1" si="8"/>
        <v>-5.1838047184701972E-4</v>
      </c>
      <c r="H17" s="817">
        <f ca="1">IF(H16&lt;&gt;0,H16/H14,"")</f>
        <v>1.6443954184667701E-2</v>
      </c>
      <c r="I17" s="817">
        <f t="shared" ca="1" si="8"/>
        <v>-7.7964984951018007E-4</v>
      </c>
      <c r="J17" s="817">
        <f t="shared" ca="1" si="8"/>
        <v>-1.666802128925283E-3</v>
      </c>
      <c r="K17" s="817" t="str">
        <f t="shared" ca="1" si="8"/>
        <v/>
      </c>
      <c r="L17" s="817" t="str">
        <f t="shared" ca="1" si="8"/>
        <v/>
      </c>
      <c r="M17" s="817">
        <f t="shared" ca="1" si="8"/>
        <v>-2.9870060847761589E-4</v>
      </c>
      <c r="N17" s="817" t="str">
        <f t="shared" ca="1" si="8"/>
        <v/>
      </c>
      <c r="O17" s="817" t="str">
        <f t="shared" ca="1" si="8"/>
        <v/>
      </c>
      <c r="P17" s="817" t="str">
        <f t="shared" ca="1" si="8"/>
        <v/>
      </c>
      <c r="Q17" s="817" t="str">
        <f t="shared" ca="1" si="8"/>
        <v/>
      </c>
      <c r="R17" s="817" t="str">
        <f t="shared" ca="1" si="8"/>
        <v/>
      </c>
      <c r="S17" s="817">
        <f ca="1">IF(S16&lt;&gt;0,S16/S14,"")</f>
        <v>-2.7619740791421351E-3</v>
      </c>
      <c r="T17" s="817" t="str">
        <f t="shared" ca="1" si="8"/>
        <v/>
      </c>
      <c r="U17" s="817" t="str">
        <f t="shared" ca="1" si="8"/>
        <v/>
      </c>
      <c r="V17" s="817">
        <f t="shared" ca="1" si="8"/>
        <v>-2.421625108794265E-3</v>
      </c>
      <c r="W17" s="817" t="str">
        <f t="shared" ca="1" si="8"/>
        <v/>
      </c>
      <c r="X17" s="817" t="str">
        <f t="shared" ca="1" si="8"/>
        <v/>
      </c>
      <c r="Y17" s="817">
        <f t="shared" ca="1" si="8"/>
        <v>-5.6328346081952548E-4</v>
      </c>
      <c r="Z17" s="817" t="str">
        <f t="shared" ca="1" si="8"/>
        <v/>
      </c>
      <c r="AA17" s="817" t="str">
        <f t="shared" ca="1" si="8"/>
        <v/>
      </c>
      <c r="AB17" s="817">
        <f t="shared" ca="1" si="8"/>
        <v>-5.2369647034802467E-4</v>
      </c>
      <c r="AC17" s="817" t="str">
        <f t="shared" ca="1" si="8"/>
        <v/>
      </c>
      <c r="AD17" s="817" t="str">
        <f t="shared" ca="1" si="8"/>
        <v/>
      </c>
      <c r="AE17" s="817">
        <f t="shared" ca="1" si="8"/>
        <v>2.5123923934883094E-2</v>
      </c>
      <c r="AF17" s="817" t="str">
        <f t="shared" ca="1" si="8"/>
        <v/>
      </c>
      <c r="AG17" s="817">
        <f t="shared" ca="1" si="8"/>
        <v>-2.4996355729703158E-3</v>
      </c>
      <c r="AH17" s="817" t="str">
        <f t="shared" ca="1" si="8"/>
        <v/>
      </c>
      <c r="AI17" s="817">
        <f t="shared" ca="1" si="8"/>
        <v>2.7343230620577905E-2</v>
      </c>
      <c r="AJ17" s="817" t="str">
        <f t="shared" ca="1" si="8"/>
        <v/>
      </c>
      <c r="AK17" s="817" t="str">
        <f t="shared" ca="1" si="8"/>
        <v/>
      </c>
      <c r="AL17" s="817">
        <f t="shared" ca="1" si="8"/>
        <v>-2.8367093099759028E-3</v>
      </c>
      <c r="AM17" s="817" t="str">
        <f t="shared" ca="1" si="8"/>
        <v/>
      </c>
      <c r="AN17" s="817" t="str">
        <f t="shared" ca="1" si="8"/>
        <v/>
      </c>
      <c r="AQ17" s="1970" t="str">
        <f t="shared" ref="AQ17:CB17" ca="1" si="9">IF(AQ16&lt;&gt;0,AQ16/AQ14,"")</f>
        <v/>
      </c>
      <c r="AR17" s="1970" t="str">
        <f t="shared" ca="1" si="9"/>
        <v/>
      </c>
      <c r="AS17" s="1970">
        <f t="shared" ca="1" si="9"/>
        <v>0.88772558951388714</v>
      </c>
      <c r="AT17" s="1970">
        <f t="shared" ca="1" si="9"/>
        <v>0.93626966110331722</v>
      </c>
      <c r="AU17" s="1970">
        <f t="shared" ca="1" si="9"/>
        <v>-0.52173742391197853</v>
      </c>
      <c r="AV17" s="1970">
        <f t="shared" ca="1" si="9"/>
        <v>0.89210760067253858</v>
      </c>
      <c r="AW17" s="1970">
        <f t="shared" ca="1" si="9"/>
        <v>0.54337946124000192</v>
      </c>
      <c r="AX17" s="1970">
        <f t="shared" ca="1" si="9"/>
        <v>1.1085440943635443</v>
      </c>
      <c r="AY17" s="1970" t="str">
        <f t="shared" ca="1" si="9"/>
        <v/>
      </c>
      <c r="AZ17" s="1970" t="str">
        <f t="shared" ca="1" si="9"/>
        <v/>
      </c>
      <c r="BA17" s="1970">
        <f t="shared" ca="1" si="9"/>
        <v>1.3422006632325199</v>
      </c>
      <c r="BB17" s="1970" t="str">
        <f t="shared" ca="1" si="9"/>
        <v/>
      </c>
      <c r="BC17" s="1970" t="str">
        <f t="shared" ca="1" si="9"/>
        <v/>
      </c>
      <c r="BD17" s="1970" t="str">
        <f t="shared" ca="1" si="9"/>
        <v/>
      </c>
      <c r="BE17" s="2351" t="str">
        <f t="shared" ca="1" si="9"/>
        <v/>
      </c>
      <c r="BF17" s="2351" t="str">
        <f t="shared" ca="1" si="9"/>
        <v/>
      </c>
      <c r="BG17" s="2351">
        <f t="shared" ca="1" si="9"/>
        <v>0.38253927694713746</v>
      </c>
      <c r="BH17" s="2351" t="str">
        <f t="shared" ca="1" si="9"/>
        <v/>
      </c>
      <c r="BI17" s="2351" t="str">
        <f t="shared" ca="1" si="9"/>
        <v/>
      </c>
      <c r="BJ17" s="2351">
        <f t="shared" ca="1" si="9"/>
        <v>0.52906803952347192</v>
      </c>
      <c r="BK17" s="2351" t="str">
        <f t="shared" ca="1" si="9"/>
        <v/>
      </c>
      <c r="BL17" s="2351" t="str">
        <f t="shared" ca="1" si="9"/>
        <v/>
      </c>
      <c r="BM17" s="2351">
        <f t="shared" ca="1" si="9"/>
        <v>0.52906803952347181</v>
      </c>
      <c r="BN17" s="2351" t="str">
        <f t="shared" ca="1" si="9"/>
        <v/>
      </c>
      <c r="BO17" s="2351" t="str">
        <f t="shared" ca="1" si="9"/>
        <v/>
      </c>
      <c r="BP17" s="2351">
        <f t="shared" ca="1" si="9"/>
        <v>0.52906803952347181</v>
      </c>
      <c r="BQ17" s="2351" t="str">
        <f t="shared" ca="1" si="9"/>
        <v/>
      </c>
      <c r="BR17" s="1970" t="str">
        <f t="shared" ca="1" si="9"/>
        <v/>
      </c>
      <c r="BS17" s="1970">
        <f t="shared" ca="1" si="9"/>
        <v>0.89146007655538506</v>
      </c>
      <c r="BT17" s="1970" t="str">
        <f t="shared" ca="1" si="9"/>
        <v/>
      </c>
      <c r="BU17" s="1970">
        <f t="shared" ca="1" si="9"/>
        <v>1.1201593283275431</v>
      </c>
      <c r="BV17" s="1970" t="str">
        <f t="shared" ca="1" si="9"/>
        <v/>
      </c>
      <c r="BW17" s="1970">
        <f t="shared" ca="1" si="9"/>
        <v>0.89185506044954066</v>
      </c>
      <c r="BX17" s="1970" t="str">
        <f t="shared" ca="1" si="9"/>
        <v/>
      </c>
      <c r="BY17" s="1970" t="str">
        <f t="shared" ca="1" si="9"/>
        <v/>
      </c>
      <c r="BZ17" s="1970">
        <f t="shared" ca="1" si="9"/>
        <v>0.52906803952347181</v>
      </c>
      <c r="CA17" s="1970" t="str">
        <f t="shared" ca="1" si="9"/>
        <v/>
      </c>
      <c r="CB17" s="1970" t="str">
        <f t="shared" ca="1" si="9"/>
        <v/>
      </c>
    </row>
    <row r="19" spans="2:123">
      <c r="B19" s="410" t="s">
        <v>783</v>
      </c>
      <c r="C19" s="412">
        <f ca="1">IF(C26&lt;&gt;0,C14/C26-1,0)</f>
        <v>6.3324432705909039E-3</v>
      </c>
      <c r="D19" s="412">
        <f t="shared" ref="D19:AN19" ca="1" si="10">IF(D26&lt;&gt;0,D14/D26-1,0)</f>
        <v>8.6105539993517333E-3</v>
      </c>
      <c r="E19" s="412">
        <f t="shared" ca="1" si="10"/>
        <v>3.2774910959270098E-3</v>
      </c>
      <c r="F19" s="412">
        <f>IF(F26&lt;&gt;0,F14/F26-1,0)</f>
        <v>0</v>
      </c>
      <c r="G19" s="412">
        <f t="shared" ca="1" si="10"/>
        <v>2.105344421345956E-2</v>
      </c>
      <c r="H19" s="412">
        <f>IF(H26&lt;&gt;0,H14/H26-1,0)</f>
        <v>0</v>
      </c>
      <c r="I19" s="412">
        <f t="shared" ca="1" si="10"/>
        <v>8.4657664057954163E-2</v>
      </c>
      <c r="J19" s="412">
        <f t="shared" ca="1" si="10"/>
        <v>-6.2840536038179851E-2</v>
      </c>
      <c r="K19" s="412">
        <f t="shared" ca="1" si="10"/>
        <v>-8.5420808119948122E-3</v>
      </c>
      <c r="L19" s="412">
        <f t="shared" ca="1" si="10"/>
        <v>3.0972849357242538E-3</v>
      </c>
      <c r="M19" s="412">
        <f t="shared" ca="1" si="10"/>
        <v>-7.1135038241563087E-2</v>
      </c>
      <c r="N19" s="412">
        <f t="shared" ca="1" si="10"/>
        <v>-0.11684797673432057</v>
      </c>
      <c r="O19" s="412">
        <f t="shared" ca="1" si="10"/>
        <v>-8.9689644251220169E-2</v>
      </c>
      <c r="P19" s="412">
        <f t="shared" ca="1" si="10"/>
        <v>-0.11413899142095107</v>
      </c>
      <c r="Q19" s="412">
        <f t="shared" si="10"/>
        <v>0</v>
      </c>
      <c r="R19" s="412">
        <f t="shared" ca="1" si="10"/>
        <v>3.2090665682368096</v>
      </c>
      <c r="S19" s="412">
        <f>IF(S26&lt;&gt;0,S14/S26-1,0)</f>
        <v>0</v>
      </c>
      <c r="T19" s="412">
        <f t="shared" ca="1" si="10"/>
        <v>53.2919115740617</v>
      </c>
      <c r="U19" s="412">
        <f t="shared" ca="1" si="10"/>
        <v>25.200289143137503</v>
      </c>
      <c r="V19" s="412">
        <f t="shared" ca="1" si="10"/>
        <v>29.306069698788342</v>
      </c>
      <c r="W19" s="412">
        <f t="shared" si="10"/>
        <v>0</v>
      </c>
      <c r="X19" s="412">
        <f t="shared" si="10"/>
        <v>0</v>
      </c>
      <c r="Y19" s="412">
        <f t="shared" si="10"/>
        <v>0</v>
      </c>
      <c r="Z19" s="412">
        <f t="shared" si="10"/>
        <v>0</v>
      </c>
      <c r="AA19" s="412">
        <f t="shared" si="10"/>
        <v>0</v>
      </c>
      <c r="AB19" s="412">
        <f t="shared" si="10"/>
        <v>0</v>
      </c>
      <c r="AC19" s="412">
        <f t="shared" si="10"/>
        <v>0</v>
      </c>
      <c r="AD19" s="412">
        <f t="shared" ca="1" si="10"/>
        <v>1.5445445833859428</v>
      </c>
      <c r="AE19" s="412">
        <f t="shared" si="10"/>
        <v>0</v>
      </c>
      <c r="AF19" s="412">
        <f t="shared" si="10"/>
        <v>0</v>
      </c>
      <c r="AG19" s="412">
        <f t="shared" si="10"/>
        <v>0</v>
      </c>
      <c r="AH19" s="412">
        <f t="shared" ca="1" si="10"/>
        <v>1.4860096386405712</v>
      </c>
      <c r="AI19" s="412">
        <f t="shared" ca="1" si="10"/>
        <v>0.28555813207732572</v>
      </c>
      <c r="AJ19" s="412">
        <f t="shared" ca="1" si="10"/>
        <v>0.2372360596896077</v>
      </c>
      <c r="AK19" s="412">
        <f t="shared" ca="1" si="10"/>
        <v>0.28425159914250786</v>
      </c>
      <c r="AL19" s="412">
        <f t="shared" si="10"/>
        <v>0</v>
      </c>
      <c r="AM19" s="412">
        <f t="shared" si="10"/>
        <v>0</v>
      </c>
      <c r="AN19" s="412">
        <f t="shared" si="10"/>
        <v>0</v>
      </c>
      <c r="AP19" s="410" t="s">
        <v>783</v>
      </c>
      <c r="AQ19" s="412">
        <f ca="1">IF(AQ26&lt;&gt;0,AQ14/AQ26-1,0)</f>
        <v>-2.7137982486639234E-2</v>
      </c>
      <c r="AR19" s="412">
        <f t="shared" ref="AR19:CB19" ca="1" si="11">IF(AR26&lt;&gt;0,AR14/AR26-1,0)</f>
        <v>-2.0440433785460566E-2</v>
      </c>
      <c r="AS19" s="412">
        <f t="shared" ca="1" si="11"/>
        <v>0.74845581784082182</v>
      </c>
      <c r="AT19" s="412">
        <f>IF(AT26&lt;&gt;0,AT14/AT26-1,0)</f>
        <v>0</v>
      </c>
      <c r="AU19" s="412">
        <f t="shared" ca="1" si="11"/>
        <v>3.6875710854709309E-2</v>
      </c>
      <c r="AV19" s="412">
        <f>IF(AV26&lt;&gt;0,AV14/AV26-1,0)</f>
        <v>0</v>
      </c>
      <c r="AW19" s="412">
        <f t="shared" ca="1" si="11"/>
        <v>-1.3345867863350802</v>
      </c>
      <c r="AX19" s="412">
        <f t="shared" ca="1" si="11"/>
        <v>0.62623160419872725</v>
      </c>
      <c r="AY19" s="412">
        <f t="shared" ca="1" si="11"/>
        <v>-7.5470037145184965E-2</v>
      </c>
      <c r="AZ19" s="412">
        <f t="shared" ca="1" si="11"/>
        <v>0.9874184580249401</v>
      </c>
      <c r="BA19" s="412">
        <f t="shared" ca="1" si="11"/>
        <v>0.34720524554022769</v>
      </c>
      <c r="BB19" s="412">
        <f t="shared" ca="1" si="11"/>
        <v>-0.97684363351520043</v>
      </c>
      <c r="BC19" s="412">
        <f t="shared" ca="1" si="11"/>
        <v>-0.98223192589088792</v>
      </c>
      <c r="BD19" s="412">
        <f t="shared" ca="1" si="11"/>
        <v>-0.46892844880487883</v>
      </c>
      <c r="BE19" s="2352">
        <f t="shared" si="11"/>
        <v>0</v>
      </c>
      <c r="BF19" s="2352">
        <f t="shared" ca="1" si="11"/>
        <v>-3.4265734825978278E-2</v>
      </c>
      <c r="BG19" s="2352">
        <f>IF(BG26&lt;&gt;0,BG14/BG26-1,0)</f>
        <v>0</v>
      </c>
      <c r="BH19" s="2352">
        <f t="shared" ca="1" si="11"/>
        <v>967.35925409044592</v>
      </c>
      <c r="BI19" s="2352">
        <f t="shared" ca="1" si="11"/>
        <v>959.22916874527471</v>
      </c>
      <c r="BJ19" s="2352">
        <f t="shared" ca="1" si="11"/>
        <v>-343.28700186569603</v>
      </c>
      <c r="BK19" s="2352">
        <f t="shared" si="11"/>
        <v>0</v>
      </c>
      <c r="BL19" s="2352">
        <f t="shared" si="11"/>
        <v>0</v>
      </c>
      <c r="BM19" s="2352">
        <f t="shared" si="11"/>
        <v>0</v>
      </c>
      <c r="BN19" s="2352">
        <f t="shared" si="11"/>
        <v>0</v>
      </c>
      <c r="BO19" s="2352">
        <f t="shared" si="11"/>
        <v>0</v>
      </c>
      <c r="BP19" s="2352">
        <f t="shared" si="11"/>
        <v>0</v>
      </c>
      <c r="BQ19" s="2352">
        <f t="shared" ca="1" si="11"/>
        <v>1.5674729647266403</v>
      </c>
      <c r="BR19" s="412">
        <f t="shared" si="11"/>
        <v>0</v>
      </c>
      <c r="BS19" s="412">
        <f t="shared" si="11"/>
        <v>0</v>
      </c>
      <c r="BT19" s="412">
        <f t="shared" si="11"/>
        <v>0</v>
      </c>
      <c r="BU19" s="412">
        <f t="shared" si="11"/>
        <v>0</v>
      </c>
      <c r="BV19" s="412">
        <f t="shared" ca="1" si="11"/>
        <v>0.41282246864070626</v>
      </c>
      <c r="BW19" s="412">
        <f t="shared" ca="1" si="11"/>
        <v>2.6307952472555685</v>
      </c>
      <c r="BX19" s="412">
        <f t="shared" ca="1" si="11"/>
        <v>-4.2320149919296113E-2</v>
      </c>
      <c r="BY19" s="412">
        <f t="shared" ca="1" si="11"/>
        <v>-0.13226967602319528</v>
      </c>
      <c r="BZ19" s="412">
        <f t="shared" si="11"/>
        <v>0</v>
      </c>
      <c r="CA19" s="412">
        <f t="shared" si="11"/>
        <v>0</v>
      </c>
      <c r="CB19" s="412">
        <f t="shared" si="11"/>
        <v>0</v>
      </c>
      <c r="CD19" s="410" t="s">
        <v>783</v>
      </c>
      <c r="CE19" s="415">
        <f ca="1">IF(CE26&lt;&gt;0,CE14-CE26,0)</f>
        <v>9.8134590809445532E-4</v>
      </c>
      <c r="CF19" s="415">
        <f t="shared" ref="CF19:DP19" ca="1" si="12">IF(CF26&lt;&gt;0,CF14-CF26,0)</f>
        <v>7.5531528558420158E-4</v>
      </c>
      <c r="CG19" s="415">
        <f t="shared" ca="1" si="12"/>
        <v>8.0270524095515106E-3</v>
      </c>
      <c r="CH19" s="415">
        <f>IF(CH26&lt;&gt;0,CH14-CH26,0)</f>
        <v>0</v>
      </c>
      <c r="CI19" s="415">
        <f t="shared" ca="1" si="12"/>
        <v>1.0774025203863155E-2</v>
      </c>
      <c r="CJ19" s="415">
        <f>IF(CJ26&lt;&gt;0,CJ14-CJ26,0)</f>
        <v>0</v>
      </c>
      <c r="CK19" s="415">
        <f t="shared" ca="1" si="12"/>
        <v>8.2628552694796742E-4</v>
      </c>
      <c r="CL19" s="415">
        <f t="shared" ca="1" si="12"/>
        <v>2.3125742743753119E-3</v>
      </c>
      <c r="CM19" s="415">
        <f t="shared" ca="1" si="12"/>
        <v>3.8457440202388504E-4</v>
      </c>
      <c r="CN19" s="415">
        <f t="shared" ca="1" si="12"/>
        <v>3.6145882157040399E-4</v>
      </c>
      <c r="CO19" s="415">
        <f t="shared" ca="1" si="12"/>
        <v>0.45229986231233171</v>
      </c>
      <c r="CP19" s="415">
        <f t="shared" ca="1" si="12"/>
        <v>0.2913808607127838</v>
      </c>
      <c r="CQ19" s="415">
        <f t="shared" ca="1" si="12"/>
        <v>0.35519320347621841</v>
      </c>
      <c r="CR19" s="415">
        <f t="shared" ca="1" si="12"/>
        <v>1.7794580092272472E-2</v>
      </c>
      <c r="CS19" s="415">
        <f t="shared" si="12"/>
        <v>0</v>
      </c>
      <c r="CT19" s="415">
        <f t="shared" ca="1" si="12"/>
        <v>-5.1570438530057494E-4</v>
      </c>
      <c r="CU19" s="415">
        <f>IF(CU26&lt;&gt;0,CU14-CU26,0)</f>
        <v>0</v>
      </c>
      <c r="CV19" s="415">
        <f t="shared" ca="1" si="12"/>
        <v>-2.2328520275255448E-3</v>
      </c>
      <c r="CW19" s="415">
        <f t="shared" ca="1" si="12"/>
        <v>-2.2558082418253578E-2</v>
      </c>
      <c r="CX19" s="415">
        <f t="shared" ca="1" si="12"/>
        <v>-1.8993727761189683E-2</v>
      </c>
      <c r="CY19" s="415">
        <f t="shared" si="12"/>
        <v>0</v>
      </c>
      <c r="CZ19" s="415">
        <f t="shared" si="12"/>
        <v>0</v>
      </c>
      <c r="DA19" s="415">
        <f t="shared" si="12"/>
        <v>0</v>
      </c>
      <c r="DB19" s="415">
        <f t="shared" si="12"/>
        <v>0</v>
      </c>
      <c r="DC19" s="415">
        <f t="shared" si="12"/>
        <v>0</v>
      </c>
      <c r="DD19" s="415">
        <f t="shared" si="12"/>
        <v>0</v>
      </c>
      <c r="DE19" s="415">
        <f t="shared" ca="1" si="12"/>
        <v>-8.3980650595941897E-2</v>
      </c>
      <c r="DF19" s="415">
        <f t="shared" si="12"/>
        <v>0</v>
      </c>
      <c r="DG19" s="415">
        <f t="shared" si="12"/>
        <v>0</v>
      </c>
      <c r="DH19" s="415">
        <f t="shared" si="12"/>
        <v>0</v>
      </c>
      <c r="DI19" s="415">
        <f t="shared" si="12"/>
        <v>0</v>
      </c>
      <c r="DJ19" s="415">
        <f t="shared" ca="1" si="12"/>
        <v>-2.6743659533279007E-2</v>
      </c>
      <c r="DK19" s="415">
        <f t="shared" ca="1" si="12"/>
        <v>-3.6545873139367635E-2</v>
      </c>
      <c r="DL19" s="415">
        <f t="shared" ca="1" si="12"/>
        <v>-3.6828800030961312E-2</v>
      </c>
      <c r="DM19" s="415">
        <f t="shared" ca="1" si="12"/>
        <v>1.6163344368614885E-3</v>
      </c>
      <c r="DN19" s="415">
        <f t="shared" si="12"/>
        <v>0</v>
      </c>
      <c r="DO19" s="415">
        <f t="shared" si="12"/>
        <v>0</v>
      </c>
      <c r="DP19" s="415">
        <f t="shared" si="12"/>
        <v>0</v>
      </c>
    </row>
    <row r="20" spans="2:123">
      <c r="AQ20" s="296"/>
      <c r="AR20" s="296"/>
      <c r="AS20" s="296"/>
      <c r="AT20" s="296"/>
      <c r="AU20" s="296"/>
      <c r="AV20" s="296"/>
      <c r="AW20" s="296"/>
      <c r="AX20" s="296"/>
      <c r="AY20" s="296"/>
      <c r="AZ20" s="296"/>
      <c r="BA20" s="296"/>
      <c r="BB20" s="296"/>
      <c r="BC20" s="296"/>
      <c r="BD20" s="296"/>
      <c r="BR20" s="296"/>
      <c r="BS20" s="296"/>
      <c r="BT20" s="296"/>
      <c r="BU20" s="296"/>
      <c r="BV20" s="296"/>
      <c r="BW20" s="296"/>
      <c r="BX20" s="296"/>
      <c r="BY20" s="296"/>
      <c r="BZ20" s="296"/>
      <c r="CA20" s="296"/>
      <c r="CB20" s="296"/>
      <c r="CE20" s="296"/>
      <c r="CF20" s="296"/>
      <c r="CG20" s="296"/>
      <c r="CH20" s="296"/>
      <c r="CI20" s="296"/>
      <c r="CJ20" s="296"/>
      <c r="CK20" s="296"/>
      <c r="CL20" s="296"/>
      <c r="CM20" s="296"/>
      <c r="CN20" s="296"/>
      <c r="CO20" s="296"/>
      <c r="CP20" s="296"/>
      <c r="CQ20" s="296"/>
      <c r="CR20" s="296"/>
      <c r="CS20" s="296"/>
      <c r="CT20" s="296"/>
      <c r="CU20" s="296"/>
      <c r="CV20" s="296"/>
      <c r="CW20" s="296"/>
      <c r="CX20" s="296"/>
      <c r="CY20" s="296"/>
      <c r="CZ20" s="296"/>
      <c r="DA20" s="296"/>
      <c r="DB20" s="296"/>
      <c r="DC20" s="296"/>
      <c r="DD20" s="296"/>
      <c r="DE20" s="296"/>
      <c r="DF20" s="296"/>
      <c r="DG20" s="296"/>
      <c r="DH20" s="296"/>
      <c r="DI20" s="296"/>
      <c r="DJ20" s="296"/>
      <c r="DK20" s="296"/>
      <c r="DL20" s="296"/>
      <c r="DM20" s="296"/>
      <c r="DN20" s="296"/>
      <c r="DO20" s="296"/>
      <c r="DP20" s="296"/>
    </row>
    <row r="21" spans="2:123">
      <c r="AQ21" s="411"/>
      <c r="AR21" s="411"/>
      <c r="AS21" s="411"/>
      <c r="AT21" s="411"/>
      <c r="AU21" s="411"/>
      <c r="AV21" s="411"/>
      <c r="AW21" s="411"/>
      <c r="AX21" s="411"/>
      <c r="AY21" s="411"/>
      <c r="AZ21" s="411"/>
      <c r="BA21" s="411"/>
      <c r="BB21" s="411"/>
      <c r="BC21" s="411"/>
      <c r="BD21" s="411"/>
      <c r="BE21" s="2353"/>
      <c r="BF21" s="2353"/>
      <c r="BG21" s="2353"/>
      <c r="BH21" s="2353"/>
      <c r="BI21" s="2353"/>
      <c r="BJ21" s="2353"/>
      <c r="BK21" s="2353"/>
      <c r="BL21" s="2353"/>
      <c r="BM21" s="2353"/>
      <c r="BN21" s="2353"/>
      <c r="BO21" s="2353"/>
      <c r="BP21" s="2353"/>
      <c r="BQ21" s="2353"/>
      <c r="BR21" s="411"/>
      <c r="BS21" s="411"/>
      <c r="BT21" s="411"/>
      <c r="BU21" s="411"/>
      <c r="BV21" s="411"/>
      <c r="BW21" s="411"/>
      <c r="BX21" s="411"/>
      <c r="BY21" s="411"/>
      <c r="BZ21" s="411"/>
      <c r="CA21" s="411"/>
      <c r="CB21" s="411"/>
      <c r="CE21" s="411"/>
      <c r="CF21" s="411"/>
      <c r="CG21" s="411"/>
      <c r="CH21" s="411"/>
      <c r="CI21" s="411"/>
      <c r="CJ21" s="411"/>
      <c r="CK21" s="411"/>
      <c r="CL21" s="411"/>
      <c r="CM21" s="411"/>
      <c r="CN21" s="411"/>
      <c r="CO21" s="411"/>
      <c r="CP21" s="411"/>
      <c r="CQ21" s="411"/>
      <c r="CR21" s="411"/>
      <c r="CS21" s="411"/>
      <c r="CT21" s="411"/>
      <c r="CU21" s="411"/>
      <c r="CV21" s="411"/>
      <c r="CW21" s="411"/>
      <c r="CX21" s="411"/>
      <c r="CY21" s="411"/>
      <c r="CZ21" s="411"/>
      <c r="DA21" s="411"/>
      <c r="DB21" s="411"/>
      <c r="DC21" s="411"/>
      <c r="DD21" s="411"/>
      <c r="DE21" s="411"/>
      <c r="DF21" s="411"/>
      <c r="DG21" s="411"/>
      <c r="DH21" s="411"/>
      <c r="DI21" s="411"/>
      <c r="DJ21" s="411"/>
      <c r="DK21" s="411"/>
      <c r="DL21" s="411"/>
      <c r="DM21" s="411"/>
      <c r="DN21" s="411"/>
      <c r="DO21" s="411"/>
      <c r="DP21" s="411"/>
    </row>
    <row r="22" spans="2:123">
      <c r="AQ22" s="302"/>
      <c r="AR22" s="302"/>
      <c r="AS22" s="302"/>
      <c r="AT22" s="302"/>
      <c r="AU22" s="302"/>
      <c r="AV22" s="302"/>
      <c r="AW22" s="302"/>
      <c r="AX22" s="302"/>
      <c r="AY22" s="302"/>
      <c r="AZ22" s="302"/>
      <c r="BA22" s="302"/>
      <c r="BB22" s="302"/>
      <c r="BC22" s="302"/>
      <c r="BD22" s="302"/>
      <c r="BR22" s="302"/>
      <c r="BS22" s="302"/>
      <c r="BT22" s="302"/>
      <c r="BU22" s="302"/>
      <c r="BV22" s="302"/>
      <c r="BW22" s="302"/>
      <c r="BX22" s="302"/>
      <c r="BY22" s="302"/>
      <c r="CE22" s="302"/>
      <c r="CF22" s="302"/>
      <c r="CG22" s="302"/>
      <c r="CH22" s="302"/>
      <c r="CI22" s="302"/>
      <c r="CJ22" s="302"/>
      <c r="CK22" s="302"/>
      <c r="CL22" s="302"/>
      <c r="CM22" s="302"/>
      <c r="CN22" s="302"/>
      <c r="CO22" s="302"/>
      <c r="CP22" s="302"/>
      <c r="CQ22" s="302"/>
      <c r="CR22" s="302"/>
      <c r="CS22" s="302"/>
      <c r="CT22" s="302"/>
      <c r="CU22" s="302"/>
      <c r="CV22" s="302"/>
      <c r="CW22" s="302"/>
      <c r="CX22" s="302"/>
      <c r="CY22" s="302"/>
      <c r="CZ22" s="302"/>
      <c r="DA22" s="302"/>
      <c r="DB22" s="302"/>
      <c r="DC22" s="302"/>
      <c r="DD22" s="302"/>
      <c r="DE22" s="302"/>
      <c r="DF22" s="302"/>
      <c r="DG22" s="302"/>
      <c r="DH22" s="302"/>
      <c r="DI22" s="302"/>
      <c r="DJ22" s="302"/>
      <c r="DK22" s="302"/>
      <c r="DL22" s="302"/>
      <c r="DM22" s="302"/>
    </row>
    <row r="23" spans="2:123">
      <c r="B23" s="457" t="s">
        <v>913</v>
      </c>
    </row>
    <row r="24" spans="2:123">
      <c r="B24" s="87" t="s">
        <v>699</v>
      </c>
      <c r="AP24" s="87" t="s">
        <v>700</v>
      </c>
      <c r="CD24" s="234" t="s">
        <v>1657</v>
      </c>
    </row>
    <row r="25" spans="2:123" ht="51">
      <c r="B25" s="427" t="s">
        <v>690</v>
      </c>
      <c r="C25" s="427" t="str">
        <f ca="1">C13</f>
        <v>Conv. diesel</v>
      </c>
      <c r="D25" s="427" t="str">
        <f t="shared" ref="D25:BS25" ca="1" si="13">D13</f>
        <v>Conv. gasoline</v>
      </c>
      <c r="E25" s="427" t="str">
        <f t="shared" ca="1" si="13"/>
        <v>E85-1g</v>
      </c>
      <c r="F25" s="427" t="str">
        <f ca="1">F13</f>
        <v>E85-1g Sugarb.</v>
      </c>
      <c r="G25" s="427" t="str">
        <f t="shared" ca="1" si="13"/>
        <v>E85-2g</v>
      </c>
      <c r="H25" s="427" t="str">
        <f ca="1">H13</f>
        <v>Biodiesel-1g RME</v>
      </c>
      <c r="I25" s="427" t="str">
        <f t="shared" ca="1" si="13"/>
        <v>Biodiesel-2g</v>
      </c>
      <c r="J25" s="427" t="str">
        <f t="shared" ca="1" si="13"/>
        <v>DME</v>
      </c>
      <c r="K25" s="427" t="str">
        <f t="shared" ca="1" si="13"/>
        <v>B-Naturgas</v>
      </c>
      <c r="L25" s="427" t="str">
        <f t="shared" ca="1" si="13"/>
        <v>Biogas</v>
      </c>
      <c r="M25" s="427" t="str">
        <f t="shared" ca="1" si="13"/>
        <v>MeOH</v>
      </c>
      <c r="N25" s="427" t="str">
        <f t="shared" ca="1" si="13"/>
        <v>B-Brint</v>
      </c>
      <c r="O25" s="427" t="str">
        <f t="shared" ca="1" si="13"/>
        <v>Elbil</v>
      </c>
      <c r="P25" s="427" t="str">
        <f t="shared" ca="1" si="13"/>
        <v>Plugin Hybrid</v>
      </c>
      <c r="Q25" s="427" t="str">
        <f t="shared" ca="1" si="13"/>
        <v>Fast Ferry</v>
      </c>
      <c r="R25" s="427" t="str">
        <f t="shared" ca="1" si="13"/>
        <v>Aircraft Fossil</v>
      </c>
      <c r="S25" s="427" t="str">
        <f t="shared" ca="1" si="13"/>
        <v>Aircraft Biofuel</v>
      </c>
      <c r="T25" s="427" t="str">
        <f t="shared" ca="1" si="13"/>
        <v>9000TEU HFO</v>
      </c>
      <c r="U25" s="427" t="str">
        <f t="shared" ca="1" si="13"/>
        <v>9000TEU Diesel</v>
      </c>
      <c r="V25" s="427" t="str">
        <f t="shared" ca="1" si="13"/>
        <v>9000TEU BioDiesel</v>
      </c>
      <c r="W25" s="427" t="str">
        <f t="shared" ca="1" si="13"/>
        <v>9000TEU LNG</v>
      </c>
      <c r="X25" s="427" t="str">
        <f t="shared" ca="1" si="13"/>
        <v>IC Tog Diesel</v>
      </c>
      <c r="Y25" s="427" t="str">
        <f t="shared" ca="1" si="13"/>
        <v>IC Tog Biodiesel</v>
      </c>
      <c r="Z25" s="427" t="str">
        <f t="shared" ca="1" si="13"/>
        <v>IC Tog El</v>
      </c>
      <c r="AA25" s="427" t="str">
        <f t="shared" ca="1" si="13"/>
        <v>Lokaltog Diesel</v>
      </c>
      <c r="AB25" s="427" t="str">
        <f t="shared" ca="1" si="13"/>
        <v>Lokaltog biodiesel</v>
      </c>
      <c r="AC25" s="427" t="str">
        <f t="shared" ca="1" si="13"/>
        <v>Lokaltog Gas</v>
      </c>
      <c r="AD25" s="427" t="str">
        <f t="shared" ca="1" si="13"/>
        <v>L-Diesel</v>
      </c>
      <c r="AE25" s="427" t="str">
        <f t="shared" ca="1" si="13"/>
        <v>L-BioDiesel</v>
      </c>
      <c r="AF25" s="427" t="str">
        <f t="shared" ca="1" si="13"/>
        <v>L-CNG</v>
      </c>
      <c r="AG25" s="427" t="str">
        <f t="shared" ca="1" si="13"/>
        <v>L-DME</v>
      </c>
      <c r="AH25" s="427" t="str">
        <f t="shared" ca="1" si="13"/>
        <v>B-Diesel</v>
      </c>
      <c r="AI25" s="427" t="str">
        <f t="shared" ca="1" si="13"/>
        <v>B-Biodiesel</v>
      </c>
      <c r="AJ25" s="427" t="str">
        <f t="shared" ca="1" si="13"/>
        <v>B-CNG</v>
      </c>
      <c r="AK25" s="427" t="str">
        <f t="shared" ca="1" si="13"/>
        <v>B-Hybrid</v>
      </c>
      <c r="AL25" s="427" t="str">
        <f t="shared" ca="1" si="13"/>
        <v>Fast Ferry - Biodiesel</v>
      </c>
      <c r="AM25" s="427" t="str">
        <f t="shared" ca="1" si="13"/>
        <v>Ren brint</v>
      </c>
      <c r="AN25" s="427">
        <f t="shared" ca="1" si="13"/>
        <v>0</v>
      </c>
      <c r="AO25" s="427"/>
      <c r="AP25" s="427" t="str">
        <f t="shared" si="13"/>
        <v>Dato</v>
      </c>
      <c r="AQ25" s="427" t="str">
        <f t="shared" ca="1" si="13"/>
        <v>Conv. diesel</v>
      </c>
      <c r="AR25" s="427" t="str">
        <f t="shared" ca="1" si="13"/>
        <v>Conv. gasoline</v>
      </c>
      <c r="AS25" s="427" t="str">
        <f t="shared" ca="1" si="13"/>
        <v>E85-1g</v>
      </c>
      <c r="AT25" s="427" t="str">
        <f ca="1">AT13</f>
        <v>E85-1g Sugarb.</v>
      </c>
      <c r="AU25" s="427" t="str">
        <f t="shared" ca="1" si="13"/>
        <v>E85-2g</v>
      </c>
      <c r="AV25" s="427" t="str">
        <f ca="1">AV13</f>
        <v>Biodiesel-1g RME</v>
      </c>
      <c r="AW25" s="427" t="str">
        <f t="shared" ca="1" si="13"/>
        <v>Biodiesel-2g</v>
      </c>
      <c r="AX25" s="427" t="str">
        <f t="shared" ca="1" si="13"/>
        <v>DME</v>
      </c>
      <c r="AY25" s="427" t="str">
        <f t="shared" ca="1" si="13"/>
        <v>B-Naturgas</v>
      </c>
      <c r="AZ25" s="427" t="str">
        <f t="shared" ca="1" si="13"/>
        <v>Biogas</v>
      </c>
      <c r="BA25" s="427" t="str">
        <f t="shared" ca="1" si="13"/>
        <v>MeOH</v>
      </c>
      <c r="BB25" s="427" t="str">
        <f t="shared" ca="1" si="13"/>
        <v>B-Brint</v>
      </c>
      <c r="BC25" s="427" t="str">
        <f t="shared" ca="1" si="13"/>
        <v>Elbil</v>
      </c>
      <c r="BD25" s="427" t="str">
        <f t="shared" ca="1" si="13"/>
        <v>Plugin Hybrid</v>
      </c>
      <c r="BE25" s="2354" t="str">
        <f t="shared" ca="1" si="13"/>
        <v>Fast Ferry</v>
      </c>
      <c r="BF25" s="2354" t="str">
        <f t="shared" ca="1" si="13"/>
        <v>Aircraft Fossil</v>
      </c>
      <c r="BG25" s="2354" t="str">
        <f t="shared" ca="1" si="13"/>
        <v>Aircraft Biofuel</v>
      </c>
      <c r="BH25" s="2354" t="str">
        <f t="shared" ca="1" si="13"/>
        <v>9000TEU HFO</v>
      </c>
      <c r="BI25" s="2354" t="str">
        <f t="shared" ca="1" si="13"/>
        <v>9000TEU Diesel</v>
      </c>
      <c r="BJ25" s="2354" t="str">
        <f t="shared" ca="1" si="13"/>
        <v>9000TEU BioDiesel</v>
      </c>
      <c r="BK25" s="2354" t="str">
        <f t="shared" ca="1" si="13"/>
        <v>9000TEU LNG</v>
      </c>
      <c r="BL25" s="2354" t="str">
        <f t="shared" ca="1" si="13"/>
        <v>IC Tog Diesel</v>
      </c>
      <c r="BM25" s="2354" t="str">
        <f t="shared" ca="1" si="13"/>
        <v>IC Tog Biodiesel</v>
      </c>
      <c r="BN25" s="2354" t="str">
        <f t="shared" ca="1" si="13"/>
        <v>IC Tog El</v>
      </c>
      <c r="BO25" s="2354" t="str">
        <f t="shared" ca="1" si="13"/>
        <v>Lokaltog Diesel</v>
      </c>
      <c r="BP25" s="2354" t="str">
        <f t="shared" ca="1" si="13"/>
        <v>Lokaltog biodiesel</v>
      </c>
      <c r="BQ25" s="2354" t="str">
        <f t="shared" ca="1" si="13"/>
        <v>Lokaltog Gas</v>
      </c>
      <c r="BR25" s="427" t="str">
        <f t="shared" ca="1" si="13"/>
        <v>L-Diesel</v>
      </c>
      <c r="BS25" s="427" t="str">
        <f t="shared" ca="1" si="13"/>
        <v>L-BioDiesel</v>
      </c>
      <c r="BT25" s="427" t="str">
        <f t="shared" ref="BT25:DP25" ca="1" si="14">BT13</f>
        <v>L-CNG</v>
      </c>
      <c r="BU25" s="427" t="str">
        <f t="shared" ca="1" si="14"/>
        <v>L-DME</v>
      </c>
      <c r="BV25" s="427" t="str">
        <f t="shared" ca="1" si="14"/>
        <v>B-Diesel</v>
      </c>
      <c r="BW25" s="427" t="str">
        <f t="shared" ca="1" si="14"/>
        <v>B-Biodiesel</v>
      </c>
      <c r="BX25" s="427" t="str">
        <f t="shared" ca="1" si="14"/>
        <v>B-CNG</v>
      </c>
      <c r="BY25" s="427" t="str">
        <f t="shared" ca="1" si="14"/>
        <v>B-Hybrid</v>
      </c>
      <c r="BZ25" s="427" t="str">
        <f t="shared" ca="1" si="14"/>
        <v>Fast Ferry - Biodiesel</v>
      </c>
      <c r="CA25" s="427" t="str">
        <f t="shared" ca="1" si="14"/>
        <v>Ren brint</v>
      </c>
      <c r="CB25" s="427">
        <f t="shared" ca="1" si="14"/>
        <v>0</v>
      </c>
      <c r="CC25" s="427"/>
      <c r="CD25" s="427" t="str">
        <f t="shared" si="14"/>
        <v>Dato</v>
      </c>
      <c r="CE25" s="427" t="str">
        <f t="shared" ca="1" si="14"/>
        <v>Conv. diesel</v>
      </c>
      <c r="CF25" s="427" t="str">
        <f t="shared" ca="1" si="14"/>
        <v>Conv. gasoline</v>
      </c>
      <c r="CG25" s="427" t="str">
        <f t="shared" ca="1" si="14"/>
        <v>E85-1g</v>
      </c>
      <c r="CH25" s="427" t="str">
        <f ca="1">CH13</f>
        <v>E85-1g Sugarb.</v>
      </c>
      <c r="CI25" s="427" t="str">
        <f t="shared" ca="1" si="14"/>
        <v>E85-2g</v>
      </c>
      <c r="CJ25" s="427" t="str">
        <f ca="1">CJ13</f>
        <v>Biodiesel-1g RME</v>
      </c>
      <c r="CK25" s="427" t="str">
        <f t="shared" ca="1" si="14"/>
        <v>Biodiesel-2g</v>
      </c>
      <c r="CL25" s="427" t="str">
        <f t="shared" ca="1" si="14"/>
        <v>DME</v>
      </c>
      <c r="CM25" s="427" t="str">
        <f t="shared" ca="1" si="14"/>
        <v>B-Naturgas</v>
      </c>
      <c r="CN25" s="427" t="str">
        <f t="shared" ca="1" si="14"/>
        <v>Biogas</v>
      </c>
      <c r="CO25" s="427" t="str">
        <f t="shared" ca="1" si="14"/>
        <v>MeOH</v>
      </c>
      <c r="CP25" s="427" t="str">
        <f t="shared" ca="1" si="14"/>
        <v>B-Brint</v>
      </c>
      <c r="CQ25" s="427" t="str">
        <f t="shared" ca="1" si="14"/>
        <v>Elbil</v>
      </c>
      <c r="CR25" s="427" t="str">
        <f t="shared" ca="1" si="14"/>
        <v>Plugin Hybrid</v>
      </c>
      <c r="CS25" s="427" t="str">
        <f t="shared" ca="1" si="14"/>
        <v>Fast Ferry</v>
      </c>
      <c r="CT25" s="427" t="str">
        <f t="shared" ca="1" si="14"/>
        <v>Aircraft Fossil</v>
      </c>
      <c r="CU25" s="427" t="str">
        <f t="shared" ca="1" si="14"/>
        <v>Aircraft Biofuel</v>
      </c>
      <c r="CV25" s="427" t="str">
        <f t="shared" ca="1" si="14"/>
        <v>9000TEU HFO</v>
      </c>
      <c r="CW25" s="427" t="str">
        <f t="shared" ca="1" si="14"/>
        <v>9000TEU Diesel</v>
      </c>
      <c r="CX25" s="427" t="str">
        <f t="shared" ca="1" si="14"/>
        <v>9000TEU BioDiesel</v>
      </c>
      <c r="CY25" s="427" t="str">
        <f t="shared" ca="1" si="14"/>
        <v>9000TEU LNG</v>
      </c>
      <c r="CZ25" s="427" t="str">
        <f t="shared" ca="1" si="14"/>
        <v>IC Tog Diesel</v>
      </c>
      <c r="DA25" s="427" t="str">
        <f t="shared" ca="1" si="14"/>
        <v>IC Tog Biodiesel</v>
      </c>
      <c r="DB25" s="427" t="str">
        <f t="shared" ca="1" si="14"/>
        <v>IC Tog El</v>
      </c>
      <c r="DC25" s="427" t="str">
        <f t="shared" ca="1" si="14"/>
        <v>Lokaltog Diesel</v>
      </c>
      <c r="DD25" s="427" t="str">
        <f t="shared" ca="1" si="14"/>
        <v>Lokaltog biodiesel</v>
      </c>
      <c r="DE25" s="427" t="str">
        <f t="shared" ca="1" si="14"/>
        <v>Lokaltog Gas</v>
      </c>
      <c r="DF25" s="427" t="str">
        <f t="shared" ca="1" si="14"/>
        <v>L-Diesel</v>
      </c>
      <c r="DG25" s="427" t="str">
        <f t="shared" ca="1" si="14"/>
        <v>L-BioDiesel</v>
      </c>
      <c r="DH25" s="427" t="str">
        <f t="shared" ca="1" si="14"/>
        <v>L-CNG</v>
      </c>
      <c r="DI25" s="427" t="str">
        <f t="shared" ca="1" si="14"/>
        <v>L-DME</v>
      </c>
      <c r="DJ25" s="427" t="str">
        <f t="shared" ca="1" si="14"/>
        <v>B-Diesel</v>
      </c>
      <c r="DK25" s="427" t="str">
        <f t="shared" ca="1" si="14"/>
        <v>B-Biodiesel</v>
      </c>
      <c r="DL25" s="427" t="str">
        <f t="shared" ca="1" si="14"/>
        <v>B-CNG</v>
      </c>
      <c r="DM25" s="427" t="str">
        <f t="shared" ca="1" si="14"/>
        <v>B-Hybrid</v>
      </c>
      <c r="DN25" s="427" t="str">
        <f t="shared" ca="1" si="14"/>
        <v>Fast Ferry - Biodiesel</v>
      </c>
      <c r="DO25" s="427" t="str">
        <f t="shared" ca="1" si="14"/>
        <v>Ren brint</v>
      </c>
      <c r="DP25" s="427">
        <f t="shared" ca="1" si="14"/>
        <v>0</v>
      </c>
      <c r="DR25" s="427"/>
      <c r="DS25" s="427"/>
    </row>
    <row r="26" spans="2:123" s="65" customFormat="1">
      <c r="B26" s="428">
        <v>41652.686023726848</v>
      </c>
      <c r="C26" s="429">
        <v>1.4614706589727757</v>
      </c>
      <c r="D26" s="429">
        <v>1.4727932541435256</v>
      </c>
      <c r="E26" s="429">
        <v>1.5805255443773774</v>
      </c>
      <c r="F26" s="429"/>
      <c r="G26" s="429">
        <v>1.5125675111322392</v>
      </c>
      <c r="H26" s="429"/>
      <c r="I26" s="429">
        <v>1.4199499435021758</v>
      </c>
      <c r="J26" s="429">
        <v>1.6625917378742923</v>
      </c>
      <c r="K26" s="429">
        <v>1.3983998894242327</v>
      </c>
      <c r="L26" s="429">
        <v>1.624622054574075</v>
      </c>
      <c r="M26" s="429">
        <v>1.9549335506536463</v>
      </c>
      <c r="N26" s="429">
        <v>2.0034803989105496</v>
      </c>
      <c r="O26" s="429">
        <v>1.6512626595582713</v>
      </c>
      <c r="P26" s="429">
        <v>1.6155217978084233</v>
      </c>
      <c r="Q26" s="429"/>
      <c r="R26" s="429">
        <v>13.47289151244644</v>
      </c>
      <c r="S26" s="429"/>
      <c r="T26" s="429">
        <v>68.69480200790629</v>
      </c>
      <c r="U26" s="429">
        <v>68.869266666972138</v>
      </c>
      <c r="V26" s="429">
        <v>68.701705757602127</v>
      </c>
      <c r="W26" s="429"/>
      <c r="X26" s="429">
        <v>0</v>
      </c>
      <c r="Y26" s="429">
        <v>0</v>
      </c>
      <c r="Z26" s="429">
        <v>0</v>
      </c>
      <c r="AA26" s="429">
        <v>0</v>
      </c>
      <c r="AB26" s="429">
        <v>0</v>
      </c>
      <c r="AC26" s="429">
        <v>0</v>
      </c>
      <c r="AD26" s="429">
        <v>3.3819676284896669</v>
      </c>
      <c r="AE26" s="429">
        <v>0</v>
      </c>
      <c r="AF26" s="429">
        <v>0</v>
      </c>
      <c r="AG26" s="429">
        <v>0</v>
      </c>
      <c r="AH26" s="429">
        <v>3.3929687704194316</v>
      </c>
      <c r="AI26" s="429">
        <v>6.6004295175958605</v>
      </c>
      <c r="AJ26" s="429">
        <v>6.6890639483192285</v>
      </c>
      <c r="AK26" s="429">
        <v>7.1723142542983274</v>
      </c>
      <c r="AL26" s="429">
        <v>0</v>
      </c>
      <c r="AM26" s="429">
        <v>0</v>
      </c>
      <c r="AN26" s="429">
        <v>0</v>
      </c>
      <c r="AO26" s="432"/>
      <c r="AP26" s="428">
        <v>41652.686023726848</v>
      </c>
      <c r="AQ26" s="431">
        <v>133.94345440388889</v>
      </c>
      <c r="AR26" s="431">
        <v>176.98244879419491</v>
      </c>
      <c r="AS26" s="431">
        <v>375.46961731861205</v>
      </c>
      <c r="AT26" s="431"/>
      <c r="AU26" s="431">
        <v>29.705547997603343</v>
      </c>
      <c r="AV26" s="431"/>
      <c r="AW26" s="431">
        <v>132.57379946876796</v>
      </c>
      <c r="AX26" s="431">
        <v>-28.91692937102647</v>
      </c>
      <c r="AY26" s="431">
        <v>160.58659593195802</v>
      </c>
      <c r="AZ26" s="431">
        <v>-59.750605861093071</v>
      </c>
      <c r="BA26" s="431">
        <v>-6.0210725203763005</v>
      </c>
      <c r="BB26" s="431">
        <v>183.23277104553128</v>
      </c>
      <c r="BC26" s="431">
        <v>132.2604288674751</v>
      </c>
      <c r="BD26" s="431">
        <v>186.89984066588596</v>
      </c>
      <c r="BE26" s="431"/>
      <c r="BF26" s="431">
        <v>8450.0697685945961</v>
      </c>
      <c r="BG26" s="431"/>
      <c r="BH26" s="431">
        <v>580.64531376097</v>
      </c>
      <c r="BI26" s="431">
        <v>564.57165275710008</v>
      </c>
      <c r="BJ26" s="431">
        <v>558.86446778235916</v>
      </c>
      <c r="BK26" s="431">
        <v>0</v>
      </c>
      <c r="BL26" s="431">
        <v>0</v>
      </c>
      <c r="BM26" s="431">
        <v>0</v>
      </c>
      <c r="BN26" s="431">
        <v>0</v>
      </c>
      <c r="BO26" s="431">
        <v>0</v>
      </c>
      <c r="BP26" s="431">
        <v>0</v>
      </c>
      <c r="BQ26" s="431">
        <v>928.96407877970842</v>
      </c>
      <c r="BR26" s="431">
        <v>0</v>
      </c>
      <c r="BS26" s="431">
        <v>0</v>
      </c>
      <c r="BT26" s="431">
        <v>0</v>
      </c>
      <c r="BU26" s="431">
        <v>0</v>
      </c>
      <c r="BV26" s="431">
        <v>883.3224528145762</v>
      </c>
      <c r="BW26" s="431">
        <v>1438.2092845064767</v>
      </c>
      <c r="BX26" s="431">
        <v>1357.2711483824457</v>
      </c>
      <c r="BY26" s="431">
        <v>1106.3148342357513</v>
      </c>
      <c r="BZ26" s="431">
        <v>0</v>
      </c>
      <c r="CA26" s="431">
        <v>0</v>
      </c>
      <c r="CB26" s="431">
        <v>0</v>
      </c>
      <c r="CC26" s="432"/>
      <c r="CD26" s="428">
        <v>41652.68602361111</v>
      </c>
      <c r="CE26" s="433">
        <v>0.23661493803757297</v>
      </c>
      <c r="CF26" s="433">
        <v>0.16694260904431213</v>
      </c>
      <c r="CG26" s="433">
        <v>0.13121026256027446</v>
      </c>
      <c r="CH26" s="433"/>
      <c r="CI26" s="433">
        <v>0.11795401045953575</v>
      </c>
      <c r="CJ26" s="433"/>
      <c r="CK26" s="433">
        <v>0.19922791458904218</v>
      </c>
      <c r="CL26" s="433">
        <v>0.21269201576090199</v>
      </c>
      <c r="CM26" s="433">
        <v>0.1679308222171193</v>
      </c>
      <c r="CN26" s="433">
        <v>0.15783701875244799</v>
      </c>
      <c r="CO26" s="433">
        <v>0.10121765399835686</v>
      </c>
      <c r="CP26" s="433">
        <v>0.25731882522665095</v>
      </c>
      <c r="CQ26" s="433">
        <v>0.29895541791566238</v>
      </c>
      <c r="CR26" s="433">
        <v>0.35622596063466722</v>
      </c>
      <c r="CS26" s="433"/>
      <c r="CT26" s="433">
        <v>0.44773699730205757</v>
      </c>
      <c r="CU26" s="433"/>
      <c r="CV26" s="433">
        <v>0.47651872850367988</v>
      </c>
      <c r="CW26" s="433">
        <v>0.47402386605078101</v>
      </c>
      <c r="CX26" s="433">
        <v>0.39912436248524713</v>
      </c>
      <c r="CY26" s="433">
        <v>0</v>
      </c>
      <c r="CZ26" s="433">
        <v>0</v>
      </c>
      <c r="DA26" s="433">
        <v>0</v>
      </c>
      <c r="DB26" s="433">
        <v>0</v>
      </c>
      <c r="DC26" s="433">
        <v>0</v>
      </c>
      <c r="DD26" s="433">
        <v>0</v>
      </c>
      <c r="DE26" s="433">
        <v>0.37116068711776151</v>
      </c>
      <c r="DF26" s="433">
        <v>0</v>
      </c>
      <c r="DG26" s="433">
        <v>0</v>
      </c>
      <c r="DH26" s="433">
        <v>0</v>
      </c>
      <c r="DI26" s="433">
        <v>0</v>
      </c>
      <c r="DJ26" s="433">
        <v>0.32777062561828746</v>
      </c>
      <c r="DK26" s="433">
        <v>0.29978363190280732</v>
      </c>
      <c r="DL26" s="433">
        <v>0.26473781299938598</v>
      </c>
      <c r="DM26" s="433">
        <v>0.38971872147364955</v>
      </c>
      <c r="DN26" s="433">
        <v>0</v>
      </c>
      <c r="DO26" s="433">
        <v>0</v>
      </c>
      <c r="DP26" s="433">
        <v>0</v>
      </c>
      <c r="DQ26" s="1471"/>
      <c r="DR26" s="409" t="s">
        <v>855</v>
      </c>
      <c r="DS26" s="409" t="s">
        <v>2654</v>
      </c>
    </row>
    <row r="27" spans="2:123" s="1471" customFormat="1">
      <c r="B27" s="428">
        <v>41655.644024884263</v>
      </c>
      <c r="C27" s="429">
        <v>1.4614706589727757</v>
      </c>
      <c r="D27" s="429">
        <v>1.4727932541435256</v>
      </c>
      <c r="E27" s="429">
        <v>1.5805255443773774</v>
      </c>
      <c r="F27" s="429"/>
      <c r="G27" s="429">
        <v>1.5125675111322392</v>
      </c>
      <c r="H27" s="429"/>
      <c r="I27" s="429">
        <v>1.4199499435021758</v>
      </c>
      <c r="J27" s="429">
        <v>1.6625917378742923</v>
      </c>
      <c r="K27" s="429">
        <v>1.3983998894242327</v>
      </c>
      <c r="L27" s="429">
        <v>1.624622054574075</v>
      </c>
      <c r="M27" s="429">
        <v>1.9549335506536463</v>
      </c>
      <c r="N27" s="429">
        <v>2.0034803989105496</v>
      </c>
      <c r="O27" s="429">
        <v>1.6512626595582713</v>
      </c>
      <c r="P27" s="429">
        <v>1.6155217978084233</v>
      </c>
      <c r="Q27" s="429"/>
      <c r="R27" s="429">
        <v>13.47289151244644</v>
      </c>
      <c r="S27" s="429"/>
      <c r="T27" s="429">
        <v>4486.5284317147198</v>
      </c>
      <c r="U27" s="429">
        <v>4660.993090780551</v>
      </c>
      <c r="V27" s="429">
        <v>4493.4321814105451</v>
      </c>
      <c r="W27" s="429"/>
      <c r="X27" s="429">
        <v>0</v>
      </c>
      <c r="Y27" s="429">
        <v>0</v>
      </c>
      <c r="Z27" s="429">
        <v>0</v>
      </c>
      <c r="AA27" s="429">
        <v>0</v>
      </c>
      <c r="AB27" s="429">
        <v>0</v>
      </c>
      <c r="AC27" s="429">
        <v>0</v>
      </c>
      <c r="AD27" s="429">
        <v>3.3819676284896669</v>
      </c>
      <c r="AE27" s="429">
        <v>0</v>
      </c>
      <c r="AF27" s="429">
        <v>0</v>
      </c>
      <c r="AG27" s="429">
        <v>0</v>
      </c>
      <c r="AH27" s="429">
        <v>3.3929687704194316</v>
      </c>
      <c r="AI27" s="429">
        <v>6.6004295175958605</v>
      </c>
      <c r="AJ27" s="429">
        <v>6.6890639483192285</v>
      </c>
      <c r="AK27" s="429">
        <v>7.1723142542983274</v>
      </c>
      <c r="AL27" s="429">
        <v>0</v>
      </c>
      <c r="AM27" s="429">
        <v>0</v>
      </c>
      <c r="AN27" s="429">
        <v>0</v>
      </c>
      <c r="AO27" s="432"/>
      <c r="AP27" s="428">
        <v>41655.644024884263</v>
      </c>
      <c r="AQ27" s="431">
        <v>133.94345440388889</v>
      </c>
      <c r="AR27" s="431">
        <v>176.98244879419491</v>
      </c>
      <c r="AS27" s="431">
        <v>375.46961731861205</v>
      </c>
      <c r="AT27" s="431"/>
      <c r="AU27" s="431">
        <v>29.705547997603343</v>
      </c>
      <c r="AV27" s="431"/>
      <c r="AW27" s="431">
        <v>132.57379946876796</v>
      </c>
      <c r="AX27" s="431">
        <v>-28.91692937102647</v>
      </c>
      <c r="AY27" s="431">
        <v>160.58659593195802</v>
      </c>
      <c r="AZ27" s="431">
        <v>-59.750605861093071</v>
      </c>
      <c r="BA27" s="431">
        <v>-6.0210725203763005</v>
      </c>
      <c r="BB27" s="431">
        <v>183.23277104553128</v>
      </c>
      <c r="BC27" s="431">
        <v>132.2604288674751</v>
      </c>
      <c r="BD27" s="431">
        <v>186.89984066588596</v>
      </c>
      <c r="BE27" s="431"/>
      <c r="BF27" s="431">
        <v>8450.0697685945961</v>
      </c>
      <c r="BG27" s="431"/>
      <c r="BH27" s="431">
        <v>569161.47796788649</v>
      </c>
      <c r="BI27" s="431">
        <v>553087.81696401641</v>
      </c>
      <c r="BJ27" s="431">
        <v>547380.63198927569</v>
      </c>
      <c r="BK27" s="431">
        <v>0</v>
      </c>
      <c r="BL27" s="431">
        <v>0</v>
      </c>
      <c r="BM27" s="431">
        <v>0</v>
      </c>
      <c r="BN27" s="431">
        <v>0</v>
      </c>
      <c r="BO27" s="431">
        <v>0</v>
      </c>
      <c r="BP27" s="431">
        <v>0</v>
      </c>
      <c r="BQ27" s="431">
        <v>928.96407877970842</v>
      </c>
      <c r="BR27" s="431">
        <v>0</v>
      </c>
      <c r="BS27" s="431">
        <v>0</v>
      </c>
      <c r="BT27" s="431">
        <v>0</v>
      </c>
      <c r="BU27" s="431">
        <v>0</v>
      </c>
      <c r="BV27" s="431">
        <v>883.3224528145762</v>
      </c>
      <c r="BW27" s="431">
        <v>1438.2092845064767</v>
      </c>
      <c r="BX27" s="431">
        <v>1357.2711483824457</v>
      </c>
      <c r="BY27" s="431">
        <v>1106.3148342357513</v>
      </c>
      <c r="BZ27" s="431">
        <v>0</v>
      </c>
      <c r="CA27" s="431">
        <v>0</v>
      </c>
      <c r="CB27" s="431">
        <v>0</v>
      </c>
      <c r="CC27" s="432"/>
      <c r="CD27" s="428">
        <v>41655.644024884263</v>
      </c>
      <c r="CE27" s="433">
        <v>0.23661493803757297</v>
      </c>
      <c r="CF27" s="433">
        <v>0.16694260904431213</v>
      </c>
      <c r="CG27" s="433">
        <v>0.13121026256027446</v>
      </c>
      <c r="CH27" s="433"/>
      <c r="CI27" s="433">
        <v>0.11795401045953575</v>
      </c>
      <c r="CJ27" s="433"/>
      <c r="CK27" s="433">
        <v>0.19922791458904218</v>
      </c>
      <c r="CL27" s="433">
        <v>0.21269201576090199</v>
      </c>
      <c r="CM27" s="433">
        <v>0.1679308222171193</v>
      </c>
      <c r="CN27" s="433">
        <v>0.15783701875244799</v>
      </c>
      <c r="CO27" s="433">
        <v>0.10121765399835686</v>
      </c>
      <c r="CP27" s="433">
        <v>0.25731882522665095</v>
      </c>
      <c r="CQ27" s="433">
        <v>0.29895541791566238</v>
      </c>
      <c r="CR27" s="433">
        <v>0.35622596063466722</v>
      </c>
      <c r="CS27" s="433"/>
      <c r="CT27" s="433">
        <v>0.44773699730205757</v>
      </c>
      <c r="CU27" s="433"/>
      <c r="CV27" s="433">
        <v>0.47651872850367988</v>
      </c>
      <c r="CW27" s="433">
        <v>0.47402386605078101</v>
      </c>
      <c r="CX27" s="433">
        <v>0.39912436248524713</v>
      </c>
      <c r="CY27" s="433">
        <v>0</v>
      </c>
      <c r="CZ27" s="433">
        <v>0</v>
      </c>
      <c r="DA27" s="433">
        <v>0</v>
      </c>
      <c r="DB27" s="433">
        <v>0</v>
      </c>
      <c r="DC27" s="433">
        <v>0</v>
      </c>
      <c r="DD27" s="433">
        <v>0</v>
      </c>
      <c r="DE27" s="433">
        <v>0.37116068711776151</v>
      </c>
      <c r="DF27" s="433">
        <v>0</v>
      </c>
      <c r="DG27" s="433">
        <v>0</v>
      </c>
      <c r="DH27" s="433">
        <v>0</v>
      </c>
      <c r="DI27" s="433">
        <v>0</v>
      </c>
      <c r="DJ27" s="433">
        <v>0.32777062561828746</v>
      </c>
      <c r="DK27" s="433">
        <v>0.29978363190280732</v>
      </c>
      <c r="DL27" s="433">
        <v>0.26473781299938598</v>
      </c>
      <c r="DM27" s="433">
        <v>0.38971872147364955</v>
      </c>
      <c r="DN27" s="433">
        <v>0</v>
      </c>
      <c r="DO27" s="433">
        <v>0</v>
      </c>
      <c r="DP27" s="433">
        <v>0</v>
      </c>
      <c r="DR27" s="409" t="s">
        <v>855</v>
      </c>
      <c r="DS27" s="409" t="s">
        <v>1662</v>
      </c>
    </row>
    <row r="28" spans="2:123" s="1471" customFormat="1">
      <c r="B28" s="428">
        <v>41662.542647106478</v>
      </c>
      <c r="C28" s="429">
        <v>1.4614706589727757</v>
      </c>
      <c r="D28" s="429">
        <v>1.4727932541435256</v>
      </c>
      <c r="E28" s="429">
        <v>1.5805255443773774</v>
      </c>
      <c r="F28" s="429"/>
      <c r="G28" s="429">
        <v>1.5125675111322392</v>
      </c>
      <c r="H28" s="429"/>
      <c r="I28" s="429">
        <v>1.4199499435021758</v>
      </c>
      <c r="J28" s="429">
        <v>1.6625917378742923</v>
      </c>
      <c r="K28" s="429">
        <v>1.3983998894242327</v>
      </c>
      <c r="L28" s="429">
        <v>1.624622054574075</v>
      </c>
      <c r="M28" s="429">
        <v>1.9580239376716044</v>
      </c>
      <c r="N28" s="429">
        <v>2.0034803989105496</v>
      </c>
      <c r="O28" s="429">
        <v>1.6512626595582713</v>
      </c>
      <c r="P28" s="429">
        <v>1.6155217978084233</v>
      </c>
      <c r="Q28" s="429"/>
      <c r="R28" s="429">
        <v>13.47289151244644</v>
      </c>
      <c r="S28" s="429"/>
      <c r="T28" s="429">
        <v>4486.5284317147198</v>
      </c>
      <c r="U28" s="429">
        <v>4660.993090780551</v>
      </c>
      <c r="V28" s="429">
        <v>4493.4321814105451</v>
      </c>
      <c r="W28" s="429"/>
      <c r="X28" s="429">
        <v>0</v>
      </c>
      <c r="Y28" s="429">
        <v>0</v>
      </c>
      <c r="Z28" s="429">
        <v>0</v>
      </c>
      <c r="AA28" s="429">
        <v>0</v>
      </c>
      <c r="AB28" s="429">
        <v>0</v>
      </c>
      <c r="AC28" s="429">
        <v>0</v>
      </c>
      <c r="AD28" s="429">
        <v>3.3819676284896669</v>
      </c>
      <c r="AE28" s="429">
        <v>0</v>
      </c>
      <c r="AF28" s="429">
        <v>0</v>
      </c>
      <c r="AG28" s="429">
        <v>0</v>
      </c>
      <c r="AH28" s="429">
        <v>3.3929687704194316</v>
      </c>
      <c r="AI28" s="429">
        <v>6.6004295175958605</v>
      </c>
      <c r="AJ28" s="429">
        <v>6.6890639483192285</v>
      </c>
      <c r="AK28" s="429">
        <v>7.1723142542983274</v>
      </c>
      <c r="AL28" s="429">
        <v>0</v>
      </c>
      <c r="AM28" s="429">
        <v>0</v>
      </c>
      <c r="AN28" s="429">
        <v>0</v>
      </c>
      <c r="AO28" s="432"/>
      <c r="AP28" s="428">
        <v>41662.542647106478</v>
      </c>
      <c r="AQ28" s="431">
        <v>133.94345440388889</v>
      </c>
      <c r="AR28" s="431">
        <v>176.98244879419491</v>
      </c>
      <c r="AS28" s="431">
        <v>375.46961731861205</v>
      </c>
      <c r="AT28" s="431"/>
      <c r="AU28" s="431">
        <v>29.705547997603343</v>
      </c>
      <c r="AV28" s="431"/>
      <c r="AW28" s="431">
        <v>132.57379946876796</v>
      </c>
      <c r="AX28" s="431">
        <v>-28.91692937102647</v>
      </c>
      <c r="AY28" s="431">
        <v>160.58659593195802</v>
      </c>
      <c r="AZ28" s="431">
        <v>-59.750605861093071</v>
      </c>
      <c r="BA28" s="431">
        <v>-6.5748794789672189</v>
      </c>
      <c r="BB28" s="431">
        <v>183.23277104553128</v>
      </c>
      <c r="BC28" s="431">
        <v>132.2604288674751</v>
      </c>
      <c r="BD28" s="431">
        <v>186.89984066588596</v>
      </c>
      <c r="BE28" s="431"/>
      <c r="BF28" s="431">
        <v>8450.0697685945961</v>
      </c>
      <c r="BG28" s="431"/>
      <c r="BH28" s="431">
        <v>569161.47796788649</v>
      </c>
      <c r="BI28" s="431">
        <v>553087.81696401641</v>
      </c>
      <c r="BJ28" s="431">
        <v>547380.63198927569</v>
      </c>
      <c r="BK28" s="431">
        <v>0</v>
      </c>
      <c r="BL28" s="431">
        <v>0</v>
      </c>
      <c r="BM28" s="431">
        <v>0</v>
      </c>
      <c r="BN28" s="431">
        <v>0</v>
      </c>
      <c r="BO28" s="431">
        <v>0</v>
      </c>
      <c r="BP28" s="431">
        <v>0</v>
      </c>
      <c r="BQ28" s="431">
        <v>928.96407877970842</v>
      </c>
      <c r="BR28" s="431">
        <v>0</v>
      </c>
      <c r="BS28" s="431">
        <v>0</v>
      </c>
      <c r="BT28" s="431">
        <v>0</v>
      </c>
      <c r="BU28" s="431">
        <v>0</v>
      </c>
      <c r="BV28" s="431">
        <v>883.3224528145762</v>
      </c>
      <c r="BW28" s="431">
        <v>1438.2092845064767</v>
      </c>
      <c r="BX28" s="431">
        <v>1357.2711483824457</v>
      </c>
      <c r="BY28" s="431">
        <v>1106.3148342357513</v>
      </c>
      <c r="BZ28" s="431">
        <v>0</v>
      </c>
      <c r="CA28" s="431">
        <v>0</v>
      </c>
      <c r="CB28" s="431">
        <v>0</v>
      </c>
      <c r="CC28" s="432"/>
      <c r="CD28" s="428">
        <v>41662.542647106478</v>
      </c>
      <c r="CE28" s="433">
        <v>0.23661493803757297</v>
      </c>
      <c r="CF28" s="433">
        <v>0.16694260904431213</v>
      </c>
      <c r="CG28" s="433">
        <v>0.13121026256027446</v>
      </c>
      <c r="CH28" s="433"/>
      <c r="CI28" s="433">
        <v>0.11795401045953575</v>
      </c>
      <c r="CJ28" s="433"/>
      <c r="CK28" s="433">
        <v>0.19922791458904218</v>
      </c>
      <c r="CL28" s="433">
        <v>0.21269201576090199</v>
      </c>
      <c r="CM28" s="433">
        <v>0.1679308222171193</v>
      </c>
      <c r="CN28" s="433">
        <v>0.15783701875244799</v>
      </c>
      <c r="CO28" s="433">
        <v>0.10121765399835686</v>
      </c>
      <c r="CP28" s="433">
        <v>0.25731882522665095</v>
      </c>
      <c r="CQ28" s="433">
        <v>0.29895541791566238</v>
      </c>
      <c r="CR28" s="433">
        <v>0.35622596063466722</v>
      </c>
      <c r="CS28" s="433"/>
      <c r="CT28" s="433">
        <v>0.44773699730205757</v>
      </c>
      <c r="CU28" s="433"/>
      <c r="CV28" s="433">
        <v>0.47651872850367988</v>
      </c>
      <c r="CW28" s="433">
        <v>0.47402386605078101</v>
      </c>
      <c r="CX28" s="433">
        <v>0.39912436248524713</v>
      </c>
      <c r="CY28" s="433">
        <v>0</v>
      </c>
      <c r="CZ28" s="433">
        <v>0</v>
      </c>
      <c r="DA28" s="433">
        <v>0</v>
      </c>
      <c r="DB28" s="433">
        <v>0</v>
      </c>
      <c r="DC28" s="433">
        <v>0</v>
      </c>
      <c r="DD28" s="433">
        <v>0</v>
      </c>
      <c r="DE28" s="433">
        <v>0.37116068711776151</v>
      </c>
      <c r="DF28" s="433">
        <v>0</v>
      </c>
      <c r="DG28" s="433">
        <v>0</v>
      </c>
      <c r="DH28" s="433">
        <v>0</v>
      </c>
      <c r="DI28" s="433">
        <v>0</v>
      </c>
      <c r="DJ28" s="433">
        <v>0.32777062561828746</v>
      </c>
      <c r="DK28" s="433">
        <v>0.29978363190280732</v>
      </c>
      <c r="DL28" s="433">
        <v>0.26473781299938598</v>
      </c>
      <c r="DM28" s="433">
        <v>0.38971872147364955</v>
      </c>
      <c r="DN28" s="433">
        <v>0</v>
      </c>
      <c r="DO28" s="433">
        <v>0</v>
      </c>
      <c r="DP28" s="433">
        <v>0</v>
      </c>
      <c r="DR28" s="409" t="s">
        <v>711</v>
      </c>
      <c r="DS28" s="409" t="s">
        <v>1709</v>
      </c>
    </row>
    <row r="29" spans="2:123" s="1471" customFormat="1">
      <c r="B29" s="428">
        <v>41667.543180671295</v>
      </c>
      <c r="C29" s="429">
        <v>1.4614706589727757</v>
      </c>
      <c r="D29" s="429">
        <v>1.4727932541435256</v>
      </c>
      <c r="E29" s="429">
        <v>1.5805255443773774</v>
      </c>
      <c r="F29" s="429"/>
      <c r="G29" s="429">
        <v>1.5125675111322392</v>
      </c>
      <c r="H29" s="429"/>
      <c r="I29" s="429">
        <v>1.4199499435021758</v>
      </c>
      <c r="J29" s="429">
        <v>1.6625917378742923</v>
      </c>
      <c r="K29" s="429">
        <v>1.3983998894242327</v>
      </c>
      <c r="L29" s="429">
        <v>1.6243725089045808</v>
      </c>
      <c r="M29" s="429">
        <v>1.9580239376716044</v>
      </c>
      <c r="N29" s="429">
        <v>2.0034803989105496</v>
      </c>
      <c r="O29" s="429">
        <v>1.6512626595582713</v>
      </c>
      <c r="P29" s="429">
        <v>1.6155217978084233</v>
      </c>
      <c r="Q29" s="429"/>
      <c r="R29" s="429">
        <v>13.47289151244644</v>
      </c>
      <c r="S29" s="429"/>
      <c r="T29" s="429">
        <v>4486.5284317147198</v>
      </c>
      <c r="U29" s="429">
        <v>4660.993090780551</v>
      </c>
      <c r="V29" s="429">
        <v>4493.4321814105451</v>
      </c>
      <c r="W29" s="429"/>
      <c r="X29" s="429">
        <v>0</v>
      </c>
      <c r="Y29" s="429">
        <v>0</v>
      </c>
      <c r="Z29" s="429">
        <v>0</v>
      </c>
      <c r="AA29" s="429">
        <v>0</v>
      </c>
      <c r="AB29" s="429">
        <v>0</v>
      </c>
      <c r="AC29" s="429">
        <v>0</v>
      </c>
      <c r="AD29" s="429">
        <v>3.3819676284896669</v>
      </c>
      <c r="AE29" s="429">
        <v>0</v>
      </c>
      <c r="AF29" s="429">
        <v>0</v>
      </c>
      <c r="AG29" s="429">
        <v>0</v>
      </c>
      <c r="AH29" s="429">
        <v>3.3929687704194316</v>
      </c>
      <c r="AI29" s="429">
        <v>6.6004295175958605</v>
      </c>
      <c r="AJ29" s="429">
        <v>6.6890639483192285</v>
      </c>
      <c r="AK29" s="429">
        <v>7.1723142542983274</v>
      </c>
      <c r="AL29" s="429">
        <v>0</v>
      </c>
      <c r="AM29" s="429">
        <v>0</v>
      </c>
      <c r="AN29" s="429">
        <v>0</v>
      </c>
      <c r="AO29" s="432"/>
      <c r="AP29" s="428">
        <v>41667.543180671295</v>
      </c>
      <c r="AQ29" s="431">
        <v>133.94345440388889</v>
      </c>
      <c r="AR29" s="431">
        <v>176.98244879419491</v>
      </c>
      <c r="AS29" s="431">
        <v>375.46961731861205</v>
      </c>
      <c r="AT29" s="431"/>
      <c r="AU29" s="431">
        <v>29.705547997603343</v>
      </c>
      <c r="AV29" s="431"/>
      <c r="AW29" s="431">
        <v>132.57379946876796</v>
      </c>
      <c r="AX29" s="431">
        <v>-28.91692937102647</v>
      </c>
      <c r="AY29" s="431">
        <v>160.58659593195802</v>
      </c>
      <c r="AZ29" s="431">
        <v>-65.082537283220958</v>
      </c>
      <c r="BA29" s="431">
        <v>-6.5748794789672189</v>
      </c>
      <c r="BB29" s="431">
        <v>183.23277104553128</v>
      </c>
      <c r="BC29" s="431">
        <v>132.2604288674751</v>
      </c>
      <c r="BD29" s="431">
        <v>186.89984066588596</v>
      </c>
      <c r="BE29" s="431"/>
      <c r="BF29" s="431">
        <v>8450.0697685945961</v>
      </c>
      <c r="BG29" s="431"/>
      <c r="BH29" s="431">
        <v>569161.47796788649</v>
      </c>
      <c r="BI29" s="431">
        <v>553087.81696401641</v>
      </c>
      <c r="BJ29" s="431">
        <v>547380.63198927569</v>
      </c>
      <c r="BK29" s="431">
        <v>0</v>
      </c>
      <c r="BL29" s="431">
        <v>0</v>
      </c>
      <c r="BM29" s="431">
        <v>0</v>
      </c>
      <c r="BN29" s="431">
        <v>0</v>
      </c>
      <c r="BO29" s="431">
        <v>0</v>
      </c>
      <c r="BP29" s="431">
        <v>0</v>
      </c>
      <c r="BQ29" s="431">
        <v>928.96407877970842</v>
      </c>
      <c r="BR29" s="431">
        <v>0</v>
      </c>
      <c r="BS29" s="431">
        <v>0</v>
      </c>
      <c r="BT29" s="431">
        <v>0</v>
      </c>
      <c r="BU29" s="431">
        <v>0</v>
      </c>
      <c r="BV29" s="431">
        <v>883.3224528145762</v>
      </c>
      <c r="BW29" s="431">
        <v>1438.2092845064767</v>
      </c>
      <c r="BX29" s="431">
        <v>1357.2711483824457</v>
      </c>
      <c r="BY29" s="431">
        <v>1106.3148342357513</v>
      </c>
      <c r="BZ29" s="431">
        <v>0</v>
      </c>
      <c r="CA29" s="431">
        <v>0</v>
      </c>
      <c r="CB29" s="431">
        <v>0</v>
      </c>
      <c r="CC29" s="432"/>
      <c r="CD29" s="428">
        <v>41667.543180671295</v>
      </c>
      <c r="CE29" s="433">
        <v>0.23661493803757297</v>
      </c>
      <c r="CF29" s="433">
        <v>0.16694260904431213</v>
      </c>
      <c r="CG29" s="433">
        <v>0.13121026256027446</v>
      </c>
      <c r="CH29" s="433"/>
      <c r="CI29" s="433">
        <v>0.11795401045953575</v>
      </c>
      <c r="CJ29" s="433"/>
      <c r="CK29" s="433">
        <v>0.19922791458904218</v>
      </c>
      <c r="CL29" s="433">
        <v>0.21269201576090199</v>
      </c>
      <c r="CM29" s="433">
        <v>0.1679308222171193</v>
      </c>
      <c r="CN29" s="433">
        <v>0.15783701875244799</v>
      </c>
      <c r="CO29" s="433">
        <v>0.10121765399835686</v>
      </c>
      <c r="CP29" s="433">
        <v>0.25731882522665095</v>
      </c>
      <c r="CQ29" s="433">
        <v>0.29895541791566238</v>
      </c>
      <c r="CR29" s="433">
        <v>0.35622596063466722</v>
      </c>
      <c r="CS29" s="433"/>
      <c r="CT29" s="433">
        <v>0.44773699730205757</v>
      </c>
      <c r="CU29" s="433"/>
      <c r="CV29" s="433">
        <v>0.47651872850367988</v>
      </c>
      <c r="CW29" s="433">
        <v>0.47402386605078101</v>
      </c>
      <c r="CX29" s="433">
        <v>0.39912436248524713</v>
      </c>
      <c r="CY29" s="433">
        <v>0</v>
      </c>
      <c r="CZ29" s="433">
        <v>0</v>
      </c>
      <c r="DA29" s="433">
        <v>0</v>
      </c>
      <c r="DB29" s="433">
        <v>0</v>
      </c>
      <c r="DC29" s="433">
        <v>0</v>
      </c>
      <c r="DD29" s="433">
        <v>0</v>
      </c>
      <c r="DE29" s="433">
        <v>0.37116068711776151</v>
      </c>
      <c r="DF29" s="433">
        <v>0</v>
      </c>
      <c r="DG29" s="433">
        <v>0</v>
      </c>
      <c r="DH29" s="433">
        <v>0</v>
      </c>
      <c r="DI29" s="433">
        <v>0</v>
      </c>
      <c r="DJ29" s="433">
        <v>0.32777062561828746</v>
      </c>
      <c r="DK29" s="433">
        <v>0.29978363190280732</v>
      </c>
      <c r="DL29" s="433">
        <v>0.26473781299938598</v>
      </c>
      <c r="DM29" s="433">
        <v>0.38971872147364955</v>
      </c>
      <c r="DN29" s="433">
        <v>0</v>
      </c>
      <c r="DO29" s="433">
        <v>0</v>
      </c>
      <c r="DP29" s="433">
        <v>0</v>
      </c>
      <c r="DR29" s="409" t="s">
        <v>1776</v>
      </c>
      <c r="DS29" s="409" t="s">
        <v>1777</v>
      </c>
    </row>
    <row r="30" spans="2:123" s="1471" customFormat="1">
      <c r="B30" s="428">
        <v>41669.686960879633</v>
      </c>
      <c r="C30" s="429">
        <v>1.4614706589727757</v>
      </c>
      <c r="D30" s="429">
        <v>1.4727932541435256</v>
      </c>
      <c r="E30" s="429">
        <v>1.5805255443773774</v>
      </c>
      <c r="F30" s="429"/>
      <c r="G30" s="429">
        <v>1.5125675111322392</v>
      </c>
      <c r="H30" s="429"/>
      <c r="I30" s="429">
        <v>1.4199499435021758</v>
      </c>
      <c r="J30" s="429">
        <v>1.6625917378742923</v>
      </c>
      <c r="K30" s="429">
        <v>1.3983998894242327</v>
      </c>
      <c r="L30" s="429">
        <v>1.6243725089045808</v>
      </c>
      <c r="M30" s="429">
        <v>1.9580239376716044</v>
      </c>
      <c r="N30" s="429">
        <v>2.0034803989105496</v>
      </c>
      <c r="O30" s="429">
        <v>1.6512626595582713</v>
      </c>
      <c r="P30" s="429">
        <v>1.6155217978084233</v>
      </c>
      <c r="Q30" s="429"/>
      <c r="R30" s="429">
        <v>13.47289151244644</v>
      </c>
      <c r="S30" s="429"/>
      <c r="T30" s="429">
        <v>4486.5284317147198</v>
      </c>
      <c r="U30" s="429">
        <v>4660.993090780551</v>
      </c>
      <c r="V30" s="429">
        <v>4493.4321814105451</v>
      </c>
      <c r="W30" s="429"/>
      <c r="X30" s="429">
        <v>0</v>
      </c>
      <c r="Y30" s="429">
        <v>0</v>
      </c>
      <c r="Z30" s="429">
        <v>0</v>
      </c>
      <c r="AA30" s="429">
        <v>0</v>
      </c>
      <c r="AB30" s="429">
        <v>0</v>
      </c>
      <c r="AC30" s="429">
        <v>0</v>
      </c>
      <c r="AD30" s="429">
        <v>3.3819676284896669</v>
      </c>
      <c r="AE30" s="429">
        <v>0</v>
      </c>
      <c r="AF30" s="429">
        <v>0</v>
      </c>
      <c r="AG30" s="429">
        <v>0</v>
      </c>
      <c r="AH30" s="429">
        <v>3.3929687704194316</v>
      </c>
      <c r="AI30" s="429">
        <v>6.6004295175958605</v>
      </c>
      <c r="AJ30" s="429">
        <v>6.6890639483192285</v>
      </c>
      <c r="AK30" s="429">
        <v>7.1723142542983274</v>
      </c>
      <c r="AL30" s="429">
        <v>0</v>
      </c>
      <c r="AM30" s="429">
        <v>0</v>
      </c>
      <c r="AN30" s="429">
        <v>0</v>
      </c>
      <c r="AO30" s="432"/>
      <c r="AP30" s="428">
        <v>41669.686960879633</v>
      </c>
      <c r="AQ30" s="431">
        <v>133.94345440388889</v>
      </c>
      <c r="AR30" s="431">
        <v>176.98244879419491</v>
      </c>
      <c r="AS30" s="431">
        <v>375.46961731861205</v>
      </c>
      <c r="AT30" s="431"/>
      <c r="AU30" s="431">
        <v>29.705547997603343</v>
      </c>
      <c r="AV30" s="431"/>
      <c r="AW30" s="431">
        <v>132.57379946876796</v>
      </c>
      <c r="AX30" s="431">
        <v>-28.91692937102647</v>
      </c>
      <c r="AY30" s="431">
        <v>160.58659593195802</v>
      </c>
      <c r="AZ30" s="431">
        <v>-65.082537283220958</v>
      </c>
      <c r="BA30" s="431">
        <v>-6.5748794789672189</v>
      </c>
      <c r="BB30" s="431">
        <v>183.23277104553128</v>
      </c>
      <c r="BC30" s="431">
        <v>132.2604288674751</v>
      </c>
      <c r="BD30" s="431">
        <v>186.89984066588596</v>
      </c>
      <c r="BE30" s="431"/>
      <c r="BF30" s="431">
        <v>8450.0697685945961</v>
      </c>
      <c r="BG30" s="431"/>
      <c r="BH30" s="431">
        <v>569161.47796788649</v>
      </c>
      <c r="BI30" s="431">
        <v>553087.81696401641</v>
      </c>
      <c r="BJ30" s="431">
        <v>547380.63198927569</v>
      </c>
      <c r="BK30" s="431">
        <v>0</v>
      </c>
      <c r="BL30" s="431">
        <v>0</v>
      </c>
      <c r="BM30" s="431">
        <v>0</v>
      </c>
      <c r="BN30" s="431">
        <v>0</v>
      </c>
      <c r="BO30" s="431">
        <v>0</v>
      </c>
      <c r="BP30" s="431">
        <v>0</v>
      </c>
      <c r="BQ30" s="431">
        <v>928.96407877970842</v>
      </c>
      <c r="BR30" s="431">
        <v>0</v>
      </c>
      <c r="BS30" s="431">
        <v>0</v>
      </c>
      <c r="BT30" s="431">
        <v>0</v>
      </c>
      <c r="BU30" s="431">
        <v>0</v>
      </c>
      <c r="BV30" s="431">
        <v>883.3224528145762</v>
      </c>
      <c r="BW30" s="431">
        <v>1438.2092845064767</v>
      </c>
      <c r="BX30" s="431">
        <v>1357.2711483824457</v>
      </c>
      <c r="BY30" s="431">
        <v>1106.3148342357513</v>
      </c>
      <c r="BZ30" s="431">
        <v>0</v>
      </c>
      <c r="CA30" s="431">
        <v>0</v>
      </c>
      <c r="CB30" s="431">
        <v>0</v>
      </c>
      <c r="CC30" s="432"/>
      <c r="CD30" s="428">
        <v>41669.686960763887</v>
      </c>
      <c r="CE30" s="433">
        <v>0.23661493803757297</v>
      </c>
      <c r="CF30" s="433">
        <v>0.16694260904431213</v>
      </c>
      <c r="CG30" s="433">
        <v>0.13121026256027446</v>
      </c>
      <c r="CH30" s="433"/>
      <c r="CI30" s="433">
        <v>0.11795401045953575</v>
      </c>
      <c r="CJ30" s="433"/>
      <c r="CK30" s="433">
        <v>0.19922791458904218</v>
      </c>
      <c r="CL30" s="433">
        <v>0.21269201576090199</v>
      </c>
      <c r="CM30" s="433">
        <v>0.1679308222171193</v>
      </c>
      <c r="CN30" s="433">
        <v>0.15783701875244799</v>
      </c>
      <c r="CO30" s="433">
        <v>0.10121765399835686</v>
      </c>
      <c r="CP30" s="433">
        <v>0.25731882522665095</v>
      </c>
      <c r="CQ30" s="433">
        <v>0.29895541791566238</v>
      </c>
      <c r="CR30" s="433">
        <v>0.35622596063466722</v>
      </c>
      <c r="CS30" s="433"/>
      <c r="CT30" s="433">
        <v>0.44773699730205757</v>
      </c>
      <c r="CU30" s="433"/>
      <c r="CV30" s="433">
        <v>0.47651872850367988</v>
      </c>
      <c r="CW30" s="433">
        <v>0.47402386605078101</v>
      </c>
      <c r="CX30" s="433">
        <v>0.39912436248524713</v>
      </c>
      <c r="CY30" s="433">
        <v>0</v>
      </c>
      <c r="CZ30" s="433">
        <v>0</v>
      </c>
      <c r="DA30" s="433">
        <v>0</v>
      </c>
      <c r="DB30" s="433">
        <v>0</v>
      </c>
      <c r="DC30" s="433">
        <v>0</v>
      </c>
      <c r="DD30" s="433">
        <v>0</v>
      </c>
      <c r="DE30" s="433">
        <v>0.37116068711776151</v>
      </c>
      <c r="DF30" s="433">
        <v>0</v>
      </c>
      <c r="DG30" s="433">
        <v>0</v>
      </c>
      <c r="DH30" s="433">
        <v>0</v>
      </c>
      <c r="DI30" s="433">
        <v>0</v>
      </c>
      <c r="DJ30" s="433">
        <v>0.32777062561828746</v>
      </c>
      <c r="DK30" s="433">
        <v>0.29978363190280732</v>
      </c>
      <c r="DL30" s="433">
        <v>0.26473781299938598</v>
      </c>
      <c r="DM30" s="433">
        <v>0.38971872147364955</v>
      </c>
      <c r="DN30" s="433">
        <v>0</v>
      </c>
      <c r="DO30" s="433">
        <v>0</v>
      </c>
      <c r="DP30" s="433">
        <v>0</v>
      </c>
      <c r="DR30" s="409" t="s">
        <v>855</v>
      </c>
      <c r="DS30" s="409" t="s">
        <v>2314</v>
      </c>
    </row>
    <row r="31" spans="2:123" s="1471" customFormat="1">
      <c r="B31" s="428">
        <v>41674.466349189817</v>
      </c>
      <c r="C31" s="429">
        <v>1.4614706589727757</v>
      </c>
      <c r="D31" s="429">
        <v>1.4727932541435256</v>
      </c>
      <c r="E31" s="429">
        <v>1.5805255443773774</v>
      </c>
      <c r="F31" s="429"/>
      <c r="G31" s="429">
        <v>1.5125675111322392</v>
      </c>
      <c r="H31" s="429"/>
      <c r="I31" s="429">
        <v>1.4199499435021758</v>
      </c>
      <c r="J31" s="429">
        <v>1.6625917378742923</v>
      </c>
      <c r="K31" s="429">
        <v>1.3983998894242327</v>
      </c>
      <c r="L31" s="429">
        <v>1.6243725089045808</v>
      </c>
      <c r="M31" s="429">
        <v>1.9580239376716044</v>
      </c>
      <c r="N31" s="429">
        <v>2.0034803989105496</v>
      </c>
      <c r="O31" s="429">
        <v>1.6512626595582713</v>
      </c>
      <c r="P31" s="429">
        <v>1.6155217978084233</v>
      </c>
      <c r="Q31" s="429"/>
      <c r="R31" s="429">
        <v>13.47289151244644</v>
      </c>
      <c r="S31" s="429"/>
      <c r="T31" s="429">
        <v>4486.5284317147198</v>
      </c>
      <c r="U31" s="429">
        <v>4660.993090780551</v>
      </c>
      <c r="V31" s="429">
        <v>4493.4321814105451</v>
      </c>
      <c r="W31" s="429"/>
      <c r="X31" s="429">
        <v>98.520410220945891</v>
      </c>
      <c r="Y31" s="429">
        <v>91.420279047264742</v>
      </c>
      <c r="Z31" s="429">
        <v>147.3641320735411</v>
      </c>
      <c r="AA31" s="429">
        <v>98.88328448471286</v>
      </c>
      <c r="AB31" s="429">
        <v>91.959643020323568</v>
      </c>
      <c r="AC31" s="429">
        <v>78.782554572844347</v>
      </c>
      <c r="AD31" s="429">
        <v>3.3819676284896669</v>
      </c>
      <c r="AE31" s="429">
        <v>0</v>
      </c>
      <c r="AF31" s="429">
        <v>0</v>
      </c>
      <c r="AG31" s="429">
        <v>0</v>
      </c>
      <c r="AH31" s="429">
        <v>3.3929687704194316</v>
      </c>
      <c r="AI31" s="429">
        <v>6.6004295175958605</v>
      </c>
      <c r="AJ31" s="429">
        <v>6.6890639483192285</v>
      </c>
      <c r="AK31" s="429">
        <v>7.1723142542983274</v>
      </c>
      <c r="AL31" s="429">
        <v>0</v>
      </c>
      <c r="AM31" s="429">
        <v>0</v>
      </c>
      <c r="AN31" s="429">
        <v>0</v>
      </c>
      <c r="AO31" s="432"/>
      <c r="AP31" s="428">
        <v>41674.466349189817</v>
      </c>
      <c r="AQ31" s="431">
        <v>133.94345440388889</v>
      </c>
      <c r="AR31" s="431">
        <v>176.98244879419491</v>
      </c>
      <c r="AS31" s="431">
        <v>375.46961731861205</v>
      </c>
      <c r="AT31" s="431"/>
      <c r="AU31" s="431">
        <v>29.705547997603343</v>
      </c>
      <c r="AV31" s="431"/>
      <c r="AW31" s="431">
        <v>132.57379946876796</v>
      </c>
      <c r="AX31" s="431">
        <v>-28.91692937102647</v>
      </c>
      <c r="AY31" s="431">
        <v>160.58659593195802</v>
      </c>
      <c r="AZ31" s="431">
        <v>-65.082537283220958</v>
      </c>
      <c r="BA31" s="431">
        <v>-6.5748794789672189</v>
      </c>
      <c r="BB31" s="431">
        <v>183.23277104553128</v>
      </c>
      <c r="BC31" s="431">
        <v>132.2604288674751</v>
      </c>
      <c r="BD31" s="431">
        <v>186.89984066588596</v>
      </c>
      <c r="BE31" s="431"/>
      <c r="BF31" s="431">
        <v>8450.0697685945961</v>
      </c>
      <c r="BG31" s="431"/>
      <c r="BH31" s="431">
        <v>569161.47796788649</v>
      </c>
      <c r="BI31" s="431">
        <v>553087.81696401641</v>
      </c>
      <c r="BJ31" s="431">
        <v>547380.63198927569</v>
      </c>
      <c r="BK31" s="431">
        <v>531212.23627265636</v>
      </c>
      <c r="BL31" s="431">
        <v>525730.78034420102</v>
      </c>
      <c r="BM31" s="431">
        <v>536452.77046001656</v>
      </c>
      <c r="BN31" s="431">
        <v>531212.23627265636</v>
      </c>
      <c r="BO31" s="431">
        <v>525730.78034420102</v>
      </c>
      <c r="BP31" s="431">
        <v>429061.62045638735</v>
      </c>
      <c r="BQ31" s="431">
        <v>928.96407877970842</v>
      </c>
      <c r="BR31" s="431">
        <v>0</v>
      </c>
      <c r="BS31" s="431">
        <v>0</v>
      </c>
      <c r="BT31" s="431">
        <v>0</v>
      </c>
      <c r="BU31" s="431">
        <v>0</v>
      </c>
      <c r="BV31" s="431">
        <v>883.3224528145762</v>
      </c>
      <c r="BW31" s="431">
        <v>1438.2092845064767</v>
      </c>
      <c r="BX31" s="431">
        <v>1357.2711483824457</v>
      </c>
      <c r="BY31" s="431">
        <v>1106.3148342357513</v>
      </c>
      <c r="BZ31" s="431">
        <v>0</v>
      </c>
      <c r="CA31" s="431">
        <v>0</v>
      </c>
      <c r="CB31" s="431">
        <v>0</v>
      </c>
      <c r="CC31" s="432"/>
      <c r="CD31" s="428">
        <v>41674.466349189817</v>
      </c>
      <c r="CE31" s="433">
        <v>0.23661493803757297</v>
      </c>
      <c r="CF31" s="433">
        <v>0.16694260904431213</v>
      </c>
      <c r="CG31" s="433">
        <v>0.13121026256027446</v>
      </c>
      <c r="CH31" s="433"/>
      <c r="CI31" s="433">
        <v>0.11795401045953575</v>
      </c>
      <c r="CJ31" s="433"/>
      <c r="CK31" s="433">
        <v>0.19922791458904218</v>
      </c>
      <c r="CL31" s="433">
        <v>0.21269201576090199</v>
      </c>
      <c r="CM31" s="433">
        <v>0.1679308222171193</v>
      </c>
      <c r="CN31" s="433">
        <v>0.15783701875244799</v>
      </c>
      <c r="CO31" s="433">
        <v>0.10121765399835686</v>
      </c>
      <c r="CP31" s="433">
        <v>0.25731882522665095</v>
      </c>
      <c r="CQ31" s="433">
        <v>0.29895541791566238</v>
      </c>
      <c r="CR31" s="433">
        <v>0.35622596063466722</v>
      </c>
      <c r="CS31" s="433"/>
      <c r="CT31" s="433">
        <v>0.44773699730205757</v>
      </c>
      <c r="CU31" s="433"/>
      <c r="CV31" s="433">
        <v>0.47651872850367988</v>
      </c>
      <c r="CW31" s="433">
        <v>0.47402386605078101</v>
      </c>
      <c r="CX31" s="433">
        <v>0.39912436248524713</v>
      </c>
      <c r="CY31" s="433">
        <v>0.29692854969420923</v>
      </c>
      <c r="CZ31" s="433">
        <v>0.25001150066075878</v>
      </c>
      <c r="DA31" s="433">
        <v>0.37097070789156017</v>
      </c>
      <c r="DB31" s="433">
        <v>0.29692854969420923</v>
      </c>
      <c r="DC31" s="433">
        <v>0.25001150066075878</v>
      </c>
      <c r="DD31" s="433">
        <v>0.29630464555893182</v>
      </c>
      <c r="DE31" s="433">
        <v>0.37116068711776151</v>
      </c>
      <c r="DF31" s="433">
        <v>0</v>
      </c>
      <c r="DG31" s="433">
        <v>0</v>
      </c>
      <c r="DH31" s="433">
        <v>0</v>
      </c>
      <c r="DI31" s="433">
        <v>0</v>
      </c>
      <c r="DJ31" s="433">
        <v>0.32777062561828746</v>
      </c>
      <c r="DK31" s="433">
        <v>0.29978363190280732</v>
      </c>
      <c r="DL31" s="433">
        <v>0.26473781299938598</v>
      </c>
      <c r="DM31" s="433">
        <v>0.38971872147364955</v>
      </c>
      <c r="DN31" s="433">
        <v>0</v>
      </c>
      <c r="DO31" s="433">
        <v>0</v>
      </c>
      <c r="DP31" s="433">
        <v>0</v>
      </c>
      <c r="DR31" s="409" t="s">
        <v>855</v>
      </c>
      <c r="DS31" s="409" t="s">
        <v>1999</v>
      </c>
    </row>
    <row r="32" spans="2:123" s="1471" customFormat="1">
      <c r="B32" s="428">
        <v>41711.450375925924</v>
      </c>
      <c r="C32" s="429">
        <v>1.4614706589727757</v>
      </c>
      <c r="D32" s="429">
        <v>1.4727932541435256</v>
      </c>
      <c r="E32" s="429">
        <v>1.5805255443773774</v>
      </c>
      <c r="F32" s="429"/>
      <c r="G32" s="429">
        <v>1.5125675111322392</v>
      </c>
      <c r="H32" s="429"/>
      <c r="I32" s="429">
        <v>1.4199499435021758</v>
      </c>
      <c r="J32" s="429">
        <v>1.6625917378742923</v>
      </c>
      <c r="K32" s="429">
        <v>1.3983998894242327</v>
      </c>
      <c r="L32" s="429">
        <v>1.6243725089045808</v>
      </c>
      <c r="M32" s="429">
        <v>1.9580239376716044</v>
      </c>
      <c r="N32" s="429">
        <v>2.0034803989105496</v>
      </c>
      <c r="O32" s="429">
        <v>1.6512626595582713</v>
      </c>
      <c r="P32" s="429">
        <v>1.6155217978084233</v>
      </c>
      <c r="Q32" s="429"/>
      <c r="R32" s="429">
        <v>13.47289151244644</v>
      </c>
      <c r="S32" s="429"/>
      <c r="T32" s="429">
        <v>4486.5284317147198</v>
      </c>
      <c r="U32" s="429">
        <v>4660.993090780551</v>
      </c>
      <c r="V32" s="429">
        <v>4493.4321814105451</v>
      </c>
      <c r="W32" s="429"/>
      <c r="X32" s="429">
        <v>98.520410220945891</v>
      </c>
      <c r="Y32" s="429">
        <v>91.420279047264742</v>
      </c>
      <c r="Z32" s="429">
        <v>147.58968665864558</v>
      </c>
      <c r="AA32" s="429">
        <v>98.88328448471286</v>
      </c>
      <c r="AB32" s="429">
        <v>91.959643020323568</v>
      </c>
      <c r="AC32" s="429">
        <v>78.782554572844347</v>
      </c>
      <c r="AD32" s="429">
        <v>3.3819676284896669</v>
      </c>
      <c r="AE32" s="429">
        <v>0</v>
      </c>
      <c r="AF32" s="429">
        <v>0</v>
      </c>
      <c r="AG32" s="429">
        <v>0</v>
      </c>
      <c r="AH32" s="429">
        <v>3.3929687704194316</v>
      </c>
      <c r="AI32" s="429">
        <v>6.6004295175958605</v>
      </c>
      <c r="AJ32" s="429">
        <v>6.6890639483192285</v>
      </c>
      <c r="AK32" s="429">
        <v>7.1723142542983274</v>
      </c>
      <c r="AL32" s="429">
        <v>0</v>
      </c>
      <c r="AM32" s="429">
        <v>0</v>
      </c>
      <c r="AN32" s="429">
        <v>0</v>
      </c>
      <c r="AO32" s="432"/>
      <c r="AP32" s="428">
        <v>41711.450375925924</v>
      </c>
      <c r="AQ32" s="431">
        <v>133.94345440388889</v>
      </c>
      <c r="AR32" s="431">
        <v>176.98244879419491</v>
      </c>
      <c r="AS32" s="431">
        <v>375.46961731861205</v>
      </c>
      <c r="AT32" s="431"/>
      <c r="AU32" s="431">
        <v>29.705547997603343</v>
      </c>
      <c r="AV32" s="431"/>
      <c r="AW32" s="431">
        <v>132.57379946876796</v>
      </c>
      <c r="AX32" s="431">
        <v>-28.91692937102647</v>
      </c>
      <c r="AY32" s="431">
        <v>160.58659593195802</v>
      </c>
      <c r="AZ32" s="431">
        <v>-65.082537283220958</v>
      </c>
      <c r="BA32" s="431">
        <v>-6.5748794789672189</v>
      </c>
      <c r="BB32" s="431">
        <v>183.23277104553128</v>
      </c>
      <c r="BC32" s="431">
        <v>132.2604288674751</v>
      </c>
      <c r="BD32" s="431">
        <v>186.89984066588596</v>
      </c>
      <c r="BE32" s="431"/>
      <c r="BF32" s="431">
        <v>8450.0697685945961</v>
      </c>
      <c r="BG32" s="431"/>
      <c r="BH32" s="431">
        <v>569161.47796788649</v>
      </c>
      <c r="BI32" s="431">
        <v>553087.81696401641</v>
      </c>
      <c r="BJ32" s="431">
        <v>547380.63198927569</v>
      </c>
      <c r="BK32" s="431">
        <v>531212.23627265636</v>
      </c>
      <c r="BL32" s="431">
        <v>525730.78034420102</v>
      </c>
      <c r="BM32" s="431">
        <v>536452.77046001656</v>
      </c>
      <c r="BN32" s="431">
        <v>531212.23627265636</v>
      </c>
      <c r="BO32" s="431">
        <v>525730.78034420102</v>
      </c>
      <c r="BP32" s="431">
        <v>429061.62045638735</v>
      </c>
      <c r="BQ32" s="431">
        <v>928.96407877970842</v>
      </c>
      <c r="BR32" s="431">
        <v>0</v>
      </c>
      <c r="BS32" s="431">
        <v>0</v>
      </c>
      <c r="BT32" s="431">
        <v>0</v>
      </c>
      <c r="BU32" s="431">
        <v>0</v>
      </c>
      <c r="BV32" s="431">
        <v>883.3224528145762</v>
      </c>
      <c r="BW32" s="431">
        <v>1438.2092845064767</v>
      </c>
      <c r="BX32" s="431">
        <v>1357.2711483824457</v>
      </c>
      <c r="BY32" s="431">
        <v>1106.3148342357513</v>
      </c>
      <c r="BZ32" s="431">
        <v>0</v>
      </c>
      <c r="CA32" s="431">
        <v>0</v>
      </c>
      <c r="CB32" s="431">
        <v>0</v>
      </c>
      <c r="CC32" s="432"/>
      <c r="CD32" s="428">
        <v>41711.450375810186</v>
      </c>
      <c r="CE32" s="433">
        <v>0.23661493803757297</v>
      </c>
      <c r="CF32" s="433">
        <v>0.16694260904431213</v>
      </c>
      <c r="CG32" s="433">
        <v>0.13121026256027446</v>
      </c>
      <c r="CH32" s="433"/>
      <c r="CI32" s="433">
        <v>0.11795401045953575</v>
      </c>
      <c r="CJ32" s="433"/>
      <c r="CK32" s="433">
        <v>0.19922791458904218</v>
      </c>
      <c r="CL32" s="433">
        <v>0.21269201576090199</v>
      </c>
      <c r="CM32" s="433">
        <v>0.1679308222171193</v>
      </c>
      <c r="CN32" s="433">
        <v>0.15783701875244799</v>
      </c>
      <c r="CO32" s="433">
        <v>0.10121765399835686</v>
      </c>
      <c r="CP32" s="433">
        <v>0.25731882522665095</v>
      </c>
      <c r="CQ32" s="433">
        <v>0.29895541791566238</v>
      </c>
      <c r="CR32" s="433">
        <v>0.35622596063466722</v>
      </c>
      <c r="CS32" s="433"/>
      <c r="CT32" s="433">
        <v>0.44773699730205757</v>
      </c>
      <c r="CU32" s="433"/>
      <c r="CV32" s="433">
        <v>0.47651872850367988</v>
      </c>
      <c r="CW32" s="433">
        <v>0.47402386605078101</v>
      </c>
      <c r="CX32" s="433">
        <v>0.39912436248524713</v>
      </c>
      <c r="CY32" s="433">
        <v>0.29692854969420923</v>
      </c>
      <c r="CZ32" s="433">
        <v>0.25001150066075878</v>
      </c>
      <c r="DA32" s="433">
        <v>0.37097070789156017</v>
      </c>
      <c r="DB32" s="433">
        <v>0.29692854969420923</v>
      </c>
      <c r="DC32" s="433">
        <v>0.25001150066075878</v>
      </c>
      <c r="DD32" s="433">
        <v>0.29630464555893182</v>
      </c>
      <c r="DE32" s="433">
        <v>0.37116068711776151</v>
      </c>
      <c r="DF32" s="433">
        <v>0</v>
      </c>
      <c r="DG32" s="433">
        <v>0</v>
      </c>
      <c r="DH32" s="433">
        <v>0</v>
      </c>
      <c r="DI32" s="433">
        <v>0</v>
      </c>
      <c r="DJ32" s="433">
        <v>0.32777062561828746</v>
      </c>
      <c r="DK32" s="433">
        <v>0.29978363190280732</v>
      </c>
      <c r="DL32" s="433">
        <v>0.26473781299938598</v>
      </c>
      <c r="DM32" s="433">
        <v>0.38971872147364955</v>
      </c>
      <c r="DN32" s="433">
        <v>0</v>
      </c>
      <c r="DO32" s="433">
        <v>0</v>
      </c>
      <c r="DP32" s="433">
        <v>0</v>
      </c>
      <c r="DR32" s="409" t="s">
        <v>1776</v>
      </c>
      <c r="DS32" s="409" t="s">
        <v>2002</v>
      </c>
    </row>
    <row r="33" spans="2:123" s="1471" customFormat="1">
      <c r="B33" s="428">
        <v>41726.452557060184</v>
      </c>
      <c r="C33" s="429">
        <v>1.4614706589727757</v>
      </c>
      <c r="D33" s="429">
        <v>1.4727932541435256</v>
      </c>
      <c r="E33" s="429">
        <v>1.5809223527437362</v>
      </c>
      <c r="F33" s="429"/>
      <c r="G33" s="429">
        <v>1.5125675111322392</v>
      </c>
      <c r="H33" s="429"/>
      <c r="I33" s="429">
        <v>1.4199499435021758</v>
      </c>
      <c r="J33" s="429">
        <v>1.6625917378742923</v>
      </c>
      <c r="K33" s="429">
        <v>1.3983998894242327</v>
      </c>
      <c r="L33" s="429">
        <v>1.6243725089045808</v>
      </c>
      <c r="M33" s="429">
        <v>1.9581701386735573</v>
      </c>
      <c r="N33" s="429">
        <v>2.0034803989105496</v>
      </c>
      <c r="O33" s="429">
        <v>1.6512626595582713</v>
      </c>
      <c r="P33" s="429">
        <v>1.6155217978084233</v>
      </c>
      <c r="Q33" s="429"/>
      <c r="R33" s="429">
        <v>13.47289151244644</v>
      </c>
      <c r="S33" s="429"/>
      <c r="T33" s="429">
        <v>4486.5284317147198</v>
      </c>
      <c r="U33" s="429">
        <v>4660.993090780551</v>
      </c>
      <c r="V33" s="429">
        <v>4493.4321814105451</v>
      </c>
      <c r="W33" s="429"/>
      <c r="X33" s="429">
        <v>98.520410220945891</v>
      </c>
      <c r="Y33" s="429">
        <v>91.420279047264742</v>
      </c>
      <c r="Z33" s="429">
        <v>147.58968665864558</v>
      </c>
      <c r="AA33" s="429">
        <v>98.88328448471286</v>
      </c>
      <c r="AB33" s="429">
        <v>91.959643020323568</v>
      </c>
      <c r="AC33" s="429">
        <v>78.782554572844347</v>
      </c>
      <c r="AD33" s="429">
        <v>3.3819676284896669</v>
      </c>
      <c r="AE33" s="429">
        <v>0</v>
      </c>
      <c r="AF33" s="429">
        <v>0</v>
      </c>
      <c r="AG33" s="429">
        <v>0</v>
      </c>
      <c r="AH33" s="429">
        <v>3.3929687704194316</v>
      </c>
      <c r="AI33" s="429">
        <v>6.6004295175958605</v>
      </c>
      <c r="AJ33" s="429">
        <v>6.6890639483192285</v>
      </c>
      <c r="AK33" s="429">
        <v>7.1723142542983274</v>
      </c>
      <c r="AL33" s="429">
        <v>0</v>
      </c>
      <c r="AM33" s="429">
        <v>0</v>
      </c>
      <c r="AN33" s="429">
        <v>0</v>
      </c>
      <c r="AO33" s="432"/>
      <c r="AP33" s="428">
        <v>41726.452557060184</v>
      </c>
      <c r="AQ33" s="431">
        <v>133.94345440388889</v>
      </c>
      <c r="AR33" s="431">
        <v>176.98244879419491</v>
      </c>
      <c r="AS33" s="431">
        <v>376.30429457861203</v>
      </c>
      <c r="AT33" s="431"/>
      <c r="AU33" s="431">
        <v>29.705547997603343</v>
      </c>
      <c r="AV33" s="431"/>
      <c r="AW33" s="431">
        <v>132.57379946876796</v>
      </c>
      <c r="AX33" s="431">
        <v>-28.91692937102647</v>
      </c>
      <c r="AY33" s="431">
        <v>160.58659593195802</v>
      </c>
      <c r="AZ33" s="431">
        <v>-65.082537283220958</v>
      </c>
      <c r="BA33" s="431">
        <v>-6.2673490384199333</v>
      </c>
      <c r="BB33" s="431">
        <v>183.23277104553128</v>
      </c>
      <c r="BC33" s="431">
        <v>132.2604288674751</v>
      </c>
      <c r="BD33" s="431">
        <v>186.89984066588596</v>
      </c>
      <c r="BE33" s="431"/>
      <c r="BF33" s="431">
        <v>8450.0697685945961</v>
      </c>
      <c r="BG33" s="431"/>
      <c r="BH33" s="431">
        <v>569161.47796788649</v>
      </c>
      <c r="BI33" s="431">
        <v>553087.81696401641</v>
      </c>
      <c r="BJ33" s="431">
        <v>547380.63198927569</v>
      </c>
      <c r="BK33" s="431">
        <v>531212.23627265636</v>
      </c>
      <c r="BL33" s="431">
        <v>525730.78034420102</v>
      </c>
      <c r="BM33" s="431">
        <v>536452.77046001656</v>
      </c>
      <c r="BN33" s="431">
        <v>531212.23627265636</v>
      </c>
      <c r="BO33" s="431">
        <v>525730.78034420102</v>
      </c>
      <c r="BP33" s="431">
        <v>429061.62045638735</v>
      </c>
      <c r="BQ33" s="431">
        <v>928.96407877970842</v>
      </c>
      <c r="BR33" s="431">
        <v>0</v>
      </c>
      <c r="BS33" s="431">
        <v>0</v>
      </c>
      <c r="BT33" s="431">
        <v>0</v>
      </c>
      <c r="BU33" s="431">
        <v>0</v>
      </c>
      <c r="BV33" s="431">
        <v>883.3224528145762</v>
      </c>
      <c r="BW33" s="431">
        <v>1438.2092845064767</v>
      </c>
      <c r="BX33" s="431">
        <v>1357.2711483824457</v>
      </c>
      <c r="BY33" s="431">
        <v>1106.3148342357513</v>
      </c>
      <c r="BZ33" s="431">
        <v>0</v>
      </c>
      <c r="CA33" s="431">
        <v>0</v>
      </c>
      <c r="CB33" s="431">
        <v>0</v>
      </c>
      <c r="CC33" s="432"/>
      <c r="CD33" s="428">
        <v>41726.452557060184</v>
      </c>
      <c r="CE33" s="433">
        <v>0.23661493803757297</v>
      </c>
      <c r="CF33" s="433">
        <v>0.16694260904431213</v>
      </c>
      <c r="CG33" s="433">
        <v>0.13121026256027446</v>
      </c>
      <c r="CH33" s="433"/>
      <c r="CI33" s="433">
        <v>0.11795401045953575</v>
      </c>
      <c r="CJ33" s="433"/>
      <c r="CK33" s="433">
        <v>0.19922791458904218</v>
      </c>
      <c r="CL33" s="433">
        <v>0.21269201576090199</v>
      </c>
      <c r="CM33" s="433">
        <v>0.1679308222171193</v>
      </c>
      <c r="CN33" s="433">
        <v>0.15783701875244799</v>
      </c>
      <c r="CO33" s="433">
        <v>0.10121765399835686</v>
      </c>
      <c r="CP33" s="433">
        <v>0.25731882522665095</v>
      </c>
      <c r="CQ33" s="433">
        <v>0.29895541791566238</v>
      </c>
      <c r="CR33" s="433">
        <v>0.35622596063466722</v>
      </c>
      <c r="CS33" s="433"/>
      <c r="CT33" s="433">
        <v>0.44773699730205757</v>
      </c>
      <c r="CU33" s="433"/>
      <c r="CV33" s="433">
        <v>0.47651872850367988</v>
      </c>
      <c r="CW33" s="433">
        <v>0.47402386605078101</v>
      </c>
      <c r="CX33" s="433">
        <v>0.39912436248524713</v>
      </c>
      <c r="CY33" s="433">
        <v>0.29692854969420923</v>
      </c>
      <c r="CZ33" s="433">
        <v>0.25001150066075878</v>
      </c>
      <c r="DA33" s="433">
        <v>0.37097070789156017</v>
      </c>
      <c r="DB33" s="433">
        <v>0.29692854969420923</v>
      </c>
      <c r="DC33" s="433">
        <v>0.25001150066075878</v>
      </c>
      <c r="DD33" s="433">
        <v>0.29630464555893182</v>
      </c>
      <c r="DE33" s="433">
        <v>0.37116068711776151</v>
      </c>
      <c r="DF33" s="433">
        <v>0</v>
      </c>
      <c r="DG33" s="433">
        <v>0</v>
      </c>
      <c r="DH33" s="433">
        <v>0</v>
      </c>
      <c r="DI33" s="433">
        <v>0</v>
      </c>
      <c r="DJ33" s="433">
        <v>0.32777062561828746</v>
      </c>
      <c r="DK33" s="433">
        <v>0.29978363190280732</v>
      </c>
      <c r="DL33" s="433">
        <v>0.26473781299938598</v>
      </c>
      <c r="DM33" s="433">
        <v>0.38971872147364955</v>
      </c>
      <c r="DN33" s="433">
        <v>0</v>
      </c>
      <c r="DO33" s="433">
        <v>0</v>
      </c>
      <c r="DP33" s="433">
        <v>0</v>
      </c>
      <c r="DR33" s="409" t="s">
        <v>2011</v>
      </c>
      <c r="DS33" s="409" t="s">
        <v>2012</v>
      </c>
    </row>
    <row r="34" spans="2:123" s="1471" customFormat="1">
      <c r="B34" s="428">
        <v>41726.561356944447</v>
      </c>
      <c r="C34" s="429">
        <v>1.4614706589727757</v>
      </c>
      <c r="D34" s="429">
        <v>1.4727932541435256</v>
      </c>
      <c r="E34" s="429">
        <v>1.5809223527437362</v>
      </c>
      <c r="F34" s="429"/>
      <c r="G34" s="429">
        <v>1.5125675111322392</v>
      </c>
      <c r="H34" s="429"/>
      <c r="I34" s="429">
        <v>1.4199499435021758</v>
      </c>
      <c r="J34" s="429">
        <v>1.6625917378742923</v>
      </c>
      <c r="K34" s="429">
        <v>1.3983998894242327</v>
      </c>
      <c r="L34" s="429">
        <v>1.6243725089045808</v>
      </c>
      <c r="M34" s="429">
        <v>1.9581701386735573</v>
      </c>
      <c r="N34" s="429">
        <v>2.0034803989105496</v>
      </c>
      <c r="O34" s="429">
        <v>1.6512626595582713</v>
      </c>
      <c r="P34" s="429">
        <v>1.6155217978084233</v>
      </c>
      <c r="Q34" s="429"/>
      <c r="R34" s="429">
        <v>13.47289151244644</v>
      </c>
      <c r="S34" s="429"/>
      <c r="T34" s="429">
        <v>4486.5284317147198</v>
      </c>
      <c r="U34" s="429">
        <v>4660.993090780551</v>
      </c>
      <c r="V34" s="429">
        <v>4493.4321814105451</v>
      </c>
      <c r="W34" s="429"/>
      <c r="X34" s="429">
        <v>98.520410220945891</v>
      </c>
      <c r="Y34" s="429">
        <v>91.420279047264742</v>
      </c>
      <c r="Z34" s="429">
        <v>143.22416536998014</v>
      </c>
      <c r="AA34" s="429">
        <v>98.88328448471286</v>
      </c>
      <c r="AB34" s="429">
        <v>91.959643020323568</v>
      </c>
      <c r="AC34" s="429">
        <v>78.782554572844347</v>
      </c>
      <c r="AD34" s="429">
        <v>3.3819676284896669</v>
      </c>
      <c r="AE34" s="429">
        <v>0</v>
      </c>
      <c r="AF34" s="429">
        <v>0</v>
      </c>
      <c r="AG34" s="429">
        <v>0</v>
      </c>
      <c r="AH34" s="429">
        <v>3.3929687704194316</v>
      </c>
      <c r="AI34" s="429">
        <v>6.6004295175958605</v>
      </c>
      <c r="AJ34" s="429">
        <v>6.6890639483192285</v>
      </c>
      <c r="AK34" s="429">
        <v>7.1723142542983274</v>
      </c>
      <c r="AL34" s="429">
        <v>0</v>
      </c>
      <c r="AM34" s="429">
        <v>0</v>
      </c>
      <c r="AN34" s="429">
        <v>0</v>
      </c>
      <c r="AO34" s="432"/>
      <c r="AP34" s="428">
        <v>41726.561356944447</v>
      </c>
      <c r="AQ34" s="431">
        <v>133.94345440388889</v>
      </c>
      <c r="AR34" s="431">
        <v>176.98244879419491</v>
      </c>
      <c r="AS34" s="431">
        <v>376.30429457861203</v>
      </c>
      <c r="AT34" s="431"/>
      <c r="AU34" s="431">
        <v>29.705547997603343</v>
      </c>
      <c r="AV34" s="431"/>
      <c r="AW34" s="431">
        <v>132.57379946876796</v>
      </c>
      <c r="AX34" s="431">
        <v>-28.91692937102647</v>
      </c>
      <c r="AY34" s="431">
        <v>160.58659593195802</v>
      </c>
      <c r="AZ34" s="431">
        <v>-65.082537283220958</v>
      </c>
      <c r="BA34" s="431">
        <v>-6.2673490384199333</v>
      </c>
      <c r="BB34" s="431">
        <v>183.23277104553128</v>
      </c>
      <c r="BC34" s="431">
        <v>132.2604288674751</v>
      </c>
      <c r="BD34" s="431">
        <v>186.89984066588596</v>
      </c>
      <c r="BE34" s="431"/>
      <c r="BF34" s="431">
        <v>8450.0697685945961</v>
      </c>
      <c r="BG34" s="431"/>
      <c r="BH34" s="431">
        <v>569161.47796788649</v>
      </c>
      <c r="BI34" s="431">
        <v>553087.81696401641</v>
      </c>
      <c r="BJ34" s="431">
        <v>547380.63198927569</v>
      </c>
      <c r="BK34" s="431">
        <v>531212.23627265636</v>
      </c>
      <c r="BL34" s="431">
        <v>525730.78034420102</v>
      </c>
      <c r="BM34" s="431">
        <v>508218.4141200158</v>
      </c>
      <c r="BN34" s="431">
        <v>531212.23627265636</v>
      </c>
      <c r="BO34" s="431">
        <v>525730.78034420102</v>
      </c>
      <c r="BP34" s="431">
        <v>429061.62045638735</v>
      </c>
      <c r="BQ34" s="431">
        <v>928.96407877970842</v>
      </c>
      <c r="BR34" s="431">
        <v>0</v>
      </c>
      <c r="BS34" s="431">
        <v>0</v>
      </c>
      <c r="BT34" s="431">
        <v>0</v>
      </c>
      <c r="BU34" s="431">
        <v>0</v>
      </c>
      <c r="BV34" s="431">
        <v>883.3224528145762</v>
      </c>
      <c r="BW34" s="431">
        <v>1438.2092845064767</v>
      </c>
      <c r="BX34" s="431">
        <v>1357.2711483824457</v>
      </c>
      <c r="BY34" s="431">
        <v>1106.3148342357513</v>
      </c>
      <c r="BZ34" s="431">
        <v>0</v>
      </c>
      <c r="CA34" s="431">
        <v>0</v>
      </c>
      <c r="CB34" s="431">
        <v>0</v>
      </c>
      <c r="CC34" s="432"/>
      <c r="CD34" s="428">
        <v>41726.561356828701</v>
      </c>
      <c r="CE34" s="433">
        <v>0.23661493803757297</v>
      </c>
      <c r="CF34" s="433">
        <v>0.16694260904431213</v>
      </c>
      <c r="CG34" s="433">
        <v>0.13121026256027446</v>
      </c>
      <c r="CH34" s="433"/>
      <c r="CI34" s="433">
        <v>0.11795401045953575</v>
      </c>
      <c r="CJ34" s="433"/>
      <c r="CK34" s="433">
        <v>0.19922791458904218</v>
      </c>
      <c r="CL34" s="433">
        <v>0.21269201576090199</v>
      </c>
      <c r="CM34" s="433">
        <v>0.1679308222171193</v>
      </c>
      <c r="CN34" s="433">
        <v>0.15783701875244799</v>
      </c>
      <c r="CO34" s="433">
        <v>0.10121765399835686</v>
      </c>
      <c r="CP34" s="433">
        <v>0.25731882522665095</v>
      </c>
      <c r="CQ34" s="433">
        <v>0.29895541791566238</v>
      </c>
      <c r="CR34" s="433">
        <v>0.35622596063466722</v>
      </c>
      <c r="CS34" s="433"/>
      <c r="CT34" s="433">
        <v>0.44773699730205757</v>
      </c>
      <c r="CU34" s="433"/>
      <c r="CV34" s="433">
        <v>0.47651872850367988</v>
      </c>
      <c r="CW34" s="433">
        <v>0.47402386605078101</v>
      </c>
      <c r="CX34" s="433">
        <v>0.39912436248524713</v>
      </c>
      <c r="CY34" s="433">
        <v>0.29692854969420923</v>
      </c>
      <c r="CZ34" s="433">
        <v>0.25001150066075878</v>
      </c>
      <c r="DA34" s="433">
        <v>0.39158019166331348</v>
      </c>
      <c r="DB34" s="433">
        <v>0.29692854969420923</v>
      </c>
      <c r="DC34" s="433">
        <v>0.25001150066075878</v>
      </c>
      <c r="DD34" s="433">
        <v>0.29630464555893182</v>
      </c>
      <c r="DE34" s="433">
        <v>0.37116068711776151</v>
      </c>
      <c r="DF34" s="433">
        <v>0</v>
      </c>
      <c r="DG34" s="433">
        <v>0</v>
      </c>
      <c r="DH34" s="433">
        <v>0</v>
      </c>
      <c r="DI34" s="433">
        <v>0</v>
      </c>
      <c r="DJ34" s="433">
        <v>0.32777062561828746</v>
      </c>
      <c r="DK34" s="433">
        <v>0.29978363190280732</v>
      </c>
      <c r="DL34" s="433">
        <v>0.26473781299938598</v>
      </c>
      <c r="DM34" s="433">
        <v>0.38971872147364955</v>
      </c>
      <c r="DN34" s="433">
        <v>0</v>
      </c>
      <c r="DO34" s="433">
        <v>0</v>
      </c>
      <c r="DP34" s="433">
        <v>0</v>
      </c>
      <c r="DR34" s="409" t="s">
        <v>855</v>
      </c>
      <c r="DS34" s="409" t="s">
        <v>2014</v>
      </c>
    </row>
    <row r="35" spans="2:123" s="1471" customFormat="1">
      <c r="B35" s="428">
        <v>41730.537314120367</v>
      </c>
      <c r="C35" s="429">
        <v>1.4614706589727757</v>
      </c>
      <c r="D35" s="429">
        <v>1.4727932541435256</v>
      </c>
      <c r="E35" s="429">
        <v>1.5366595453681544</v>
      </c>
      <c r="F35" s="429"/>
      <c r="G35" s="429">
        <v>1.5096731016701335</v>
      </c>
      <c r="H35" s="429"/>
      <c r="I35" s="429">
        <v>1.4175604252543925</v>
      </c>
      <c r="J35" s="429">
        <v>1.4899484940370802</v>
      </c>
      <c r="K35" s="429">
        <v>1.3983998894242327</v>
      </c>
      <c r="L35" s="429">
        <v>1.6751396605471429</v>
      </c>
      <c r="M35" s="429">
        <v>1.9365034166938793</v>
      </c>
      <c r="N35" s="429">
        <v>2.0034803989105496</v>
      </c>
      <c r="O35" s="429">
        <v>1.6512626595582713</v>
      </c>
      <c r="P35" s="429">
        <v>1.6155217978084233</v>
      </c>
      <c r="Q35" s="429"/>
      <c r="R35" s="429">
        <v>13.47289151244644</v>
      </c>
      <c r="S35" s="429"/>
      <c r="T35" s="429">
        <v>4486.5284317147198</v>
      </c>
      <c r="U35" s="429">
        <v>4660.993090780551</v>
      </c>
      <c r="V35" s="429">
        <v>4483.7909258970694</v>
      </c>
      <c r="W35" s="429"/>
      <c r="X35" s="429">
        <v>98.520410220945891</v>
      </c>
      <c r="Y35" s="429">
        <v>91.066504372851497</v>
      </c>
      <c r="Z35" s="429">
        <v>143.22416536998014</v>
      </c>
      <c r="AA35" s="429">
        <v>98.88328448471286</v>
      </c>
      <c r="AB35" s="429">
        <v>91.61608617709021</v>
      </c>
      <c r="AC35" s="429">
        <v>78.782554572844347</v>
      </c>
      <c r="AD35" s="429">
        <v>3.3819676284896669</v>
      </c>
      <c r="AE35" s="429">
        <v>0</v>
      </c>
      <c r="AF35" s="429">
        <v>0</v>
      </c>
      <c r="AG35" s="429">
        <v>0</v>
      </c>
      <c r="AH35" s="429">
        <v>3.3929687704194316</v>
      </c>
      <c r="AI35" s="429">
        <v>6.6004295175958605</v>
      </c>
      <c r="AJ35" s="429">
        <v>6.6890639483192285</v>
      </c>
      <c r="AK35" s="429">
        <v>7.1723142542983274</v>
      </c>
      <c r="AL35" s="429">
        <v>0</v>
      </c>
      <c r="AM35" s="429">
        <v>0</v>
      </c>
      <c r="AN35" s="429">
        <v>0</v>
      </c>
      <c r="AO35" s="432"/>
      <c r="AP35" s="428">
        <v>41730.537314120367</v>
      </c>
      <c r="AQ35" s="431">
        <v>133.94345440388889</v>
      </c>
      <c r="AR35" s="431">
        <v>176.98244879419491</v>
      </c>
      <c r="AS35" s="431">
        <v>323.59466026950633</v>
      </c>
      <c r="AT35" s="431"/>
      <c r="AU35" s="431">
        <v>29.235118135782383</v>
      </c>
      <c r="AV35" s="431"/>
      <c r="AW35" s="431">
        <v>132.25183921671942</v>
      </c>
      <c r="AX35" s="431">
        <v>-8.7764176763884478</v>
      </c>
      <c r="AY35" s="431">
        <v>160.58659593195802</v>
      </c>
      <c r="AZ35" s="431">
        <v>-108.95026356806855</v>
      </c>
      <c r="BA35" s="431">
        <v>-2.0233454118055576</v>
      </c>
      <c r="BB35" s="431">
        <v>183.23277104553128</v>
      </c>
      <c r="BC35" s="431">
        <v>132.2604288674751</v>
      </c>
      <c r="BD35" s="431">
        <v>186.89984066588596</v>
      </c>
      <c r="BE35" s="431"/>
      <c r="BF35" s="431">
        <v>8450.0697685945961</v>
      </c>
      <c r="BG35" s="431"/>
      <c r="BH35" s="431">
        <v>569161.47796788649</v>
      </c>
      <c r="BI35" s="431">
        <v>553087.81696401641</v>
      </c>
      <c r="BJ35" s="431">
        <v>546039.0629080144</v>
      </c>
      <c r="BK35" s="431">
        <v>531212.23627265636</v>
      </c>
      <c r="BL35" s="431">
        <v>524442.27264268813</v>
      </c>
      <c r="BM35" s="431">
        <v>508218.4141200158</v>
      </c>
      <c r="BN35" s="431">
        <v>531212.23627265636</v>
      </c>
      <c r="BO35" s="431">
        <v>524442.27264268813</v>
      </c>
      <c r="BP35" s="431">
        <v>429061.62045638735</v>
      </c>
      <c r="BQ35" s="431">
        <v>928.96407877970842</v>
      </c>
      <c r="BR35" s="431">
        <v>0</v>
      </c>
      <c r="BS35" s="431">
        <v>0</v>
      </c>
      <c r="BT35" s="431">
        <v>0</v>
      </c>
      <c r="BU35" s="431">
        <v>0</v>
      </c>
      <c r="BV35" s="431">
        <v>883.3224528145762</v>
      </c>
      <c r="BW35" s="431">
        <v>1438.2092845064767</v>
      </c>
      <c r="BX35" s="431">
        <v>1357.2711483824457</v>
      </c>
      <c r="BY35" s="431">
        <v>1106.3148342357513</v>
      </c>
      <c r="BZ35" s="431">
        <v>0</v>
      </c>
      <c r="CA35" s="431">
        <v>0</v>
      </c>
      <c r="CB35" s="431">
        <v>0</v>
      </c>
      <c r="CC35" s="432"/>
      <c r="CD35" s="428">
        <v>41730.537314004629</v>
      </c>
      <c r="CE35" s="433">
        <v>0.23661493803757302</v>
      </c>
      <c r="CF35" s="433">
        <v>0.1669426090443121</v>
      </c>
      <c r="CG35" s="433">
        <v>0.13121026256027446</v>
      </c>
      <c r="CH35" s="433"/>
      <c r="CI35" s="433">
        <v>0.11795401045953573</v>
      </c>
      <c r="CJ35" s="433"/>
      <c r="CK35" s="433">
        <v>0.19922791458904218</v>
      </c>
      <c r="CL35" s="433">
        <v>0.21269201576090199</v>
      </c>
      <c r="CM35" s="433">
        <v>0.16793082221711927</v>
      </c>
      <c r="CN35" s="433">
        <v>0.15783701875244799</v>
      </c>
      <c r="CO35" s="433">
        <v>0.10121765399835686</v>
      </c>
      <c r="CP35" s="433">
        <v>0.25731882522665095</v>
      </c>
      <c r="CQ35" s="433">
        <v>0.29895541791566238</v>
      </c>
      <c r="CR35" s="433">
        <v>0.35622596063466716</v>
      </c>
      <c r="CS35" s="433"/>
      <c r="CT35" s="433">
        <v>0.44773699730205768</v>
      </c>
      <c r="CU35" s="433"/>
      <c r="CV35" s="433">
        <v>0.47651872850367988</v>
      </c>
      <c r="CW35" s="433">
        <v>0.47402386605078112</v>
      </c>
      <c r="CX35" s="433">
        <v>0.39912436248524713</v>
      </c>
      <c r="CY35" s="433">
        <v>0.29692854969420929</v>
      </c>
      <c r="CZ35" s="433">
        <v>0.25001150066075878</v>
      </c>
      <c r="DA35" s="433">
        <v>0.39158019166331348</v>
      </c>
      <c r="DB35" s="433">
        <v>0.29692854969420929</v>
      </c>
      <c r="DC35" s="433">
        <v>0.25001150066075878</v>
      </c>
      <c r="DD35" s="433">
        <v>0.29630464555893177</v>
      </c>
      <c r="DE35" s="433">
        <v>0.37116068711776162</v>
      </c>
      <c r="DF35" s="433">
        <v>0</v>
      </c>
      <c r="DG35" s="433">
        <v>0</v>
      </c>
      <c r="DH35" s="433">
        <v>0</v>
      </c>
      <c r="DI35" s="433">
        <v>0</v>
      </c>
      <c r="DJ35" s="433">
        <v>0.3277706256182874</v>
      </c>
      <c r="DK35" s="433">
        <v>0.29978363190280743</v>
      </c>
      <c r="DL35" s="433">
        <v>0.26473781299938592</v>
      </c>
      <c r="DM35" s="433">
        <v>0.38971872147364967</v>
      </c>
      <c r="DN35" s="433">
        <v>0</v>
      </c>
      <c r="DO35" s="433">
        <v>0</v>
      </c>
      <c r="DP35" s="433">
        <v>0</v>
      </c>
      <c r="DR35" s="409" t="s">
        <v>855</v>
      </c>
      <c r="DS35" s="409" t="s">
        <v>2025</v>
      </c>
    </row>
    <row r="36" spans="2:123" s="1471" customFormat="1">
      <c r="B36" s="428">
        <v>41730.548007523146</v>
      </c>
      <c r="C36" s="429">
        <v>1.4614706589727757</v>
      </c>
      <c r="D36" s="429">
        <v>1.4727932541435256</v>
      </c>
      <c r="E36" s="429">
        <v>1.5366595453681544</v>
      </c>
      <c r="F36" s="429"/>
      <c r="G36" s="429">
        <v>1.5096731016701335</v>
      </c>
      <c r="H36" s="429"/>
      <c r="I36" s="429">
        <v>1.4175604252543925</v>
      </c>
      <c r="J36" s="429">
        <v>1.4899484940370802</v>
      </c>
      <c r="K36" s="429">
        <v>1.3983998894242327</v>
      </c>
      <c r="L36" s="429">
        <v>1.6243725089045808</v>
      </c>
      <c r="M36" s="429">
        <v>1.9365034166938793</v>
      </c>
      <c r="N36" s="429">
        <v>2.0034803989105496</v>
      </c>
      <c r="O36" s="429">
        <v>1.6512626595582713</v>
      </c>
      <c r="P36" s="429">
        <v>1.6155217978084233</v>
      </c>
      <c r="Q36" s="429"/>
      <c r="R36" s="429">
        <v>13.47289151244644</v>
      </c>
      <c r="S36" s="429"/>
      <c r="T36" s="429">
        <v>4486.5284317147198</v>
      </c>
      <c r="U36" s="429">
        <v>4660.993090780551</v>
      </c>
      <c r="V36" s="429">
        <v>4483.7909258970694</v>
      </c>
      <c r="W36" s="429"/>
      <c r="X36" s="429">
        <v>98.520410220945891</v>
      </c>
      <c r="Y36" s="429">
        <v>91.066504372851497</v>
      </c>
      <c r="Z36" s="429">
        <v>143.22416536998014</v>
      </c>
      <c r="AA36" s="429">
        <v>98.88328448471286</v>
      </c>
      <c r="AB36" s="429">
        <v>91.61608617709021</v>
      </c>
      <c r="AC36" s="429">
        <v>78.782554572844347</v>
      </c>
      <c r="AD36" s="429">
        <v>3.3819676284896669</v>
      </c>
      <c r="AE36" s="429">
        <v>0</v>
      </c>
      <c r="AF36" s="429">
        <v>0</v>
      </c>
      <c r="AG36" s="429">
        <v>0</v>
      </c>
      <c r="AH36" s="429">
        <v>3.3929687704194316</v>
      </c>
      <c r="AI36" s="429">
        <v>6.6004295175958605</v>
      </c>
      <c r="AJ36" s="429">
        <v>6.6890639483192285</v>
      </c>
      <c r="AK36" s="429">
        <v>7.1723142542983274</v>
      </c>
      <c r="AL36" s="429">
        <v>0</v>
      </c>
      <c r="AM36" s="429">
        <v>0</v>
      </c>
      <c r="AN36" s="429">
        <v>0</v>
      </c>
      <c r="AO36" s="432"/>
      <c r="AP36" s="428">
        <v>41730.548007523146</v>
      </c>
      <c r="AQ36" s="431">
        <v>133.94345440388889</v>
      </c>
      <c r="AR36" s="431">
        <v>176.98244879419491</v>
      </c>
      <c r="AS36" s="431">
        <v>323.59466026950633</v>
      </c>
      <c r="AT36" s="431"/>
      <c r="AU36" s="431">
        <v>29.235118135782383</v>
      </c>
      <c r="AV36" s="431"/>
      <c r="AW36" s="431">
        <v>132.25183921671942</v>
      </c>
      <c r="AX36" s="431">
        <v>-8.7764176763884478</v>
      </c>
      <c r="AY36" s="431">
        <v>160.58659593195802</v>
      </c>
      <c r="AZ36" s="431">
        <v>-65.082537283220958</v>
      </c>
      <c r="BA36" s="431">
        <v>-2.0233454118055576</v>
      </c>
      <c r="BB36" s="431">
        <v>183.23277104553128</v>
      </c>
      <c r="BC36" s="431">
        <v>132.2604288674751</v>
      </c>
      <c r="BD36" s="431">
        <v>186.89984066588596</v>
      </c>
      <c r="BE36" s="431"/>
      <c r="BF36" s="431">
        <v>8450.0697685945961</v>
      </c>
      <c r="BG36" s="431"/>
      <c r="BH36" s="431">
        <v>569161.47796788649</v>
      </c>
      <c r="BI36" s="431">
        <v>553087.81696401641</v>
      </c>
      <c r="BJ36" s="431">
        <v>546039.0629080144</v>
      </c>
      <c r="BK36" s="431">
        <v>531212.23627265636</v>
      </c>
      <c r="BL36" s="431">
        <v>524442.27264268813</v>
      </c>
      <c r="BM36" s="431">
        <v>508218.4141200158</v>
      </c>
      <c r="BN36" s="431">
        <v>531212.23627265636</v>
      </c>
      <c r="BO36" s="431">
        <v>524442.27264268813</v>
      </c>
      <c r="BP36" s="431">
        <v>429061.62045638735</v>
      </c>
      <c r="BQ36" s="431">
        <v>928.96407877970842</v>
      </c>
      <c r="BR36" s="431">
        <v>0</v>
      </c>
      <c r="BS36" s="431">
        <v>0</v>
      </c>
      <c r="BT36" s="431">
        <v>0</v>
      </c>
      <c r="BU36" s="431">
        <v>0</v>
      </c>
      <c r="BV36" s="431">
        <v>883.3224528145762</v>
      </c>
      <c r="BW36" s="431">
        <v>1438.2092845064767</v>
      </c>
      <c r="BX36" s="431">
        <v>1357.2711483824457</v>
      </c>
      <c r="BY36" s="431">
        <v>1106.3148342357513</v>
      </c>
      <c r="BZ36" s="431">
        <v>0</v>
      </c>
      <c r="CA36" s="431">
        <v>0</v>
      </c>
      <c r="CB36" s="431">
        <v>0</v>
      </c>
      <c r="CC36" s="432"/>
      <c r="CD36" s="428">
        <v>41730.548007523146</v>
      </c>
      <c r="CE36" s="433">
        <v>0.23661493803757302</v>
      </c>
      <c r="CF36" s="433">
        <v>0.1669426090443121</v>
      </c>
      <c r="CG36" s="433">
        <v>0.13121026256027446</v>
      </c>
      <c r="CH36" s="433"/>
      <c r="CI36" s="433">
        <v>0.11795401045953573</v>
      </c>
      <c r="CJ36" s="433"/>
      <c r="CK36" s="433">
        <v>0.19922791458904218</v>
      </c>
      <c r="CL36" s="433">
        <v>0.21269201576090199</v>
      </c>
      <c r="CM36" s="433">
        <v>0.16793082221711927</v>
      </c>
      <c r="CN36" s="433">
        <v>0.15783701875244796</v>
      </c>
      <c r="CO36" s="433">
        <v>0.10121765399835686</v>
      </c>
      <c r="CP36" s="433">
        <v>0.25731882522665095</v>
      </c>
      <c r="CQ36" s="433">
        <v>0.29895541791566238</v>
      </c>
      <c r="CR36" s="433">
        <v>0.35622596063466716</v>
      </c>
      <c r="CS36" s="433"/>
      <c r="CT36" s="433">
        <v>0.44773699730205768</v>
      </c>
      <c r="CU36" s="433"/>
      <c r="CV36" s="433">
        <v>0.47651872850367988</v>
      </c>
      <c r="CW36" s="433">
        <v>0.47402386605078112</v>
      </c>
      <c r="CX36" s="433">
        <v>0.39912436248524713</v>
      </c>
      <c r="CY36" s="433">
        <v>0.29692854969420929</v>
      </c>
      <c r="CZ36" s="433">
        <v>0.25001150066075878</v>
      </c>
      <c r="DA36" s="433">
        <v>0.39158019166331348</v>
      </c>
      <c r="DB36" s="433">
        <v>0.29692854969420929</v>
      </c>
      <c r="DC36" s="433">
        <v>0.25001150066075878</v>
      </c>
      <c r="DD36" s="433">
        <v>0.29630464555893177</v>
      </c>
      <c r="DE36" s="433">
        <v>0.37116068711776162</v>
      </c>
      <c r="DF36" s="433">
        <v>0</v>
      </c>
      <c r="DG36" s="433">
        <v>0</v>
      </c>
      <c r="DH36" s="433">
        <v>0</v>
      </c>
      <c r="DI36" s="433">
        <v>0</v>
      </c>
      <c r="DJ36" s="433">
        <v>0.3277706256182874</v>
      </c>
      <c r="DK36" s="433">
        <v>0.29978363190280743</v>
      </c>
      <c r="DL36" s="433">
        <v>0.26473781299938592</v>
      </c>
      <c r="DM36" s="433">
        <v>0.38971872147364967</v>
      </c>
      <c r="DN36" s="433">
        <v>0</v>
      </c>
      <c r="DO36" s="433">
        <v>0</v>
      </c>
      <c r="DP36" s="433">
        <v>0</v>
      </c>
      <c r="DR36" s="409" t="s">
        <v>855</v>
      </c>
      <c r="DS36" s="409" t="s">
        <v>2026</v>
      </c>
    </row>
    <row r="37" spans="2:123" s="1471" customFormat="1">
      <c r="B37" s="428">
        <v>41736.549543981484</v>
      </c>
      <c r="C37" s="429">
        <v>1.4614706589727757</v>
      </c>
      <c r="D37" s="429">
        <v>1.4727932541435256</v>
      </c>
      <c r="E37" s="429">
        <v>1.5366595453681544</v>
      </c>
      <c r="F37" s="429"/>
      <c r="G37" s="429">
        <v>1.5096731016701335</v>
      </c>
      <c r="H37" s="429"/>
      <c r="I37" s="429">
        <v>1.4175604252543925</v>
      </c>
      <c r="J37" s="429">
        <v>1.4899484940370802</v>
      </c>
      <c r="K37" s="429">
        <v>1.3983998894242327</v>
      </c>
      <c r="L37" s="429">
        <v>1.6243725089045808</v>
      </c>
      <c r="M37" s="429">
        <v>1.7410034166938793</v>
      </c>
      <c r="N37" s="429">
        <v>1.8179803989105494</v>
      </c>
      <c r="O37" s="429">
        <v>1.4132626595582714</v>
      </c>
      <c r="P37" s="429">
        <v>1.4650217978084232</v>
      </c>
      <c r="Q37" s="429"/>
      <c r="R37" s="429">
        <v>13.47289151244644</v>
      </c>
      <c r="S37" s="429"/>
      <c r="T37" s="429">
        <v>4486.5284317147198</v>
      </c>
      <c r="U37" s="429">
        <v>4660.993090780551</v>
      </c>
      <c r="V37" s="429">
        <v>4483.7909258970694</v>
      </c>
      <c r="W37" s="429"/>
      <c r="X37" s="429">
        <v>98.520410220945891</v>
      </c>
      <c r="Y37" s="429">
        <v>91.066504372851497</v>
      </c>
      <c r="Z37" s="429">
        <v>143.22416536998014</v>
      </c>
      <c r="AA37" s="429">
        <v>98.88328448471286</v>
      </c>
      <c r="AB37" s="429">
        <v>91.61608617709021</v>
      </c>
      <c r="AC37" s="429">
        <v>78.782554572844347</v>
      </c>
      <c r="AD37" s="429">
        <v>3.3819676284896669</v>
      </c>
      <c r="AE37" s="429">
        <v>0</v>
      </c>
      <c r="AF37" s="429">
        <v>0</v>
      </c>
      <c r="AG37" s="429">
        <v>0</v>
      </c>
      <c r="AH37" s="429">
        <v>3.3929687704194316</v>
      </c>
      <c r="AI37" s="429">
        <v>6.6004295175958605</v>
      </c>
      <c r="AJ37" s="429">
        <v>6.6890639483192285</v>
      </c>
      <c r="AK37" s="429">
        <v>7.1723142542983274</v>
      </c>
      <c r="AL37" s="429">
        <v>0</v>
      </c>
      <c r="AM37" s="429">
        <v>0</v>
      </c>
      <c r="AN37" s="429">
        <v>0</v>
      </c>
      <c r="AO37" s="432"/>
      <c r="AP37" s="428">
        <v>41736.549543981484</v>
      </c>
      <c r="AQ37" s="431">
        <v>133.94345440388889</v>
      </c>
      <c r="AR37" s="431">
        <v>176.98244879419491</v>
      </c>
      <c r="AS37" s="431">
        <v>323.59466026950633</v>
      </c>
      <c r="AT37" s="431"/>
      <c r="AU37" s="431">
        <v>29.235118135782383</v>
      </c>
      <c r="AV37" s="431"/>
      <c r="AW37" s="431">
        <v>132.25183921671942</v>
      </c>
      <c r="AX37" s="431">
        <v>-8.7764176763884478</v>
      </c>
      <c r="AY37" s="431">
        <v>160.58659593195802</v>
      </c>
      <c r="AZ37" s="431">
        <v>-65.082537283220958</v>
      </c>
      <c r="BA37" s="431">
        <v>-2.0233454118055576</v>
      </c>
      <c r="BB37" s="431">
        <v>183.23277104553128</v>
      </c>
      <c r="BC37" s="431">
        <v>132.2604288674751</v>
      </c>
      <c r="BD37" s="431">
        <v>186.89984066588596</v>
      </c>
      <c r="BE37" s="431"/>
      <c r="BF37" s="431">
        <v>8450.0697685945961</v>
      </c>
      <c r="BG37" s="431"/>
      <c r="BH37" s="431">
        <v>569161.47796788649</v>
      </c>
      <c r="BI37" s="431">
        <v>553087.81696401641</v>
      </c>
      <c r="BJ37" s="431">
        <v>546039.0629080144</v>
      </c>
      <c r="BK37" s="431">
        <v>531212.23627265636</v>
      </c>
      <c r="BL37" s="431">
        <v>524442.27264268813</v>
      </c>
      <c r="BM37" s="431">
        <v>508218.4141200158</v>
      </c>
      <c r="BN37" s="431">
        <v>531212.23627265636</v>
      </c>
      <c r="BO37" s="431">
        <v>524442.27264268813</v>
      </c>
      <c r="BP37" s="431">
        <v>429061.62045638735</v>
      </c>
      <c r="BQ37" s="431">
        <v>928.96407877970842</v>
      </c>
      <c r="BR37" s="431">
        <v>0</v>
      </c>
      <c r="BS37" s="431">
        <v>0</v>
      </c>
      <c r="BT37" s="431">
        <v>0</v>
      </c>
      <c r="BU37" s="431">
        <v>0</v>
      </c>
      <c r="BV37" s="431">
        <v>883.3224528145762</v>
      </c>
      <c r="BW37" s="431">
        <v>1438.2092845064767</v>
      </c>
      <c r="BX37" s="431">
        <v>1357.2711483824457</v>
      </c>
      <c r="BY37" s="431">
        <v>1106.3148342357513</v>
      </c>
      <c r="BZ37" s="431">
        <v>0</v>
      </c>
      <c r="CA37" s="431">
        <v>0</v>
      </c>
      <c r="CB37" s="431">
        <v>0</v>
      </c>
      <c r="CC37" s="432"/>
      <c r="CD37" s="428">
        <v>41736.549543865738</v>
      </c>
      <c r="CE37" s="433">
        <v>0.23661493803757302</v>
      </c>
      <c r="CF37" s="433">
        <v>0.1669426090443121</v>
      </c>
      <c r="CG37" s="433">
        <v>0.13121026256027446</v>
      </c>
      <c r="CH37" s="433"/>
      <c r="CI37" s="433">
        <v>0.11795401045953573</v>
      </c>
      <c r="CJ37" s="433"/>
      <c r="CK37" s="433">
        <v>0.19922791458904218</v>
      </c>
      <c r="CL37" s="433">
        <v>0.21269201576090199</v>
      </c>
      <c r="CM37" s="433">
        <v>0.16793082221711927</v>
      </c>
      <c r="CN37" s="433">
        <v>0.15783701875244796</v>
      </c>
      <c r="CO37" s="433">
        <v>0.10121765399835686</v>
      </c>
      <c r="CP37" s="433">
        <v>0.25731882522665095</v>
      </c>
      <c r="CQ37" s="433">
        <v>0.29895541791566238</v>
      </c>
      <c r="CR37" s="433">
        <v>0.35622596063466716</v>
      </c>
      <c r="CS37" s="433"/>
      <c r="CT37" s="433">
        <v>0.44773699730205768</v>
      </c>
      <c r="CU37" s="433"/>
      <c r="CV37" s="433">
        <v>0.47651872850367988</v>
      </c>
      <c r="CW37" s="433">
        <v>0.47402386605078112</v>
      </c>
      <c r="CX37" s="433">
        <v>0.39912436248524713</v>
      </c>
      <c r="CY37" s="433">
        <v>0.29692854969420929</v>
      </c>
      <c r="CZ37" s="433">
        <v>0.25001150066075878</v>
      </c>
      <c r="DA37" s="433">
        <v>0.39158019166331348</v>
      </c>
      <c r="DB37" s="433">
        <v>0.29692854969420929</v>
      </c>
      <c r="DC37" s="433">
        <v>0.25001150066075878</v>
      </c>
      <c r="DD37" s="433">
        <v>0.29630464555893177</v>
      </c>
      <c r="DE37" s="433">
        <v>0.37116068711776162</v>
      </c>
      <c r="DF37" s="433">
        <v>0</v>
      </c>
      <c r="DG37" s="433">
        <v>0</v>
      </c>
      <c r="DH37" s="433">
        <v>0</v>
      </c>
      <c r="DI37" s="433">
        <v>0</v>
      </c>
      <c r="DJ37" s="433">
        <v>0.3277706256182874</v>
      </c>
      <c r="DK37" s="433">
        <v>0.29978363190280743</v>
      </c>
      <c r="DL37" s="433">
        <v>0.26473781299938592</v>
      </c>
      <c r="DM37" s="433">
        <v>0.38971872147364967</v>
      </c>
      <c r="DN37" s="433">
        <v>0</v>
      </c>
      <c r="DO37" s="433">
        <v>0</v>
      </c>
      <c r="DP37" s="433">
        <v>0</v>
      </c>
      <c r="DR37" s="409" t="s">
        <v>855</v>
      </c>
      <c r="DS37" s="409" t="s">
        <v>2031</v>
      </c>
    </row>
    <row r="38" spans="2:123" s="1471" customFormat="1">
      <c r="B38" s="428">
        <v>41736.56290138889</v>
      </c>
      <c r="C38" s="429">
        <v>1.4614706589727757</v>
      </c>
      <c r="D38" s="429">
        <v>1.4727932541435256</v>
      </c>
      <c r="E38" s="429">
        <v>1.5366595453681544</v>
      </c>
      <c r="F38" s="429"/>
      <c r="G38" s="429">
        <v>1.5096731016701335</v>
      </c>
      <c r="H38" s="429"/>
      <c r="I38" s="429">
        <v>1.4175604252543925</v>
      </c>
      <c r="J38" s="429">
        <v>1.4899484940370802</v>
      </c>
      <c r="K38" s="429">
        <v>1.3983998894242327</v>
      </c>
      <c r="L38" s="429">
        <v>1.6243725089045808</v>
      </c>
      <c r="M38" s="429">
        <v>1.7410034166938793</v>
      </c>
      <c r="N38" s="429">
        <v>1.8179803989105494</v>
      </c>
      <c r="O38" s="429">
        <v>1.4132626595582714</v>
      </c>
      <c r="P38" s="429">
        <v>1.4650217978084232</v>
      </c>
      <c r="Q38" s="429"/>
      <c r="R38" s="429">
        <v>13.47289151244644</v>
      </c>
      <c r="S38" s="429"/>
      <c r="T38" s="429">
        <v>4486.5284317147198</v>
      </c>
      <c r="U38" s="429">
        <v>4660.993090780551</v>
      </c>
      <c r="V38" s="429">
        <v>4483.7909258970694</v>
      </c>
      <c r="W38" s="429"/>
      <c r="X38" s="429">
        <v>98.520410220945891</v>
      </c>
      <c r="Y38" s="429">
        <v>91.066504372851497</v>
      </c>
      <c r="Z38" s="429">
        <v>143.22416536998014</v>
      </c>
      <c r="AA38" s="429">
        <v>98.88328448471286</v>
      </c>
      <c r="AB38" s="429">
        <v>91.61608617709021</v>
      </c>
      <c r="AC38" s="429">
        <v>78.782554572844347</v>
      </c>
      <c r="AD38" s="429">
        <v>3.3819676284896669</v>
      </c>
      <c r="AE38" s="429">
        <v>0</v>
      </c>
      <c r="AF38" s="429">
        <v>0</v>
      </c>
      <c r="AG38" s="429">
        <v>0</v>
      </c>
      <c r="AH38" s="429">
        <v>3.3929687704194316</v>
      </c>
      <c r="AI38" s="429">
        <v>6.6004295175958605</v>
      </c>
      <c r="AJ38" s="429">
        <v>6.6890639483192285</v>
      </c>
      <c r="AK38" s="429">
        <v>7.1723142542983274</v>
      </c>
      <c r="AL38" s="429">
        <v>0</v>
      </c>
      <c r="AM38" s="429">
        <v>0</v>
      </c>
      <c r="AN38" s="429">
        <v>0</v>
      </c>
      <c r="AO38" s="432"/>
      <c r="AP38" s="428">
        <v>41736.56290138889</v>
      </c>
      <c r="AQ38" s="431">
        <v>133.94345440388889</v>
      </c>
      <c r="AR38" s="431">
        <v>176.98244879419491</v>
      </c>
      <c r="AS38" s="431">
        <v>323.59466026950633</v>
      </c>
      <c r="AT38" s="431"/>
      <c r="AU38" s="431">
        <v>29.235118135782383</v>
      </c>
      <c r="AV38" s="431"/>
      <c r="AW38" s="431">
        <v>132.25183921671942</v>
      </c>
      <c r="AX38" s="431">
        <v>-8.7764176763884478</v>
      </c>
      <c r="AY38" s="431">
        <v>160.58659593195802</v>
      </c>
      <c r="AZ38" s="431">
        <v>-65.082537283220958</v>
      </c>
      <c r="BA38" s="431">
        <v>-2.0233454118055576</v>
      </c>
      <c r="BB38" s="431">
        <v>183.23277104553128</v>
      </c>
      <c r="BC38" s="431">
        <v>132.2604288674751</v>
      </c>
      <c r="BD38" s="431">
        <v>186.89984066588596</v>
      </c>
      <c r="BE38" s="431"/>
      <c r="BF38" s="431">
        <v>8450.0697685945961</v>
      </c>
      <c r="BG38" s="431"/>
      <c r="BH38" s="431">
        <v>569161.47796788649</v>
      </c>
      <c r="BI38" s="431">
        <v>553087.81696401641</v>
      </c>
      <c r="BJ38" s="431">
        <v>546039.0629080144</v>
      </c>
      <c r="BK38" s="431">
        <v>531212.23627265636</v>
      </c>
      <c r="BL38" s="431">
        <v>524442.27264268813</v>
      </c>
      <c r="BM38" s="431">
        <v>508218.4141200158</v>
      </c>
      <c r="BN38" s="431">
        <v>531212.23627265636</v>
      </c>
      <c r="BO38" s="431">
        <v>524442.27264268813</v>
      </c>
      <c r="BP38" s="431">
        <v>429061.62045638735</v>
      </c>
      <c r="BQ38" s="431">
        <v>928.96407877970842</v>
      </c>
      <c r="BR38" s="431">
        <v>0</v>
      </c>
      <c r="BS38" s="431">
        <v>0</v>
      </c>
      <c r="BT38" s="431">
        <v>0</v>
      </c>
      <c r="BU38" s="431">
        <v>0</v>
      </c>
      <c r="BV38" s="431">
        <v>883.3224528145762</v>
      </c>
      <c r="BW38" s="431">
        <v>1438.2092845064767</v>
      </c>
      <c r="BX38" s="431">
        <v>1357.2711483824457</v>
      </c>
      <c r="BY38" s="431">
        <v>1106.3148342357513</v>
      </c>
      <c r="BZ38" s="431">
        <v>0</v>
      </c>
      <c r="CA38" s="431">
        <v>0</v>
      </c>
      <c r="CB38" s="431">
        <v>0</v>
      </c>
      <c r="CC38" s="432"/>
      <c r="CD38" s="428">
        <v>41736.562901273152</v>
      </c>
      <c r="CE38" s="433">
        <v>0.23661493803757302</v>
      </c>
      <c r="CF38" s="433">
        <v>0.1669426090443121</v>
      </c>
      <c r="CG38" s="433">
        <v>0.13121026256027446</v>
      </c>
      <c r="CH38" s="433"/>
      <c r="CI38" s="433">
        <v>0.11795401045953573</v>
      </c>
      <c r="CJ38" s="433"/>
      <c r="CK38" s="433">
        <v>0.19922791458904218</v>
      </c>
      <c r="CL38" s="433">
        <v>0.21269201576090199</v>
      </c>
      <c r="CM38" s="433">
        <v>0.16793082221711927</v>
      </c>
      <c r="CN38" s="433">
        <v>0.15783701875244796</v>
      </c>
      <c r="CO38" s="433">
        <v>0.10121765399835686</v>
      </c>
      <c r="CP38" s="433">
        <v>0.25731882522665095</v>
      </c>
      <c r="CQ38" s="433">
        <v>0.29895541791566238</v>
      </c>
      <c r="CR38" s="433">
        <v>0.35622596063466716</v>
      </c>
      <c r="CS38" s="433"/>
      <c r="CT38" s="433">
        <v>0.44773699730205768</v>
      </c>
      <c r="CU38" s="433"/>
      <c r="CV38" s="433">
        <v>0.47651872850367988</v>
      </c>
      <c r="CW38" s="433">
        <v>0.47402386605078112</v>
      </c>
      <c r="CX38" s="433">
        <v>0.39912436248524713</v>
      </c>
      <c r="CY38" s="433">
        <v>0.29692854969420929</v>
      </c>
      <c r="CZ38" s="433">
        <v>0.25001150066075878</v>
      </c>
      <c r="DA38" s="433">
        <v>0.39158019166331348</v>
      </c>
      <c r="DB38" s="433">
        <v>0.29692854969420929</v>
      </c>
      <c r="DC38" s="433">
        <v>0.25001150066075878</v>
      </c>
      <c r="DD38" s="433">
        <v>0.29630464555893177</v>
      </c>
      <c r="DE38" s="433">
        <v>0.37116068711776162</v>
      </c>
      <c r="DF38" s="433">
        <v>0</v>
      </c>
      <c r="DG38" s="433">
        <v>0</v>
      </c>
      <c r="DH38" s="433">
        <v>0</v>
      </c>
      <c r="DI38" s="433">
        <v>0</v>
      </c>
      <c r="DJ38" s="433">
        <v>0.3277706256182874</v>
      </c>
      <c r="DK38" s="433">
        <v>0.29978363190280743</v>
      </c>
      <c r="DL38" s="433">
        <v>0.26473781299938592</v>
      </c>
      <c r="DM38" s="433">
        <v>0.38971872147364967</v>
      </c>
      <c r="DN38" s="433">
        <v>0</v>
      </c>
      <c r="DO38" s="433">
        <v>0</v>
      </c>
      <c r="DP38" s="433">
        <v>0</v>
      </c>
      <c r="DR38" s="409" t="s">
        <v>855</v>
      </c>
      <c r="DS38" s="409" t="s">
        <v>2315</v>
      </c>
    </row>
    <row r="39" spans="2:123" s="1471" customFormat="1">
      <c r="B39" s="428">
        <v>41743.432889351854</v>
      </c>
      <c r="C39" s="429">
        <v>1.4614706589727757</v>
      </c>
      <c r="D39" s="429">
        <v>1.4727932541435256</v>
      </c>
      <c r="E39" s="429">
        <v>1.5366595453681544</v>
      </c>
      <c r="F39" s="429"/>
      <c r="G39" s="429">
        <v>1.5096731016701335</v>
      </c>
      <c r="H39" s="429"/>
      <c r="I39" s="429">
        <v>1.4121165741402588</v>
      </c>
      <c r="J39" s="429">
        <v>1.4899484940370802</v>
      </c>
      <c r="K39" s="429">
        <v>1.3983998894242327</v>
      </c>
      <c r="L39" s="429">
        <v>1.6243725089045808</v>
      </c>
      <c r="M39" s="429">
        <v>1.7410034166938793</v>
      </c>
      <c r="N39" s="429">
        <v>1.8179803989105494</v>
      </c>
      <c r="O39" s="429">
        <v>1.4132626595582714</v>
      </c>
      <c r="P39" s="429">
        <v>1.4650217978084232</v>
      </c>
      <c r="Q39" s="429"/>
      <c r="R39" s="429">
        <v>13.47289151244644</v>
      </c>
      <c r="S39" s="429"/>
      <c r="T39" s="429">
        <v>4486.5284317147198</v>
      </c>
      <c r="U39" s="429">
        <v>4660.993090780551</v>
      </c>
      <c r="V39" s="429">
        <v>4461.1070626212686</v>
      </c>
      <c r="W39" s="429"/>
      <c r="X39" s="429">
        <v>98.520410220945891</v>
      </c>
      <c r="Y39" s="429">
        <v>69.279827160929472</v>
      </c>
      <c r="Z39" s="429">
        <v>143.22416536998014</v>
      </c>
      <c r="AA39" s="429">
        <v>98.88328448471286</v>
      </c>
      <c r="AB39" s="429">
        <v>69.829408965168184</v>
      </c>
      <c r="AC39" s="429">
        <v>78.782554572844347</v>
      </c>
      <c r="AD39" s="429">
        <v>3.3819676284896669</v>
      </c>
      <c r="AE39" s="429">
        <v>0</v>
      </c>
      <c r="AF39" s="429">
        <v>0</v>
      </c>
      <c r="AG39" s="429">
        <v>0</v>
      </c>
      <c r="AH39" s="429">
        <v>3.3929687704194316</v>
      </c>
      <c r="AI39" s="429">
        <v>6.6004295175958605</v>
      </c>
      <c r="AJ39" s="429">
        <v>6.6890639483192285</v>
      </c>
      <c r="AK39" s="429">
        <v>7.1723142542983274</v>
      </c>
      <c r="AL39" s="429">
        <v>0</v>
      </c>
      <c r="AM39" s="429">
        <v>0</v>
      </c>
      <c r="AN39" s="429">
        <v>0</v>
      </c>
      <c r="AO39" s="432"/>
      <c r="AP39" s="428">
        <v>41743.432889351854</v>
      </c>
      <c r="AQ39" s="431">
        <v>133.94345440388889</v>
      </c>
      <c r="AR39" s="431">
        <v>176.98244879419491</v>
      </c>
      <c r="AS39" s="431">
        <v>323.59466026950633</v>
      </c>
      <c r="AT39" s="431"/>
      <c r="AU39" s="431">
        <v>29.235118135782383</v>
      </c>
      <c r="AV39" s="431"/>
      <c r="AW39" s="431">
        <v>15.935491705407218</v>
      </c>
      <c r="AX39" s="431">
        <v>-8.7764176763884478</v>
      </c>
      <c r="AY39" s="431">
        <v>160.58659593195802</v>
      </c>
      <c r="AZ39" s="431">
        <v>-65.082537283220958</v>
      </c>
      <c r="BA39" s="431">
        <v>-2.0233454118055576</v>
      </c>
      <c r="BB39" s="431">
        <v>183.23277104553128</v>
      </c>
      <c r="BC39" s="431">
        <v>132.2604288674751</v>
      </c>
      <c r="BD39" s="431">
        <v>186.89984066588596</v>
      </c>
      <c r="BE39" s="431"/>
      <c r="BF39" s="431">
        <v>8450.0697685945961</v>
      </c>
      <c r="BG39" s="431"/>
      <c r="BH39" s="431">
        <v>569161.47796788649</v>
      </c>
      <c r="BI39" s="431">
        <v>553087.81696401641</v>
      </c>
      <c r="BJ39" s="431">
        <v>61363.036990087814</v>
      </c>
      <c r="BK39" s="431">
        <v>531212.23627265636</v>
      </c>
      <c r="BL39" s="431">
        <v>58936.022642688229</v>
      </c>
      <c r="BM39" s="431">
        <v>508218.4141200158</v>
      </c>
      <c r="BN39" s="431">
        <v>531212.23627265636</v>
      </c>
      <c r="BO39" s="431">
        <v>58936.022642688229</v>
      </c>
      <c r="BP39" s="431">
        <v>429061.62045638735</v>
      </c>
      <c r="BQ39" s="431">
        <v>928.96407877970842</v>
      </c>
      <c r="BR39" s="431">
        <v>0</v>
      </c>
      <c r="BS39" s="431">
        <v>0</v>
      </c>
      <c r="BT39" s="431">
        <v>0</v>
      </c>
      <c r="BU39" s="431">
        <v>0</v>
      </c>
      <c r="BV39" s="431">
        <v>883.3224528145762</v>
      </c>
      <c r="BW39" s="431">
        <v>1438.2092845064767</v>
      </c>
      <c r="BX39" s="431">
        <v>1357.2711483824457</v>
      </c>
      <c r="BY39" s="431">
        <v>1106.3148342357513</v>
      </c>
      <c r="BZ39" s="431">
        <v>0</v>
      </c>
      <c r="CA39" s="431">
        <v>0</v>
      </c>
      <c r="CB39" s="431">
        <v>0</v>
      </c>
      <c r="CC39" s="432"/>
      <c r="CD39" s="428">
        <v>41743.432889351854</v>
      </c>
      <c r="CE39" s="433">
        <v>0.23661493803757302</v>
      </c>
      <c r="CF39" s="433">
        <v>0.1669426090443121</v>
      </c>
      <c r="CG39" s="433">
        <v>0.13121026256027446</v>
      </c>
      <c r="CH39" s="433"/>
      <c r="CI39" s="433">
        <v>0.11795401045953573</v>
      </c>
      <c r="CJ39" s="433"/>
      <c r="CK39" s="433">
        <v>0.19922791458904218</v>
      </c>
      <c r="CL39" s="433">
        <v>0.21269201576090199</v>
      </c>
      <c r="CM39" s="433">
        <v>0.16793082221711927</v>
      </c>
      <c r="CN39" s="433">
        <v>0.15783701875244796</v>
      </c>
      <c r="CO39" s="433">
        <v>0.10121765399835686</v>
      </c>
      <c r="CP39" s="433">
        <v>0.25731882522665095</v>
      </c>
      <c r="CQ39" s="433">
        <v>0.29895541791566238</v>
      </c>
      <c r="CR39" s="433">
        <v>0.35622596063466716</v>
      </c>
      <c r="CS39" s="433"/>
      <c r="CT39" s="433">
        <v>0.44773699730205768</v>
      </c>
      <c r="CU39" s="433"/>
      <c r="CV39" s="433">
        <v>0.47651872850367988</v>
      </c>
      <c r="CW39" s="433">
        <v>0.47402386605078112</v>
      </c>
      <c r="CX39" s="433">
        <v>0.39912436248524713</v>
      </c>
      <c r="CY39" s="433">
        <v>0.29692854969420929</v>
      </c>
      <c r="CZ39" s="433">
        <v>0.25001150066075878</v>
      </c>
      <c r="DA39" s="433">
        <v>0.39158019166331348</v>
      </c>
      <c r="DB39" s="433">
        <v>0.29692854969420929</v>
      </c>
      <c r="DC39" s="433">
        <v>0.25001150066075878</v>
      </c>
      <c r="DD39" s="433">
        <v>0.29630464555893177</v>
      </c>
      <c r="DE39" s="433">
        <v>0.37116068711776162</v>
      </c>
      <c r="DF39" s="433">
        <v>0</v>
      </c>
      <c r="DG39" s="433">
        <v>0</v>
      </c>
      <c r="DH39" s="433">
        <v>0</v>
      </c>
      <c r="DI39" s="433">
        <v>0</v>
      </c>
      <c r="DJ39" s="433">
        <v>0.3277706256182874</v>
      </c>
      <c r="DK39" s="433">
        <v>0.29978363190280743</v>
      </c>
      <c r="DL39" s="433">
        <v>0.26473781299938592</v>
      </c>
      <c r="DM39" s="433">
        <v>0.38971872147364967</v>
      </c>
      <c r="DN39" s="433">
        <v>0</v>
      </c>
      <c r="DO39" s="433">
        <v>0</v>
      </c>
      <c r="DP39" s="433">
        <v>0</v>
      </c>
      <c r="DR39" s="409" t="s">
        <v>855</v>
      </c>
      <c r="DS39" s="409" t="s">
        <v>2032</v>
      </c>
    </row>
    <row r="40" spans="2:123" s="1471" customFormat="1">
      <c r="B40" s="428">
        <v>41758.673898842593</v>
      </c>
      <c r="C40" s="429">
        <v>1.4614706589727757</v>
      </c>
      <c r="D40" s="429">
        <v>1.4727932541435256</v>
      </c>
      <c r="E40" s="429">
        <v>1.5366595453681544</v>
      </c>
      <c r="F40" s="429"/>
      <c r="G40" s="429">
        <v>1.5096731016701335</v>
      </c>
      <c r="H40" s="429"/>
      <c r="I40" s="429">
        <v>1.4121165741402588</v>
      </c>
      <c r="J40" s="429">
        <v>1.4899484940370802</v>
      </c>
      <c r="K40" s="429">
        <v>1.3983998894242327</v>
      </c>
      <c r="L40" s="429">
        <v>1.6243725089045808</v>
      </c>
      <c r="M40" s="429">
        <v>1.7410034166938793</v>
      </c>
      <c r="N40" s="429">
        <v>1.8179803989105494</v>
      </c>
      <c r="O40" s="429">
        <v>1.4132626595582714</v>
      </c>
      <c r="P40" s="429">
        <v>1.4650217978084232</v>
      </c>
      <c r="Q40" s="429"/>
      <c r="R40" s="429">
        <v>13.47289151244644</v>
      </c>
      <c r="S40" s="429"/>
      <c r="T40" s="429">
        <v>4486.5284317147198</v>
      </c>
      <c r="U40" s="429">
        <v>4660.993090780551</v>
      </c>
      <c r="V40" s="429">
        <v>4461.1070626212686</v>
      </c>
      <c r="W40" s="429">
        <v>957.99400705187304</v>
      </c>
      <c r="X40" s="429">
        <v>98.520410220945891</v>
      </c>
      <c r="Y40" s="429">
        <v>69.279827160929472</v>
      </c>
      <c r="Z40" s="429">
        <v>143.22416536998014</v>
      </c>
      <c r="AA40" s="429">
        <v>98.88328448471286</v>
      </c>
      <c r="AB40" s="429">
        <v>69.829408965168184</v>
      </c>
      <c r="AC40" s="429">
        <v>78.782554572844347</v>
      </c>
      <c r="AD40" s="429">
        <v>3.3819676284896669</v>
      </c>
      <c r="AE40" s="429">
        <v>0</v>
      </c>
      <c r="AF40" s="429">
        <v>0</v>
      </c>
      <c r="AG40" s="429">
        <v>0</v>
      </c>
      <c r="AH40" s="429">
        <v>3.3929687704194316</v>
      </c>
      <c r="AI40" s="429">
        <v>6.6004295175958605</v>
      </c>
      <c r="AJ40" s="429">
        <v>6.6890639483192285</v>
      </c>
      <c r="AK40" s="429">
        <v>7.1723142542983274</v>
      </c>
      <c r="AL40" s="429">
        <v>0</v>
      </c>
      <c r="AM40" s="429">
        <v>0</v>
      </c>
      <c r="AN40" s="429">
        <v>0</v>
      </c>
      <c r="AO40" s="432"/>
      <c r="AP40" s="428">
        <v>41758.673898842593</v>
      </c>
      <c r="AQ40" s="431">
        <v>133.94345440388889</v>
      </c>
      <c r="AR40" s="431">
        <v>176.98244879419491</v>
      </c>
      <c r="AS40" s="431">
        <v>323.59466026950633</v>
      </c>
      <c r="AT40" s="431"/>
      <c r="AU40" s="431">
        <v>29.235118135782383</v>
      </c>
      <c r="AV40" s="431"/>
      <c r="AW40" s="431">
        <v>15.935491705407218</v>
      </c>
      <c r="AX40" s="431">
        <v>-8.7764176763884478</v>
      </c>
      <c r="AY40" s="431">
        <v>160.58659593195802</v>
      </c>
      <c r="AZ40" s="431">
        <v>-65.082537283220958</v>
      </c>
      <c r="BA40" s="431">
        <v>-2.0233454118055576</v>
      </c>
      <c r="BB40" s="431">
        <v>183.23277104553128</v>
      </c>
      <c r="BC40" s="431">
        <v>132.2604288674751</v>
      </c>
      <c r="BD40" s="431">
        <v>186.89984066588596</v>
      </c>
      <c r="BE40" s="431"/>
      <c r="BF40" s="431">
        <v>8450.0697685945961</v>
      </c>
      <c r="BG40" s="431"/>
      <c r="BH40" s="431">
        <v>569161.47796788649</v>
      </c>
      <c r="BI40" s="431">
        <v>553087.81696401641</v>
      </c>
      <c r="BJ40" s="431">
        <v>61363.036990087814</v>
      </c>
      <c r="BK40" s="431">
        <v>467898.39640417765</v>
      </c>
      <c r="BL40" s="431">
        <v>531212.23627265636</v>
      </c>
      <c r="BM40" s="431">
        <v>58936.022642688229</v>
      </c>
      <c r="BN40" s="431">
        <v>508218.4141200158</v>
      </c>
      <c r="BO40" s="431">
        <v>531212.23627265636</v>
      </c>
      <c r="BP40" s="431">
        <v>58936.022642688229</v>
      </c>
      <c r="BQ40" s="431">
        <v>429061.62045638735</v>
      </c>
      <c r="BR40" s="431">
        <v>928.96407877970842</v>
      </c>
      <c r="BS40" s="431">
        <v>0</v>
      </c>
      <c r="BT40" s="431">
        <v>0</v>
      </c>
      <c r="BU40" s="431">
        <v>0</v>
      </c>
      <c r="BV40" s="431">
        <v>883.3224528145762</v>
      </c>
      <c r="BW40" s="431">
        <v>1438.2092845064767</v>
      </c>
      <c r="BX40" s="431">
        <v>1357.2711483824457</v>
      </c>
      <c r="BY40" s="431">
        <v>1106.3148342357513</v>
      </c>
      <c r="BZ40" s="431">
        <v>0</v>
      </c>
      <c r="CA40" s="431">
        <v>0</v>
      </c>
      <c r="CB40" s="431">
        <v>0</v>
      </c>
      <c r="CC40" s="432"/>
      <c r="CD40" s="428">
        <v>41758.673898842593</v>
      </c>
      <c r="CE40" s="433">
        <v>0.23661493803757302</v>
      </c>
      <c r="CF40" s="433">
        <v>0.1669426090443121</v>
      </c>
      <c r="CG40" s="433">
        <v>0.13121026256027446</v>
      </c>
      <c r="CH40" s="433"/>
      <c r="CI40" s="433">
        <v>0.11795401045953573</v>
      </c>
      <c r="CJ40" s="433"/>
      <c r="CK40" s="433">
        <v>0.19922791458904218</v>
      </c>
      <c r="CL40" s="433">
        <v>0.21269201576090199</v>
      </c>
      <c r="CM40" s="433">
        <v>0.16793082221711927</v>
      </c>
      <c r="CN40" s="433">
        <v>0.15783701875244796</v>
      </c>
      <c r="CO40" s="433">
        <v>0.10121765399835686</v>
      </c>
      <c r="CP40" s="433">
        <v>0.25731882522665095</v>
      </c>
      <c r="CQ40" s="433">
        <v>0.29895541791566238</v>
      </c>
      <c r="CR40" s="433">
        <v>0.35622596063466716</v>
      </c>
      <c r="CS40" s="433"/>
      <c r="CT40" s="433">
        <v>0.44773699730205768</v>
      </c>
      <c r="CU40" s="433"/>
      <c r="CV40" s="433">
        <v>0.47651872850367988</v>
      </c>
      <c r="CW40" s="433">
        <v>0.47402386605078112</v>
      </c>
      <c r="CX40" s="433">
        <v>0.39912436248524713</v>
      </c>
      <c r="CY40" s="433">
        <v>0.42969927027189708</v>
      </c>
      <c r="CZ40" s="433">
        <v>0.29692854969420929</v>
      </c>
      <c r="DA40" s="433">
        <v>0.25001150066075878</v>
      </c>
      <c r="DB40" s="433">
        <v>0.39158019166331348</v>
      </c>
      <c r="DC40" s="433">
        <v>0.29692854969420929</v>
      </c>
      <c r="DD40" s="433">
        <v>0.25001150066075878</v>
      </c>
      <c r="DE40" s="433">
        <v>0.29630464555893177</v>
      </c>
      <c r="DF40" s="433">
        <v>0.37116068711776162</v>
      </c>
      <c r="DG40" s="433">
        <v>0</v>
      </c>
      <c r="DH40" s="433">
        <v>0</v>
      </c>
      <c r="DI40" s="433">
        <v>0</v>
      </c>
      <c r="DJ40" s="433">
        <v>0.3277706256182874</v>
      </c>
      <c r="DK40" s="433">
        <v>0.29978363190280743</v>
      </c>
      <c r="DL40" s="433">
        <v>0.26473781299938592</v>
      </c>
      <c r="DM40" s="433">
        <v>0.38971872147364967</v>
      </c>
      <c r="DN40" s="433">
        <v>0</v>
      </c>
      <c r="DO40" s="433">
        <v>0</v>
      </c>
      <c r="DP40" s="433">
        <v>0</v>
      </c>
      <c r="DR40" s="409" t="s">
        <v>855</v>
      </c>
      <c r="DS40" s="409" t="s">
        <v>2051</v>
      </c>
    </row>
    <row r="41" spans="2:123" s="1471" customFormat="1">
      <c r="B41" s="428">
        <v>41761.602893981479</v>
      </c>
      <c r="C41" s="429">
        <v>1.4614706589727757</v>
      </c>
      <c r="D41" s="429">
        <v>1.4727932541435256</v>
      </c>
      <c r="E41" s="429">
        <v>1.5366595453681544</v>
      </c>
      <c r="F41" s="429"/>
      <c r="G41" s="429">
        <v>1.5096731016701335</v>
      </c>
      <c r="H41" s="429"/>
      <c r="I41" s="429">
        <v>1.412325690030988</v>
      </c>
      <c r="J41" s="429">
        <v>1.4899484940370802</v>
      </c>
      <c r="K41" s="429">
        <v>1.3983998894242327</v>
      </c>
      <c r="L41" s="429">
        <v>1.6243725089045808</v>
      </c>
      <c r="M41" s="429">
        <v>1.7410034166938793</v>
      </c>
      <c r="N41" s="429">
        <v>1.8179803989105494</v>
      </c>
      <c r="O41" s="429">
        <v>1.4132626595582714</v>
      </c>
      <c r="P41" s="429">
        <v>1.4650217978084232</v>
      </c>
      <c r="Q41" s="429"/>
      <c r="R41" s="429">
        <v>13.47289151244644</v>
      </c>
      <c r="S41" s="429"/>
      <c r="T41" s="429">
        <v>4486.5284317147198</v>
      </c>
      <c r="U41" s="429">
        <v>4660.993090780551</v>
      </c>
      <c r="V41" s="429">
        <v>4461.9505216268763</v>
      </c>
      <c r="W41" s="429">
        <v>957.99400705187304</v>
      </c>
      <c r="X41" s="429">
        <v>98.520410220945891</v>
      </c>
      <c r="Y41" s="429">
        <v>69.302494333555671</v>
      </c>
      <c r="Z41" s="429">
        <v>143.22416536998014</v>
      </c>
      <c r="AA41" s="429">
        <v>98.88328448471286</v>
      </c>
      <c r="AB41" s="429">
        <v>69.851172735023582</v>
      </c>
      <c r="AC41" s="429">
        <v>78.782554572844347</v>
      </c>
      <c r="AD41" s="429">
        <v>3.3819676284896669</v>
      </c>
      <c r="AE41" s="429">
        <v>0</v>
      </c>
      <c r="AF41" s="429">
        <v>0</v>
      </c>
      <c r="AG41" s="429">
        <v>0</v>
      </c>
      <c r="AH41" s="429">
        <v>3.3929687704194316</v>
      </c>
      <c r="AI41" s="429">
        <v>6.6004295175958605</v>
      </c>
      <c r="AJ41" s="429">
        <v>6.6890639483192285</v>
      </c>
      <c r="AK41" s="429">
        <v>7.1723142542983274</v>
      </c>
      <c r="AL41" s="429">
        <v>0</v>
      </c>
      <c r="AM41" s="429">
        <v>0</v>
      </c>
      <c r="AN41" s="429">
        <v>0</v>
      </c>
      <c r="AO41" s="432"/>
      <c r="AP41" s="428">
        <v>41761.602893981479</v>
      </c>
      <c r="AQ41" s="431">
        <v>133.94345440388889</v>
      </c>
      <c r="AR41" s="431">
        <v>176.98244879419491</v>
      </c>
      <c r="AS41" s="431">
        <v>323.59466026950633</v>
      </c>
      <c r="AT41" s="431"/>
      <c r="AU41" s="431">
        <v>29.235118135782383</v>
      </c>
      <c r="AV41" s="431"/>
      <c r="AW41" s="431">
        <v>15.954640387612542</v>
      </c>
      <c r="AX41" s="431">
        <v>-8.7764176763884478</v>
      </c>
      <c r="AY41" s="431">
        <v>160.58659593195802</v>
      </c>
      <c r="AZ41" s="431">
        <v>-65.082537283220958</v>
      </c>
      <c r="BA41" s="431">
        <v>-2.0233454118055576</v>
      </c>
      <c r="BB41" s="431">
        <v>183.23277104553128</v>
      </c>
      <c r="BC41" s="431">
        <v>132.2604288674751</v>
      </c>
      <c r="BD41" s="431">
        <v>186.89984066588596</v>
      </c>
      <c r="BE41" s="431"/>
      <c r="BF41" s="431">
        <v>8450.0697685945961</v>
      </c>
      <c r="BG41" s="431"/>
      <c r="BH41" s="431">
        <v>569161.47796788649</v>
      </c>
      <c r="BI41" s="431">
        <v>553087.81696401641</v>
      </c>
      <c r="BJ41" s="431">
        <v>61442.827212110904</v>
      </c>
      <c r="BK41" s="431">
        <v>467898.39640417765</v>
      </c>
      <c r="BL41" s="431">
        <v>531212.23627265636</v>
      </c>
      <c r="BM41" s="431">
        <v>59012.657023293898</v>
      </c>
      <c r="BN41" s="431">
        <v>508218.4141200158</v>
      </c>
      <c r="BO41" s="431">
        <v>531212.23627265636</v>
      </c>
      <c r="BP41" s="431">
        <v>59012.657023293898</v>
      </c>
      <c r="BQ41" s="431">
        <v>429061.62045638735</v>
      </c>
      <c r="BR41" s="431">
        <v>928.96407877970842</v>
      </c>
      <c r="BS41" s="431">
        <v>0</v>
      </c>
      <c r="BT41" s="431">
        <v>0</v>
      </c>
      <c r="BU41" s="431">
        <v>0</v>
      </c>
      <c r="BV41" s="431">
        <v>883.3224528145762</v>
      </c>
      <c r="BW41" s="431">
        <v>1438.2092845064767</v>
      </c>
      <c r="BX41" s="431">
        <v>1357.2711483824457</v>
      </c>
      <c r="BY41" s="431">
        <v>1106.3148342357513</v>
      </c>
      <c r="BZ41" s="431">
        <v>0</v>
      </c>
      <c r="CA41" s="431">
        <v>0</v>
      </c>
      <c r="CB41" s="431">
        <v>0</v>
      </c>
      <c r="CC41" s="432"/>
      <c r="CD41" s="428">
        <v>41761.602893981479</v>
      </c>
      <c r="CE41" s="433">
        <v>0.23661493803757302</v>
      </c>
      <c r="CF41" s="433">
        <v>0.1669426090443121</v>
      </c>
      <c r="CG41" s="433">
        <v>0.13121026256027446</v>
      </c>
      <c r="CH41" s="433"/>
      <c r="CI41" s="433">
        <v>0.11795401045953573</v>
      </c>
      <c r="CJ41" s="433"/>
      <c r="CK41" s="433">
        <v>0.19922791458904218</v>
      </c>
      <c r="CL41" s="433">
        <v>0.21269201576090199</v>
      </c>
      <c r="CM41" s="433">
        <v>0.16793082221711927</v>
      </c>
      <c r="CN41" s="433">
        <v>0.15783701875244796</v>
      </c>
      <c r="CO41" s="433">
        <v>0.10121765399835686</v>
      </c>
      <c r="CP41" s="433">
        <v>0.25731882522665095</v>
      </c>
      <c r="CQ41" s="433">
        <v>0.29895541791566238</v>
      </c>
      <c r="CR41" s="433">
        <v>0.35622596063466716</v>
      </c>
      <c r="CS41" s="433"/>
      <c r="CT41" s="433">
        <v>0.44773699730205768</v>
      </c>
      <c r="CU41" s="433"/>
      <c r="CV41" s="433">
        <v>0.47651872850367988</v>
      </c>
      <c r="CW41" s="433">
        <v>0.47402386605078112</v>
      </c>
      <c r="CX41" s="433">
        <v>0.39912436248524713</v>
      </c>
      <c r="CY41" s="433">
        <v>0.42969927027189708</v>
      </c>
      <c r="CZ41" s="433">
        <v>0.29692854969420929</v>
      </c>
      <c r="DA41" s="433">
        <v>0.25001150066075878</v>
      </c>
      <c r="DB41" s="433">
        <v>0.39158019166331348</v>
      </c>
      <c r="DC41" s="433">
        <v>0.29692854969420929</v>
      </c>
      <c r="DD41" s="433">
        <v>0.25001150066075878</v>
      </c>
      <c r="DE41" s="433">
        <v>0.29630464555893177</v>
      </c>
      <c r="DF41" s="433">
        <v>0.37116068711776162</v>
      </c>
      <c r="DG41" s="433">
        <v>0</v>
      </c>
      <c r="DH41" s="433">
        <v>0</v>
      </c>
      <c r="DI41" s="433">
        <v>0</v>
      </c>
      <c r="DJ41" s="433">
        <v>0.3277706256182874</v>
      </c>
      <c r="DK41" s="433">
        <v>0.29978363190280743</v>
      </c>
      <c r="DL41" s="433">
        <v>0.26473781299938592</v>
      </c>
      <c r="DM41" s="433">
        <v>0.38971872147364967</v>
      </c>
      <c r="DN41" s="433">
        <v>0</v>
      </c>
      <c r="DO41" s="433">
        <v>0</v>
      </c>
      <c r="DP41" s="433">
        <v>0</v>
      </c>
      <c r="DR41" s="409" t="s">
        <v>855</v>
      </c>
      <c r="DS41" s="409" t="s">
        <v>2060</v>
      </c>
    </row>
    <row r="42" spans="2:123" s="1471" customFormat="1">
      <c r="B42" s="428">
        <v>41765.914213657408</v>
      </c>
      <c r="C42" s="429">
        <v>1.4614706589727757</v>
      </c>
      <c r="D42" s="429">
        <v>1.4727932541435256</v>
      </c>
      <c r="E42" s="429">
        <v>1.5366595453681544</v>
      </c>
      <c r="F42" s="429"/>
      <c r="G42" s="429">
        <v>1.5173741044682487</v>
      </c>
      <c r="H42" s="429"/>
      <c r="I42" s="429">
        <v>1.4185252432492568</v>
      </c>
      <c r="J42" s="429">
        <v>1.4957623398822617</v>
      </c>
      <c r="K42" s="429">
        <v>1.3818086926694544</v>
      </c>
      <c r="L42" s="429">
        <v>1.6077813121498026</v>
      </c>
      <c r="M42" s="429">
        <v>1.7417249051293866</v>
      </c>
      <c r="N42" s="429">
        <v>1.8247542129560652</v>
      </c>
      <c r="O42" s="429">
        <v>1.4132626595582714</v>
      </c>
      <c r="P42" s="429">
        <v>1.4650217978084232</v>
      </c>
      <c r="Q42" s="429"/>
      <c r="R42" s="429">
        <v>13.47289151244644</v>
      </c>
      <c r="S42" s="429"/>
      <c r="T42" s="429">
        <v>4486.5284317147198</v>
      </c>
      <c r="U42" s="429">
        <v>4660.993090780551</v>
      </c>
      <c r="V42" s="429">
        <v>4486.9472008442754</v>
      </c>
      <c r="W42" s="429">
        <v>921.09122440306578</v>
      </c>
      <c r="X42" s="429">
        <v>98.520410220945891</v>
      </c>
      <c r="Y42" s="429">
        <v>69.714072503150419</v>
      </c>
      <c r="Z42" s="429">
        <v>143.22416536998014</v>
      </c>
      <c r="AA42" s="429">
        <v>98.88328448471286</v>
      </c>
      <c r="AB42" s="429">
        <v>70.235679233492135</v>
      </c>
      <c r="AC42" s="429">
        <v>78.552054211930852</v>
      </c>
      <c r="AD42" s="429">
        <v>3.3819676284896669</v>
      </c>
      <c r="AE42" s="429">
        <v>0</v>
      </c>
      <c r="AF42" s="429">
        <v>0</v>
      </c>
      <c r="AG42" s="429">
        <v>0</v>
      </c>
      <c r="AH42" s="429">
        <v>3.3052484582478106</v>
      </c>
      <c r="AI42" s="429">
        <v>6.6004295175958605</v>
      </c>
      <c r="AJ42" s="429">
        <v>6.5530097441410442</v>
      </c>
      <c r="AK42" s="429">
        <v>7.1723142542983274</v>
      </c>
      <c r="AL42" s="429">
        <v>0</v>
      </c>
      <c r="AM42" s="429">
        <v>0</v>
      </c>
      <c r="AN42" s="429">
        <v>0</v>
      </c>
      <c r="AO42" s="432"/>
      <c r="AP42" s="428">
        <v>41765.914213657408</v>
      </c>
      <c r="AQ42" s="431">
        <v>133.94345440388889</v>
      </c>
      <c r="AR42" s="431">
        <v>176.98244879419491</v>
      </c>
      <c r="AS42" s="431">
        <v>323.59466026950633</v>
      </c>
      <c r="AT42" s="431"/>
      <c r="AU42" s="431">
        <v>29.42591329460106</v>
      </c>
      <c r="AV42" s="431"/>
      <c r="AW42" s="431">
        <v>16.238848887420673</v>
      </c>
      <c r="AX42" s="431">
        <v>-8.9621486568753497</v>
      </c>
      <c r="AY42" s="431">
        <v>160.58659593195802</v>
      </c>
      <c r="AZ42" s="431">
        <v>-65.082537283220958</v>
      </c>
      <c r="BA42" s="431">
        <v>-2.0669949081712349</v>
      </c>
      <c r="BB42" s="431">
        <v>186.58939988690292</v>
      </c>
      <c r="BC42" s="431">
        <v>132.2604288674751</v>
      </c>
      <c r="BD42" s="431">
        <v>186.89984066588596</v>
      </c>
      <c r="BE42" s="431"/>
      <c r="BF42" s="431">
        <v>8450.0697685945961</v>
      </c>
      <c r="BG42" s="431"/>
      <c r="BH42" s="431">
        <v>569161.47796788649</v>
      </c>
      <c r="BI42" s="431">
        <v>553087.81696401641</v>
      </c>
      <c r="BJ42" s="431">
        <v>62627.089348657995</v>
      </c>
      <c r="BK42" s="431">
        <v>467898.39640417765</v>
      </c>
      <c r="BL42" s="431">
        <v>531212.23627265636</v>
      </c>
      <c r="BM42" s="431">
        <v>60150.079542092819</v>
      </c>
      <c r="BN42" s="431">
        <v>508218.4141200158</v>
      </c>
      <c r="BO42" s="431">
        <v>531212.23627265636</v>
      </c>
      <c r="BP42" s="431">
        <v>60150.079542092819</v>
      </c>
      <c r="BQ42" s="431">
        <v>429061.62045638735</v>
      </c>
      <c r="BR42" s="431">
        <v>928.96407877970842</v>
      </c>
      <c r="BS42" s="431">
        <v>0</v>
      </c>
      <c r="BT42" s="431">
        <v>0</v>
      </c>
      <c r="BU42" s="431">
        <v>0</v>
      </c>
      <c r="BV42" s="431">
        <v>883.3224528145762</v>
      </c>
      <c r="BW42" s="431">
        <v>1438.2092845064767</v>
      </c>
      <c r="BX42" s="431">
        <v>1357.2711483824457</v>
      </c>
      <c r="BY42" s="431">
        <v>1106.3148342357513</v>
      </c>
      <c r="BZ42" s="431">
        <v>0</v>
      </c>
      <c r="CA42" s="431">
        <v>0</v>
      </c>
      <c r="CB42" s="431">
        <v>0</v>
      </c>
      <c r="CC42" s="432"/>
      <c r="CD42" s="428">
        <v>41765.914213657408</v>
      </c>
      <c r="CE42" s="433">
        <v>0.23661493803757302</v>
      </c>
      <c r="CF42" s="433">
        <v>0.1669426090443121</v>
      </c>
      <c r="CG42" s="433">
        <v>0.13121026256027446</v>
      </c>
      <c r="CH42" s="433"/>
      <c r="CI42" s="433">
        <v>0.11795401045953573</v>
      </c>
      <c r="CJ42" s="433"/>
      <c r="CK42" s="433">
        <v>0.19922791458904218</v>
      </c>
      <c r="CL42" s="433">
        <v>0.21269201576090199</v>
      </c>
      <c r="CM42" s="433">
        <v>0.16793082221711927</v>
      </c>
      <c r="CN42" s="433">
        <v>0.15783701875244796</v>
      </c>
      <c r="CO42" s="433">
        <v>0.10121765399835686</v>
      </c>
      <c r="CP42" s="433">
        <v>0.25731882522665095</v>
      </c>
      <c r="CQ42" s="433">
        <v>0.29895541791566238</v>
      </c>
      <c r="CR42" s="433">
        <v>0.35622596063466716</v>
      </c>
      <c r="CS42" s="433"/>
      <c r="CT42" s="433">
        <v>0.44773699730205768</v>
      </c>
      <c r="CU42" s="433"/>
      <c r="CV42" s="433">
        <v>0.47651872850367988</v>
      </c>
      <c r="CW42" s="433">
        <v>0.47402386605078112</v>
      </c>
      <c r="CX42" s="433">
        <v>0.39912436248524713</v>
      </c>
      <c r="CY42" s="433">
        <v>0.42969927027189708</v>
      </c>
      <c r="CZ42" s="433">
        <v>0.29692854969420929</v>
      </c>
      <c r="DA42" s="433">
        <v>0.25001150066075878</v>
      </c>
      <c r="DB42" s="433">
        <v>0.39158019166331348</v>
      </c>
      <c r="DC42" s="433">
        <v>0.29692854969420929</v>
      </c>
      <c r="DD42" s="433">
        <v>0.25001150066075878</v>
      </c>
      <c r="DE42" s="433">
        <v>0.29630464555893177</v>
      </c>
      <c r="DF42" s="433">
        <v>0.37116068711776162</v>
      </c>
      <c r="DG42" s="433">
        <v>0</v>
      </c>
      <c r="DH42" s="433">
        <v>0</v>
      </c>
      <c r="DI42" s="433">
        <v>0</v>
      </c>
      <c r="DJ42" s="433">
        <v>0.3277706256182874</v>
      </c>
      <c r="DK42" s="433">
        <v>0.29978363190280743</v>
      </c>
      <c r="DL42" s="433">
        <v>0.26473781299938592</v>
      </c>
      <c r="DM42" s="433">
        <v>0.38971872147364967</v>
      </c>
      <c r="DN42" s="433">
        <v>0</v>
      </c>
      <c r="DO42" s="433">
        <v>0</v>
      </c>
      <c r="DP42" s="433">
        <v>0</v>
      </c>
      <c r="DR42" s="409" t="s">
        <v>855</v>
      </c>
      <c r="DS42" s="409" t="s">
        <v>2076</v>
      </c>
    </row>
    <row r="43" spans="2:123" s="1471" customFormat="1">
      <c r="B43" s="428">
        <v>41765.919935532409</v>
      </c>
      <c r="C43" s="429">
        <v>1.4614706589727757</v>
      </c>
      <c r="D43" s="429">
        <v>1.4727932541435256</v>
      </c>
      <c r="E43" s="429">
        <v>1.5366595453681544</v>
      </c>
      <c r="F43" s="429"/>
      <c r="G43" s="429">
        <v>1.5173741044682487</v>
      </c>
      <c r="H43" s="429"/>
      <c r="I43" s="429">
        <v>1.4185252432492568</v>
      </c>
      <c r="J43" s="429">
        <v>1.4957623398822617</v>
      </c>
      <c r="K43" s="429">
        <v>1.3818086926694544</v>
      </c>
      <c r="L43" s="429">
        <v>1.6077813121498026</v>
      </c>
      <c r="M43" s="429">
        <v>1.7417249051293866</v>
      </c>
      <c r="N43" s="429">
        <v>1.8247542129560652</v>
      </c>
      <c r="O43" s="429">
        <v>1.4132626595582714</v>
      </c>
      <c r="P43" s="429">
        <v>1.4650217978084232</v>
      </c>
      <c r="Q43" s="429"/>
      <c r="R43" s="429">
        <v>13.47289151244644</v>
      </c>
      <c r="S43" s="429"/>
      <c r="T43" s="429">
        <v>4514.1705385279929</v>
      </c>
      <c r="U43" s="429">
        <v>4688.6351975938242</v>
      </c>
      <c r="V43" s="429">
        <v>4514.5893076575485</v>
      </c>
      <c r="W43" s="429">
        <v>958.08286734435774</v>
      </c>
      <c r="X43" s="429">
        <v>98.520410220945891</v>
      </c>
      <c r="Y43" s="429">
        <v>69.714072503150419</v>
      </c>
      <c r="Z43" s="429">
        <v>143.22416536998014</v>
      </c>
      <c r="AA43" s="429">
        <v>98.88328448471286</v>
      </c>
      <c r="AB43" s="429">
        <v>70.235679233492135</v>
      </c>
      <c r="AC43" s="429">
        <v>78.552054211930852</v>
      </c>
      <c r="AD43" s="429">
        <v>3.3819676284896669</v>
      </c>
      <c r="AE43" s="429">
        <v>0</v>
      </c>
      <c r="AF43" s="429">
        <v>0</v>
      </c>
      <c r="AG43" s="429">
        <v>0</v>
      </c>
      <c r="AH43" s="429">
        <v>3.3052484582478106</v>
      </c>
      <c r="AI43" s="429">
        <v>6.6004295175958605</v>
      </c>
      <c r="AJ43" s="429">
        <v>6.5530097441410442</v>
      </c>
      <c r="AK43" s="429">
        <v>7.1723142542983274</v>
      </c>
      <c r="AL43" s="429">
        <v>0</v>
      </c>
      <c r="AM43" s="429">
        <v>0</v>
      </c>
      <c r="AN43" s="429">
        <v>0</v>
      </c>
      <c r="AO43" s="432"/>
      <c r="AP43" s="428">
        <v>41765.919935532409</v>
      </c>
      <c r="AQ43" s="431">
        <v>133.94345440388889</v>
      </c>
      <c r="AR43" s="431">
        <v>176.98244879419491</v>
      </c>
      <c r="AS43" s="431">
        <v>323.59466026950633</v>
      </c>
      <c r="AT43" s="431"/>
      <c r="AU43" s="431">
        <v>29.42591329460106</v>
      </c>
      <c r="AV43" s="431"/>
      <c r="AW43" s="431">
        <v>16.238848887420673</v>
      </c>
      <c r="AX43" s="431">
        <v>-8.9621486568753497</v>
      </c>
      <c r="AY43" s="431">
        <v>160.58659593195802</v>
      </c>
      <c r="AZ43" s="431">
        <v>-65.082537283220958</v>
      </c>
      <c r="BA43" s="431">
        <v>-2.0669949081712349</v>
      </c>
      <c r="BB43" s="431">
        <v>186.58939988690292</v>
      </c>
      <c r="BC43" s="431">
        <v>132.2604288674751</v>
      </c>
      <c r="BD43" s="431">
        <v>186.89984066588596</v>
      </c>
      <c r="BE43" s="431"/>
      <c r="BF43" s="431">
        <v>8450.0697685945961</v>
      </c>
      <c r="BG43" s="431"/>
      <c r="BH43" s="431">
        <v>569161.47796788649</v>
      </c>
      <c r="BI43" s="431">
        <v>553087.81696401641</v>
      </c>
      <c r="BJ43" s="431">
        <v>62627.089348657995</v>
      </c>
      <c r="BK43" s="431">
        <v>467898.39640417765</v>
      </c>
      <c r="BL43" s="431">
        <v>531212.23627265636</v>
      </c>
      <c r="BM43" s="431">
        <v>60150.079542092819</v>
      </c>
      <c r="BN43" s="431">
        <v>508218.4141200158</v>
      </c>
      <c r="BO43" s="431">
        <v>531212.23627265636</v>
      </c>
      <c r="BP43" s="431">
        <v>60150.079542092819</v>
      </c>
      <c r="BQ43" s="431">
        <v>429061.62045638735</v>
      </c>
      <c r="BR43" s="431">
        <v>928.96407877970842</v>
      </c>
      <c r="BS43" s="431">
        <v>0</v>
      </c>
      <c r="BT43" s="431">
        <v>0</v>
      </c>
      <c r="BU43" s="431">
        <v>0</v>
      </c>
      <c r="BV43" s="431">
        <v>883.3224528145762</v>
      </c>
      <c r="BW43" s="431">
        <v>1438.2092845064767</v>
      </c>
      <c r="BX43" s="431">
        <v>1357.2711483824457</v>
      </c>
      <c r="BY43" s="431">
        <v>1106.3148342357513</v>
      </c>
      <c r="BZ43" s="431">
        <v>0</v>
      </c>
      <c r="CA43" s="431">
        <v>0</v>
      </c>
      <c r="CB43" s="431">
        <v>0</v>
      </c>
      <c r="CC43" s="432"/>
      <c r="CD43" s="428">
        <v>41765.919935532409</v>
      </c>
      <c r="CE43" s="433">
        <v>0.23661493803757302</v>
      </c>
      <c r="CF43" s="433">
        <v>0.1669426090443121</v>
      </c>
      <c r="CG43" s="433">
        <v>0.13121026256027446</v>
      </c>
      <c r="CH43" s="433"/>
      <c r="CI43" s="433">
        <v>0.11795401045953573</v>
      </c>
      <c r="CJ43" s="433"/>
      <c r="CK43" s="433">
        <v>0.19922791458904218</v>
      </c>
      <c r="CL43" s="433">
        <v>0.21269201576090199</v>
      </c>
      <c r="CM43" s="433">
        <v>0.16793082221711927</v>
      </c>
      <c r="CN43" s="433">
        <v>0.15783701875244796</v>
      </c>
      <c r="CO43" s="433">
        <v>0.10121765399835686</v>
      </c>
      <c r="CP43" s="433">
        <v>0.25731882522665095</v>
      </c>
      <c r="CQ43" s="433">
        <v>0.29895541791566238</v>
      </c>
      <c r="CR43" s="433">
        <v>0.35622596063466716</v>
      </c>
      <c r="CS43" s="433"/>
      <c r="CT43" s="433">
        <v>0.44773699730205768</v>
      </c>
      <c r="CU43" s="433"/>
      <c r="CV43" s="433">
        <v>0.47651872850367988</v>
      </c>
      <c r="CW43" s="433">
        <v>0.47402386605078112</v>
      </c>
      <c r="CX43" s="433">
        <v>0.39912436248524713</v>
      </c>
      <c r="CY43" s="433">
        <v>0.42969927027189708</v>
      </c>
      <c r="CZ43" s="433">
        <v>0.29692854969420929</v>
      </c>
      <c r="DA43" s="433">
        <v>0.25001150066075878</v>
      </c>
      <c r="DB43" s="433">
        <v>0.39158019166331348</v>
      </c>
      <c r="DC43" s="433">
        <v>0.29692854969420929</v>
      </c>
      <c r="DD43" s="433">
        <v>0.25001150066075878</v>
      </c>
      <c r="DE43" s="433">
        <v>0.29630464555893177</v>
      </c>
      <c r="DF43" s="433">
        <v>0.37116068711776162</v>
      </c>
      <c r="DG43" s="433">
        <v>0</v>
      </c>
      <c r="DH43" s="433">
        <v>0</v>
      </c>
      <c r="DI43" s="433">
        <v>0</v>
      </c>
      <c r="DJ43" s="433">
        <v>0.3277706256182874</v>
      </c>
      <c r="DK43" s="433">
        <v>0.29978363190280743</v>
      </c>
      <c r="DL43" s="433">
        <v>0.26473781299938592</v>
      </c>
      <c r="DM43" s="433">
        <v>0.38971872147364967</v>
      </c>
      <c r="DN43" s="433">
        <v>0</v>
      </c>
      <c r="DO43" s="433">
        <v>0</v>
      </c>
      <c r="DP43" s="433">
        <v>0</v>
      </c>
      <c r="DR43" s="409" t="s">
        <v>855</v>
      </c>
      <c r="DS43" s="409" t="s">
        <v>2079</v>
      </c>
    </row>
    <row r="44" spans="2:123" s="1471" customFormat="1">
      <c r="B44" s="428">
        <v>41765.930316782411</v>
      </c>
      <c r="C44" s="429">
        <v>1.4614706589727757</v>
      </c>
      <c r="D44" s="429">
        <v>1.4727932541435256</v>
      </c>
      <c r="E44" s="429">
        <v>1.5366595453681544</v>
      </c>
      <c r="F44" s="429"/>
      <c r="G44" s="429">
        <v>1.5173741044682487</v>
      </c>
      <c r="H44" s="429"/>
      <c r="I44" s="429">
        <v>1.4185252432492568</v>
      </c>
      <c r="J44" s="429">
        <v>1.4957623398822617</v>
      </c>
      <c r="K44" s="429">
        <v>1.3818086926694544</v>
      </c>
      <c r="L44" s="429">
        <v>1.6077813121498026</v>
      </c>
      <c r="M44" s="429">
        <v>1.7417249051293866</v>
      </c>
      <c r="N44" s="429">
        <v>1.8247542129560652</v>
      </c>
      <c r="O44" s="429">
        <v>1.4132626595582714</v>
      </c>
      <c r="P44" s="429">
        <v>1.4650217978084232</v>
      </c>
      <c r="Q44" s="429"/>
      <c r="R44" s="429">
        <v>13.47289151244644</v>
      </c>
      <c r="S44" s="429">
        <v>22.800160550870494</v>
      </c>
      <c r="T44" s="429">
        <v>4514.1705385279929</v>
      </c>
      <c r="U44" s="429">
        <v>4688.6351975938242</v>
      </c>
      <c r="V44" s="429">
        <v>4514.5893076575485</v>
      </c>
      <c r="W44" s="429">
        <v>958.08286734435774</v>
      </c>
      <c r="X44" s="429">
        <v>98.520410220945891</v>
      </c>
      <c r="Y44" s="429">
        <v>69.714072503150419</v>
      </c>
      <c r="Z44" s="429">
        <v>143.22416536998014</v>
      </c>
      <c r="AA44" s="429">
        <v>98.88328448471286</v>
      </c>
      <c r="AB44" s="429">
        <v>70.235679233492135</v>
      </c>
      <c r="AC44" s="429">
        <v>78.552054211930852</v>
      </c>
      <c r="AD44" s="429">
        <v>3.3819676284896669</v>
      </c>
      <c r="AE44" s="429">
        <v>0</v>
      </c>
      <c r="AF44" s="429">
        <v>0</v>
      </c>
      <c r="AG44" s="429">
        <v>0</v>
      </c>
      <c r="AH44" s="429">
        <v>3.3052484582478106</v>
      </c>
      <c r="AI44" s="429">
        <v>6.6004295175958605</v>
      </c>
      <c r="AJ44" s="429">
        <v>6.5530097441410442</v>
      </c>
      <c r="AK44" s="429">
        <v>7.1723142542983274</v>
      </c>
      <c r="AL44" s="429">
        <v>0</v>
      </c>
      <c r="AM44" s="429">
        <v>0</v>
      </c>
      <c r="AN44" s="429">
        <v>0</v>
      </c>
      <c r="AO44" s="432"/>
      <c r="AP44" s="428">
        <v>41765.930316782411</v>
      </c>
      <c r="AQ44" s="431">
        <v>133.94345440388889</v>
      </c>
      <c r="AR44" s="431">
        <v>176.98244879419491</v>
      </c>
      <c r="AS44" s="431">
        <v>323.59466026950633</v>
      </c>
      <c r="AT44" s="431"/>
      <c r="AU44" s="431">
        <v>29.42591329460106</v>
      </c>
      <c r="AV44" s="431"/>
      <c r="AW44" s="431">
        <v>16.238848887420673</v>
      </c>
      <c r="AX44" s="431">
        <v>-8.9621486568753497</v>
      </c>
      <c r="AY44" s="431">
        <v>160.58659593195802</v>
      </c>
      <c r="AZ44" s="431">
        <v>-65.082537283220958</v>
      </c>
      <c r="BA44" s="431">
        <v>-2.0669949081712349</v>
      </c>
      <c r="BB44" s="431">
        <v>186.58939988690292</v>
      </c>
      <c r="BC44" s="431">
        <v>132.2604288674751</v>
      </c>
      <c r="BD44" s="431">
        <v>186.89984066588596</v>
      </c>
      <c r="BE44" s="431"/>
      <c r="BF44" s="431">
        <v>8450.0697685945961</v>
      </c>
      <c r="BG44" s="431">
        <v>1846.7788837147612</v>
      </c>
      <c r="BH44" s="431">
        <v>569161.47796788649</v>
      </c>
      <c r="BI44" s="431">
        <v>553087.81696401641</v>
      </c>
      <c r="BJ44" s="431">
        <v>62627.089348657995</v>
      </c>
      <c r="BK44" s="431">
        <v>467898.39640417765</v>
      </c>
      <c r="BL44" s="431">
        <v>531212.23627265636</v>
      </c>
      <c r="BM44" s="431">
        <v>60150.079542092819</v>
      </c>
      <c r="BN44" s="431">
        <v>508218.4141200158</v>
      </c>
      <c r="BO44" s="431">
        <v>531212.23627265636</v>
      </c>
      <c r="BP44" s="431">
        <v>60150.079542092819</v>
      </c>
      <c r="BQ44" s="431">
        <v>429061.62045638735</v>
      </c>
      <c r="BR44" s="431">
        <v>928.96407877970842</v>
      </c>
      <c r="BS44" s="431">
        <v>0</v>
      </c>
      <c r="BT44" s="431">
        <v>0</v>
      </c>
      <c r="BU44" s="431">
        <v>0</v>
      </c>
      <c r="BV44" s="431">
        <v>883.3224528145762</v>
      </c>
      <c r="BW44" s="431">
        <v>1438.2092845064767</v>
      </c>
      <c r="BX44" s="431">
        <v>1357.2711483824457</v>
      </c>
      <c r="BY44" s="431">
        <v>1106.3148342357513</v>
      </c>
      <c r="BZ44" s="431">
        <v>0</v>
      </c>
      <c r="CA44" s="431">
        <v>0</v>
      </c>
      <c r="CB44" s="431">
        <v>0</v>
      </c>
      <c r="CC44" s="432"/>
      <c r="CD44" s="428">
        <v>41765.930316782411</v>
      </c>
      <c r="CE44" s="433">
        <v>0.23661493803757302</v>
      </c>
      <c r="CF44" s="433">
        <v>0.1669426090443121</v>
      </c>
      <c r="CG44" s="433">
        <v>0.13121026256027446</v>
      </c>
      <c r="CH44" s="433"/>
      <c r="CI44" s="433">
        <v>0.11795401045953573</v>
      </c>
      <c r="CJ44" s="433"/>
      <c r="CK44" s="433">
        <v>0.19922791458904218</v>
      </c>
      <c r="CL44" s="433">
        <v>0.21269201576090199</v>
      </c>
      <c r="CM44" s="433">
        <v>0.16793082221711927</v>
      </c>
      <c r="CN44" s="433">
        <v>0.15783701875244796</v>
      </c>
      <c r="CO44" s="433">
        <v>0.10121765399835686</v>
      </c>
      <c r="CP44" s="433">
        <v>0.25731882522665095</v>
      </c>
      <c r="CQ44" s="433">
        <v>0.29895541791566238</v>
      </c>
      <c r="CR44" s="433">
        <v>0.35622596063466716</v>
      </c>
      <c r="CS44" s="433"/>
      <c r="CT44" s="433">
        <v>0.44773699730205768</v>
      </c>
      <c r="CU44" s="433">
        <v>0.36269681480068267</v>
      </c>
      <c r="CV44" s="433">
        <v>0.47651872850367988</v>
      </c>
      <c r="CW44" s="433">
        <v>0.47402386605078112</v>
      </c>
      <c r="CX44" s="433">
        <v>0.39912436248524713</v>
      </c>
      <c r="CY44" s="433">
        <v>0.42969927027189708</v>
      </c>
      <c r="CZ44" s="433">
        <v>0.29692854969420929</v>
      </c>
      <c r="DA44" s="433">
        <v>0.25001150066075878</v>
      </c>
      <c r="DB44" s="433">
        <v>0.39158019166331348</v>
      </c>
      <c r="DC44" s="433">
        <v>0.29692854969420929</v>
      </c>
      <c r="DD44" s="433">
        <v>0.25001150066075878</v>
      </c>
      <c r="DE44" s="433">
        <v>0.29630464555893177</v>
      </c>
      <c r="DF44" s="433">
        <v>0.37116068711776162</v>
      </c>
      <c r="DG44" s="433">
        <v>0</v>
      </c>
      <c r="DH44" s="433">
        <v>0</v>
      </c>
      <c r="DI44" s="433">
        <v>0</v>
      </c>
      <c r="DJ44" s="433">
        <v>0.3277706256182874</v>
      </c>
      <c r="DK44" s="433">
        <v>0.29978363190280743</v>
      </c>
      <c r="DL44" s="433">
        <v>0.26473781299938592</v>
      </c>
      <c r="DM44" s="433">
        <v>0.38971872147364967</v>
      </c>
      <c r="DN44" s="433">
        <v>0</v>
      </c>
      <c r="DO44" s="433">
        <v>0</v>
      </c>
      <c r="DP44" s="433">
        <v>0</v>
      </c>
      <c r="DR44" s="409" t="s">
        <v>855</v>
      </c>
      <c r="DS44" s="409" t="s">
        <v>2081</v>
      </c>
    </row>
    <row r="45" spans="2:123" s="1471" customFormat="1">
      <c r="B45" s="428">
        <v>41766.594936805559</v>
      </c>
      <c r="C45" s="429">
        <v>1.4614706589727757</v>
      </c>
      <c r="D45" s="429">
        <v>1.4727932541435256</v>
      </c>
      <c r="E45" s="429">
        <v>1.5232476242109825</v>
      </c>
      <c r="F45" s="429">
        <v>1.4625800213861844</v>
      </c>
      <c r="G45" s="429">
        <v>1.4386555451543019</v>
      </c>
      <c r="H45" s="429"/>
      <c r="I45" s="429">
        <v>1.4185252432492568</v>
      </c>
      <c r="J45" s="429">
        <v>1.4957623398822617</v>
      </c>
      <c r="K45" s="429">
        <v>1.3818086926694544</v>
      </c>
      <c r="L45" s="429">
        <v>1.6077813121498026</v>
      </c>
      <c r="M45" s="429">
        <v>1.7417249051293866</v>
      </c>
      <c r="N45" s="429">
        <v>1.8247542129560652</v>
      </c>
      <c r="O45" s="429">
        <v>1.4132626595582714</v>
      </c>
      <c r="P45" s="429">
        <v>1.4650217978084232</v>
      </c>
      <c r="Q45" s="429"/>
      <c r="R45" s="429">
        <v>13.47289151244644</v>
      </c>
      <c r="S45" s="429">
        <v>22.800160550870494</v>
      </c>
      <c r="T45" s="429">
        <v>4514.1705385279929</v>
      </c>
      <c r="U45" s="429">
        <v>4688.6351975938242</v>
      </c>
      <c r="V45" s="429">
        <v>4514.5893076575485</v>
      </c>
      <c r="W45" s="429">
        <v>958.08286734435774</v>
      </c>
      <c r="X45" s="429">
        <v>98.520410220945891</v>
      </c>
      <c r="Y45" s="429">
        <v>69.714072503150419</v>
      </c>
      <c r="Z45" s="429">
        <v>143.22416536998014</v>
      </c>
      <c r="AA45" s="429">
        <v>98.88328448471286</v>
      </c>
      <c r="AB45" s="429">
        <v>70.235679233492135</v>
      </c>
      <c r="AC45" s="429">
        <v>78.552054211930852</v>
      </c>
      <c r="AD45" s="429">
        <v>3.3819676284896669</v>
      </c>
      <c r="AE45" s="429">
        <v>0</v>
      </c>
      <c r="AF45" s="429">
        <v>0</v>
      </c>
      <c r="AG45" s="429">
        <v>0</v>
      </c>
      <c r="AH45" s="429">
        <v>3.3052484582478106</v>
      </c>
      <c r="AI45" s="429">
        <v>6.6004295175958605</v>
      </c>
      <c r="AJ45" s="429">
        <v>6.5530097441410442</v>
      </c>
      <c r="AK45" s="429">
        <v>7.1723142542983274</v>
      </c>
      <c r="AL45" s="429">
        <v>0</v>
      </c>
      <c r="AM45" s="429">
        <v>0</v>
      </c>
      <c r="AN45" s="429">
        <v>0</v>
      </c>
      <c r="AO45" s="432"/>
      <c r="AP45" s="428">
        <v>41766.594936805559</v>
      </c>
      <c r="AQ45" s="431">
        <v>133.94345440388889</v>
      </c>
      <c r="AR45" s="431">
        <v>176.98244879419491</v>
      </c>
      <c r="AS45" s="431">
        <v>292.80609585969097</v>
      </c>
      <c r="AT45" s="431">
        <v>155.05070521617321</v>
      </c>
      <c r="AU45" s="431">
        <v>23.414471502734838</v>
      </c>
      <c r="AV45" s="431"/>
      <c r="AW45" s="431">
        <v>16.238848887420673</v>
      </c>
      <c r="AX45" s="431">
        <v>-8.9621486568753497</v>
      </c>
      <c r="AY45" s="431">
        <v>160.58659593195802</v>
      </c>
      <c r="AZ45" s="431">
        <v>-65.082537283220958</v>
      </c>
      <c r="BA45" s="431">
        <v>-2.0669949081712349</v>
      </c>
      <c r="BB45" s="431">
        <v>186.58939988690292</v>
      </c>
      <c r="BC45" s="431">
        <v>132.2604288674751</v>
      </c>
      <c r="BD45" s="431">
        <v>186.89984066588596</v>
      </c>
      <c r="BE45" s="431">
        <v>0</v>
      </c>
      <c r="BF45" s="431">
        <v>8450.0697685945961</v>
      </c>
      <c r="BG45" s="431">
        <v>1846.7788837147612</v>
      </c>
      <c r="BH45" s="431">
        <v>569161.47796788649</v>
      </c>
      <c r="BI45" s="431">
        <v>553087.81696401641</v>
      </c>
      <c r="BJ45" s="431">
        <v>62627.089348657995</v>
      </c>
      <c r="BK45" s="431">
        <v>467898.39640417765</v>
      </c>
      <c r="BL45" s="431">
        <v>531212.23627265636</v>
      </c>
      <c r="BM45" s="431">
        <v>60150.079542092819</v>
      </c>
      <c r="BN45" s="431">
        <v>508218.4141200158</v>
      </c>
      <c r="BO45" s="431">
        <v>531212.23627265636</v>
      </c>
      <c r="BP45" s="431">
        <v>60150.079542092819</v>
      </c>
      <c r="BQ45" s="431">
        <v>429061.62045638735</v>
      </c>
      <c r="BR45" s="431">
        <v>928.96407877970842</v>
      </c>
      <c r="BS45" s="431">
        <v>0</v>
      </c>
      <c r="BT45" s="431">
        <v>0</v>
      </c>
      <c r="BU45" s="431">
        <v>0</v>
      </c>
      <c r="BV45" s="431">
        <v>883.3224528145762</v>
      </c>
      <c r="BW45" s="431">
        <v>1438.2092845064767</v>
      </c>
      <c r="BX45" s="431">
        <v>1357.2711483824457</v>
      </c>
      <c r="BY45" s="431">
        <v>1106.3148342357513</v>
      </c>
      <c r="BZ45" s="431">
        <v>0</v>
      </c>
      <c r="CA45" s="431">
        <v>0</v>
      </c>
      <c r="CB45" s="431">
        <v>0</v>
      </c>
      <c r="CC45" s="432"/>
      <c r="CD45" s="428">
        <v>41766.594936805559</v>
      </c>
      <c r="CE45" s="433">
        <v>0.23661493803757302</v>
      </c>
      <c r="CF45" s="433">
        <v>0.1669426090443121</v>
      </c>
      <c r="CG45" s="433">
        <v>0.13871405532192238</v>
      </c>
      <c r="CH45" s="433">
        <v>0.14044181113079054</v>
      </c>
      <c r="CI45" s="433">
        <v>9.3183668263033231E-2</v>
      </c>
      <c r="CJ45" s="433"/>
      <c r="CK45" s="433">
        <v>0.19922791458904218</v>
      </c>
      <c r="CL45" s="433">
        <v>0.21269201576090199</v>
      </c>
      <c r="CM45" s="433">
        <v>0.16793082221711927</v>
      </c>
      <c r="CN45" s="433">
        <v>0.15783701875244796</v>
      </c>
      <c r="CO45" s="433">
        <v>0.10121765399835686</v>
      </c>
      <c r="CP45" s="433">
        <v>0.25731882522665095</v>
      </c>
      <c r="CQ45" s="433">
        <v>0.29895541791566238</v>
      </c>
      <c r="CR45" s="433">
        <v>0.35622596063466716</v>
      </c>
      <c r="CS45" s="433">
        <v>0</v>
      </c>
      <c r="CT45" s="433">
        <v>0.44773699730205768</v>
      </c>
      <c r="CU45" s="433">
        <v>0.36269681480068267</v>
      </c>
      <c r="CV45" s="433">
        <v>0.47651872850367988</v>
      </c>
      <c r="CW45" s="433">
        <v>0.47402386605078112</v>
      </c>
      <c r="CX45" s="433">
        <v>0.39912436248524713</v>
      </c>
      <c r="CY45" s="433">
        <v>0.42969927027189708</v>
      </c>
      <c r="CZ45" s="433">
        <v>0.29692854969420929</v>
      </c>
      <c r="DA45" s="433">
        <v>0.25001150066075878</v>
      </c>
      <c r="DB45" s="433">
        <v>0.39158019166331348</v>
      </c>
      <c r="DC45" s="433">
        <v>0.29692854969420929</v>
      </c>
      <c r="DD45" s="433">
        <v>0.25001150066075878</v>
      </c>
      <c r="DE45" s="433">
        <v>0.29630464555893177</v>
      </c>
      <c r="DF45" s="433">
        <v>0.37116068711776162</v>
      </c>
      <c r="DG45" s="433">
        <v>0</v>
      </c>
      <c r="DH45" s="433">
        <v>0</v>
      </c>
      <c r="DI45" s="433">
        <v>0</v>
      </c>
      <c r="DJ45" s="433">
        <v>0.3277706256182874</v>
      </c>
      <c r="DK45" s="433">
        <v>0.29978363190280743</v>
      </c>
      <c r="DL45" s="433">
        <v>0.26473781299938592</v>
      </c>
      <c r="DM45" s="433">
        <v>0.38971872147364967</v>
      </c>
      <c r="DN45" s="433">
        <v>0</v>
      </c>
      <c r="DO45" s="433">
        <v>0</v>
      </c>
      <c r="DP45" s="433">
        <v>0</v>
      </c>
      <c r="DR45" s="409" t="s">
        <v>855</v>
      </c>
      <c r="DS45" s="409" t="s">
        <v>2085</v>
      </c>
    </row>
    <row r="46" spans="2:123" s="1471" customFormat="1">
      <c r="B46" s="428">
        <v>41766.601235300928</v>
      </c>
      <c r="C46" s="429">
        <v>1.4614706589727757</v>
      </c>
      <c r="D46" s="429">
        <v>1.4727932541435256</v>
      </c>
      <c r="E46" s="429">
        <v>1.5232476242109825</v>
      </c>
      <c r="F46" s="429">
        <v>1.4625800213861844</v>
      </c>
      <c r="G46" s="429">
        <v>1.4386555451543019</v>
      </c>
      <c r="H46" s="429">
        <v>1.4655136010594467</v>
      </c>
      <c r="I46" s="429">
        <v>1.4185252432492568</v>
      </c>
      <c r="J46" s="429">
        <v>1.4957623398822617</v>
      </c>
      <c r="K46" s="429">
        <v>1.3818086926694544</v>
      </c>
      <c r="L46" s="429">
        <v>1.6077813121498026</v>
      </c>
      <c r="M46" s="429">
        <v>1.7417249051293866</v>
      </c>
      <c r="N46" s="429">
        <v>1.8247542129560652</v>
      </c>
      <c r="O46" s="429">
        <v>1.4132626595582714</v>
      </c>
      <c r="P46" s="429">
        <v>1.4650217978084232</v>
      </c>
      <c r="Q46" s="429"/>
      <c r="R46" s="429">
        <v>13.47289151244644</v>
      </c>
      <c r="S46" s="429">
        <v>22.800160550870494</v>
      </c>
      <c r="T46" s="429">
        <v>4514.1705385279929</v>
      </c>
      <c r="U46" s="429">
        <v>4688.6351975938242</v>
      </c>
      <c r="V46" s="429">
        <v>4514.5893076575485</v>
      </c>
      <c r="W46" s="429">
        <v>958.08286734435774</v>
      </c>
      <c r="X46" s="429">
        <v>98.520410220945891</v>
      </c>
      <c r="Y46" s="429">
        <v>69.714072503150419</v>
      </c>
      <c r="Z46" s="429">
        <v>143.22416536998014</v>
      </c>
      <c r="AA46" s="429">
        <v>98.88328448471286</v>
      </c>
      <c r="AB46" s="429">
        <v>70.235679233492135</v>
      </c>
      <c r="AC46" s="429">
        <v>78.552054211930852</v>
      </c>
      <c r="AD46" s="429">
        <v>3.3819676284896669</v>
      </c>
      <c r="AE46" s="429">
        <v>0</v>
      </c>
      <c r="AF46" s="429">
        <v>0</v>
      </c>
      <c r="AG46" s="429">
        <v>0</v>
      </c>
      <c r="AH46" s="429">
        <v>3.3052484582478106</v>
      </c>
      <c r="AI46" s="429">
        <v>6.6004295175958605</v>
      </c>
      <c r="AJ46" s="429">
        <v>6.5530097441410442</v>
      </c>
      <c r="AK46" s="429">
        <v>7.1723142542983274</v>
      </c>
      <c r="AL46" s="429">
        <v>0</v>
      </c>
      <c r="AM46" s="429">
        <v>0</v>
      </c>
      <c r="AN46" s="429">
        <v>0</v>
      </c>
      <c r="AO46" s="432"/>
      <c r="AP46" s="428">
        <v>41766.601235300928</v>
      </c>
      <c r="AQ46" s="431">
        <v>133.94345440388889</v>
      </c>
      <c r="AR46" s="431">
        <v>176.98244879419491</v>
      </c>
      <c r="AS46" s="431">
        <v>292.80609585969097</v>
      </c>
      <c r="AT46" s="431">
        <v>155.05070521617321</v>
      </c>
      <c r="AU46" s="431">
        <v>23.414471502734838</v>
      </c>
      <c r="AV46" s="431">
        <v>274.36342919370952</v>
      </c>
      <c r="AW46" s="431">
        <v>16.238848887420673</v>
      </c>
      <c r="AX46" s="431">
        <v>-8.9621486568753497</v>
      </c>
      <c r="AY46" s="431">
        <v>160.58659593195802</v>
      </c>
      <c r="AZ46" s="431">
        <v>-65.082537283220958</v>
      </c>
      <c r="BA46" s="431">
        <v>-2.0669949081712349</v>
      </c>
      <c r="BB46" s="431">
        <v>186.58939988690292</v>
      </c>
      <c r="BC46" s="431">
        <v>132.2604288674751</v>
      </c>
      <c r="BD46" s="431">
        <v>186.89984066588596</v>
      </c>
      <c r="BE46" s="431">
        <v>0</v>
      </c>
      <c r="BF46" s="431">
        <v>8450.0697685945961</v>
      </c>
      <c r="BG46" s="431">
        <v>1846.7788837147612</v>
      </c>
      <c r="BH46" s="431">
        <v>569161.47796788649</v>
      </c>
      <c r="BI46" s="431">
        <v>553087.81696401641</v>
      </c>
      <c r="BJ46" s="431">
        <v>62627.089348657995</v>
      </c>
      <c r="BK46" s="431">
        <v>467898.39640417765</v>
      </c>
      <c r="BL46" s="431">
        <v>531212.23627265636</v>
      </c>
      <c r="BM46" s="431">
        <v>60150.079542092819</v>
      </c>
      <c r="BN46" s="431">
        <v>508218.4141200158</v>
      </c>
      <c r="BO46" s="431">
        <v>531212.23627265636</v>
      </c>
      <c r="BP46" s="431">
        <v>60150.079542092819</v>
      </c>
      <c r="BQ46" s="431">
        <v>429061.62045638735</v>
      </c>
      <c r="BR46" s="431">
        <v>928.96407877970842</v>
      </c>
      <c r="BS46" s="431">
        <v>0</v>
      </c>
      <c r="BT46" s="431">
        <v>0</v>
      </c>
      <c r="BU46" s="431">
        <v>0</v>
      </c>
      <c r="BV46" s="431">
        <v>883.3224528145762</v>
      </c>
      <c r="BW46" s="431">
        <v>1438.2092845064767</v>
      </c>
      <c r="BX46" s="431">
        <v>1357.2711483824457</v>
      </c>
      <c r="BY46" s="431">
        <v>1106.3148342357513</v>
      </c>
      <c r="BZ46" s="431">
        <v>0</v>
      </c>
      <c r="CA46" s="431">
        <v>0</v>
      </c>
      <c r="CB46" s="431">
        <v>0</v>
      </c>
      <c r="CC46" s="432"/>
      <c r="CD46" s="428">
        <v>41766.601235300928</v>
      </c>
      <c r="CE46" s="433">
        <v>0.23661493803757302</v>
      </c>
      <c r="CF46" s="433">
        <v>0.1669426090443121</v>
      </c>
      <c r="CG46" s="433">
        <v>0.13871405532192238</v>
      </c>
      <c r="CH46" s="433">
        <v>0.14044181113079054</v>
      </c>
      <c r="CI46" s="433">
        <v>9.3183668263033231E-2</v>
      </c>
      <c r="CJ46" s="433">
        <v>0.20081008540273693</v>
      </c>
      <c r="CK46" s="433">
        <v>0.19922791458904218</v>
      </c>
      <c r="CL46" s="433">
        <v>0.21269201576090199</v>
      </c>
      <c r="CM46" s="433">
        <v>0.16793082221711927</v>
      </c>
      <c r="CN46" s="433">
        <v>0.15783701875244796</v>
      </c>
      <c r="CO46" s="433">
        <v>0.10121765399835686</v>
      </c>
      <c r="CP46" s="433">
        <v>0.25731882522665095</v>
      </c>
      <c r="CQ46" s="433">
        <v>0.29895541791566238</v>
      </c>
      <c r="CR46" s="433">
        <v>0.35622596063466716</v>
      </c>
      <c r="CS46" s="433">
        <v>0</v>
      </c>
      <c r="CT46" s="433">
        <v>0.44773699730205768</v>
      </c>
      <c r="CU46" s="433">
        <v>0.36269681480068267</v>
      </c>
      <c r="CV46" s="433">
        <v>0.47651872850367988</v>
      </c>
      <c r="CW46" s="433">
        <v>0.47402386605078112</v>
      </c>
      <c r="CX46" s="433">
        <v>0.39912436248524713</v>
      </c>
      <c r="CY46" s="433">
        <v>0.42969927027189708</v>
      </c>
      <c r="CZ46" s="433">
        <v>0.29692854969420929</v>
      </c>
      <c r="DA46" s="433">
        <v>0.25001150066075878</v>
      </c>
      <c r="DB46" s="433">
        <v>0.39158019166331348</v>
      </c>
      <c r="DC46" s="433">
        <v>0.29692854969420929</v>
      </c>
      <c r="DD46" s="433">
        <v>0.25001150066075878</v>
      </c>
      <c r="DE46" s="433">
        <v>0.29630464555893177</v>
      </c>
      <c r="DF46" s="433">
        <v>0.37116068711776162</v>
      </c>
      <c r="DG46" s="433">
        <v>0</v>
      </c>
      <c r="DH46" s="433">
        <v>0</v>
      </c>
      <c r="DI46" s="433">
        <v>0</v>
      </c>
      <c r="DJ46" s="433">
        <v>0.3277706256182874</v>
      </c>
      <c r="DK46" s="433">
        <v>0.29978363190280743</v>
      </c>
      <c r="DL46" s="433">
        <v>0.26473781299938592</v>
      </c>
      <c r="DM46" s="433">
        <v>0.38971872147364967</v>
      </c>
      <c r="DN46" s="433">
        <v>0</v>
      </c>
      <c r="DO46" s="433">
        <v>0</v>
      </c>
      <c r="DP46" s="433">
        <v>0</v>
      </c>
      <c r="DR46" s="409" t="s">
        <v>855</v>
      </c>
      <c r="DS46" s="409" t="s">
        <v>2089</v>
      </c>
    </row>
    <row r="47" spans="2:123" s="1471" customFormat="1">
      <c r="B47" s="428">
        <v>41766.688685185189</v>
      </c>
      <c r="C47" s="429">
        <v>1.4614706589727757</v>
      </c>
      <c r="D47" s="429">
        <v>1.4727932541435256</v>
      </c>
      <c r="E47" s="429">
        <v>1.5232476242109825</v>
      </c>
      <c r="F47" s="429">
        <v>1.4625800213861844</v>
      </c>
      <c r="G47" s="429">
        <v>1.4386555451543019</v>
      </c>
      <c r="H47" s="429">
        <v>1.469266538559447</v>
      </c>
      <c r="I47" s="429">
        <v>1.5148102788953428</v>
      </c>
      <c r="J47" s="429">
        <v>1.5352355645219902</v>
      </c>
      <c r="K47" s="429">
        <v>1.3818086926694544</v>
      </c>
      <c r="L47" s="429">
        <v>1.6077813121498026</v>
      </c>
      <c r="M47" s="429">
        <v>1.7455677954020103</v>
      </c>
      <c r="N47" s="429">
        <v>1.8247542129560652</v>
      </c>
      <c r="O47" s="429">
        <v>1.4132626595582714</v>
      </c>
      <c r="P47" s="429">
        <v>1.4650217978084232</v>
      </c>
      <c r="Q47" s="429">
        <v>2876.6301939961259</v>
      </c>
      <c r="R47" s="429">
        <v>13.47289151244644</v>
      </c>
      <c r="S47" s="429">
        <v>9.436218149001494</v>
      </c>
      <c r="T47" s="429">
        <v>4514.1705385279929</v>
      </c>
      <c r="U47" s="429">
        <v>4688.6351975938242</v>
      </c>
      <c r="V47" s="429">
        <v>4902.7773810850176</v>
      </c>
      <c r="W47" s="429">
        <v>958.08286734435774</v>
      </c>
      <c r="X47" s="429">
        <v>98.520410220945891</v>
      </c>
      <c r="Y47" s="429">
        <v>75.101156641622424</v>
      </c>
      <c r="Z47" s="429">
        <v>143.22416536998014</v>
      </c>
      <c r="AA47" s="429">
        <v>98.88328448471286</v>
      </c>
      <c r="AB47" s="429">
        <v>75.201199030844137</v>
      </c>
      <c r="AC47" s="429">
        <v>78.552054211930852</v>
      </c>
      <c r="AD47" s="429">
        <v>3.3819676284896669</v>
      </c>
      <c r="AE47" s="429">
        <v>0</v>
      </c>
      <c r="AF47" s="429">
        <v>0</v>
      </c>
      <c r="AG47" s="429">
        <v>0</v>
      </c>
      <c r="AH47" s="429">
        <v>3.3052484582478106</v>
      </c>
      <c r="AI47" s="429">
        <v>6.6004295175958605</v>
      </c>
      <c r="AJ47" s="429">
        <v>6.5530097441410442</v>
      </c>
      <c r="AK47" s="429">
        <v>7.1723142542983274</v>
      </c>
      <c r="AL47" s="429">
        <v>0</v>
      </c>
      <c r="AM47" s="429">
        <v>0</v>
      </c>
      <c r="AN47" s="429">
        <v>0</v>
      </c>
      <c r="AO47" s="432"/>
      <c r="AP47" s="428">
        <v>41766.688685185189</v>
      </c>
      <c r="AQ47" s="431">
        <v>133.94345440388889</v>
      </c>
      <c r="AR47" s="431">
        <v>176.98244879419491</v>
      </c>
      <c r="AS47" s="431">
        <v>292.80609585969097</v>
      </c>
      <c r="AT47" s="431">
        <v>155.05070521617321</v>
      </c>
      <c r="AU47" s="431">
        <v>23.414471502734838</v>
      </c>
      <c r="AV47" s="431">
        <v>274.36342919370952</v>
      </c>
      <c r="AW47" s="431">
        <v>19.558762714494112</v>
      </c>
      <c r="AX47" s="431">
        <v>-9.9987098939935279</v>
      </c>
      <c r="AY47" s="431">
        <v>160.58659593195802</v>
      </c>
      <c r="AZ47" s="431">
        <v>-65.082537283220958</v>
      </c>
      <c r="BA47" s="431">
        <v>-2.2631437361466054</v>
      </c>
      <c r="BB47" s="431">
        <v>186.58939988690292</v>
      </c>
      <c r="BC47" s="431">
        <v>132.2604288674751</v>
      </c>
      <c r="BD47" s="431">
        <v>186.89984066588596</v>
      </c>
      <c r="BE47" s="431">
        <v>367773.09681057668</v>
      </c>
      <c r="BF47" s="431">
        <v>8450.0697685945961</v>
      </c>
      <c r="BG47" s="431">
        <v>1168.7787343731009</v>
      </c>
      <c r="BH47" s="431">
        <v>569161.47796788649</v>
      </c>
      <c r="BI47" s="431">
        <v>553087.81696401641</v>
      </c>
      <c r="BJ47" s="431">
        <v>76460.765134767425</v>
      </c>
      <c r="BK47" s="431">
        <v>467898.39640417765</v>
      </c>
      <c r="BL47" s="431">
        <v>531212.23627265636</v>
      </c>
      <c r="BM47" s="431">
        <v>73436.609501381696</v>
      </c>
      <c r="BN47" s="431">
        <v>508218.4141200158</v>
      </c>
      <c r="BO47" s="431">
        <v>531212.23627265636</v>
      </c>
      <c r="BP47" s="431">
        <v>73436.609501381696</v>
      </c>
      <c r="BQ47" s="431">
        <v>429061.62045638735</v>
      </c>
      <c r="BR47" s="431">
        <v>928.96407877970842</v>
      </c>
      <c r="BS47" s="431">
        <v>0</v>
      </c>
      <c r="BT47" s="431">
        <v>0</v>
      </c>
      <c r="BU47" s="431">
        <v>0</v>
      </c>
      <c r="BV47" s="431">
        <v>883.3224528145762</v>
      </c>
      <c r="BW47" s="431">
        <v>1438.2092845064767</v>
      </c>
      <c r="BX47" s="431">
        <v>1357.2711483824457</v>
      </c>
      <c r="BY47" s="431">
        <v>1106.3148342357513</v>
      </c>
      <c r="BZ47" s="431">
        <v>0</v>
      </c>
      <c r="CA47" s="431">
        <v>0</v>
      </c>
      <c r="CB47" s="431">
        <v>0</v>
      </c>
      <c r="CC47" s="432"/>
      <c r="CD47" s="428">
        <v>41766.688685185189</v>
      </c>
      <c r="CE47" s="433">
        <v>0.23661493803757302</v>
      </c>
      <c r="CF47" s="433">
        <v>0.1669426090443121</v>
      </c>
      <c r="CG47" s="433">
        <v>0.13871405532192238</v>
      </c>
      <c r="CH47" s="433">
        <v>0.14044181113079054</v>
      </c>
      <c r="CI47" s="433">
        <v>9.3183668263033231E-2</v>
      </c>
      <c r="CJ47" s="433">
        <v>0.20081008540273693</v>
      </c>
      <c r="CK47" s="433">
        <v>0.19922791458904218</v>
      </c>
      <c r="CL47" s="433">
        <v>0.21269201576090199</v>
      </c>
      <c r="CM47" s="433">
        <v>0.16793082221711927</v>
      </c>
      <c r="CN47" s="433">
        <v>0.15783701875244796</v>
      </c>
      <c r="CO47" s="433">
        <v>0.10121765399835686</v>
      </c>
      <c r="CP47" s="433">
        <v>0.25731882522665095</v>
      </c>
      <c r="CQ47" s="433">
        <v>0.29895541791566238</v>
      </c>
      <c r="CR47" s="433">
        <v>0.35622596063466716</v>
      </c>
      <c r="CS47" s="433">
        <v>0.39482980361733477</v>
      </c>
      <c r="CT47" s="433">
        <v>0.44773699730205768</v>
      </c>
      <c r="CU47" s="433">
        <v>0.36269681480068267</v>
      </c>
      <c r="CV47" s="433">
        <v>0.47651872850367988</v>
      </c>
      <c r="CW47" s="433">
        <v>0.47402386605078112</v>
      </c>
      <c r="CX47" s="433">
        <v>0.39912436248524713</v>
      </c>
      <c r="CY47" s="433">
        <v>0.42969927027189708</v>
      </c>
      <c r="CZ47" s="433">
        <v>0.29692854969420929</v>
      </c>
      <c r="DA47" s="433">
        <v>0.25001150066075878</v>
      </c>
      <c r="DB47" s="433">
        <v>0.39158019166331348</v>
      </c>
      <c r="DC47" s="433">
        <v>0.29692854969420929</v>
      </c>
      <c r="DD47" s="433">
        <v>0.25001150066075878</v>
      </c>
      <c r="DE47" s="433">
        <v>0.29630464555893177</v>
      </c>
      <c r="DF47" s="433">
        <v>0.37116068711776162</v>
      </c>
      <c r="DG47" s="433">
        <v>0</v>
      </c>
      <c r="DH47" s="433">
        <v>0</v>
      </c>
      <c r="DI47" s="433">
        <v>0</v>
      </c>
      <c r="DJ47" s="433">
        <v>0.3277706256182874</v>
      </c>
      <c r="DK47" s="433">
        <v>0.29978363190280743</v>
      </c>
      <c r="DL47" s="433">
        <v>0.26473781299938592</v>
      </c>
      <c r="DM47" s="433">
        <v>0.38971872147364967</v>
      </c>
      <c r="DN47" s="433">
        <v>0</v>
      </c>
      <c r="DO47" s="433">
        <v>0</v>
      </c>
      <c r="DP47" s="433">
        <v>0</v>
      </c>
      <c r="DR47" s="409" t="s">
        <v>855</v>
      </c>
      <c r="DS47" s="409" t="s">
        <v>2099</v>
      </c>
    </row>
    <row r="48" spans="2:123" s="1471" customFormat="1">
      <c r="B48" s="428">
        <v>41767.683643865741</v>
      </c>
      <c r="C48" s="429">
        <v>1.4614836426800304</v>
      </c>
      <c r="D48" s="429">
        <v>1.4728108788749668</v>
      </c>
      <c r="E48" s="429">
        <v>1.5233370619406548</v>
      </c>
      <c r="F48" s="429">
        <v>1.4626027894406324</v>
      </c>
      <c r="G48" s="429">
        <v>1.4386555451543019</v>
      </c>
      <c r="H48" s="429">
        <v>1.4692796889945618</v>
      </c>
      <c r="I48" s="429">
        <v>1.5148102788953428</v>
      </c>
      <c r="J48" s="429">
        <v>1.5352355645219902</v>
      </c>
      <c r="K48" s="429">
        <v>1.3815914170029282</v>
      </c>
      <c r="L48" s="429">
        <v>1.6079187214821511</v>
      </c>
      <c r="M48" s="429">
        <v>1.7455677954020103</v>
      </c>
      <c r="N48" s="429">
        <v>1.8253203052161011</v>
      </c>
      <c r="O48" s="429">
        <v>1.413663906418668</v>
      </c>
      <c r="P48" s="429">
        <v>1.4655396502355618</v>
      </c>
      <c r="Q48" s="429">
        <v>2876.6580023242868</v>
      </c>
      <c r="R48" s="429">
        <v>13.473741588649728</v>
      </c>
      <c r="S48" s="429">
        <v>9.436218149001494</v>
      </c>
      <c r="T48" s="429">
        <v>4514.2135743816052</v>
      </c>
      <c r="U48" s="429">
        <v>4688.6892995171384</v>
      </c>
      <c r="V48" s="429">
        <v>4902.7773810850176</v>
      </c>
      <c r="W48" s="429">
        <v>957.356661060845</v>
      </c>
      <c r="X48" s="429">
        <v>98.572383596856213</v>
      </c>
      <c r="Y48" s="429">
        <v>75.101156641622424</v>
      </c>
      <c r="Z48" s="429">
        <v>144.76649807835889</v>
      </c>
      <c r="AA48" s="429">
        <v>98.935257873561412</v>
      </c>
      <c r="AB48" s="429">
        <v>75.201199030844137</v>
      </c>
      <c r="AC48" s="429">
        <v>77.963714077214021</v>
      </c>
      <c r="AD48" s="429">
        <v>3.3820574098346574</v>
      </c>
      <c r="AE48" s="429">
        <v>0</v>
      </c>
      <c r="AF48" s="429">
        <v>0</v>
      </c>
      <c r="AG48" s="429">
        <v>0</v>
      </c>
      <c r="AH48" s="429">
        <v>3.3040996870303583</v>
      </c>
      <c r="AI48" s="429">
        <v>6.6005687684619403</v>
      </c>
      <c r="AJ48" s="429">
        <v>6.5512279999827747</v>
      </c>
      <c r="AK48" s="429">
        <v>7.1724213703491584</v>
      </c>
      <c r="AL48" s="429">
        <v>0</v>
      </c>
      <c r="AM48" s="429">
        <v>0</v>
      </c>
      <c r="AN48" s="429">
        <v>0</v>
      </c>
      <c r="AO48" s="432"/>
      <c r="AP48" s="428">
        <v>41767.683643865741</v>
      </c>
      <c r="AQ48" s="431">
        <v>133.94647797016412</v>
      </c>
      <c r="AR48" s="431">
        <v>176.9865533092962</v>
      </c>
      <c r="AS48" s="431">
        <v>293.14013060375652</v>
      </c>
      <c r="AT48" s="431">
        <v>155.05170474330939</v>
      </c>
      <c r="AU48" s="431">
        <v>23.414471502734838</v>
      </c>
      <c r="AV48" s="431">
        <v>274.40137439576318</v>
      </c>
      <c r="AW48" s="431">
        <v>19.558762714494112</v>
      </c>
      <c r="AX48" s="431">
        <v>-9.9987098939935279</v>
      </c>
      <c r="AY48" s="431">
        <v>160.68073532905626</v>
      </c>
      <c r="AZ48" s="431">
        <v>-64.954118479668949</v>
      </c>
      <c r="BA48" s="431">
        <v>-2.2631437361466054</v>
      </c>
      <c r="BB48" s="431">
        <v>186.59347535888043</v>
      </c>
      <c r="BC48" s="431">
        <v>132.26332509198016</v>
      </c>
      <c r="BD48" s="431">
        <v>186.90395684162482</v>
      </c>
      <c r="BE48" s="431">
        <v>367779.57509886246</v>
      </c>
      <c r="BF48" s="431">
        <v>8450.2690944054029</v>
      </c>
      <c r="BG48" s="431">
        <v>1168.7787343731009</v>
      </c>
      <c r="BH48" s="431">
        <v>569171.50369344244</v>
      </c>
      <c r="BI48" s="431">
        <v>553100.4157957175</v>
      </c>
      <c r="BJ48" s="431">
        <v>76460.765134767425</v>
      </c>
      <c r="BK48" s="431">
        <v>468177.71039551712</v>
      </c>
      <c r="BL48" s="431">
        <v>531224.33679875184</v>
      </c>
      <c r="BM48" s="431">
        <v>73436.609501381696</v>
      </c>
      <c r="BN48" s="431">
        <v>508229.54303164489</v>
      </c>
      <c r="BO48" s="431">
        <v>531224.33679875184</v>
      </c>
      <c r="BP48" s="431">
        <v>73436.609501381696</v>
      </c>
      <c r="BQ48" s="431">
        <v>429316.54755275883</v>
      </c>
      <c r="BR48" s="431">
        <v>928.98498635537544</v>
      </c>
      <c r="BS48" s="431">
        <v>0</v>
      </c>
      <c r="BT48" s="431">
        <v>0</v>
      </c>
      <c r="BU48" s="431">
        <v>0</v>
      </c>
      <c r="BV48" s="431">
        <v>883.82018287125402</v>
      </c>
      <c r="BW48" s="431">
        <v>1438.241712156336</v>
      </c>
      <c r="BX48" s="431">
        <v>1358.0431277003529</v>
      </c>
      <c r="BY48" s="431">
        <v>1106.339778581797</v>
      </c>
      <c r="BZ48" s="431">
        <v>0</v>
      </c>
      <c r="CA48" s="431">
        <v>0</v>
      </c>
      <c r="CB48" s="431">
        <v>0</v>
      </c>
      <c r="CC48" s="432"/>
      <c r="CD48" s="428">
        <v>41767.683643750002</v>
      </c>
      <c r="CE48" s="433">
        <v>0.23661493803757302</v>
      </c>
      <c r="CF48" s="433">
        <v>0.1669426090443121</v>
      </c>
      <c r="CG48" s="433">
        <v>0.13871405532192238</v>
      </c>
      <c r="CH48" s="433">
        <v>0.14044181113079054</v>
      </c>
      <c r="CI48" s="433">
        <v>9.3183668263033231E-2</v>
      </c>
      <c r="CJ48" s="433">
        <v>0.20081008540273693</v>
      </c>
      <c r="CK48" s="433">
        <v>0.19922791458904218</v>
      </c>
      <c r="CL48" s="433">
        <v>0.21269201576090199</v>
      </c>
      <c r="CM48" s="433">
        <v>0.16793082221711927</v>
      </c>
      <c r="CN48" s="433">
        <v>0.15783701875244796</v>
      </c>
      <c r="CO48" s="433">
        <v>0.10121765399835686</v>
      </c>
      <c r="CP48" s="433">
        <v>0.25731882522665095</v>
      </c>
      <c r="CQ48" s="433">
        <v>0.29895541791566238</v>
      </c>
      <c r="CR48" s="433">
        <v>0.35622596063466716</v>
      </c>
      <c r="CS48" s="433">
        <v>0.39482980361733477</v>
      </c>
      <c r="CT48" s="433">
        <v>0.44773699730205768</v>
      </c>
      <c r="CU48" s="433">
        <v>0.36269681480068267</v>
      </c>
      <c r="CV48" s="433">
        <v>0.47651872850367988</v>
      </c>
      <c r="CW48" s="433">
        <v>0.47402386605078112</v>
      </c>
      <c r="CX48" s="433">
        <v>0.39912436248524713</v>
      </c>
      <c r="CY48" s="433">
        <v>0.42969927027189708</v>
      </c>
      <c r="CZ48" s="433">
        <v>0.29692854969420929</v>
      </c>
      <c r="DA48" s="433">
        <v>0.25001150066075878</v>
      </c>
      <c r="DB48" s="433">
        <v>0.39158019166331348</v>
      </c>
      <c r="DC48" s="433">
        <v>0.29692854969420929</v>
      </c>
      <c r="DD48" s="433">
        <v>0.25001150066075878</v>
      </c>
      <c r="DE48" s="433">
        <v>0.29630464555893177</v>
      </c>
      <c r="DF48" s="433">
        <v>0.37116068711776162</v>
      </c>
      <c r="DG48" s="433">
        <v>0</v>
      </c>
      <c r="DH48" s="433">
        <v>0</v>
      </c>
      <c r="DI48" s="433">
        <v>0</v>
      </c>
      <c r="DJ48" s="433">
        <v>0.3277706256182874</v>
      </c>
      <c r="DK48" s="433">
        <v>0.29978363190280743</v>
      </c>
      <c r="DL48" s="433">
        <v>0.26473781299938592</v>
      </c>
      <c r="DM48" s="433">
        <v>0.38971872147364967</v>
      </c>
      <c r="DN48" s="433">
        <v>0</v>
      </c>
      <c r="DO48" s="433">
        <v>0</v>
      </c>
      <c r="DP48" s="433">
        <v>0</v>
      </c>
      <c r="DR48" s="409" t="s">
        <v>711</v>
      </c>
      <c r="DS48" s="409" t="s">
        <v>2192</v>
      </c>
    </row>
    <row r="49" spans="2:123" s="1471" customFormat="1">
      <c r="B49" s="428">
        <v>41767.689380208336</v>
      </c>
      <c r="C49" s="429">
        <v>1.4612507766179144</v>
      </c>
      <c r="D49" s="429">
        <v>1.4724693542198852</v>
      </c>
      <c r="E49" s="429">
        <v>1.5230554527541134</v>
      </c>
      <c r="F49" s="429">
        <v>1.4623211802540912</v>
      </c>
      <c r="G49" s="429">
        <v>1.4384456561453278</v>
      </c>
      <c r="H49" s="429">
        <v>1.4690355105453006</v>
      </c>
      <c r="I49" s="429">
        <v>1.5145774128332268</v>
      </c>
      <c r="J49" s="429">
        <v>1.5345896931016063</v>
      </c>
      <c r="K49" s="429">
        <v>1.3815914170029282</v>
      </c>
      <c r="L49" s="429">
        <v>1.6079187214821511</v>
      </c>
      <c r="M49" s="429">
        <v>1.7454528600795742</v>
      </c>
      <c r="N49" s="429">
        <v>1.8253203052161011</v>
      </c>
      <c r="O49" s="429">
        <v>1.413663906418668</v>
      </c>
      <c r="P49" s="429">
        <v>1.4655071407069258</v>
      </c>
      <c r="Q49" s="429">
        <v>2876.8090719756747</v>
      </c>
      <c r="R49" s="429">
        <v>13.477867223383814</v>
      </c>
      <c r="S49" s="429">
        <v>9.4403437837355817</v>
      </c>
      <c r="T49" s="429">
        <v>4514.4473680625606</v>
      </c>
      <c r="U49" s="429">
        <v>4687.7189750531033</v>
      </c>
      <c r="V49" s="429">
        <v>4901.8070566209817</v>
      </c>
      <c r="W49" s="429">
        <v>957.29570580597317</v>
      </c>
      <c r="X49" s="429">
        <v>97.640437145242359</v>
      </c>
      <c r="Y49" s="429">
        <v>74.169210190008585</v>
      </c>
      <c r="Z49" s="429">
        <v>144.76649807835889</v>
      </c>
      <c r="AA49" s="429">
        <v>98.003311421947558</v>
      </c>
      <c r="AB49" s="429">
        <v>74.269252579230283</v>
      </c>
      <c r="AC49" s="429">
        <v>77.963714077214021</v>
      </c>
      <c r="AD49" s="429">
        <v>3.380447170676387</v>
      </c>
      <c r="AE49" s="429">
        <v>0</v>
      </c>
      <c r="AF49" s="429">
        <v>0</v>
      </c>
      <c r="AG49" s="429">
        <v>0</v>
      </c>
      <c r="AH49" s="429">
        <v>3.3040996870303583</v>
      </c>
      <c r="AI49" s="429">
        <v>6.5980712875274632</v>
      </c>
      <c r="AJ49" s="429">
        <v>6.5512279999827747</v>
      </c>
      <c r="AK49" s="429">
        <v>7.1705002311687913</v>
      </c>
      <c r="AL49" s="429">
        <v>0</v>
      </c>
      <c r="AM49" s="429">
        <v>0</v>
      </c>
      <c r="AN49" s="429">
        <v>0</v>
      </c>
      <c r="AO49" s="432"/>
      <c r="AP49" s="428">
        <v>41767.689380208336</v>
      </c>
      <c r="AQ49" s="431">
        <v>133.4566495714902</v>
      </c>
      <c r="AR49" s="431">
        <v>176.26816406276481</v>
      </c>
      <c r="AS49" s="431">
        <v>292.5477721654251</v>
      </c>
      <c r="AT49" s="431">
        <v>154.45934630497797</v>
      </c>
      <c r="AU49" s="431">
        <v>22.972974806175028</v>
      </c>
      <c r="AV49" s="431">
        <v>273.88775065125719</v>
      </c>
      <c r="AW49" s="431">
        <v>19.068934315820204</v>
      </c>
      <c r="AX49" s="431">
        <v>-11.357285552125852</v>
      </c>
      <c r="AY49" s="431">
        <v>160.68073532905626</v>
      </c>
      <c r="AZ49" s="431">
        <v>-64.954118479668949</v>
      </c>
      <c r="BA49" s="431">
        <v>-2.5049075398902403</v>
      </c>
      <c r="BB49" s="431">
        <v>186.59347535888043</v>
      </c>
      <c r="BC49" s="431">
        <v>132.26332509198016</v>
      </c>
      <c r="BD49" s="431">
        <v>186.83557379684456</v>
      </c>
      <c r="BE49" s="431">
        <v>368097.3466313692</v>
      </c>
      <c r="BF49" s="431">
        <v>8458.9472720537415</v>
      </c>
      <c r="BG49" s="431">
        <v>1177.4569120214398</v>
      </c>
      <c r="BH49" s="431">
        <v>569663.28331698244</v>
      </c>
      <c r="BI49" s="431">
        <v>551059.36063253065</v>
      </c>
      <c r="BJ49" s="431">
        <v>74419.709971580451</v>
      </c>
      <c r="BK49" s="431">
        <v>468049.49242071511</v>
      </c>
      <c r="BL49" s="431">
        <v>529264.00890083518</v>
      </c>
      <c r="BM49" s="431">
        <v>71476.281603465017</v>
      </c>
      <c r="BN49" s="431">
        <v>508229.54303164489</v>
      </c>
      <c r="BO49" s="431">
        <v>529264.00890083518</v>
      </c>
      <c r="BP49" s="431">
        <v>71476.281603465017</v>
      </c>
      <c r="BQ49" s="431">
        <v>429316.54755275883</v>
      </c>
      <c r="BR49" s="431">
        <v>925.59788537032489</v>
      </c>
      <c r="BS49" s="431">
        <v>0</v>
      </c>
      <c r="BT49" s="431">
        <v>0</v>
      </c>
      <c r="BU49" s="431">
        <v>0</v>
      </c>
      <c r="BV49" s="431">
        <v>883.82018287125402</v>
      </c>
      <c r="BW49" s="431">
        <v>1432.988318528523</v>
      </c>
      <c r="BX49" s="431">
        <v>1358.0431277003529</v>
      </c>
      <c r="BY49" s="431">
        <v>1102.298706560402</v>
      </c>
      <c r="BZ49" s="431">
        <v>0</v>
      </c>
      <c r="CA49" s="431">
        <v>0</v>
      </c>
      <c r="CB49" s="431">
        <v>0</v>
      </c>
      <c r="CC49" s="432"/>
      <c r="CD49" s="428">
        <v>41767.689380208336</v>
      </c>
      <c r="CE49" s="433">
        <v>0.23661493803757302</v>
      </c>
      <c r="CF49" s="433">
        <v>0.1669426090443121</v>
      </c>
      <c r="CG49" s="433">
        <v>0.13871405532192238</v>
      </c>
      <c r="CH49" s="433">
        <v>0.14044181113079054</v>
      </c>
      <c r="CI49" s="433">
        <v>9.3183668263033231E-2</v>
      </c>
      <c r="CJ49" s="433">
        <v>0.20081008540273693</v>
      </c>
      <c r="CK49" s="433">
        <v>0.19922791458904218</v>
      </c>
      <c r="CL49" s="433">
        <v>0.21269201576090199</v>
      </c>
      <c r="CM49" s="433">
        <v>0.16793082221711927</v>
      </c>
      <c r="CN49" s="433">
        <v>0.15783701875244796</v>
      </c>
      <c r="CO49" s="433">
        <v>0.10121765399835686</v>
      </c>
      <c r="CP49" s="433">
        <v>0.25731882522665095</v>
      </c>
      <c r="CQ49" s="433">
        <v>0.29895541791566238</v>
      </c>
      <c r="CR49" s="433">
        <v>0.35622596063466716</v>
      </c>
      <c r="CS49" s="433">
        <v>0.39482980361733477</v>
      </c>
      <c r="CT49" s="433">
        <v>0.44773699730205768</v>
      </c>
      <c r="CU49" s="433">
        <v>0.36269681480068267</v>
      </c>
      <c r="CV49" s="433">
        <v>0.47651872850367988</v>
      </c>
      <c r="CW49" s="433">
        <v>0.47402386605078112</v>
      </c>
      <c r="CX49" s="433">
        <v>0.39912436248524713</v>
      </c>
      <c r="CY49" s="433">
        <v>0.42969927027189708</v>
      </c>
      <c r="CZ49" s="433">
        <v>0.29692854969420929</v>
      </c>
      <c r="DA49" s="433">
        <v>0.25001150066075878</v>
      </c>
      <c r="DB49" s="433">
        <v>0.39158019166331348</v>
      </c>
      <c r="DC49" s="433">
        <v>0.29692854969420929</v>
      </c>
      <c r="DD49" s="433">
        <v>0.25001150066075878</v>
      </c>
      <c r="DE49" s="433">
        <v>0.29630464555893177</v>
      </c>
      <c r="DF49" s="433">
        <v>0.37116068711776162</v>
      </c>
      <c r="DG49" s="433">
        <v>0</v>
      </c>
      <c r="DH49" s="433">
        <v>0</v>
      </c>
      <c r="DI49" s="433">
        <v>0</v>
      </c>
      <c r="DJ49" s="433">
        <v>0.3277706256182874</v>
      </c>
      <c r="DK49" s="433">
        <v>0.29978363190280743</v>
      </c>
      <c r="DL49" s="433">
        <v>0.26473781299938592</v>
      </c>
      <c r="DM49" s="433">
        <v>0.38971872147364967</v>
      </c>
      <c r="DN49" s="433">
        <v>0</v>
      </c>
      <c r="DO49" s="433">
        <v>0</v>
      </c>
      <c r="DP49" s="433">
        <v>0</v>
      </c>
      <c r="DR49" s="409" t="s">
        <v>711</v>
      </c>
      <c r="DS49" s="409" t="s">
        <v>2194</v>
      </c>
    </row>
    <row r="50" spans="2:123" s="1471" customFormat="1">
      <c r="B50" s="428">
        <v>41768.35325659722</v>
      </c>
      <c r="C50" s="429">
        <v>1.4612666005837789</v>
      </c>
      <c r="D50" s="429">
        <v>1.4725298963534965</v>
      </c>
      <c r="E50" s="429">
        <v>1.524186728636624</v>
      </c>
      <c r="F50" s="429">
        <v>1.463452456136602</v>
      </c>
      <c r="G50" s="429">
        <v>1.4395642181797801</v>
      </c>
      <c r="H50" s="429">
        <v>1.4739077185290959</v>
      </c>
      <c r="I50" s="429">
        <v>1.5145932367990913</v>
      </c>
      <c r="J50" s="429">
        <v>1.525614687560946</v>
      </c>
      <c r="K50" s="429">
        <v>1.3517750875937957</v>
      </c>
      <c r="L50" s="429">
        <v>1.5781023920730188</v>
      </c>
      <c r="M50" s="429">
        <v>1.7456248943524035</v>
      </c>
      <c r="N50" s="429">
        <v>1.7852067823549502</v>
      </c>
      <c r="O50" s="429">
        <v>1.3796882656022957</v>
      </c>
      <c r="P50" s="429">
        <v>1.4325914476295407</v>
      </c>
      <c r="Q50" s="429">
        <v>2884.426998541549</v>
      </c>
      <c r="R50" s="429">
        <v>13.477867223383814</v>
      </c>
      <c r="S50" s="429">
        <v>9.4403437837355817</v>
      </c>
      <c r="T50" s="429">
        <v>4526.2367849092125</v>
      </c>
      <c r="U50" s="429">
        <v>4687.7827546530161</v>
      </c>
      <c r="V50" s="429">
        <v>4901.8708362208945</v>
      </c>
      <c r="W50" s="429">
        <v>868.81180000797201</v>
      </c>
      <c r="X50" s="429">
        <v>97.640821254923836</v>
      </c>
      <c r="Y50" s="429">
        <v>74.169594299690061</v>
      </c>
      <c r="Z50" s="429">
        <v>143.34851138120962</v>
      </c>
      <c r="AA50" s="429">
        <v>98.003625693505128</v>
      </c>
      <c r="AB50" s="429">
        <v>74.269566850787868</v>
      </c>
      <c r="AC50" s="429">
        <v>77.549477853540679</v>
      </c>
      <c r="AD50" s="429">
        <v>3.3805530119831713</v>
      </c>
      <c r="AE50" s="429">
        <v>0</v>
      </c>
      <c r="AF50" s="429">
        <v>0</v>
      </c>
      <c r="AG50" s="429">
        <v>0</v>
      </c>
      <c r="AH50" s="429">
        <v>3.1464559822248108</v>
      </c>
      <c r="AI50" s="429">
        <v>6.5982354473942859</v>
      </c>
      <c r="AJ50" s="429">
        <v>6.3067226138293719</v>
      </c>
      <c r="AK50" s="429">
        <v>7.1706265079894234</v>
      </c>
      <c r="AL50" s="429">
        <v>0</v>
      </c>
      <c r="AM50" s="429">
        <v>0</v>
      </c>
      <c r="AN50" s="429">
        <v>0</v>
      </c>
      <c r="AO50" s="432"/>
      <c r="AP50" s="428">
        <v>41768.35325659722</v>
      </c>
      <c r="AQ50" s="431">
        <v>133.4566495714902</v>
      </c>
      <c r="AR50" s="431">
        <v>176.26816406276481</v>
      </c>
      <c r="AS50" s="431">
        <v>292.5477721654251</v>
      </c>
      <c r="AT50" s="431">
        <v>154.45934630497797</v>
      </c>
      <c r="AU50" s="431">
        <v>22.972974806175028</v>
      </c>
      <c r="AV50" s="431">
        <v>273.88775065125719</v>
      </c>
      <c r="AW50" s="431">
        <v>19.068934315820204</v>
      </c>
      <c r="AX50" s="431">
        <v>-11.357285552125852</v>
      </c>
      <c r="AY50" s="431">
        <v>160.68073532905626</v>
      </c>
      <c r="AZ50" s="431">
        <v>-64.954118479668949</v>
      </c>
      <c r="BA50" s="431">
        <v>-2.5049075398902403</v>
      </c>
      <c r="BB50" s="431">
        <v>183.76679146949212</v>
      </c>
      <c r="BC50" s="431">
        <v>132.26332509198016</v>
      </c>
      <c r="BD50" s="431">
        <v>186.83557379684456</v>
      </c>
      <c r="BE50" s="431">
        <v>368097.3466313692</v>
      </c>
      <c r="BF50" s="431">
        <v>8458.9472720537415</v>
      </c>
      <c r="BG50" s="431">
        <v>1177.4569120214398</v>
      </c>
      <c r="BH50" s="431">
        <v>569663.28331698244</v>
      </c>
      <c r="BI50" s="431">
        <v>551059.36063253065</v>
      </c>
      <c r="BJ50" s="431">
        <v>74419.709971580451</v>
      </c>
      <c r="BK50" s="431">
        <v>468049.49242071511</v>
      </c>
      <c r="BL50" s="431">
        <v>529264.00890083518</v>
      </c>
      <c r="BM50" s="431">
        <v>71476.281603465017</v>
      </c>
      <c r="BN50" s="431">
        <v>508229.54303164489</v>
      </c>
      <c r="BO50" s="431">
        <v>529264.00890083518</v>
      </c>
      <c r="BP50" s="431">
        <v>71476.281603465017</v>
      </c>
      <c r="BQ50" s="431">
        <v>429316.54755275883</v>
      </c>
      <c r="BR50" s="431">
        <v>925.59788537032489</v>
      </c>
      <c r="BS50" s="431">
        <v>0</v>
      </c>
      <c r="BT50" s="431">
        <v>0</v>
      </c>
      <c r="BU50" s="431">
        <v>0</v>
      </c>
      <c r="BV50" s="431">
        <v>883.82018287125402</v>
      </c>
      <c r="BW50" s="431">
        <v>1432.988318528523</v>
      </c>
      <c r="BX50" s="431">
        <v>1358.0431277003529</v>
      </c>
      <c r="BY50" s="431">
        <v>1102.298706560402</v>
      </c>
      <c r="BZ50" s="431">
        <v>0</v>
      </c>
      <c r="CA50" s="431">
        <v>0</v>
      </c>
      <c r="CB50" s="431">
        <v>0</v>
      </c>
      <c r="CC50" s="432"/>
      <c r="CD50" s="428">
        <v>41768.353256365743</v>
      </c>
      <c r="CE50" s="433">
        <v>0.23661493803757302</v>
      </c>
      <c r="CF50" s="433">
        <v>0.1669426090443121</v>
      </c>
      <c r="CG50" s="433">
        <v>0.13871405532192238</v>
      </c>
      <c r="CH50" s="433">
        <v>0.14044181113079054</v>
      </c>
      <c r="CI50" s="433">
        <v>9.3183668263033231E-2</v>
      </c>
      <c r="CJ50" s="433">
        <v>0.20081008540273693</v>
      </c>
      <c r="CK50" s="433">
        <v>0.19922791458904218</v>
      </c>
      <c r="CL50" s="433">
        <v>0.21269201576090199</v>
      </c>
      <c r="CM50" s="433">
        <v>0.16793082221711927</v>
      </c>
      <c r="CN50" s="433">
        <v>0.15783701875244796</v>
      </c>
      <c r="CO50" s="433">
        <v>0.10121765399835686</v>
      </c>
      <c r="CP50" s="433">
        <v>0.25731882522665095</v>
      </c>
      <c r="CQ50" s="433">
        <v>0.29895541791566238</v>
      </c>
      <c r="CR50" s="433">
        <v>0.35622596063466716</v>
      </c>
      <c r="CS50" s="433">
        <v>0.39482980361733477</v>
      </c>
      <c r="CT50" s="433">
        <v>0.44773699730205768</v>
      </c>
      <c r="CU50" s="433">
        <v>0.36269681480068267</v>
      </c>
      <c r="CV50" s="433">
        <v>0.47651872850367988</v>
      </c>
      <c r="CW50" s="433">
        <v>0.47402386605078112</v>
      </c>
      <c r="CX50" s="433">
        <v>0.39912436248524713</v>
      </c>
      <c r="CY50" s="433">
        <v>0.42969927027189708</v>
      </c>
      <c r="CZ50" s="433">
        <v>0.29692854969420929</v>
      </c>
      <c r="DA50" s="433">
        <v>0.25001150066075878</v>
      </c>
      <c r="DB50" s="433">
        <v>0.39158019166331348</v>
      </c>
      <c r="DC50" s="433">
        <v>0.29692854969420929</v>
      </c>
      <c r="DD50" s="433">
        <v>0.25001150066075878</v>
      </c>
      <c r="DE50" s="433">
        <v>0.29630464555893177</v>
      </c>
      <c r="DF50" s="433">
        <v>0.37116068711776162</v>
      </c>
      <c r="DG50" s="433">
        <v>0</v>
      </c>
      <c r="DH50" s="433">
        <v>0</v>
      </c>
      <c r="DI50" s="433">
        <v>0</v>
      </c>
      <c r="DJ50" s="433">
        <v>0.3277706256182874</v>
      </c>
      <c r="DK50" s="433">
        <v>0.29978363190280743</v>
      </c>
      <c r="DL50" s="433">
        <v>0.26473781299938592</v>
      </c>
      <c r="DM50" s="433">
        <v>0.38971872147364967</v>
      </c>
      <c r="DN50" s="433">
        <v>0</v>
      </c>
      <c r="DO50" s="433">
        <v>0</v>
      </c>
      <c r="DP50" s="433">
        <v>0</v>
      </c>
      <c r="DR50" s="409" t="s">
        <v>711</v>
      </c>
      <c r="DS50" s="409" t="s">
        <v>2199</v>
      </c>
    </row>
    <row r="51" spans="2:123" s="1471" customFormat="1">
      <c r="B51" s="428">
        <v>41768.664640277777</v>
      </c>
      <c r="C51" s="429">
        <v>1.4612666005837789</v>
      </c>
      <c r="D51" s="429">
        <v>1.4725298963534965</v>
      </c>
      <c r="E51" s="429">
        <v>1.524186728636624</v>
      </c>
      <c r="F51" s="429">
        <v>1.463452456136602</v>
      </c>
      <c r="G51" s="429">
        <v>1.4395642181797801</v>
      </c>
      <c r="H51" s="429">
        <v>1.4739077185290959</v>
      </c>
      <c r="I51" s="429">
        <v>1.5145932367990913</v>
      </c>
      <c r="J51" s="429">
        <v>1.525614687560946</v>
      </c>
      <c r="K51" s="429">
        <v>1.3517750875937957</v>
      </c>
      <c r="L51" s="429">
        <v>1.5781023920730188</v>
      </c>
      <c r="M51" s="429">
        <v>1.8389032190587002</v>
      </c>
      <c r="N51" s="429">
        <v>1.7852067823549502</v>
      </c>
      <c r="O51" s="429">
        <v>1.3796882656022957</v>
      </c>
      <c r="P51" s="429">
        <v>1.4325914476295407</v>
      </c>
      <c r="Q51" s="429">
        <v>2884.426998541549</v>
      </c>
      <c r="R51" s="429">
        <v>13.477867223383814</v>
      </c>
      <c r="S51" s="429">
        <v>9.4403437837355817</v>
      </c>
      <c r="T51" s="429">
        <v>4526.2367849092125</v>
      </c>
      <c r="U51" s="429">
        <v>4687.7827546530161</v>
      </c>
      <c r="V51" s="429">
        <v>4901.8708362208945</v>
      </c>
      <c r="W51" s="429">
        <v>868.81180000797201</v>
      </c>
      <c r="X51" s="429">
        <v>97.640821254923836</v>
      </c>
      <c r="Y51" s="429">
        <v>74.169594299690061</v>
      </c>
      <c r="Z51" s="429">
        <v>143.34851138120962</v>
      </c>
      <c r="AA51" s="429">
        <v>98.003625693505128</v>
      </c>
      <c r="AB51" s="429">
        <v>74.269566850787868</v>
      </c>
      <c r="AC51" s="429">
        <v>77.549477853540679</v>
      </c>
      <c r="AD51" s="429">
        <v>3.3805530119831713</v>
      </c>
      <c r="AE51" s="429">
        <v>0</v>
      </c>
      <c r="AF51" s="429">
        <v>0</v>
      </c>
      <c r="AG51" s="429">
        <v>0</v>
      </c>
      <c r="AH51" s="429">
        <v>3.1464559822248108</v>
      </c>
      <c r="AI51" s="429">
        <v>6.5982354473942859</v>
      </c>
      <c r="AJ51" s="429">
        <v>6.3067226138293719</v>
      </c>
      <c r="AK51" s="429">
        <v>7.1706265079894234</v>
      </c>
      <c r="AL51" s="429">
        <v>0</v>
      </c>
      <c r="AM51" s="429">
        <v>0</v>
      </c>
      <c r="AN51" s="429">
        <v>0</v>
      </c>
      <c r="AO51" s="432"/>
      <c r="AP51" s="428">
        <v>41768.664640277777</v>
      </c>
      <c r="AQ51" s="431">
        <v>133.4566495714902</v>
      </c>
      <c r="AR51" s="431">
        <v>176.26816406276481</v>
      </c>
      <c r="AS51" s="431">
        <v>292.5477721654251</v>
      </c>
      <c r="AT51" s="431">
        <v>154.45934630497797</v>
      </c>
      <c r="AU51" s="431">
        <v>22.972974806175028</v>
      </c>
      <c r="AV51" s="431">
        <v>273.88775065125719</v>
      </c>
      <c r="AW51" s="431">
        <v>19.068934315820204</v>
      </c>
      <c r="AX51" s="431">
        <v>-11.357285552125852</v>
      </c>
      <c r="AY51" s="431">
        <v>160.68073532905626</v>
      </c>
      <c r="AZ51" s="431">
        <v>-64.954118479668949</v>
      </c>
      <c r="BA51" s="431">
        <v>97.247801555854593</v>
      </c>
      <c r="BB51" s="431">
        <v>183.76679146949212</v>
      </c>
      <c r="BC51" s="431">
        <v>132.26332509198016</v>
      </c>
      <c r="BD51" s="431">
        <v>186.83557379684456</v>
      </c>
      <c r="BE51" s="431">
        <v>368097.3466313692</v>
      </c>
      <c r="BF51" s="431">
        <v>8458.9472720537415</v>
      </c>
      <c r="BG51" s="431">
        <v>1177.4569120214398</v>
      </c>
      <c r="BH51" s="431">
        <v>569663.28331698244</v>
      </c>
      <c r="BI51" s="431">
        <v>551059.36063253065</v>
      </c>
      <c r="BJ51" s="431">
        <v>74419.709971580451</v>
      </c>
      <c r="BK51" s="431">
        <v>468049.49242071511</v>
      </c>
      <c r="BL51" s="431">
        <v>529264.00890083518</v>
      </c>
      <c r="BM51" s="431">
        <v>71476.281603465017</v>
      </c>
      <c r="BN51" s="431">
        <v>508229.54303164489</v>
      </c>
      <c r="BO51" s="431">
        <v>529264.00890083518</v>
      </c>
      <c r="BP51" s="431">
        <v>71476.281603465017</v>
      </c>
      <c r="BQ51" s="431">
        <v>429316.54755275883</v>
      </c>
      <c r="BR51" s="431">
        <v>925.59788537032489</v>
      </c>
      <c r="BS51" s="431">
        <v>0</v>
      </c>
      <c r="BT51" s="431">
        <v>0</v>
      </c>
      <c r="BU51" s="431">
        <v>0</v>
      </c>
      <c r="BV51" s="431">
        <v>883.82018287125402</v>
      </c>
      <c r="BW51" s="431">
        <v>1432.988318528523</v>
      </c>
      <c r="BX51" s="431">
        <v>1358.0431277003529</v>
      </c>
      <c r="BY51" s="431">
        <v>1102.298706560402</v>
      </c>
      <c r="BZ51" s="431">
        <v>0</v>
      </c>
      <c r="CA51" s="431">
        <v>0</v>
      </c>
      <c r="CB51" s="431">
        <v>0</v>
      </c>
      <c r="CC51" s="432"/>
      <c r="CD51" s="428">
        <v>41768.664640277777</v>
      </c>
      <c r="CE51" s="433">
        <v>0.23759628394566742</v>
      </c>
      <c r="CF51" s="433">
        <v>0.16769792432989633</v>
      </c>
      <c r="CG51" s="433">
        <v>0.13923731496982597</v>
      </c>
      <c r="CH51" s="433">
        <v>0.14097114871113556</v>
      </c>
      <c r="CI51" s="433">
        <v>9.3511471554120679E-2</v>
      </c>
      <c r="CJ51" s="433">
        <v>0.20168320925073591</v>
      </c>
      <c r="CK51" s="433">
        <v>0.20005420011599015</v>
      </c>
      <c r="CL51" s="433">
        <v>0.2150045900352773</v>
      </c>
      <c r="CM51" s="433">
        <v>0.16961013043929046</v>
      </c>
      <c r="CN51" s="433">
        <v>0.1594153889399724</v>
      </c>
      <c r="CO51" s="433">
        <v>0.30843420591209786</v>
      </c>
      <c r="CP51" s="433">
        <v>0.25731882522665095</v>
      </c>
      <c r="CQ51" s="433">
        <v>0.29895541791566238</v>
      </c>
      <c r="CR51" s="433">
        <v>0.35731821829865557</v>
      </c>
      <c r="CS51" s="433">
        <v>0.39443520669059223</v>
      </c>
      <c r="CT51" s="433">
        <v>0.447221292916757</v>
      </c>
      <c r="CU51" s="433">
        <v>0.3622790598707698</v>
      </c>
      <c r="CV51" s="433">
        <v>0.47604249083347333</v>
      </c>
      <c r="CW51" s="433">
        <v>0.4759898508915783</v>
      </c>
      <c r="CX51" s="433">
        <v>0.4007797062399322</v>
      </c>
      <c r="CY51" s="433">
        <v>0.43383847945766757</v>
      </c>
      <c r="CZ51" s="433">
        <v>0.29816004259848461</v>
      </c>
      <c r="DA51" s="433">
        <v>0.25104840798869349</v>
      </c>
      <c r="DB51" s="433">
        <v>0.39158019166331348</v>
      </c>
      <c r="DC51" s="433">
        <v>0.29816004259848461</v>
      </c>
      <c r="DD51" s="433">
        <v>0.25104840798869349</v>
      </c>
      <c r="DE51" s="433">
        <v>0.29926769201452108</v>
      </c>
      <c r="DF51" s="433">
        <v>0.37270005324810579</v>
      </c>
      <c r="DG51" s="433">
        <v>0</v>
      </c>
      <c r="DH51" s="433">
        <v>0</v>
      </c>
      <c r="DI51" s="433">
        <v>0</v>
      </c>
      <c r="DJ51" s="433">
        <v>0.33104833187447025</v>
      </c>
      <c r="DK51" s="433">
        <v>0.30102696608500845</v>
      </c>
      <c r="DL51" s="433">
        <v>0.26738519112937981</v>
      </c>
      <c r="DM51" s="433">
        <v>0.39133505591051104</v>
      </c>
      <c r="DN51" s="433">
        <v>0</v>
      </c>
      <c r="DO51" s="433">
        <v>0</v>
      </c>
      <c r="DP51" s="433">
        <v>0</v>
      </c>
      <c r="DR51" s="409" t="s">
        <v>711</v>
      </c>
      <c r="DS51" s="409" t="s">
        <v>2209</v>
      </c>
    </row>
    <row r="52" spans="2:123" s="1471" customFormat="1">
      <c r="B52" s="428">
        <v>41768.683726620373</v>
      </c>
      <c r="C52" s="429">
        <v>1.4612666005837789</v>
      </c>
      <c r="D52" s="429">
        <v>1.4725298963534965</v>
      </c>
      <c r="E52" s="429">
        <v>1.524186728636624</v>
      </c>
      <c r="F52" s="429">
        <v>1.463452456136602</v>
      </c>
      <c r="G52" s="429">
        <v>1.4395642181797801</v>
      </c>
      <c r="H52" s="429">
        <v>1.4739077185290959</v>
      </c>
      <c r="I52" s="429">
        <v>1.5145932367990913</v>
      </c>
      <c r="J52" s="429">
        <v>1.525614687560946</v>
      </c>
      <c r="K52" s="429">
        <v>1.3517750875937957</v>
      </c>
      <c r="L52" s="429">
        <v>1.5781023920730188</v>
      </c>
      <c r="M52" s="429">
        <v>1.8389032190587002</v>
      </c>
      <c r="N52" s="429">
        <v>1.7852067823549502</v>
      </c>
      <c r="O52" s="429">
        <v>1.3796882656022957</v>
      </c>
      <c r="P52" s="429">
        <v>1.4325914476295407</v>
      </c>
      <c r="Q52" s="429">
        <v>2884.426998541549</v>
      </c>
      <c r="R52" s="429">
        <v>13.477867223383814</v>
      </c>
      <c r="S52" s="429">
        <v>9.4403437837355817</v>
      </c>
      <c r="T52" s="429">
        <v>4526.2367849092125</v>
      </c>
      <c r="U52" s="429">
        <v>4687.7827546530161</v>
      </c>
      <c r="V52" s="429">
        <v>4901.8708362208945</v>
      </c>
      <c r="W52" s="429">
        <v>868.81180000797201</v>
      </c>
      <c r="X52" s="429">
        <v>97.640821254923836</v>
      </c>
      <c r="Y52" s="429">
        <v>74.169594299690061</v>
      </c>
      <c r="Z52" s="429">
        <v>143.34851138120962</v>
      </c>
      <c r="AA52" s="429">
        <v>98.003625693505128</v>
      </c>
      <c r="AB52" s="429">
        <v>74.269566850787868</v>
      </c>
      <c r="AC52" s="429">
        <v>77.549477853540679</v>
      </c>
      <c r="AD52" s="429">
        <v>3.3805530119831713</v>
      </c>
      <c r="AE52" s="429">
        <v>0</v>
      </c>
      <c r="AF52" s="429">
        <v>0</v>
      </c>
      <c r="AG52" s="429">
        <v>0</v>
      </c>
      <c r="AH52" s="429">
        <v>3.1464559822248108</v>
      </c>
      <c r="AI52" s="429">
        <v>6.5982354473942859</v>
      </c>
      <c r="AJ52" s="429">
        <v>6.3067226138293719</v>
      </c>
      <c r="AK52" s="429">
        <v>7.1706265079894234</v>
      </c>
      <c r="AL52" s="429">
        <v>0</v>
      </c>
      <c r="AM52" s="429">
        <v>0</v>
      </c>
      <c r="AN52" s="429">
        <v>0</v>
      </c>
      <c r="AO52" s="432"/>
      <c r="AP52" s="428">
        <v>41768.683726620373</v>
      </c>
      <c r="AQ52" s="431">
        <v>133.4566495714902</v>
      </c>
      <c r="AR52" s="431">
        <v>176.26816406276481</v>
      </c>
      <c r="AS52" s="431">
        <v>292.5477721654251</v>
      </c>
      <c r="AT52" s="431">
        <v>154.45934630497797</v>
      </c>
      <c r="AU52" s="431">
        <v>22.972974806175028</v>
      </c>
      <c r="AV52" s="431">
        <v>273.88775065125719</v>
      </c>
      <c r="AW52" s="431">
        <v>19.068934315820204</v>
      </c>
      <c r="AX52" s="431">
        <v>-11.357285552125852</v>
      </c>
      <c r="AY52" s="431">
        <v>160.68073532905626</v>
      </c>
      <c r="AZ52" s="431">
        <v>-64.954118479668949</v>
      </c>
      <c r="BA52" s="431">
        <v>97.247801555854593</v>
      </c>
      <c r="BB52" s="431">
        <v>183.76679146949212</v>
      </c>
      <c r="BC52" s="431">
        <v>132.26332509198016</v>
      </c>
      <c r="BD52" s="431">
        <v>186.83557379684456</v>
      </c>
      <c r="BE52" s="431">
        <v>368097.3466313692</v>
      </c>
      <c r="BF52" s="431">
        <v>8458.9472720537415</v>
      </c>
      <c r="BG52" s="431">
        <v>1177.4569120214398</v>
      </c>
      <c r="BH52" s="431">
        <v>569663.28331698244</v>
      </c>
      <c r="BI52" s="431">
        <v>551059.36063253065</v>
      </c>
      <c r="BJ52" s="431">
        <v>74419.709971580451</v>
      </c>
      <c r="BK52" s="431">
        <v>468049.49242071511</v>
      </c>
      <c r="BL52" s="431">
        <v>529264.00890083518</v>
      </c>
      <c r="BM52" s="431">
        <v>71476.281603465017</v>
      </c>
      <c r="BN52" s="431">
        <v>508229.54303164489</v>
      </c>
      <c r="BO52" s="431">
        <v>529264.00890083518</v>
      </c>
      <c r="BP52" s="431">
        <v>71476.281603465017</v>
      </c>
      <c r="BQ52" s="431">
        <v>429316.54755275883</v>
      </c>
      <c r="BR52" s="431">
        <v>925.59788537032489</v>
      </c>
      <c r="BS52" s="431">
        <v>0</v>
      </c>
      <c r="BT52" s="431">
        <v>0</v>
      </c>
      <c r="BU52" s="431">
        <v>0</v>
      </c>
      <c r="BV52" s="431">
        <v>883.82018287125402</v>
      </c>
      <c r="BW52" s="431">
        <v>1432.988318528523</v>
      </c>
      <c r="BX52" s="431">
        <v>1358.0431277003529</v>
      </c>
      <c r="BY52" s="431">
        <v>1102.298706560402</v>
      </c>
      <c r="BZ52" s="431">
        <v>0</v>
      </c>
      <c r="CA52" s="431">
        <v>0</v>
      </c>
      <c r="CB52" s="431">
        <v>0</v>
      </c>
      <c r="CC52" s="432"/>
      <c r="CD52" s="428">
        <v>41768.683726620373</v>
      </c>
      <c r="CE52" s="433">
        <v>0.23759628394566742</v>
      </c>
      <c r="CF52" s="433">
        <v>0.16769792432989633</v>
      </c>
      <c r="CG52" s="433">
        <v>0.13923731496982597</v>
      </c>
      <c r="CH52" s="433">
        <v>0.14097114871113556</v>
      </c>
      <c r="CI52" s="433">
        <v>9.3511471554120679E-2</v>
      </c>
      <c r="CJ52" s="433">
        <v>0.20168320925073591</v>
      </c>
      <c r="CK52" s="433">
        <v>0.20005420011599015</v>
      </c>
      <c r="CL52" s="433">
        <v>0.2150045900352773</v>
      </c>
      <c r="CM52" s="433">
        <v>0.16961013043929046</v>
      </c>
      <c r="CN52" s="433">
        <v>0.1594153889399724</v>
      </c>
      <c r="CO52" s="433">
        <v>0.30843420591209786</v>
      </c>
      <c r="CP52" s="433">
        <v>0.25731882522665095</v>
      </c>
      <c r="CQ52" s="433">
        <v>0.29895541791566238</v>
      </c>
      <c r="CR52" s="433">
        <v>0.35731821829865557</v>
      </c>
      <c r="CS52" s="433">
        <v>0.39443520669059223</v>
      </c>
      <c r="CT52" s="433">
        <v>0.447221292916757</v>
      </c>
      <c r="CU52" s="433">
        <v>0.3622790598707698</v>
      </c>
      <c r="CV52" s="433">
        <v>0.47604249083347333</v>
      </c>
      <c r="CW52" s="433">
        <v>0.4759898508915783</v>
      </c>
      <c r="CX52" s="433">
        <v>0.4007797062399322</v>
      </c>
      <c r="CY52" s="433">
        <v>0.43383847945766757</v>
      </c>
      <c r="CZ52" s="433">
        <v>0.29816004259848461</v>
      </c>
      <c r="DA52" s="433">
        <v>0.25104840798869349</v>
      </c>
      <c r="DB52" s="433">
        <v>0.39158019166331348</v>
      </c>
      <c r="DC52" s="433">
        <v>0.29816004259848461</v>
      </c>
      <c r="DD52" s="433">
        <v>0.25104840798869349</v>
      </c>
      <c r="DE52" s="433">
        <v>0.29926769201452108</v>
      </c>
      <c r="DF52" s="433">
        <v>0.37270005324810579</v>
      </c>
      <c r="DG52" s="433">
        <v>0</v>
      </c>
      <c r="DH52" s="433">
        <v>0</v>
      </c>
      <c r="DI52" s="433">
        <v>0</v>
      </c>
      <c r="DJ52" s="433">
        <v>0.33104833187447025</v>
      </c>
      <c r="DK52" s="433">
        <v>0.30102696608500845</v>
      </c>
      <c r="DL52" s="433">
        <v>0.26738519112937981</v>
      </c>
      <c r="DM52" s="433">
        <v>0.39133505591051104</v>
      </c>
      <c r="DN52" s="433">
        <v>0</v>
      </c>
      <c r="DO52" s="433">
        <v>0</v>
      </c>
      <c r="DP52" s="433">
        <v>0</v>
      </c>
      <c r="DR52" s="409" t="s">
        <v>855</v>
      </c>
      <c r="DS52" s="409" t="s">
        <v>2210</v>
      </c>
    </row>
    <row r="53" spans="2:123" s="1471" customFormat="1">
      <c r="B53" s="428">
        <v>41768.69893298611</v>
      </c>
      <c r="C53" s="429">
        <v>1.4612666005837789</v>
      </c>
      <c r="D53" s="429">
        <v>1.4725298963534965</v>
      </c>
      <c r="E53" s="429">
        <v>1.524186728636624</v>
      </c>
      <c r="F53" s="429">
        <v>1.463452456136602</v>
      </c>
      <c r="G53" s="429">
        <v>1.4395642181797801</v>
      </c>
      <c r="H53" s="429">
        <v>1.4739077185290959</v>
      </c>
      <c r="I53" s="429">
        <v>1.5145932367990913</v>
      </c>
      <c r="J53" s="429">
        <v>1.525614687560946</v>
      </c>
      <c r="K53" s="429">
        <v>1.3517750875937957</v>
      </c>
      <c r="L53" s="429">
        <v>1.5781023920730188</v>
      </c>
      <c r="M53" s="429">
        <v>1.8389032190587002</v>
      </c>
      <c r="N53" s="429">
        <v>1.7852067823549502</v>
      </c>
      <c r="O53" s="429">
        <v>1.3796882656022957</v>
      </c>
      <c r="P53" s="429">
        <v>1.4325914476295407</v>
      </c>
      <c r="Q53" s="429">
        <v>2884.426998541549</v>
      </c>
      <c r="R53" s="429">
        <v>13.477867223383814</v>
      </c>
      <c r="S53" s="429">
        <v>9.4403437837355817</v>
      </c>
      <c r="T53" s="429">
        <v>4526.2367849092125</v>
      </c>
      <c r="U53" s="429">
        <v>4687.7827546530161</v>
      </c>
      <c r="V53" s="429">
        <v>4901.8708362208945</v>
      </c>
      <c r="W53" s="429">
        <v>868.81180000797201</v>
      </c>
      <c r="X53" s="429">
        <v>601.1187837601293</v>
      </c>
      <c r="Y53" s="429">
        <v>577.64755680489554</v>
      </c>
      <c r="Z53" s="429">
        <v>143.34851138120962</v>
      </c>
      <c r="AA53" s="429">
        <v>511.63454354644108</v>
      </c>
      <c r="AB53" s="429">
        <v>487.90048470372363</v>
      </c>
      <c r="AC53" s="429">
        <v>491.18039570647653</v>
      </c>
      <c r="AD53" s="429">
        <v>3.3805530119831713</v>
      </c>
      <c r="AE53" s="429">
        <v>0</v>
      </c>
      <c r="AF53" s="429">
        <v>0</v>
      </c>
      <c r="AG53" s="429">
        <v>0</v>
      </c>
      <c r="AH53" s="429">
        <v>3.1464559822248108</v>
      </c>
      <c r="AI53" s="429">
        <v>6.5982354473942859</v>
      </c>
      <c r="AJ53" s="429">
        <v>6.3067226138293719</v>
      </c>
      <c r="AK53" s="429">
        <v>7.1706265079894234</v>
      </c>
      <c r="AL53" s="429">
        <v>0</v>
      </c>
      <c r="AM53" s="429">
        <v>0</v>
      </c>
      <c r="AN53" s="429">
        <v>0</v>
      </c>
      <c r="AO53" s="432"/>
      <c r="AP53" s="428">
        <v>41768.69893298611</v>
      </c>
      <c r="AQ53" s="431">
        <v>133.4566495714902</v>
      </c>
      <c r="AR53" s="431">
        <v>176.26816406276481</v>
      </c>
      <c r="AS53" s="431">
        <v>292.5477721654251</v>
      </c>
      <c r="AT53" s="431">
        <v>154.45934630497797</v>
      </c>
      <c r="AU53" s="431">
        <v>22.972974806175028</v>
      </c>
      <c r="AV53" s="431">
        <v>273.88775065125719</v>
      </c>
      <c r="AW53" s="431">
        <v>19.068934315820204</v>
      </c>
      <c r="AX53" s="431">
        <v>-11.357285552125852</v>
      </c>
      <c r="AY53" s="431">
        <v>160.68073532905626</v>
      </c>
      <c r="AZ53" s="431">
        <v>-64.954118479668949</v>
      </c>
      <c r="BA53" s="431">
        <v>97.247801555854593</v>
      </c>
      <c r="BB53" s="431">
        <v>183.76679146949212</v>
      </c>
      <c r="BC53" s="431">
        <v>132.26332509198016</v>
      </c>
      <c r="BD53" s="431">
        <v>186.83557379684456</v>
      </c>
      <c r="BE53" s="431">
        <v>368097.3466313692</v>
      </c>
      <c r="BF53" s="431">
        <v>8458.9472720537415</v>
      </c>
      <c r="BG53" s="431">
        <v>1177.4569120214398</v>
      </c>
      <c r="BH53" s="431">
        <v>569663.28331698244</v>
      </c>
      <c r="BI53" s="431">
        <v>551059.36063253065</v>
      </c>
      <c r="BJ53" s="431">
        <v>74419.709971580451</v>
      </c>
      <c r="BK53" s="431">
        <v>468049.49242071511</v>
      </c>
      <c r="BL53" s="431">
        <v>529264.00890083518</v>
      </c>
      <c r="BM53" s="431">
        <v>71476.281603465017</v>
      </c>
      <c r="BN53" s="431">
        <v>508229.54303164489</v>
      </c>
      <c r="BO53" s="431">
        <v>529264.00890083518</v>
      </c>
      <c r="BP53" s="431">
        <v>71476.281603465017</v>
      </c>
      <c r="BQ53" s="431">
        <v>429316.54755275883</v>
      </c>
      <c r="BR53" s="431">
        <v>925.59788537032489</v>
      </c>
      <c r="BS53" s="431">
        <v>0</v>
      </c>
      <c r="BT53" s="431">
        <v>0</v>
      </c>
      <c r="BU53" s="431">
        <v>0</v>
      </c>
      <c r="BV53" s="431">
        <v>883.82018287125402</v>
      </c>
      <c r="BW53" s="431">
        <v>1432.988318528523</v>
      </c>
      <c r="BX53" s="431">
        <v>1358.0431277003529</v>
      </c>
      <c r="BY53" s="431">
        <v>1102.298706560402</v>
      </c>
      <c r="BZ53" s="431">
        <v>0</v>
      </c>
      <c r="CA53" s="431">
        <v>0</v>
      </c>
      <c r="CB53" s="431">
        <v>0</v>
      </c>
      <c r="CC53" s="432"/>
      <c r="CD53" s="428">
        <v>41768.698932870371</v>
      </c>
      <c r="CE53" s="433">
        <v>0.23759628394566742</v>
      </c>
      <c r="CF53" s="433">
        <v>0.16769792432989633</v>
      </c>
      <c r="CG53" s="433">
        <v>0.13923731496982597</v>
      </c>
      <c r="CH53" s="433">
        <v>0.14097114871113556</v>
      </c>
      <c r="CI53" s="433">
        <v>9.3511471554120679E-2</v>
      </c>
      <c r="CJ53" s="433">
        <v>0.20168320925073591</v>
      </c>
      <c r="CK53" s="433">
        <v>0.20005420011599015</v>
      </c>
      <c r="CL53" s="433">
        <v>0.2150045900352773</v>
      </c>
      <c r="CM53" s="433">
        <v>0.16961013043929046</v>
      </c>
      <c r="CN53" s="433">
        <v>0.1594153889399724</v>
      </c>
      <c r="CO53" s="433">
        <v>0.30843420591209786</v>
      </c>
      <c r="CP53" s="433">
        <v>0.25731882522665095</v>
      </c>
      <c r="CQ53" s="433">
        <v>0.29895541791566238</v>
      </c>
      <c r="CR53" s="433">
        <v>0.35731821829865557</v>
      </c>
      <c r="CS53" s="433">
        <v>0.39443520669059223</v>
      </c>
      <c r="CT53" s="433">
        <v>0.447221292916757</v>
      </c>
      <c r="CU53" s="433">
        <v>0.3622790598707698</v>
      </c>
      <c r="CV53" s="433">
        <v>0.47604249083347333</v>
      </c>
      <c r="CW53" s="433">
        <v>0.4759898508915783</v>
      </c>
      <c r="CX53" s="433">
        <v>0.4007797062399322</v>
      </c>
      <c r="CY53" s="433">
        <v>0.43383847945766757</v>
      </c>
      <c r="CZ53" s="433">
        <v>0.29816004259848461</v>
      </c>
      <c r="DA53" s="433">
        <v>0.25104840798869349</v>
      </c>
      <c r="DB53" s="433">
        <v>0.39158019166331348</v>
      </c>
      <c r="DC53" s="433">
        <v>0.29816004259848461</v>
      </c>
      <c r="DD53" s="433">
        <v>0.25104840798869349</v>
      </c>
      <c r="DE53" s="433">
        <v>0.29926769201452108</v>
      </c>
      <c r="DF53" s="433">
        <v>0.37270005324810579</v>
      </c>
      <c r="DG53" s="433">
        <v>0</v>
      </c>
      <c r="DH53" s="433">
        <v>0</v>
      </c>
      <c r="DI53" s="433">
        <v>0</v>
      </c>
      <c r="DJ53" s="433">
        <v>0.33104833187447025</v>
      </c>
      <c r="DK53" s="433">
        <v>0.30102696608500845</v>
      </c>
      <c r="DL53" s="433">
        <v>0.26738519112937981</v>
      </c>
      <c r="DM53" s="433">
        <v>0.39133505591051104</v>
      </c>
      <c r="DN53" s="433">
        <v>0</v>
      </c>
      <c r="DO53" s="433">
        <v>0</v>
      </c>
      <c r="DP53" s="433">
        <v>0</v>
      </c>
      <c r="DR53" s="409" t="s">
        <v>855</v>
      </c>
      <c r="DS53" s="409" t="s">
        <v>2211</v>
      </c>
    </row>
    <row r="54" spans="2:123" s="1471" customFormat="1">
      <c r="B54" s="428">
        <v>41770.637988078706</v>
      </c>
      <c r="C54" s="429">
        <v>1.4612666005837789</v>
      </c>
      <c r="D54" s="429">
        <v>1.4725298963534965</v>
      </c>
      <c r="E54" s="429">
        <v>1.5181885587230806</v>
      </c>
      <c r="F54" s="429">
        <v>1.4617267456755683</v>
      </c>
      <c r="G54" s="429">
        <v>1.4330387833777753</v>
      </c>
      <c r="H54" s="429">
        <v>1.4739077185290959</v>
      </c>
      <c r="I54" s="429">
        <v>1.5079730213105649</v>
      </c>
      <c r="J54" s="429">
        <v>1.5198102120011221</v>
      </c>
      <c r="K54" s="429">
        <v>1.3517750875937957</v>
      </c>
      <c r="L54" s="429">
        <v>1.5833190539252366</v>
      </c>
      <c r="M54" s="429">
        <v>1.8381836325870493</v>
      </c>
      <c r="N54" s="429">
        <v>1.7852067823549502</v>
      </c>
      <c r="O54" s="429">
        <v>1.3796882656022957</v>
      </c>
      <c r="P54" s="429">
        <v>1.4325914476295407</v>
      </c>
      <c r="Q54" s="429">
        <v>2884.426998541549</v>
      </c>
      <c r="R54" s="429">
        <v>13.477867223383814</v>
      </c>
      <c r="S54" s="429">
        <v>8.7459996233526081</v>
      </c>
      <c r="T54" s="429">
        <v>4526.2367849092125</v>
      </c>
      <c r="U54" s="429">
        <v>4687.7827546530161</v>
      </c>
      <c r="V54" s="429">
        <v>4875.1819962398249</v>
      </c>
      <c r="W54" s="429">
        <v>868.81180000797201</v>
      </c>
      <c r="X54" s="429">
        <v>601.1187837601293</v>
      </c>
      <c r="Y54" s="429">
        <v>577.32346739247907</v>
      </c>
      <c r="Z54" s="429">
        <v>143.34851138120959</v>
      </c>
      <c r="AA54" s="429">
        <v>511.63454354644108</v>
      </c>
      <c r="AB54" s="429">
        <v>487.60543192996801</v>
      </c>
      <c r="AC54" s="429">
        <v>491.18039570647653</v>
      </c>
      <c r="AD54" s="429">
        <v>3.3805530119831713</v>
      </c>
      <c r="AE54" s="429">
        <v>0</v>
      </c>
      <c r="AF54" s="429">
        <v>0</v>
      </c>
      <c r="AG54" s="429">
        <v>0</v>
      </c>
      <c r="AH54" s="429">
        <v>3.1464559822248108</v>
      </c>
      <c r="AI54" s="429">
        <v>6.5982354473942859</v>
      </c>
      <c r="AJ54" s="429">
        <v>6.3067226138293719</v>
      </c>
      <c r="AK54" s="429">
        <v>7.1706265079894234</v>
      </c>
      <c r="AL54" s="429">
        <v>0</v>
      </c>
      <c r="AM54" s="429">
        <v>0</v>
      </c>
      <c r="AN54" s="429">
        <v>0</v>
      </c>
      <c r="AO54" s="432"/>
      <c r="AP54" s="428">
        <v>41770.637988078706</v>
      </c>
      <c r="AQ54" s="431">
        <v>133.4566495714902</v>
      </c>
      <c r="AR54" s="431">
        <v>176.26816406276481</v>
      </c>
      <c r="AS54" s="431">
        <v>292.49487847842062</v>
      </c>
      <c r="AT54" s="431">
        <v>154.4228744502006</v>
      </c>
      <c r="AU54" s="431">
        <v>22.81105846547517</v>
      </c>
      <c r="AV54" s="431">
        <v>273.88775065125719</v>
      </c>
      <c r="AW54" s="431">
        <v>18.89107634873697</v>
      </c>
      <c r="AX54" s="431">
        <v>-11.225518691602783</v>
      </c>
      <c r="AY54" s="431">
        <v>160.68073532905626</v>
      </c>
      <c r="AZ54" s="431">
        <v>-64.955086310280848</v>
      </c>
      <c r="BA54" s="431">
        <v>97.28049751112782</v>
      </c>
      <c r="BB54" s="431">
        <v>183.76679146949212</v>
      </c>
      <c r="BC54" s="431">
        <v>132.26332509198016</v>
      </c>
      <c r="BD54" s="431">
        <v>186.83557379684456</v>
      </c>
      <c r="BE54" s="431">
        <v>368097.3466313692</v>
      </c>
      <c r="BF54" s="431">
        <v>8458.9472720537415</v>
      </c>
      <c r="BG54" s="431">
        <v>1124.1300998475781</v>
      </c>
      <c r="BH54" s="431">
        <v>569663.28331698244</v>
      </c>
      <c r="BI54" s="431">
        <v>551059.36063253065</v>
      </c>
      <c r="BJ54" s="431">
        <v>73678.597526871323</v>
      </c>
      <c r="BK54" s="431">
        <v>468049.49242071511</v>
      </c>
      <c r="BL54" s="431">
        <v>529264.00890083518</v>
      </c>
      <c r="BM54" s="431">
        <v>70764.481438991235</v>
      </c>
      <c r="BN54" s="431">
        <v>508229.54303164489</v>
      </c>
      <c r="BO54" s="431">
        <v>529264.00890083518</v>
      </c>
      <c r="BP54" s="431">
        <v>70764.481438991235</v>
      </c>
      <c r="BQ54" s="431">
        <v>429316.54755275883</v>
      </c>
      <c r="BR54" s="431">
        <v>925.59788537032489</v>
      </c>
      <c r="BS54" s="431">
        <v>0</v>
      </c>
      <c r="BT54" s="431">
        <v>0</v>
      </c>
      <c r="BU54" s="431">
        <v>0</v>
      </c>
      <c r="BV54" s="431">
        <v>883.82018287125402</v>
      </c>
      <c r="BW54" s="431">
        <v>1432.988318528523</v>
      </c>
      <c r="BX54" s="431">
        <v>1358.0431277003529</v>
      </c>
      <c r="BY54" s="431">
        <v>1102.298706560402</v>
      </c>
      <c r="BZ54" s="431">
        <v>0</v>
      </c>
      <c r="CA54" s="431">
        <v>0</v>
      </c>
      <c r="CB54" s="431">
        <v>0</v>
      </c>
      <c r="CC54" s="432"/>
      <c r="CD54" s="428">
        <v>41770.637988078706</v>
      </c>
      <c r="CE54" s="433">
        <v>0.23759628394566742</v>
      </c>
      <c r="CF54" s="433">
        <v>0.16769792432989633</v>
      </c>
      <c r="CG54" s="433">
        <v>0.13923731496982597</v>
      </c>
      <c r="CH54" s="433">
        <v>0.14097114871113556</v>
      </c>
      <c r="CI54" s="433">
        <v>9.3511471554120679E-2</v>
      </c>
      <c r="CJ54" s="433">
        <v>0.20168320925073591</v>
      </c>
      <c r="CK54" s="433">
        <v>0.20005420011599015</v>
      </c>
      <c r="CL54" s="433">
        <v>0.2150045900352773</v>
      </c>
      <c r="CM54" s="433">
        <v>0.16961013043929046</v>
      </c>
      <c r="CN54" s="433">
        <v>0.1594153889399724</v>
      </c>
      <c r="CO54" s="433">
        <v>0.30843420591209786</v>
      </c>
      <c r="CP54" s="433">
        <v>0.25731882522665095</v>
      </c>
      <c r="CQ54" s="433">
        <v>0.29895541791566238</v>
      </c>
      <c r="CR54" s="433">
        <v>0.35731821829865557</v>
      </c>
      <c r="CS54" s="433">
        <v>0.39443520669059223</v>
      </c>
      <c r="CT54" s="433">
        <v>0.447221292916757</v>
      </c>
      <c r="CU54" s="433">
        <v>0.3622790598707698</v>
      </c>
      <c r="CV54" s="433">
        <v>0.47604249083347333</v>
      </c>
      <c r="CW54" s="433">
        <v>0.4759898508915783</v>
      </c>
      <c r="CX54" s="433">
        <v>0.4007797062399322</v>
      </c>
      <c r="CY54" s="433">
        <v>0.43383847945766757</v>
      </c>
      <c r="CZ54" s="433">
        <v>0.29816004259848461</v>
      </c>
      <c r="DA54" s="433">
        <v>0.25104840798869349</v>
      </c>
      <c r="DB54" s="433">
        <v>0.39158019166331348</v>
      </c>
      <c r="DC54" s="433">
        <v>0.29816004259848461</v>
      </c>
      <c r="DD54" s="433">
        <v>0.25104840798869349</v>
      </c>
      <c r="DE54" s="433">
        <v>0.29926769201452108</v>
      </c>
      <c r="DF54" s="433">
        <v>0.37270005324810579</v>
      </c>
      <c r="DG54" s="433">
        <v>0</v>
      </c>
      <c r="DH54" s="433">
        <v>0</v>
      </c>
      <c r="DI54" s="433">
        <v>0</v>
      </c>
      <c r="DJ54" s="433">
        <v>0.33104833187447025</v>
      </c>
      <c r="DK54" s="433">
        <v>0.30102696608500845</v>
      </c>
      <c r="DL54" s="433">
        <v>0.26738519112937981</v>
      </c>
      <c r="DM54" s="433">
        <v>0.39133505591051104</v>
      </c>
      <c r="DN54" s="433">
        <v>0</v>
      </c>
      <c r="DO54" s="433">
        <v>0</v>
      </c>
      <c r="DP54" s="433">
        <v>0</v>
      </c>
      <c r="DR54" s="409" t="s">
        <v>711</v>
      </c>
      <c r="DS54" s="409" t="s">
        <v>2243</v>
      </c>
    </row>
    <row r="55" spans="2:123" s="1471" customFormat="1">
      <c r="B55" s="428">
        <v>41770.676468634258</v>
      </c>
      <c r="C55" s="429">
        <v>1.4612666005837789</v>
      </c>
      <c r="D55" s="429">
        <v>1.4725298963534965</v>
      </c>
      <c r="E55" s="429">
        <v>1.5095405589170034</v>
      </c>
      <c r="F55" s="429">
        <v>1.4645910600173024</v>
      </c>
      <c r="G55" s="429">
        <v>1.4336019300053247</v>
      </c>
      <c r="H55" s="429">
        <v>1.4662720897132484</v>
      </c>
      <c r="I55" s="429">
        <v>1.5084265453580057</v>
      </c>
      <c r="J55" s="429">
        <v>1.5198102120011221</v>
      </c>
      <c r="K55" s="429">
        <v>1.3517750875937957</v>
      </c>
      <c r="L55" s="429">
        <v>1.5833190539252366</v>
      </c>
      <c r="M55" s="429">
        <v>1.8381836325870493</v>
      </c>
      <c r="N55" s="429">
        <v>1.7852067823549502</v>
      </c>
      <c r="O55" s="429">
        <v>1.3796882656022957</v>
      </c>
      <c r="P55" s="429">
        <v>1.4325914476295407</v>
      </c>
      <c r="Q55" s="429">
        <v>2884.426998541549</v>
      </c>
      <c r="R55" s="429">
        <v>13.477867223383814</v>
      </c>
      <c r="S55" s="429">
        <v>8.7700378169654289</v>
      </c>
      <c r="T55" s="429">
        <v>4526.2367849092125</v>
      </c>
      <c r="U55" s="429">
        <v>4687.7827546530161</v>
      </c>
      <c r="V55" s="429">
        <v>4877.0717756016684</v>
      </c>
      <c r="W55" s="429">
        <v>868.81180000797201</v>
      </c>
      <c r="X55" s="429">
        <v>601.1187837601293</v>
      </c>
      <c r="Y55" s="429">
        <v>579.13850270889066</v>
      </c>
      <c r="Z55" s="429">
        <v>143.34851138120959</v>
      </c>
      <c r="AA55" s="429">
        <v>511.63454354644108</v>
      </c>
      <c r="AB55" s="429">
        <v>489.42046724637959</v>
      </c>
      <c r="AC55" s="429">
        <v>491.18039570647653</v>
      </c>
      <c r="AD55" s="429">
        <v>3.3805530119831713</v>
      </c>
      <c r="AE55" s="429">
        <v>0</v>
      </c>
      <c r="AF55" s="429">
        <v>0</v>
      </c>
      <c r="AG55" s="429">
        <v>0</v>
      </c>
      <c r="AH55" s="429">
        <v>3.1464559822248108</v>
      </c>
      <c r="AI55" s="429">
        <v>6.5982354473942859</v>
      </c>
      <c r="AJ55" s="429">
        <v>6.3067226138293719</v>
      </c>
      <c r="AK55" s="429">
        <v>7.1706265079894234</v>
      </c>
      <c r="AL55" s="429">
        <v>0</v>
      </c>
      <c r="AM55" s="429">
        <v>0</v>
      </c>
      <c r="AN55" s="429">
        <v>0</v>
      </c>
      <c r="AO55" s="432"/>
      <c r="AP55" s="428">
        <v>41770.676468634258</v>
      </c>
      <c r="AQ55" s="431">
        <v>133.4566495714902</v>
      </c>
      <c r="AR55" s="431">
        <v>176.26816406276481</v>
      </c>
      <c r="AS55" s="431">
        <v>107.716909788238</v>
      </c>
      <c r="AT55" s="431">
        <v>215.6234060903486</v>
      </c>
      <c r="AU55" s="431">
        <v>34.843562194274234</v>
      </c>
      <c r="AV55" s="431">
        <v>110.74066301221058</v>
      </c>
      <c r="AW55" s="431">
        <v>28.581323124574141</v>
      </c>
      <c r="AX55" s="431">
        <v>-11.225518691602783</v>
      </c>
      <c r="AY55" s="431">
        <v>160.68073532905626</v>
      </c>
      <c r="AZ55" s="431">
        <v>-64.955086310280848</v>
      </c>
      <c r="BA55" s="431">
        <v>97.28049751112782</v>
      </c>
      <c r="BB55" s="431">
        <v>183.76679146949212</v>
      </c>
      <c r="BC55" s="431">
        <v>132.26332509198016</v>
      </c>
      <c r="BD55" s="431">
        <v>186.83557379684456</v>
      </c>
      <c r="BE55" s="431">
        <v>368097.3466313692</v>
      </c>
      <c r="BF55" s="431">
        <v>8458.9472720537415</v>
      </c>
      <c r="BG55" s="431">
        <v>1637.7435002129675</v>
      </c>
      <c r="BH55" s="431">
        <v>569663.28331698244</v>
      </c>
      <c r="BI55" s="431">
        <v>551059.36063253065</v>
      </c>
      <c r="BJ55" s="431">
        <v>114056.67333448726</v>
      </c>
      <c r="BK55" s="431">
        <v>468049.49242071511</v>
      </c>
      <c r="BL55" s="431">
        <v>529264.00890083518</v>
      </c>
      <c r="BM55" s="431">
        <v>109545.53444408026</v>
      </c>
      <c r="BN55" s="431">
        <v>508229.54303164489</v>
      </c>
      <c r="BO55" s="431">
        <v>529264.00890083518</v>
      </c>
      <c r="BP55" s="431">
        <v>109545.53444408026</v>
      </c>
      <c r="BQ55" s="431">
        <v>429316.54755275883</v>
      </c>
      <c r="BR55" s="431">
        <v>925.59788537032489</v>
      </c>
      <c r="BS55" s="431">
        <v>0</v>
      </c>
      <c r="BT55" s="431">
        <v>0</v>
      </c>
      <c r="BU55" s="431">
        <v>0</v>
      </c>
      <c r="BV55" s="431">
        <v>883.82018287125402</v>
      </c>
      <c r="BW55" s="431">
        <v>1432.988318528523</v>
      </c>
      <c r="BX55" s="431">
        <v>1358.0431277003529</v>
      </c>
      <c r="BY55" s="431">
        <v>1102.298706560402</v>
      </c>
      <c r="BZ55" s="431">
        <v>0</v>
      </c>
      <c r="CA55" s="431">
        <v>0</v>
      </c>
      <c r="CB55" s="431">
        <v>0</v>
      </c>
      <c r="CC55" s="432"/>
      <c r="CD55" s="428">
        <v>41770.676468518519</v>
      </c>
      <c r="CE55" s="433">
        <v>0.23759628394566742</v>
      </c>
      <c r="CF55" s="433">
        <v>0.16769792432989633</v>
      </c>
      <c r="CG55" s="433">
        <v>0.13923731496982597</v>
      </c>
      <c r="CH55" s="433">
        <v>0.14097114871113556</v>
      </c>
      <c r="CI55" s="433">
        <v>9.3511471554120679E-2</v>
      </c>
      <c r="CJ55" s="433">
        <v>0.20168320925073591</v>
      </c>
      <c r="CK55" s="433">
        <v>0.20005420011599015</v>
      </c>
      <c r="CL55" s="433">
        <v>0.2150045900352773</v>
      </c>
      <c r="CM55" s="433">
        <v>0.16961013043929046</v>
      </c>
      <c r="CN55" s="433">
        <v>0.1594153889399724</v>
      </c>
      <c r="CO55" s="433">
        <v>0.30843420591209786</v>
      </c>
      <c r="CP55" s="433">
        <v>0.25731882522665095</v>
      </c>
      <c r="CQ55" s="433">
        <v>0.29895541791566238</v>
      </c>
      <c r="CR55" s="433">
        <v>0.35731821829865557</v>
      </c>
      <c r="CS55" s="433">
        <v>0.39443520669059223</v>
      </c>
      <c r="CT55" s="433">
        <v>0.447221292916757</v>
      </c>
      <c r="CU55" s="433">
        <v>0.3622790598707698</v>
      </c>
      <c r="CV55" s="433">
        <v>0.47604249083347333</v>
      </c>
      <c r="CW55" s="433">
        <v>0.4759898508915783</v>
      </c>
      <c r="CX55" s="433">
        <v>0.4007797062399322</v>
      </c>
      <c r="CY55" s="433">
        <v>0.43383847945766757</v>
      </c>
      <c r="CZ55" s="433">
        <v>0.29816004259848461</v>
      </c>
      <c r="DA55" s="433">
        <v>0.25104840798869349</v>
      </c>
      <c r="DB55" s="433">
        <v>0.39158019166331348</v>
      </c>
      <c r="DC55" s="433">
        <v>0.29816004259848461</v>
      </c>
      <c r="DD55" s="433">
        <v>0.25104840798869349</v>
      </c>
      <c r="DE55" s="433">
        <v>0.29926769201452108</v>
      </c>
      <c r="DF55" s="433">
        <v>0.37270005324810579</v>
      </c>
      <c r="DG55" s="433">
        <v>0</v>
      </c>
      <c r="DH55" s="433">
        <v>0</v>
      </c>
      <c r="DI55" s="433">
        <v>0</v>
      </c>
      <c r="DJ55" s="433">
        <v>0.33104833187447025</v>
      </c>
      <c r="DK55" s="433">
        <v>0.30102696608500845</v>
      </c>
      <c r="DL55" s="433">
        <v>0.26738519112937981</v>
      </c>
      <c r="DM55" s="433">
        <v>0.39133505591051104</v>
      </c>
      <c r="DN55" s="433">
        <v>0</v>
      </c>
      <c r="DO55" s="433">
        <v>0</v>
      </c>
      <c r="DP55" s="433">
        <v>0</v>
      </c>
      <c r="DR55" s="409" t="s">
        <v>711</v>
      </c>
      <c r="DS55" s="409" t="s">
        <v>2265</v>
      </c>
    </row>
    <row r="56" spans="2:123" s="1471" customFormat="1">
      <c r="B56" s="428">
        <v>41770.719508217589</v>
      </c>
      <c r="C56" s="429">
        <v>1.4612666005837789</v>
      </c>
      <c r="D56" s="429">
        <v>1.4725298963534965</v>
      </c>
      <c r="E56" s="429">
        <v>1.5158130688315636</v>
      </c>
      <c r="F56" s="429">
        <v>1.4645910600173024</v>
      </c>
      <c r="G56" s="429">
        <v>1.4336019300053247</v>
      </c>
      <c r="H56" s="429">
        <v>1.4668654558275893</v>
      </c>
      <c r="I56" s="429">
        <v>1.5084265453580057</v>
      </c>
      <c r="J56" s="429">
        <v>1.5198102120011221</v>
      </c>
      <c r="K56" s="429">
        <v>1.3517750875937957</v>
      </c>
      <c r="L56" s="429">
        <v>1.5833190539252366</v>
      </c>
      <c r="M56" s="429">
        <v>1.8381836325870493</v>
      </c>
      <c r="N56" s="429">
        <v>1.7852067823549502</v>
      </c>
      <c r="O56" s="429">
        <v>1.3796882656022957</v>
      </c>
      <c r="P56" s="429">
        <v>1.4325914476295407</v>
      </c>
      <c r="Q56" s="429">
        <v>2884.426998541549</v>
      </c>
      <c r="R56" s="429">
        <v>13.477867223383814</v>
      </c>
      <c r="S56" s="429">
        <v>8.7700378169654289</v>
      </c>
      <c r="T56" s="429">
        <v>4526.2367849092125</v>
      </c>
      <c r="U56" s="429">
        <v>4687.7827546530161</v>
      </c>
      <c r="V56" s="429">
        <v>4877.0717756016684</v>
      </c>
      <c r="W56" s="429">
        <v>868.81180000797201</v>
      </c>
      <c r="X56" s="429">
        <v>601.1187837601293</v>
      </c>
      <c r="Y56" s="429">
        <v>579.13850270889066</v>
      </c>
      <c r="Z56" s="429">
        <v>143.34851138120959</v>
      </c>
      <c r="AA56" s="429">
        <v>511.63454354644108</v>
      </c>
      <c r="AB56" s="429">
        <v>489.42046724637959</v>
      </c>
      <c r="AC56" s="429">
        <v>491.18039570647653</v>
      </c>
      <c r="AD56" s="429">
        <v>3.3805530119831713</v>
      </c>
      <c r="AE56" s="429">
        <v>0</v>
      </c>
      <c r="AF56" s="429">
        <v>0</v>
      </c>
      <c r="AG56" s="429">
        <v>0</v>
      </c>
      <c r="AH56" s="429">
        <v>3.1464559822248108</v>
      </c>
      <c r="AI56" s="429">
        <v>6.5982354473942859</v>
      </c>
      <c r="AJ56" s="429">
        <v>6.3067226138293719</v>
      </c>
      <c r="AK56" s="429">
        <v>7.1706265079894234</v>
      </c>
      <c r="AL56" s="429">
        <v>0</v>
      </c>
      <c r="AM56" s="429">
        <v>0</v>
      </c>
      <c r="AN56" s="429">
        <v>0</v>
      </c>
      <c r="AO56" s="432"/>
      <c r="AP56" s="428">
        <v>41770.719508217589</v>
      </c>
      <c r="AQ56" s="431">
        <v>133.4566495714902</v>
      </c>
      <c r="AR56" s="431">
        <v>176.26816406276481</v>
      </c>
      <c r="AS56" s="431">
        <v>198.25200533994405</v>
      </c>
      <c r="AT56" s="431">
        <v>215.6234060903486</v>
      </c>
      <c r="AU56" s="431">
        <v>34.843562194274234</v>
      </c>
      <c r="AV56" s="431">
        <v>120.6253151547059</v>
      </c>
      <c r="AW56" s="431">
        <v>28.581323124574141</v>
      </c>
      <c r="AX56" s="431">
        <v>-11.225518691602783</v>
      </c>
      <c r="AY56" s="431">
        <v>160.68073532905626</v>
      </c>
      <c r="AZ56" s="431">
        <v>-64.955086310280848</v>
      </c>
      <c r="BA56" s="431">
        <v>97.28049751112782</v>
      </c>
      <c r="BB56" s="431">
        <v>183.76679146949212</v>
      </c>
      <c r="BC56" s="431">
        <v>132.26332509198016</v>
      </c>
      <c r="BD56" s="431">
        <v>186.83557379684456</v>
      </c>
      <c r="BE56" s="431">
        <v>368097.3466313692</v>
      </c>
      <c r="BF56" s="431">
        <v>8458.9472720537415</v>
      </c>
      <c r="BG56" s="431">
        <v>1637.7435002129675</v>
      </c>
      <c r="BH56" s="431">
        <v>569663.28331698244</v>
      </c>
      <c r="BI56" s="431">
        <v>551059.36063253065</v>
      </c>
      <c r="BJ56" s="431">
        <v>114056.67333448726</v>
      </c>
      <c r="BK56" s="431">
        <v>468049.49242071511</v>
      </c>
      <c r="BL56" s="431">
        <v>529264.00890083518</v>
      </c>
      <c r="BM56" s="431">
        <v>109545.53444408026</v>
      </c>
      <c r="BN56" s="431">
        <v>508229.54303164489</v>
      </c>
      <c r="BO56" s="431">
        <v>529264.00890083518</v>
      </c>
      <c r="BP56" s="431">
        <v>109545.53444408026</v>
      </c>
      <c r="BQ56" s="431">
        <v>429316.54755275883</v>
      </c>
      <c r="BR56" s="431">
        <v>925.59788537032489</v>
      </c>
      <c r="BS56" s="431">
        <v>0</v>
      </c>
      <c r="BT56" s="431">
        <v>0</v>
      </c>
      <c r="BU56" s="431">
        <v>0</v>
      </c>
      <c r="BV56" s="431">
        <v>883.82018287125402</v>
      </c>
      <c r="BW56" s="431">
        <v>1432.988318528523</v>
      </c>
      <c r="BX56" s="431">
        <v>1358.0431277003529</v>
      </c>
      <c r="BY56" s="431">
        <v>1102.298706560402</v>
      </c>
      <c r="BZ56" s="431">
        <v>0</v>
      </c>
      <c r="CA56" s="431">
        <v>0</v>
      </c>
      <c r="CB56" s="431">
        <v>0</v>
      </c>
      <c r="CC56" s="432"/>
      <c r="CD56" s="428">
        <v>41770.719508217589</v>
      </c>
      <c r="CE56" s="433">
        <v>0.23759628394566742</v>
      </c>
      <c r="CF56" s="433">
        <v>0.16769792432989633</v>
      </c>
      <c r="CG56" s="433">
        <v>0.13923731496982597</v>
      </c>
      <c r="CH56" s="433">
        <v>0.14097114871113556</v>
      </c>
      <c r="CI56" s="433">
        <v>9.3511471554120679E-2</v>
      </c>
      <c r="CJ56" s="433">
        <v>0.20168320925073591</v>
      </c>
      <c r="CK56" s="433">
        <v>0.20005420011599015</v>
      </c>
      <c r="CL56" s="433">
        <v>0.2150045900352773</v>
      </c>
      <c r="CM56" s="433">
        <v>0.16961013043929046</v>
      </c>
      <c r="CN56" s="433">
        <v>0.1594153889399724</v>
      </c>
      <c r="CO56" s="433">
        <v>0.30843420591209786</v>
      </c>
      <c r="CP56" s="433">
        <v>0.25731882522665095</v>
      </c>
      <c r="CQ56" s="433">
        <v>0.29895541791566238</v>
      </c>
      <c r="CR56" s="433">
        <v>0.35731821829865557</v>
      </c>
      <c r="CS56" s="433">
        <v>0.39443520669059223</v>
      </c>
      <c r="CT56" s="433">
        <v>0.447221292916757</v>
      </c>
      <c r="CU56" s="433">
        <v>0.3622790598707698</v>
      </c>
      <c r="CV56" s="433">
        <v>0.47604249083347333</v>
      </c>
      <c r="CW56" s="433">
        <v>0.4759898508915783</v>
      </c>
      <c r="CX56" s="433">
        <v>0.4007797062399322</v>
      </c>
      <c r="CY56" s="433">
        <v>0.43383847945766757</v>
      </c>
      <c r="CZ56" s="433">
        <v>0.29816004259848461</v>
      </c>
      <c r="DA56" s="433">
        <v>0.25104840798869349</v>
      </c>
      <c r="DB56" s="433">
        <v>0.39158019166331348</v>
      </c>
      <c r="DC56" s="433">
        <v>0.29816004259848461</v>
      </c>
      <c r="DD56" s="433">
        <v>0.25104840798869349</v>
      </c>
      <c r="DE56" s="433">
        <v>0.29926769201452108</v>
      </c>
      <c r="DF56" s="433">
        <v>0.37270005324810579</v>
      </c>
      <c r="DG56" s="433">
        <v>0</v>
      </c>
      <c r="DH56" s="433">
        <v>0</v>
      </c>
      <c r="DI56" s="433">
        <v>0</v>
      </c>
      <c r="DJ56" s="433">
        <v>0.33104833187447025</v>
      </c>
      <c r="DK56" s="433">
        <v>0.30102696608500845</v>
      </c>
      <c r="DL56" s="433">
        <v>0.26738519112937981</v>
      </c>
      <c r="DM56" s="433">
        <v>0.39133505591051104</v>
      </c>
      <c r="DN56" s="433">
        <v>0</v>
      </c>
      <c r="DO56" s="433">
        <v>0</v>
      </c>
      <c r="DP56" s="433">
        <v>0</v>
      </c>
      <c r="DR56" s="409" t="s">
        <v>711</v>
      </c>
      <c r="DS56" s="409" t="s">
        <v>2272</v>
      </c>
    </row>
    <row r="57" spans="2:123" s="1471" customFormat="1">
      <c r="B57" s="428">
        <v>41770.795185532406</v>
      </c>
      <c r="C57" s="429">
        <v>1.4612666005837789</v>
      </c>
      <c r="D57" s="429">
        <v>1.4725298963534965</v>
      </c>
      <c r="E57" s="429">
        <v>1.5158130688315636</v>
      </c>
      <c r="F57" s="429">
        <v>1.4645910600173024</v>
      </c>
      <c r="G57" s="429">
        <v>1.4336019300053247</v>
      </c>
      <c r="H57" s="429">
        <v>1.4668654558275893</v>
      </c>
      <c r="I57" s="429">
        <v>1.5084265453580057</v>
      </c>
      <c r="J57" s="429">
        <v>1.5198102120011221</v>
      </c>
      <c r="K57" s="429">
        <v>1.3517750875937957</v>
      </c>
      <c r="L57" s="429">
        <v>1.578102346776499</v>
      </c>
      <c r="M57" s="429">
        <v>1.8381836325870493</v>
      </c>
      <c r="N57" s="429">
        <v>1.7852067823549502</v>
      </c>
      <c r="O57" s="429">
        <v>1.3796882656022957</v>
      </c>
      <c r="P57" s="429">
        <v>1.4325914476295407</v>
      </c>
      <c r="Q57" s="429">
        <v>2884.426998541549</v>
      </c>
      <c r="R57" s="429">
        <v>13.477867223383814</v>
      </c>
      <c r="S57" s="429">
        <v>8.7700378169654289</v>
      </c>
      <c r="T57" s="429">
        <v>4526.2367849092125</v>
      </c>
      <c r="U57" s="429">
        <v>4687.7827546530161</v>
      </c>
      <c r="V57" s="429">
        <v>4877.0717756016684</v>
      </c>
      <c r="W57" s="429">
        <v>868.81180000797201</v>
      </c>
      <c r="X57" s="429">
        <v>601.1187837601293</v>
      </c>
      <c r="Y57" s="429">
        <v>579.13850270889066</v>
      </c>
      <c r="Z57" s="429">
        <v>143.34851138120959</v>
      </c>
      <c r="AA57" s="429">
        <v>511.63454354644108</v>
      </c>
      <c r="AB57" s="429">
        <v>489.42046724637959</v>
      </c>
      <c r="AC57" s="429">
        <v>491.18039570647653</v>
      </c>
      <c r="AD57" s="429">
        <v>3.3805530119831713</v>
      </c>
      <c r="AE57" s="429">
        <v>0</v>
      </c>
      <c r="AF57" s="429">
        <v>0</v>
      </c>
      <c r="AG57" s="429">
        <v>0</v>
      </c>
      <c r="AH57" s="429">
        <v>3.1464559822248108</v>
      </c>
      <c r="AI57" s="429">
        <v>6.5982354473942859</v>
      </c>
      <c r="AJ57" s="429">
        <v>6.3067226138293719</v>
      </c>
      <c r="AK57" s="429">
        <v>7.1706265079894234</v>
      </c>
      <c r="AL57" s="429">
        <v>0</v>
      </c>
      <c r="AM57" s="429">
        <v>0</v>
      </c>
      <c r="AN57" s="429">
        <v>0</v>
      </c>
      <c r="AO57" s="432"/>
      <c r="AP57" s="428">
        <v>41770.795185532406</v>
      </c>
      <c r="AQ57" s="431">
        <v>133.4566495714902</v>
      </c>
      <c r="AR57" s="431">
        <v>176.26816406276481</v>
      </c>
      <c r="AS57" s="431">
        <v>198.25200533994405</v>
      </c>
      <c r="AT57" s="431">
        <v>215.6234060903486</v>
      </c>
      <c r="AU57" s="431">
        <v>34.843562194274234</v>
      </c>
      <c r="AV57" s="431">
        <v>120.6253151547059</v>
      </c>
      <c r="AW57" s="431">
        <v>28.581323124574141</v>
      </c>
      <c r="AX57" s="431">
        <v>-11.225518691602783</v>
      </c>
      <c r="AY57" s="431">
        <v>160.68073532905626</v>
      </c>
      <c r="AZ57" s="431">
        <v>-64.955086310280848</v>
      </c>
      <c r="BA57" s="431">
        <v>97.28049751112782</v>
      </c>
      <c r="BB57" s="431">
        <v>183.76679146949212</v>
      </c>
      <c r="BC57" s="431">
        <v>132.26332509198016</v>
      </c>
      <c r="BD57" s="431">
        <v>186.83557379684456</v>
      </c>
      <c r="BE57" s="431">
        <v>368097.3466313692</v>
      </c>
      <c r="BF57" s="431">
        <v>8458.9472720537415</v>
      </c>
      <c r="BG57" s="431">
        <v>1637.7435002129675</v>
      </c>
      <c r="BH57" s="431">
        <v>569663.28331698244</v>
      </c>
      <c r="BI57" s="431">
        <v>551059.36063253065</v>
      </c>
      <c r="BJ57" s="431">
        <v>114056.67333448726</v>
      </c>
      <c r="BK57" s="431">
        <v>468049.49242071511</v>
      </c>
      <c r="BL57" s="431">
        <v>529264.00890083518</v>
      </c>
      <c r="BM57" s="431">
        <v>109545.53444408026</v>
      </c>
      <c r="BN57" s="431">
        <v>508229.54303164489</v>
      </c>
      <c r="BO57" s="431">
        <v>529264.00890083518</v>
      </c>
      <c r="BP57" s="431">
        <v>109545.53444408026</v>
      </c>
      <c r="BQ57" s="431">
        <v>429316.54755275883</v>
      </c>
      <c r="BR57" s="431">
        <v>925.59788537032489</v>
      </c>
      <c r="BS57" s="431">
        <v>0</v>
      </c>
      <c r="BT57" s="431">
        <v>0</v>
      </c>
      <c r="BU57" s="431">
        <v>0</v>
      </c>
      <c r="BV57" s="431">
        <v>883.82018287125402</v>
      </c>
      <c r="BW57" s="431">
        <v>1432.988318528523</v>
      </c>
      <c r="BX57" s="431">
        <v>1358.0431277003529</v>
      </c>
      <c r="BY57" s="431">
        <v>1102.298706560402</v>
      </c>
      <c r="BZ57" s="431">
        <v>0</v>
      </c>
      <c r="CA57" s="431">
        <v>0</v>
      </c>
      <c r="CB57" s="431">
        <v>0</v>
      </c>
      <c r="CC57" s="432"/>
      <c r="CD57" s="428">
        <v>41770.795185416668</v>
      </c>
      <c r="CE57" s="433">
        <v>0.23759628394566742</v>
      </c>
      <c r="CF57" s="433">
        <v>0.16769792432989633</v>
      </c>
      <c r="CG57" s="433">
        <v>0.13923731496982597</v>
      </c>
      <c r="CH57" s="433">
        <v>0.14097114871113556</v>
      </c>
      <c r="CI57" s="433">
        <v>9.3511471554120679E-2</v>
      </c>
      <c r="CJ57" s="433">
        <v>0.20168320925073591</v>
      </c>
      <c r="CK57" s="433">
        <v>0.20005420011599015</v>
      </c>
      <c r="CL57" s="433">
        <v>0.2150045900352773</v>
      </c>
      <c r="CM57" s="433">
        <v>0.16961013043929046</v>
      </c>
      <c r="CN57" s="433">
        <v>0.1594153889399724</v>
      </c>
      <c r="CO57" s="433">
        <v>0.30843420591209786</v>
      </c>
      <c r="CP57" s="433">
        <v>0.25731882522665095</v>
      </c>
      <c r="CQ57" s="433">
        <v>0.29895541791566238</v>
      </c>
      <c r="CR57" s="433">
        <v>0.35731821829865557</v>
      </c>
      <c r="CS57" s="433">
        <v>0.39443520669059223</v>
      </c>
      <c r="CT57" s="433">
        <v>0.447221292916757</v>
      </c>
      <c r="CU57" s="433">
        <v>0.3622790598707698</v>
      </c>
      <c r="CV57" s="433">
        <v>0.47604249083347333</v>
      </c>
      <c r="CW57" s="433">
        <v>0.4759898508915783</v>
      </c>
      <c r="CX57" s="433">
        <v>0.4007797062399322</v>
      </c>
      <c r="CY57" s="433">
        <v>0.43383847945766757</v>
      </c>
      <c r="CZ57" s="433">
        <v>0.29816004259848461</v>
      </c>
      <c r="DA57" s="433">
        <v>0.25104840798869349</v>
      </c>
      <c r="DB57" s="433">
        <v>0.39158019166331348</v>
      </c>
      <c r="DC57" s="433">
        <v>0.29816004259848461</v>
      </c>
      <c r="DD57" s="433">
        <v>0.25104840798869349</v>
      </c>
      <c r="DE57" s="433">
        <v>0.29926769201452108</v>
      </c>
      <c r="DF57" s="433">
        <v>0.37270005324810579</v>
      </c>
      <c r="DG57" s="433">
        <v>0</v>
      </c>
      <c r="DH57" s="433">
        <v>0</v>
      </c>
      <c r="DI57" s="433">
        <v>0</v>
      </c>
      <c r="DJ57" s="433">
        <v>0.33104833187447025</v>
      </c>
      <c r="DK57" s="433">
        <v>0.30102696608500845</v>
      </c>
      <c r="DL57" s="433">
        <v>0.26738519112937981</v>
      </c>
      <c r="DM57" s="433">
        <v>0.39133505591051104</v>
      </c>
      <c r="DN57" s="433">
        <v>0</v>
      </c>
      <c r="DO57" s="433">
        <v>0</v>
      </c>
      <c r="DP57" s="433">
        <v>0</v>
      </c>
      <c r="DR57" s="409" t="s">
        <v>711</v>
      </c>
      <c r="DS57" s="409" t="s">
        <v>2278</v>
      </c>
    </row>
    <row r="58" spans="2:123" s="1471" customFormat="1">
      <c r="B58" s="428">
        <v>41770.836588541664</v>
      </c>
      <c r="C58" s="429">
        <v>1.4612666005837789</v>
      </c>
      <c r="D58" s="429">
        <v>1.4725298963534965</v>
      </c>
      <c r="E58" s="429">
        <v>1.5158130688315636</v>
      </c>
      <c r="F58" s="429">
        <v>1.4645910600173024</v>
      </c>
      <c r="G58" s="429">
        <v>1.4336019300053247</v>
      </c>
      <c r="H58" s="429">
        <v>1.4668654558275893</v>
      </c>
      <c r="I58" s="429">
        <v>1.5084265453580057</v>
      </c>
      <c r="J58" s="429">
        <v>1.5198102120011221</v>
      </c>
      <c r="K58" s="429">
        <v>1.3517750875937957</v>
      </c>
      <c r="L58" s="429">
        <v>1.578102346776499</v>
      </c>
      <c r="M58" s="429">
        <v>1.8381836325870493</v>
      </c>
      <c r="N58" s="429">
        <v>1.7852067823549502</v>
      </c>
      <c r="O58" s="429">
        <v>1.3796882656022957</v>
      </c>
      <c r="P58" s="429">
        <v>1.4325914476295407</v>
      </c>
      <c r="Q58" s="429">
        <v>2884.426998541549</v>
      </c>
      <c r="R58" s="429">
        <v>13.477867223383814</v>
      </c>
      <c r="S58" s="429">
        <v>8.7700378169654289</v>
      </c>
      <c r="T58" s="429">
        <v>4526.2367849092125</v>
      </c>
      <c r="U58" s="429">
        <v>4687.7827546530161</v>
      </c>
      <c r="V58" s="429">
        <v>4877.0717756016684</v>
      </c>
      <c r="W58" s="429">
        <v>868.81180000797201</v>
      </c>
      <c r="X58" s="429">
        <v>9.2578860464507375</v>
      </c>
      <c r="Y58" s="429">
        <v>10.397870393226988</v>
      </c>
      <c r="Z58" s="429">
        <v>13.768109809204685</v>
      </c>
      <c r="AA58" s="429">
        <v>7.1206981626771491</v>
      </c>
      <c r="AB58" s="429">
        <v>8.0534126282213538</v>
      </c>
      <c r="AC58" s="429">
        <v>4.2711278409740894</v>
      </c>
      <c r="AD58" s="429">
        <v>3.3805530119831713</v>
      </c>
      <c r="AE58" s="429">
        <v>0</v>
      </c>
      <c r="AF58" s="429">
        <v>0</v>
      </c>
      <c r="AG58" s="429">
        <v>0</v>
      </c>
      <c r="AH58" s="429">
        <v>3.1464559822248108</v>
      </c>
      <c r="AI58" s="429">
        <v>6.5982354473942859</v>
      </c>
      <c r="AJ58" s="429">
        <v>6.3067226138293719</v>
      </c>
      <c r="AK58" s="429">
        <v>7.1706265079894234</v>
      </c>
      <c r="AL58" s="429">
        <v>0</v>
      </c>
      <c r="AM58" s="429">
        <v>0</v>
      </c>
      <c r="AN58" s="429">
        <v>0</v>
      </c>
      <c r="AO58" s="432"/>
      <c r="AP58" s="428">
        <v>41770.836588541664</v>
      </c>
      <c r="AQ58" s="431">
        <v>133.4566495714902</v>
      </c>
      <c r="AR58" s="431">
        <v>176.26816406276481</v>
      </c>
      <c r="AS58" s="431">
        <v>198.25200533994405</v>
      </c>
      <c r="AT58" s="431">
        <v>215.6234060903486</v>
      </c>
      <c r="AU58" s="431">
        <v>34.843562194274234</v>
      </c>
      <c r="AV58" s="431">
        <v>120.6253151547059</v>
      </c>
      <c r="AW58" s="431">
        <v>28.581323124574141</v>
      </c>
      <c r="AX58" s="431">
        <v>-11.225518691602783</v>
      </c>
      <c r="AY58" s="431">
        <v>160.68073532905626</v>
      </c>
      <c r="AZ58" s="431">
        <v>-64.955086310280848</v>
      </c>
      <c r="BA58" s="431">
        <v>97.28049751112782</v>
      </c>
      <c r="BB58" s="431">
        <v>183.76679146949212</v>
      </c>
      <c r="BC58" s="431">
        <v>132.26332509198016</v>
      </c>
      <c r="BD58" s="431">
        <v>186.83557379684456</v>
      </c>
      <c r="BE58" s="431">
        <v>368097.3466313692</v>
      </c>
      <c r="BF58" s="431">
        <v>8458.9472720537415</v>
      </c>
      <c r="BG58" s="431">
        <v>1637.7435002129675</v>
      </c>
      <c r="BH58" s="431">
        <v>569663.28331698244</v>
      </c>
      <c r="BI58" s="431">
        <v>551059.36063253065</v>
      </c>
      <c r="BJ58" s="431">
        <v>114056.67333448726</v>
      </c>
      <c r="BK58" s="431">
        <v>468049.49242071511</v>
      </c>
      <c r="BL58" s="431">
        <v>3318.729433526004</v>
      </c>
      <c r="BM58" s="431">
        <v>686.90102360431274</v>
      </c>
      <c r="BN58" s="431">
        <v>6139.7163004449758</v>
      </c>
      <c r="BO58" s="431">
        <v>2715.3240819758212</v>
      </c>
      <c r="BP58" s="431">
        <v>562.00992840352853</v>
      </c>
      <c r="BQ58" s="431">
        <v>2202.5558903612123</v>
      </c>
      <c r="BR58" s="431">
        <v>925.59788537032489</v>
      </c>
      <c r="BS58" s="431">
        <v>0</v>
      </c>
      <c r="BT58" s="431">
        <v>0</v>
      </c>
      <c r="BU58" s="431">
        <v>0</v>
      </c>
      <c r="BV58" s="431">
        <v>883.82018287125402</v>
      </c>
      <c r="BW58" s="431">
        <v>1432.988318528523</v>
      </c>
      <c r="BX58" s="431">
        <v>1358.0431277003529</v>
      </c>
      <c r="BY58" s="431">
        <v>1102.298706560402</v>
      </c>
      <c r="BZ58" s="431">
        <v>0</v>
      </c>
      <c r="CA58" s="431">
        <v>0</v>
      </c>
      <c r="CB58" s="431">
        <v>0</v>
      </c>
      <c r="CC58" s="432"/>
      <c r="CD58" s="428">
        <v>41770.836588541664</v>
      </c>
      <c r="CE58" s="433">
        <v>0.23759628394566742</v>
      </c>
      <c r="CF58" s="433">
        <v>0.16769792432989633</v>
      </c>
      <c r="CG58" s="433">
        <v>0.13923731496982597</v>
      </c>
      <c r="CH58" s="433">
        <v>0.14097114871113556</v>
      </c>
      <c r="CI58" s="433">
        <v>9.3511471554120679E-2</v>
      </c>
      <c r="CJ58" s="433">
        <v>0.20168320925073591</v>
      </c>
      <c r="CK58" s="433">
        <v>0.20005420011599015</v>
      </c>
      <c r="CL58" s="433">
        <v>0.2150045900352773</v>
      </c>
      <c r="CM58" s="433">
        <v>0.16961013043929046</v>
      </c>
      <c r="CN58" s="433">
        <v>0.1594153889399724</v>
      </c>
      <c r="CO58" s="433">
        <v>0.30843420591209786</v>
      </c>
      <c r="CP58" s="433">
        <v>0.25731882522665095</v>
      </c>
      <c r="CQ58" s="433">
        <v>0.29895541791566238</v>
      </c>
      <c r="CR58" s="433">
        <v>0.35731821829865557</v>
      </c>
      <c r="CS58" s="433">
        <v>0.39443520669059223</v>
      </c>
      <c r="CT58" s="433">
        <v>0.447221292916757</v>
      </c>
      <c r="CU58" s="433">
        <v>0.3622790598707698</v>
      </c>
      <c r="CV58" s="433">
        <v>0.47604249083347333</v>
      </c>
      <c r="CW58" s="433">
        <v>0.4759898508915783</v>
      </c>
      <c r="CX58" s="433">
        <v>0.4007797062399322</v>
      </c>
      <c r="CY58" s="433">
        <v>0.43383847945766757</v>
      </c>
      <c r="CZ58" s="433">
        <v>0.29816004259848461</v>
      </c>
      <c r="DA58" s="433">
        <v>0.25104840798869349</v>
      </c>
      <c r="DB58" s="433">
        <v>0.39158019166331348</v>
      </c>
      <c r="DC58" s="433">
        <v>0.29816004259848461</v>
      </c>
      <c r="DD58" s="433">
        <v>0.25104840798869349</v>
      </c>
      <c r="DE58" s="433">
        <v>0.29926769201452108</v>
      </c>
      <c r="DF58" s="433">
        <v>0.37270005324810579</v>
      </c>
      <c r="DG58" s="433">
        <v>0</v>
      </c>
      <c r="DH58" s="433">
        <v>0</v>
      </c>
      <c r="DI58" s="433">
        <v>0</v>
      </c>
      <c r="DJ58" s="433">
        <v>0.33104833187447025</v>
      </c>
      <c r="DK58" s="433">
        <v>0.30102696608500845</v>
      </c>
      <c r="DL58" s="433">
        <v>0.26738519112937981</v>
      </c>
      <c r="DM58" s="433">
        <v>0.39133505591051104</v>
      </c>
      <c r="DN58" s="433">
        <v>0</v>
      </c>
      <c r="DO58" s="433">
        <v>0</v>
      </c>
      <c r="DP58" s="433">
        <v>0</v>
      </c>
      <c r="DR58" s="409" t="s">
        <v>711</v>
      </c>
      <c r="DS58" s="409" t="s">
        <v>2281</v>
      </c>
    </row>
    <row r="59" spans="2:123" s="1471" customFormat="1">
      <c r="B59" s="428">
        <v>41793.864103819447</v>
      </c>
      <c r="C59" s="429">
        <v>1.4612666005837789</v>
      </c>
      <c r="D59" s="429">
        <v>1.4725298963534965</v>
      </c>
      <c r="E59" s="429">
        <v>1.5158130688315636</v>
      </c>
      <c r="F59" s="429">
        <v>1.4645910600173024</v>
      </c>
      <c r="G59" s="429">
        <v>1.4336019300053247</v>
      </c>
      <c r="H59" s="429">
        <v>1.4668654558275893</v>
      </c>
      <c r="I59" s="429">
        <v>1.5084265453580057</v>
      </c>
      <c r="J59" s="429">
        <v>1.5198102120011221</v>
      </c>
      <c r="K59" s="429">
        <v>1.3517750875937957</v>
      </c>
      <c r="L59" s="429">
        <v>1.578102346776499</v>
      </c>
      <c r="M59" s="429">
        <v>1.8381836325870493</v>
      </c>
      <c r="N59" s="429">
        <v>1.7852067823549502</v>
      </c>
      <c r="O59" s="429">
        <v>1.3796882656022957</v>
      </c>
      <c r="P59" s="429">
        <v>1.4235610819219771</v>
      </c>
      <c r="Q59" s="429">
        <v>2884.426998541549</v>
      </c>
      <c r="R59" s="429">
        <v>13.477867223383814</v>
      </c>
      <c r="S59" s="429">
        <v>8.7700378169654289</v>
      </c>
      <c r="T59" s="429">
        <v>4526.2367849092125</v>
      </c>
      <c r="U59" s="429">
        <v>4687.7827546530161</v>
      </c>
      <c r="V59" s="429">
        <v>4877.0717756016684</v>
      </c>
      <c r="W59" s="429">
        <v>868.81180000797201</v>
      </c>
      <c r="X59" s="429">
        <v>9.2578860464507375</v>
      </c>
      <c r="Y59" s="429">
        <v>10.397870393226988</v>
      </c>
      <c r="Z59" s="429">
        <v>13.768109809204685</v>
      </c>
      <c r="AA59" s="429">
        <v>7.1206981626771491</v>
      </c>
      <c r="AB59" s="429">
        <v>8.0534126282213538</v>
      </c>
      <c r="AC59" s="429">
        <v>4.2711278409740894</v>
      </c>
      <c r="AD59" s="429">
        <v>3.3805530119831713</v>
      </c>
      <c r="AE59" s="429">
        <v>0</v>
      </c>
      <c r="AF59" s="429">
        <v>0</v>
      </c>
      <c r="AG59" s="429">
        <v>0</v>
      </c>
      <c r="AH59" s="429">
        <v>3.1464559822248108</v>
      </c>
      <c r="AI59" s="429">
        <v>6.5982354473942859</v>
      </c>
      <c r="AJ59" s="429">
        <v>6.3067226138293719</v>
      </c>
      <c r="AK59" s="429">
        <v>7.1706265079894234</v>
      </c>
      <c r="AL59" s="429">
        <v>0</v>
      </c>
      <c r="AM59" s="429">
        <v>0</v>
      </c>
      <c r="AN59" s="429">
        <v>0</v>
      </c>
      <c r="AO59" s="432"/>
      <c r="AP59" s="428">
        <v>41793.864103819447</v>
      </c>
      <c r="AQ59" s="431">
        <v>133.4566495714902</v>
      </c>
      <c r="AR59" s="431">
        <v>176.26816406276481</v>
      </c>
      <c r="AS59" s="431">
        <v>198.25200533994405</v>
      </c>
      <c r="AT59" s="431">
        <v>215.6234060903486</v>
      </c>
      <c r="AU59" s="431">
        <v>34.843562194274234</v>
      </c>
      <c r="AV59" s="431">
        <v>120.6253151547059</v>
      </c>
      <c r="AW59" s="431">
        <v>28.581323124574141</v>
      </c>
      <c r="AX59" s="431">
        <v>-11.225518691602783</v>
      </c>
      <c r="AY59" s="431">
        <v>160.68073532905626</v>
      </c>
      <c r="AZ59" s="431">
        <v>-64.955086310280848</v>
      </c>
      <c r="BA59" s="431">
        <v>97.28049751112782</v>
      </c>
      <c r="BB59" s="431">
        <v>183.76679146949212</v>
      </c>
      <c r="BC59" s="431">
        <v>132.26332509198016</v>
      </c>
      <c r="BD59" s="431">
        <v>115.77215913115802</v>
      </c>
      <c r="BE59" s="431">
        <v>368097.3466313692</v>
      </c>
      <c r="BF59" s="431">
        <v>8458.9472720537415</v>
      </c>
      <c r="BG59" s="431">
        <v>1637.7435002129675</v>
      </c>
      <c r="BH59" s="431">
        <v>569663.28331698244</v>
      </c>
      <c r="BI59" s="431">
        <v>551059.36063253065</v>
      </c>
      <c r="BJ59" s="431">
        <v>114056.67333448726</v>
      </c>
      <c r="BK59" s="431">
        <v>468049.49242071511</v>
      </c>
      <c r="BL59" s="431">
        <v>3318.729433526004</v>
      </c>
      <c r="BM59" s="431">
        <v>686.90102360431274</v>
      </c>
      <c r="BN59" s="431">
        <v>6139.7163004449758</v>
      </c>
      <c r="BO59" s="431">
        <v>2715.3240819758212</v>
      </c>
      <c r="BP59" s="431">
        <v>562.00992840352853</v>
      </c>
      <c r="BQ59" s="431">
        <v>2202.5558903612123</v>
      </c>
      <c r="BR59" s="431">
        <v>925.59788537032489</v>
      </c>
      <c r="BS59" s="431">
        <v>0</v>
      </c>
      <c r="BT59" s="431">
        <v>0</v>
      </c>
      <c r="BU59" s="431">
        <v>0</v>
      </c>
      <c r="BV59" s="431">
        <v>883.82018287125402</v>
      </c>
      <c r="BW59" s="431">
        <v>1432.988318528523</v>
      </c>
      <c r="BX59" s="431">
        <v>1358.0431277003529</v>
      </c>
      <c r="BY59" s="431">
        <v>1102.298706560402</v>
      </c>
      <c r="BZ59" s="431">
        <v>0</v>
      </c>
      <c r="CA59" s="431">
        <v>0</v>
      </c>
      <c r="CB59" s="431">
        <v>0</v>
      </c>
      <c r="CC59" s="432"/>
      <c r="CD59" s="428">
        <v>41793.864103819447</v>
      </c>
      <c r="CE59" s="433">
        <v>0.23759628394566742</v>
      </c>
      <c r="CF59" s="433">
        <v>0.16769792432989633</v>
      </c>
      <c r="CG59" s="433">
        <v>0.13923731496982597</v>
      </c>
      <c r="CH59" s="433">
        <v>0.14097114871113556</v>
      </c>
      <c r="CI59" s="433">
        <v>9.3511471554120679E-2</v>
      </c>
      <c r="CJ59" s="433">
        <v>0.20168320925073591</v>
      </c>
      <c r="CK59" s="433">
        <v>0.20005420011599015</v>
      </c>
      <c r="CL59" s="433">
        <v>0.2150045900352773</v>
      </c>
      <c r="CM59" s="433">
        <v>0.16961013043929046</v>
      </c>
      <c r="CN59" s="433">
        <v>0.1594153889399724</v>
      </c>
      <c r="CO59" s="433">
        <v>0.30843420591209786</v>
      </c>
      <c r="CP59" s="433">
        <v>0.25731882522665095</v>
      </c>
      <c r="CQ59" s="433">
        <v>0.29895541791566238</v>
      </c>
      <c r="CR59" s="433">
        <v>0.3372812953284029</v>
      </c>
      <c r="CS59" s="433">
        <v>0.39443520669059223</v>
      </c>
      <c r="CT59" s="433">
        <v>0.447221292916757</v>
      </c>
      <c r="CU59" s="433">
        <v>0.3622790598707698</v>
      </c>
      <c r="CV59" s="433">
        <v>0.47604249083347333</v>
      </c>
      <c r="CW59" s="433">
        <v>0.4759898508915783</v>
      </c>
      <c r="CX59" s="433">
        <v>0.4007797062399322</v>
      </c>
      <c r="CY59" s="433">
        <v>0.43383847945766757</v>
      </c>
      <c r="CZ59" s="433">
        <v>0.29816004259848461</v>
      </c>
      <c r="DA59" s="433">
        <v>0.25104840798869349</v>
      </c>
      <c r="DB59" s="433">
        <v>0.39158019166331348</v>
      </c>
      <c r="DC59" s="433">
        <v>0.29816004259848461</v>
      </c>
      <c r="DD59" s="433">
        <v>0.25104840798869349</v>
      </c>
      <c r="DE59" s="433">
        <v>0.29926769201452108</v>
      </c>
      <c r="DF59" s="433">
        <v>0.37270005324810579</v>
      </c>
      <c r="DG59" s="433">
        <v>0</v>
      </c>
      <c r="DH59" s="433">
        <v>0</v>
      </c>
      <c r="DI59" s="433">
        <v>0</v>
      </c>
      <c r="DJ59" s="433">
        <v>0.33104833187447025</v>
      </c>
      <c r="DK59" s="433">
        <v>0.30102696608500845</v>
      </c>
      <c r="DL59" s="433">
        <v>0.26738519112937981</v>
      </c>
      <c r="DM59" s="433">
        <v>0.39133505591051104</v>
      </c>
      <c r="DN59" s="433">
        <v>0</v>
      </c>
      <c r="DO59" s="433">
        <v>0</v>
      </c>
      <c r="DP59" s="433">
        <v>0</v>
      </c>
      <c r="DR59" s="409" t="s">
        <v>855</v>
      </c>
      <c r="DS59" s="409" t="s">
        <v>2298</v>
      </c>
    </row>
    <row r="60" spans="2:123" s="1471" customFormat="1">
      <c r="B60" s="428">
        <v>41793.866090972224</v>
      </c>
      <c r="C60" s="429">
        <v>1.4612666005837789</v>
      </c>
      <c r="D60" s="429">
        <v>1.4725298963534965</v>
      </c>
      <c r="E60" s="429">
        <v>1.5158130688315636</v>
      </c>
      <c r="F60" s="429">
        <v>1.4645910600173024</v>
      </c>
      <c r="G60" s="429">
        <v>1.4336019300053247</v>
      </c>
      <c r="H60" s="429">
        <v>1.4668654558275893</v>
      </c>
      <c r="I60" s="429">
        <v>1.5084265453580057</v>
      </c>
      <c r="J60" s="429">
        <v>1.5198102120011221</v>
      </c>
      <c r="K60" s="429">
        <v>1.3517750875937957</v>
      </c>
      <c r="L60" s="429">
        <v>1.578102346776499</v>
      </c>
      <c r="M60" s="429">
        <v>1.8218271733029072</v>
      </c>
      <c r="N60" s="429">
        <v>1.772805133545422</v>
      </c>
      <c r="O60" s="429">
        <v>1.3796882656022957</v>
      </c>
      <c r="P60" s="429">
        <v>1.4235610819219771</v>
      </c>
      <c r="Q60" s="429">
        <v>2884.426998541549</v>
      </c>
      <c r="R60" s="429">
        <v>13.477867223383814</v>
      </c>
      <c r="S60" s="429">
        <v>8.7700378169654289</v>
      </c>
      <c r="T60" s="429">
        <v>4526.2367849092125</v>
      </c>
      <c r="U60" s="429">
        <v>4687.7827546530161</v>
      </c>
      <c r="V60" s="429">
        <v>4877.0717756016684</v>
      </c>
      <c r="W60" s="429">
        <v>868.81180000797201</v>
      </c>
      <c r="X60" s="429">
        <v>9.2578860464507375</v>
      </c>
      <c r="Y60" s="429">
        <v>10.397870393226988</v>
      </c>
      <c r="Z60" s="429">
        <v>13.768109809204685</v>
      </c>
      <c r="AA60" s="429">
        <v>7.1206981626771491</v>
      </c>
      <c r="AB60" s="429">
        <v>8.0534126282213538</v>
      </c>
      <c r="AC60" s="429">
        <v>4.2711278409740894</v>
      </c>
      <c r="AD60" s="429">
        <v>3.3805530119831713</v>
      </c>
      <c r="AE60" s="429">
        <v>0</v>
      </c>
      <c r="AF60" s="429">
        <v>0</v>
      </c>
      <c r="AG60" s="429">
        <v>0</v>
      </c>
      <c r="AH60" s="429">
        <v>3.1464559822248108</v>
      </c>
      <c r="AI60" s="429">
        <v>6.5982354473942859</v>
      </c>
      <c r="AJ60" s="429">
        <v>6.3067226138293719</v>
      </c>
      <c r="AK60" s="429">
        <v>7.1706265079894234</v>
      </c>
      <c r="AL60" s="429">
        <v>0</v>
      </c>
      <c r="AM60" s="429">
        <v>0</v>
      </c>
      <c r="AN60" s="429">
        <v>0</v>
      </c>
      <c r="AO60" s="432"/>
      <c r="AP60" s="428">
        <v>41793.866090972224</v>
      </c>
      <c r="AQ60" s="431">
        <v>133.4566495714902</v>
      </c>
      <c r="AR60" s="431">
        <v>176.26816406276481</v>
      </c>
      <c r="AS60" s="431">
        <v>198.25200533994405</v>
      </c>
      <c r="AT60" s="431">
        <v>215.6234060903486</v>
      </c>
      <c r="AU60" s="431">
        <v>34.843562194274234</v>
      </c>
      <c r="AV60" s="431">
        <v>120.6253151547059</v>
      </c>
      <c r="AW60" s="431">
        <v>28.581323124574141</v>
      </c>
      <c r="AX60" s="431">
        <v>-11.225518691602783</v>
      </c>
      <c r="AY60" s="431">
        <v>160.68073532905626</v>
      </c>
      <c r="AZ60" s="431">
        <v>-64.955086310280848</v>
      </c>
      <c r="BA60" s="431">
        <v>97.28049751112782</v>
      </c>
      <c r="BB60" s="431">
        <v>183.76679146949212</v>
      </c>
      <c r="BC60" s="431">
        <v>132.26332509198016</v>
      </c>
      <c r="BD60" s="431">
        <v>115.77215913115802</v>
      </c>
      <c r="BE60" s="431">
        <v>368097.3466313692</v>
      </c>
      <c r="BF60" s="431">
        <v>8458.9472720537415</v>
      </c>
      <c r="BG60" s="431">
        <v>1637.7435002129675</v>
      </c>
      <c r="BH60" s="431">
        <v>569663.28331698244</v>
      </c>
      <c r="BI60" s="431">
        <v>551059.36063253065</v>
      </c>
      <c r="BJ60" s="431">
        <v>114056.67333448726</v>
      </c>
      <c r="BK60" s="431">
        <v>468049.49242071511</v>
      </c>
      <c r="BL60" s="431">
        <v>3318.729433526004</v>
      </c>
      <c r="BM60" s="431">
        <v>686.90102360431274</v>
      </c>
      <c r="BN60" s="431">
        <v>6139.7163004449758</v>
      </c>
      <c r="BO60" s="431">
        <v>2715.3240819758212</v>
      </c>
      <c r="BP60" s="431">
        <v>562.00992840352853</v>
      </c>
      <c r="BQ60" s="431">
        <v>2202.5558903612123</v>
      </c>
      <c r="BR60" s="431">
        <v>925.59788537032489</v>
      </c>
      <c r="BS60" s="431">
        <v>0</v>
      </c>
      <c r="BT60" s="431">
        <v>0</v>
      </c>
      <c r="BU60" s="431">
        <v>0</v>
      </c>
      <c r="BV60" s="431">
        <v>883.82018287125402</v>
      </c>
      <c r="BW60" s="431">
        <v>1432.988318528523</v>
      </c>
      <c r="BX60" s="431">
        <v>1358.0431277003529</v>
      </c>
      <c r="BY60" s="431">
        <v>1102.298706560402</v>
      </c>
      <c r="BZ60" s="431">
        <v>0</v>
      </c>
      <c r="CA60" s="431">
        <v>0</v>
      </c>
      <c r="CB60" s="431">
        <v>0</v>
      </c>
      <c r="CC60" s="432"/>
      <c r="CD60" s="428">
        <v>41793.866090972224</v>
      </c>
      <c r="CE60" s="433">
        <v>0.23759628394566742</v>
      </c>
      <c r="CF60" s="433">
        <v>0.16769792432989633</v>
      </c>
      <c r="CG60" s="433">
        <v>0.13923731496982597</v>
      </c>
      <c r="CH60" s="433">
        <v>0.14097114871113556</v>
      </c>
      <c r="CI60" s="433">
        <v>9.3511471554120679E-2</v>
      </c>
      <c r="CJ60" s="433">
        <v>0.20168320925073591</v>
      </c>
      <c r="CK60" s="433">
        <v>0.20005420011599015</v>
      </c>
      <c r="CL60" s="433">
        <v>0.2150045900352773</v>
      </c>
      <c r="CM60" s="433">
        <v>0.16961013043929046</v>
      </c>
      <c r="CN60" s="433">
        <v>0.1594153889399724</v>
      </c>
      <c r="CO60" s="433">
        <v>0.30843420591209786</v>
      </c>
      <c r="CP60" s="433">
        <v>0.25731882522665095</v>
      </c>
      <c r="CQ60" s="433">
        <v>0.29895541791566238</v>
      </c>
      <c r="CR60" s="433">
        <v>0.3372812953284029</v>
      </c>
      <c r="CS60" s="433">
        <v>0.39443520669059223</v>
      </c>
      <c r="CT60" s="433">
        <v>0.447221292916757</v>
      </c>
      <c r="CU60" s="433">
        <v>0.3622790598707698</v>
      </c>
      <c r="CV60" s="433">
        <v>0.47604249083347333</v>
      </c>
      <c r="CW60" s="433">
        <v>0.4759898508915783</v>
      </c>
      <c r="CX60" s="433">
        <v>0.4007797062399322</v>
      </c>
      <c r="CY60" s="433">
        <v>0.43383847945766757</v>
      </c>
      <c r="CZ60" s="433">
        <v>0.29816004259848461</v>
      </c>
      <c r="DA60" s="433">
        <v>0.25104840798869349</v>
      </c>
      <c r="DB60" s="433">
        <v>0.39158019166331348</v>
      </c>
      <c r="DC60" s="433">
        <v>0.29816004259848461</v>
      </c>
      <c r="DD60" s="433">
        <v>0.25104840798869349</v>
      </c>
      <c r="DE60" s="433">
        <v>0.29926769201452108</v>
      </c>
      <c r="DF60" s="433">
        <v>0.37270005324810579</v>
      </c>
      <c r="DG60" s="433">
        <v>0</v>
      </c>
      <c r="DH60" s="433">
        <v>0</v>
      </c>
      <c r="DI60" s="433">
        <v>0</v>
      </c>
      <c r="DJ60" s="433">
        <v>0.33104833187447025</v>
      </c>
      <c r="DK60" s="433">
        <v>0.30102696608500845</v>
      </c>
      <c r="DL60" s="433">
        <v>0.26738519112937981</v>
      </c>
      <c r="DM60" s="433">
        <v>0.39133505591051104</v>
      </c>
      <c r="DN60" s="433">
        <v>0</v>
      </c>
      <c r="DO60" s="433">
        <v>0</v>
      </c>
      <c r="DP60" s="433">
        <v>0</v>
      </c>
      <c r="DR60" s="409" t="s">
        <v>855</v>
      </c>
      <c r="DS60" s="409" t="s">
        <v>2299</v>
      </c>
    </row>
    <row r="61" spans="2:123" s="1471" customFormat="1">
      <c r="B61" s="428">
        <v>41794.449584490743</v>
      </c>
      <c r="C61" s="429">
        <v>1.4612833243468784</v>
      </c>
      <c r="D61" s="429">
        <v>1.4725544432309572</v>
      </c>
      <c r="E61" s="429">
        <v>1.5158460239266072</v>
      </c>
      <c r="F61" s="429">
        <v>1.4646240151123462</v>
      </c>
      <c r="G61" s="429">
        <v>1.4336297302561014</v>
      </c>
      <c r="H61" s="429">
        <v>1.4668853288707528</v>
      </c>
      <c r="I61" s="429">
        <v>1.5084432691211052</v>
      </c>
      <c r="J61" s="429">
        <v>1.519843531312719</v>
      </c>
      <c r="K61" s="429">
        <v>1.3517750875937957</v>
      </c>
      <c r="L61" s="429">
        <v>1.578102346776499</v>
      </c>
      <c r="M61" s="429">
        <v>1.8218355640460657</v>
      </c>
      <c r="N61" s="429">
        <v>1.772805133545422</v>
      </c>
      <c r="O61" s="429">
        <v>1.3796882656022957</v>
      </c>
      <c r="P61" s="429">
        <v>1.4235701433561474</v>
      </c>
      <c r="Q61" s="429">
        <v>2884.467540972209</v>
      </c>
      <c r="R61" s="429">
        <v>13.478974416381218</v>
      </c>
      <c r="S61" s="429">
        <v>8.771145009962833</v>
      </c>
      <c r="T61" s="429">
        <v>4526.2995279155803</v>
      </c>
      <c r="U61" s="429">
        <v>4687.85244053304</v>
      </c>
      <c r="V61" s="429">
        <v>4877.1414614816913</v>
      </c>
      <c r="W61" s="429">
        <v>868.81617763703866</v>
      </c>
      <c r="X61" s="429">
        <v>9.2583057264301658</v>
      </c>
      <c r="Y61" s="429">
        <v>10.398290073206416</v>
      </c>
      <c r="Z61" s="429">
        <v>13.768109809204685</v>
      </c>
      <c r="AA61" s="429">
        <v>7.1210415372057714</v>
      </c>
      <c r="AB61" s="429">
        <v>8.0537560027499779</v>
      </c>
      <c r="AC61" s="429">
        <v>4.2711278409740894</v>
      </c>
      <c r="AD61" s="429">
        <v>3.3806686546748179</v>
      </c>
      <c r="AE61" s="429">
        <v>0</v>
      </c>
      <c r="AF61" s="429">
        <v>0</v>
      </c>
      <c r="AG61" s="429">
        <v>0</v>
      </c>
      <c r="AH61" s="429">
        <v>3.1464559822248108</v>
      </c>
      <c r="AI61" s="429">
        <v>6.5984148092090296</v>
      </c>
      <c r="AJ61" s="429">
        <v>6.3067226138293719</v>
      </c>
      <c r="AK61" s="429">
        <v>7.1707644786161495</v>
      </c>
      <c r="AL61" s="429">
        <v>0</v>
      </c>
      <c r="AM61" s="429">
        <v>0</v>
      </c>
      <c r="AN61" s="429">
        <v>0</v>
      </c>
      <c r="AO61" s="432"/>
      <c r="AP61" s="428">
        <v>41794.449584490743</v>
      </c>
      <c r="AQ61" s="431">
        <v>133.4566495714902</v>
      </c>
      <c r="AR61" s="431">
        <v>176.26816406276481</v>
      </c>
      <c r="AS61" s="431">
        <v>198.25200533994405</v>
      </c>
      <c r="AT61" s="431">
        <v>215.6234060903486</v>
      </c>
      <c r="AU61" s="431">
        <v>34.843562194274234</v>
      </c>
      <c r="AV61" s="431">
        <v>120.6253151547059</v>
      </c>
      <c r="AW61" s="431">
        <v>28.581323124574141</v>
      </c>
      <c r="AX61" s="431">
        <v>-11.225518691602783</v>
      </c>
      <c r="AY61" s="431">
        <v>160.68073532905626</v>
      </c>
      <c r="AZ61" s="431">
        <v>-64.955086310280848</v>
      </c>
      <c r="BA61" s="431">
        <v>97.28049751112782</v>
      </c>
      <c r="BB61" s="431">
        <v>183.76679146949212</v>
      </c>
      <c r="BC61" s="431">
        <v>132.26332509198016</v>
      </c>
      <c r="BD61" s="431">
        <v>115.77215913115802</v>
      </c>
      <c r="BE61" s="431">
        <v>368097.3466313692</v>
      </c>
      <c r="BF61" s="431">
        <v>8458.9472720537415</v>
      </c>
      <c r="BG61" s="431">
        <v>1637.7435002129675</v>
      </c>
      <c r="BH61" s="431">
        <v>569663.28331698244</v>
      </c>
      <c r="BI61" s="431">
        <v>551059.36063253065</v>
      </c>
      <c r="BJ61" s="431">
        <v>114056.67333448726</v>
      </c>
      <c r="BK61" s="431">
        <v>468049.49242071511</v>
      </c>
      <c r="BL61" s="431">
        <v>3318.729433526004</v>
      </c>
      <c r="BM61" s="431">
        <v>686.90102360431274</v>
      </c>
      <c r="BN61" s="431">
        <v>6139.7163004449758</v>
      </c>
      <c r="BO61" s="431">
        <v>2715.3240819758212</v>
      </c>
      <c r="BP61" s="431">
        <v>562.00992840352853</v>
      </c>
      <c r="BQ61" s="431">
        <v>2202.5558903612123</v>
      </c>
      <c r="BR61" s="431">
        <v>925.59788537032489</v>
      </c>
      <c r="BS61" s="431">
        <v>0</v>
      </c>
      <c r="BT61" s="431">
        <v>0</v>
      </c>
      <c r="BU61" s="431">
        <v>0</v>
      </c>
      <c r="BV61" s="431">
        <v>883.82018287125402</v>
      </c>
      <c r="BW61" s="431">
        <v>1432.988318528523</v>
      </c>
      <c r="BX61" s="431">
        <v>1358.0431277003529</v>
      </c>
      <c r="BY61" s="431">
        <v>1102.298706560402</v>
      </c>
      <c r="BZ61" s="431">
        <v>0</v>
      </c>
      <c r="CA61" s="431">
        <v>0</v>
      </c>
      <c r="CB61" s="431">
        <v>0</v>
      </c>
      <c r="CC61" s="432"/>
      <c r="CD61" s="428">
        <v>41794.449584259259</v>
      </c>
      <c r="CE61" s="433">
        <v>0.23759628394566742</v>
      </c>
      <c r="CF61" s="433">
        <v>0.16769792432989633</v>
      </c>
      <c r="CG61" s="433">
        <v>0.13923731496982597</v>
      </c>
      <c r="CH61" s="433">
        <v>0.14097114871113556</v>
      </c>
      <c r="CI61" s="433">
        <v>9.3511471554120679E-2</v>
      </c>
      <c r="CJ61" s="433">
        <v>0.20168320925073591</v>
      </c>
      <c r="CK61" s="433">
        <v>0.20005420011599015</v>
      </c>
      <c r="CL61" s="433">
        <v>0.2150045900352773</v>
      </c>
      <c r="CM61" s="433">
        <v>0.16961013043929046</v>
      </c>
      <c r="CN61" s="433">
        <v>0.1594153889399724</v>
      </c>
      <c r="CO61" s="433">
        <v>0.30843420591209786</v>
      </c>
      <c r="CP61" s="433">
        <v>0.25731882522665095</v>
      </c>
      <c r="CQ61" s="433">
        <v>0.29895541791566238</v>
      </c>
      <c r="CR61" s="433">
        <v>0.3372812953284029</v>
      </c>
      <c r="CS61" s="433">
        <v>0.39443520669059223</v>
      </c>
      <c r="CT61" s="433">
        <v>0.447221292916757</v>
      </c>
      <c r="CU61" s="433">
        <v>0.3622790598707698</v>
      </c>
      <c r="CV61" s="433">
        <v>0.47604249083347333</v>
      </c>
      <c r="CW61" s="433">
        <v>0.4759898508915783</v>
      </c>
      <c r="CX61" s="433">
        <v>0.4007797062399322</v>
      </c>
      <c r="CY61" s="433">
        <v>0.43383847945766757</v>
      </c>
      <c r="CZ61" s="433">
        <v>0.29816004259848461</v>
      </c>
      <c r="DA61" s="433">
        <v>0.25104840798869349</v>
      </c>
      <c r="DB61" s="433">
        <v>0.39158019166331348</v>
      </c>
      <c r="DC61" s="433">
        <v>0.29816004259848461</v>
      </c>
      <c r="DD61" s="433">
        <v>0.25104840798869349</v>
      </c>
      <c r="DE61" s="433">
        <v>0.29926769201452108</v>
      </c>
      <c r="DF61" s="433">
        <v>0.37270005324810579</v>
      </c>
      <c r="DG61" s="433">
        <v>0</v>
      </c>
      <c r="DH61" s="433">
        <v>0</v>
      </c>
      <c r="DI61" s="433">
        <v>0</v>
      </c>
      <c r="DJ61" s="433">
        <v>0.33104833187447025</v>
      </c>
      <c r="DK61" s="433">
        <v>0.30102696608500845</v>
      </c>
      <c r="DL61" s="433">
        <v>0.26738519112937981</v>
      </c>
      <c r="DM61" s="433">
        <v>0.39133505591051104</v>
      </c>
      <c r="DN61" s="433">
        <v>0</v>
      </c>
      <c r="DO61" s="433">
        <v>0</v>
      </c>
      <c r="DP61" s="433">
        <v>0</v>
      </c>
      <c r="DR61" s="409" t="s">
        <v>711</v>
      </c>
      <c r="DS61" s="409" t="s">
        <v>2341</v>
      </c>
    </row>
    <row r="62" spans="2:123" s="1471" customFormat="1">
      <c r="B62" s="428">
        <v>41794.499102430556</v>
      </c>
      <c r="C62" s="429">
        <v>1.4612833243468784</v>
      </c>
      <c r="D62" s="429">
        <v>1.4725544432309572</v>
      </c>
      <c r="E62" s="429">
        <v>1.5153341007167171</v>
      </c>
      <c r="F62" s="429">
        <v>1.4641139630655973</v>
      </c>
      <c r="G62" s="429">
        <v>1.4305286409046594</v>
      </c>
      <c r="H62" s="429">
        <v>1.4668853288707528</v>
      </c>
      <c r="I62" s="429">
        <v>1.5040378336718936</v>
      </c>
      <c r="J62" s="429">
        <v>1.5169046701243174</v>
      </c>
      <c r="K62" s="429">
        <v>1.3517750875937957</v>
      </c>
      <c r="L62" s="429">
        <v>1.578102346776499</v>
      </c>
      <c r="M62" s="429">
        <v>1.8212442828666211</v>
      </c>
      <c r="N62" s="429">
        <v>1.772805133545422</v>
      </c>
      <c r="O62" s="429">
        <v>1.3796882656022957</v>
      </c>
      <c r="P62" s="429">
        <v>1.4235701433561474</v>
      </c>
      <c r="Q62" s="429">
        <v>2884.467540972209</v>
      </c>
      <c r="R62" s="429">
        <v>13.478974416381218</v>
      </c>
      <c r="S62" s="429">
        <v>8.6314147224463049</v>
      </c>
      <c r="T62" s="429">
        <v>4526.2995279155803</v>
      </c>
      <c r="U62" s="429">
        <v>4687.85244053304</v>
      </c>
      <c r="V62" s="429">
        <v>4858.7845495630627</v>
      </c>
      <c r="W62" s="429">
        <v>868.81617763703866</v>
      </c>
      <c r="X62" s="429">
        <v>9.2583057264301658</v>
      </c>
      <c r="Y62" s="429">
        <v>10.287736422828223</v>
      </c>
      <c r="Z62" s="429">
        <v>13.768109809204685</v>
      </c>
      <c r="AA62" s="429">
        <v>7.1210415372057714</v>
      </c>
      <c r="AB62" s="429">
        <v>7.9633030160769085</v>
      </c>
      <c r="AC62" s="429">
        <v>4.2711278409740894</v>
      </c>
      <c r="AD62" s="429">
        <v>3.3806686546748179</v>
      </c>
      <c r="AE62" s="429">
        <v>0</v>
      </c>
      <c r="AF62" s="429">
        <v>0</v>
      </c>
      <c r="AG62" s="429">
        <v>0</v>
      </c>
      <c r="AH62" s="429">
        <v>3.1464559822248108</v>
      </c>
      <c r="AI62" s="429">
        <v>6.5984148092090296</v>
      </c>
      <c r="AJ62" s="429">
        <v>6.3067226138293719</v>
      </c>
      <c r="AK62" s="429">
        <v>7.1707644786161495</v>
      </c>
      <c r="AL62" s="429">
        <v>0</v>
      </c>
      <c r="AM62" s="429">
        <v>0</v>
      </c>
      <c r="AN62" s="429">
        <v>0</v>
      </c>
      <c r="AO62" s="432"/>
      <c r="AP62" s="428">
        <v>41794.499102430556</v>
      </c>
      <c r="AQ62" s="431">
        <v>133.4566495714902</v>
      </c>
      <c r="AR62" s="431">
        <v>176.26816406276481</v>
      </c>
      <c r="AS62" s="431">
        <v>193.42528817688472</v>
      </c>
      <c r="AT62" s="431">
        <v>210.81433136872306</v>
      </c>
      <c r="AU62" s="431">
        <v>5.6046433337647112</v>
      </c>
      <c r="AV62" s="431">
        <v>120.6253151547059</v>
      </c>
      <c r="AW62" s="431">
        <v>-8.7961839342840911</v>
      </c>
      <c r="AX62" s="431">
        <v>-38.934853732210826</v>
      </c>
      <c r="AY62" s="431">
        <v>160.68073532905626</v>
      </c>
      <c r="AZ62" s="431">
        <v>-64.955086310280848</v>
      </c>
      <c r="BA62" s="431">
        <v>91.705546108489415</v>
      </c>
      <c r="BB62" s="431">
        <v>183.76679146949212</v>
      </c>
      <c r="BC62" s="431">
        <v>132.26332509198016</v>
      </c>
      <c r="BD62" s="431">
        <v>115.77215913115802</v>
      </c>
      <c r="BE62" s="431">
        <v>368097.3466313692</v>
      </c>
      <c r="BF62" s="431">
        <v>8458.9472720537415</v>
      </c>
      <c r="BG62" s="431">
        <v>378.60843737021708</v>
      </c>
      <c r="BH62" s="431">
        <v>569663.28331698244</v>
      </c>
      <c r="BI62" s="431">
        <v>551059.36063253065</v>
      </c>
      <c r="BJ62" s="431">
        <v>-41690.837377580145</v>
      </c>
      <c r="BK62" s="431">
        <v>468049.49242071511</v>
      </c>
      <c r="BL62" s="431">
        <v>3318.729433526004</v>
      </c>
      <c r="BM62" s="431">
        <v>-251.0811338990863</v>
      </c>
      <c r="BN62" s="431">
        <v>6139.7163004449758</v>
      </c>
      <c r="BO62" s="431">
        <v>2715.3240819758212</v>
      </c>
      <c r="BP62" s="431">
        <v>-205.43001864470693</v>
      </c>
      <c r="BQ62" s="431">
        <v>2202.5558903612123</v>
      </c>
      <c r="BR62" s="431">
        <v>925.59788537032489</v>
      </c>
      <c r="BS62" s="431">
        <v>0</v>
      </c>
      <c r="BT62" s="431">
        <v>0</v>
      </c>
      <c r="BU62" s="431">
        <v>0</v>
      </c>
      <c r="BV62" s="431">
        <v>883.82018287125402</v>
      </c>
      <c r="BW62" s="431">
        <v>1432.988318528523</v>
      </c>
      <c r="BX62" s="431">
        <v>1358.0431277003529</v>
      </c>
      <c r="BY62" s="431">
        <v>1102.298706560402</v>
      </c>
      <c r="BZ62" s="431">
        <v>0</v>
      </c>
      <c r="CA62" s="431">
        <v>0</v>
      </c>
      <c r="CB62" s="431">
        <v>0</v>
      </c>
      <c r="CC62" s="432"/>
      <c r="CD62" s="428">
        <v>41794.499102430556</v>
      </c>
      <c r="CE62" s="433">
        <v>0.23759628394566742</v>
      </c>
      <c r="CF62" s="433">
        <v>0.16769792432989633</v>
      </c>
      <c r="CG62" s="433">
        <v>0.13923731496982597</v>
      </c>
      <c r="CH62" s="433">
        <v>0.14097114871113556</v>
      </c>
      <c r="CI62" s="433">
        <v>9.3511471554120679E-2</v>
      </c>
      <c r="CJ62" s="433">
        <v>0.20168320925073591</v>
      </c>
      <c r="CK62" s="433">
        <v>0.20005420011599015</v>
      </c>
      <c r="CL62" s="433">
        <v>0.2150045900352773</v>
      </c>
      <c r="CM62" s="433">
        <v>0.16961013043929046</v>
      </c>
      <c r="CN62" s="433">
        <v>0.1594153889399724</v>
      </c>
      <c r="CO62" s="433">
        <v>0.30843420591209786</v>
      </c>
      <c r="CP62" s="433">
        <v>0.25731882522665095</v>
      </c>
      <c r="CQ62" s="433">
        <v>0.29895541791566238</v>
      </c>
      <c r="CR62" s="433">
        <v>0.3372812953284029</v>
      </c>
      <c r="CS62" s="433">
        <v>0.39443520669059223</v>
      </c>
      <c r="CT62" s="433">
        <v>0.447221292916757</v>
      </c>
      <c r="CU62" s="433">
        <v>0.3622790598707698</v>
      </c>
      <c r="CV62" s="433">
        <v>0.47604249083347333</v>
      </c>
      <c r="CW62" s="433">
        <v>0.4759898508915783</v>
      </c>
      <c r="CX62" s="433">
        <v>0.4007797062399322</v>
      </c>
      <c r="CY62" s="433">
        <v>0.43383847945766757</v>
      </c>
      <c r="CZ62" s="433">
        <v>0.29816004259848461</v>
      </c>
      <c r="DA62" s="433">
        <v>0.25104840798869349</v>
      </c>
      <c r="DB62" s="433">
        <v>0.39158019166331348</v>
      </c>
      <c r="DC62" s="433">
        <v>0.29816004259848461</v>
      </c>
      <c r="DD62" s="433">
        <v>0.25104840798869349</v>
      </c>
      <c r="DE62" s="433">
        <v>0.29926769201452108</v>
      </c>
      <c r="DF62" s="433">
        <v>0.37270005324810579</v>
      </c>
      <c r="DG62" s="433">
        <v>0</v>
      </c>
      <c r="DH62" s="433">
        <v>0</v>
      </c>
      <c r="DI62" s="433">
        <v>0</v>
      </c>
      <c r="DJ62" s="433">
        <v>0.33104833187447025</v>
      </c>
      <c r="DK62" s="433">
        <v>0.30102696608500845</v>
      </c>
      <c r="DL62" s="433">
        <v>0.26738519112937981</v>
      </c>
      <c r="DM62" s="433">
        <v>0.39133505591051104</v>
      </c>
      <c r="DN62" s="433">
        <v>0</v>
      </c>
      <c r="DO62" s="433">
        <v>0</v>
      </c>
      <c r="DP62" s="433">
        <v>0</v>
      </c>
      <c r="DR62" s="409" t="s">
        <v>711</v>
      </c>
      <c r="DS62" s="409" t="s">
        <v>2344</v>
      </c>
    </row>
    <row r="63" spans="2:123" s="1471" customFormat="1">
      <c r="B63" s="428">
        <v>41794.551073495371</v>
      </c>
      <c r="C63" s="429">
        <v>1.4612833243468784</v>
      </c>
      <c r="D63" s="429">
        <v>1.4725544432309572</v>
      </c>
      <c r="E63" s="429">
        <v>1.5153341007167171</v>
      </c>
      <c r="F63" s="429">
        <v>1.4641139630655973</v>
      </c>
      <c r="G63" s="429">
        <v>1.4305286409046594</v>
      </c>
      <c r="H63" s="429">
        <v>1.4668853288707528</v>
      </c>
      <c r="I63" s="429">
        <v>1.5040378336718936</v>
      </c>
      <c r="J63" s="429">
        <v>1.5163554486103763</v>
      </c>
      <c r="K63" s="429">
        <v>1.3517750875937957</v>
      </c>
      <c r="L63" s="429">
        <v>1.578102346776499</v>
      </c>
      <c r="M63" s="429">
        <v>1.8211344866263299</v>
      </c>
      <c r="N63" s="429">
        <v>1.772805133545422</v>
      </c>
      <c r="O63" s="429">
        <v>1.3796882656022957</v>
      </c>
      <c r="P63" s="429">
        <v>1.4235701433561474</v>
      </c>
      <c r="Q63" s="429">
        <v>2884.467540972209</v>
      </c>
      <c r="R63" s="429">
        <v>13.478974416381218</v>
      </c>
      <c r="S63" s="429">
        <v>8.6314147224463049</v>
      </c>
      <c r="T63" s="429">
        <v>4526.2995279155803</v>
      </c>
      <c r="U63" s="429">
        <v>4687.85244053304</v>
      </c>
      <c r="V63" s="429">
        <v>4858.7845495630627</v>
      </c>
      <c r="W63" s="429">
        <v>868.81617763703866</v>
      </c>
      <c r="X63" s="429">
        <v>9.2583057264301658</v>
      </c>
      <c r="Y63" s="429">
        <v>10.287736422828223</v>
      </c>
      <c r="Z63" s="429">
        <v>13.768109809204685</v>
      </c>
      <c r="AA63" s="429">
        <v>7.1210415372057714</v>
      </c>
      <c r="AB63" s="429">
        <v>7.9633030160769085</v>
      </c>
      <c r="AC63" s="429">
        <v>4.2711278409740894</v>
      </c>
      <c r="AD63" s="429">
        <v>3.3806686546748179</v>
      </c>
      <c r="AE63" s="429">
        <v>0</v>
      </c>
      <c r="AF63" s="429">
        <v>0</v>
      </c>
      <c r="AG63" s="429">
        <v>0</v>
      </c>
      <c r="AH63" s="429">
        <v>3.1464559822248108</v>
      </c>
      <c r="AI63" s="429">
        <v>6.5984148092090296</v>
      </c>
      <c r="AJ63" s="429">
        <v>6.3067226138293719</v>
      </c>
      <c r="AK63" s="429">
        <v>7.1707644786161495</v>
      </c>
      <c r="AL63" s="429">
        <v>0</v>
      </c>
      <c r="AM63" s="429">
        <v>0</v>
      </c>
      <c r="AN63" s="429">
        <v>0</v>
      </c>
      <c r="AO63" s="432"/>
      <c r="AP63" s="428">
        <v>41794.551073495371</v>
      </c>
      <c r="AQ63" s="431">
        <v>133.4566495714902</v>
      </c>
      <c r="AR63" s="431">
        <v>176.26816406276481</v>
      </c>
      <c r="AS63" s="431">
        <v>193.42528817688472</v>
      </c>
      <c r="AT63" s="431">
        <v>210.81433136872306</v>
      </c>
      <c r="AU63" s="431">
        <v>5.6046433337647112</v>
      </c>
      <c r="AV63" s="431">
        <v>120.6253151547059</v>
      </c>
      <c r="AW63" s="431">
        <v>-8.7961839342840911</v>
      </c>
      <c r="AX63" s="431">
        <v>-50.669825746857697</v>
      </c>
      <c r="AY63" s="431">
        <v>160.68073532905626</v>
      </c>
      <c r="AZ63" s="431">
        <v>-64.955086310280848</v>
      </c>
      <c r="BA63" s="431">
        <v>89.359578635576838</v>
      </c>
      <c r="BB63" s="431">
        <v>183.76679146949212</v>
      </c>
      <c r="BC63" s="431">
        <v>132.26332509198016</v>
      </c>
      <c r="BD63" s="431">
        <v>115.77215913115802</v>
      </c>
      <c r="BE63" s="431">
        <v>368097.3466313692</v>
      </c>
      <c r="BF63" s="431">
        <v>8458.9472720537415</v>
      </c>
      <c r="BG63" s="431">
        <v>378.60843737021708</v>
      </c>
      <c r="BH63" s="431">
        <v>569663.28331698244</v>
      </c>
      <c r="BI63" s="431">
        <v>551059.36063253065</v>
      </c>
      <c r="BJ63" s="431">
        <v>-41690.837377580145</v>
      </c>
      <c r="BK63" s="431">
        <v>468049.49242071511</v>
      </c>
      <c r="BL63" s="431">
        <v>3318.729433526004</v>
      </c>
      <c r="BM63" s="431">
        <v>-251.0811338990863</v>
      </c>
      <c r="BN63" s="431">
        <v>6139.7163004449758</v>
      </c>
      <c r="BO63" s="431">
        <v>2715.3240819758212</v>
      </c>
      <c r="BP63" s="431">
        <v>-205.43001864470693</v>
      </c>
      <c r="BQ63" s="431">
        <v>2202.5558903612123</v>
      </c>
      <c r="BR63" s="431">
        <v>925.59788537032489</v>
      </c>
      <c r="BS63" s="431">
        <v>0</v>
      </c>
      <c r="BT63" s="431">
        <v>0</v>
      </c>
      <c r="BU63" s="431">
        <v>0</v>
      </c>
      <c r="BV63" s="431">
        <v>883.82018287125402</v>
      </c>
      <c r="BW63" s="431">
        <v>1432.988318528523</v>
      </c>
      <c r="BX63" s="431">
        <v>1358.0431277003529</v>
      </c>
      <c r="BY63" s="431">
        <v>1102.298706560402</v>
      </c>
      <c r="BZ63" s="431">
        <v>0</v>
      </c>
      <c r="CA63" s="431">
        <v>0</v>
      </c>
      <c r="CB63" s="431">
        <v>0</v>
      </c>
      <c r="CC63" s="432"/>
      <c r="CD63" s="428">
        <v>41794.551073379633</v>
      </c>
      <c r="CE63" s="433">
        <v>0.23759628394566742</v>
      </c>
      <c r="CF63" s="433">
        <v>0.16769792432989633</v>
      </c>
      <c r="CG63" s="433">
        <v>0.13923731496982597</v>
      </c>
      <c r="CH63" s="433">
        <v>0.14097114871113556</v>
      </c>
      <c r="CI63" s="433">
        <v>9.3511471554120679E-2</v>
      </c>
      <c r="CJ63" s="433">
        <v>0.20168320925073591</v>
      </c>
      <c r="CK63" s="433">
        <v>0.20005420011599015</v>
      </c>
      <c r="CL63" s="433">
        <v>0.2150045900352773</v>
      </c>
      <c r="CM63" s="433">
        <v>0.16961013043929046</v>
      </c>
      <c r="CN63" s="433">
        <v>0.1594153889399724</v>
      </c>
      <c r="CO63" s="433">
        <v>0.30843420591209786</v>
      </c>
      <c r="CP63" s="433">
        <v>0.25731882522665095</v>
      </c>
      <c r="CQ63" s="433">
        <v>0.29895541791566238</v>
      </c>
      <c r="CR63" s="433">
        <v>0.3372812953284029</v>
      </c>
      <c r="CS63" s="433">
        <v>0.39443520669059223</v>
      </c>
      <c r="CT63" s="433">
        <v>0.447221292916757</v>
      </c>
      <c r="CU63" s="433">
        <v>0.3622790598707698</v>
      </c>
      <c r="CV63" s="433">
        <v>0.47604249083347333</v>
      </c>
      <c r="CW63" s="433">
        <v>0.4759898508915783</v>
      </c>
      <c r="CX63" s="433">
        <v>0.4007797062399322</v>
      </c>
      <c r="CY63" s="433">
        <v>0.43383847945766757</v>
      </c>
      <c r="CZ63" s="433">
        <v>0.29816004259848461</v>
      </c>
      <c r="DA63" s="433">
        <v>0.25104840798869349</v>
      </c>
      <c r="DB63" s="433">
        <v>0.39158019166331348</v>
      </c>
      <c r="DC63" s="433">
        <v>0.29816004259848461</v>
      </c>
      <c r="DD63" s="433">
        <v>0.25104840798869349</v>
      </c>
      <c r="DE63" s="433">
        <v>0.29926769201452108</v>
      </c>
      <c r="DF63" s="433">
        <v>0.37270005324810579</v>
      </c>
      <c r="DG63" s="433">
        <v>0</v>
      </c>
      <c r="DH63" s="433">
        <v>0</v>
      </c>
      <c r="DI63" s="433">
        <v>0</v>
      </c>
      <c r="DJ63" s="433">
        <v>0.33104833187447025</v>
      </c>
      <c r="DK63" s="433">
        <v>0.30102696608500845</v>
      </c>
      <c r="DL63" s="433">
        <v>0.26738519112937981</v>
      </c>
      <c r="DM63" s="433">
        <v>0.39133505591051104</v>
      </c>
      <c r="DN63" s="433">
        <v>0</v>
      </c>
      <c r="DO63" s="433">
        <v>0</v>
      </c>
      <c r="DP63" s="433">
        <v>0</v>
      </c>
      <c r="DR63" s="409" t="s">
        <v>711</v>
      </c>
      <c r="DS63" s="409" t="s">
        <v>2347</v>
      </c>
    </row>
    <row r="64" spans="2:123" s="1471" customFormat="1">
      <c r="B64" s="428">
        <v>41794.642267708332</v>
      </c>
      <c r="C64" s="429">
        <v>1.461209340938302</v>
      </c>
      <c r="D64" s="429">
        <v>1.4724593159667367</v>
      </c>
      <c r="E64" s="429">
        <v>1.5149783293052308</v>
      </c>
      <c r="F64" s="429">
        <v>1.4638618617336916</v>
      </c>
      <c r="G64" s="429">
        <v>1.4305286409046594</v>
      </c>
      <c r="H64" s="429">
        <v>1.4668057918808504</v>
      </c>
      <c r="I64" s="429">
        <v>1.504771279044367</v>
      </c>
      <c r="J64" s="429">
        <v>1.5163554486103763</v>
      </c>
      <c r="K64" s="429">
        <v>1.3513439888063683</v>
      </c>
      <c r="L64" s="429">
        <v>1.5763830458951187</v>
      </c>
      <c r="M64" s="429">
        <v>1.8179780050022138</v>
      </c>
      <c r="N64" s="429">
        <v>1.766736721649163</v>
      </c>
      <c r="O64" s="429">
        <v>1.3753858143376723</v>
      </c>
      <c r="P64" s="429">
        <v>1.4219397215104668</v>
      </c>
      <c r="Q64" s="429">
        <v>2884.3794494964313</v>
      </c>
      <c r="R64" s="429">
        <v>13.513008208535584</v>
      </c>
      <c r="S64" s="429">
        <v>8.6416990874533877</v>
      </c>
      <c r="T64" s="429">
        <v>4526.1631985456925</v>
      </c>
      <c r="U64" s="429">
        <v>4687.5424465616752</v>
      </c>
      <c r="V64" s="429">
        <v>4861.8407269273303</v>
      </c>
      <c r="W64" s="429">
        <v>868.79670398442693</v>
      </c>
      <c r="X64" s="429">
        <v>9.2564388021195079</v>
      </c>
      <c r="Y64" s="429">
        <v>10.306142109216035</v>
      </c>
      <c r="Z64" s="429">
        <v>13.568388305583721</v>
      </c>
      <c r="AA64" s="429">
        <v>7.119514053678869</v>
      </c>
      <c r="AB64" s="429">
        <v>7.9783622140305734</v>
      </c>
      <c r="AC64" s="429">
        <v>4.2651386150273352</v>
      </c>
      <c r="AD64" s="429">
        <v>3.3801542242445661</v>
      </c>
      <c r="AE64" s="429">
        <v>0</v>
      </c>
      <c r="AF64" s="429">
        <v>0</v>
      </c>
      <c r="AG64" s="429">
        <v>0</v>
      </c>
      <c r="AH64" s="429">
        <v>3.1441766939511027</v>
      </c>
      <c r="AI64" s="429">
        <v>6.5976169276117087</v>
      </c>
      <c r="AJ64" s="429">
        <v>6.3031874377168498</v>
      </c>
      <c r="AK64" s="429">
        <v>7.1701507235412869</v>
      </c>
      <c r="AL64" s="429">
        <v>0</v>
      </c>
      <c r="AM64" s="429">
        <v>0</v>
      </c>
      <c r="AN64" s="429">
        <v>0</v>
      </c>
      <c r="AO64" s="432"/>
      <c r="AP64" s="428">
        <v>41794.642267708332</v>
      </c>
      <c r="AQ64" s="431">
        <v>133.23460010195899</v>
      </c>
      <c r="AR64" s="431">
        <v>175.96719895557675</v>
      </c>
      <c r="AS64" s="431">
        <v>192.50024868292388</v>
      </c>
      <c r="AT64" s="431">
        <v>210.15536723447059</v>
      </c>
      <c r="AU64" s="431">
        <v>5.6046433337647112</v>
      </c>
      <c r="AV64" s="431">
        <v>120.42117878976892</v>
      </c>
      <c r="AW64" s="431">
        <v>-6.9137532262521146</v>
      </c>
      <c r="AX64" s="431">
        <v>-50.669825746857697</v>
      </c>
      <c r="AY64" s="431">
        <v>159.4236947182489</v>
      </c>
      <c r="AZ64" s="431">
        <v>-69.968394380545703</v>
      </c>
      <c r="BA64" s="431">
        <v>79.897779387340677</v>
      </c>
      <c r="BB64" s="431">
        <v>166.39514404943762</v>
      </c>
      <c r="BC64" s="431">
        <v>119.71781087718982</v>
      </c>
      <c r="BD64" s="431">
        <v>110.82372872072389</v>
      </c>
      <c r="BE64" s="431">
        <v>367627.28422208509</v>
      </c>
      <c r="BF64" s="431">
        <v>8447.4216818154273</v>
      </c>
      <c r="BG64" s="431">
        <v>405.00386534415611</v>
      </c>
      <c r="BH64" s="431">
        <v>568935.82005790924</v>
      </c>
      <c r="BI64" s="431">
        <v>550134.10758983926</v>
      </c>
      <c r="BJ64" s="431">
        <v>-33846.978331489707</v>
      </c>
      <c r="BK64" s="431">
        <v>467991.36852800852</v>
      </c>
      <c r="BL64" s="431">
        <v>3313.1571400026442</v>
      </c>
      <c r="BM64" s="431">
        <v>-203.84185670250756</v>
      </c>
      <c r="BN64" s="431">
        <v>5557.3485271529753</v>
      </c>
      <c r="BO64" s="431">
        <v>2710.7649327294357</v>
      </c>
      <c r="BP64" s="431">
        <v>-166.77970093841526</v>
      </c>
      <c r="BQ64" s="431">
        <v>2185.0919111946355</v>
      </c>
      <c r="BR64" s="431">
        <v>924.06244157201638</v>
      </c>
      <c r="BS64" s="431">
        <v>0</v>
      </c>
      <c r="BT64" s="431">
        <v>0</v>
      </c>
      <c r="BU64" s="431">
        <v>0</v>
      </c>
      <c r="BV64" s="431">
        <v>877.17400800983717</v>
      </c>
      <c r="BW64" s="431">
        <v>1430.6068451973465</v>
      </c>
      <c r="BX64" s="431">
        <v>1347.7349104902953</v>
      </c>
      <c r="BY64" s="431">
        <v>1100.4668039979588</v>
      </c>
      <c r="BZ64" s="431">
        <v>0</v>
      </c>
      <c r="CA64" s="431">
        <v>0</v>
      </c>
      <c r="CB64" s="431">
        <v>0</v>
      </c>
      <c r="CC64" s="432"/>
      <c r="CD64" s="428">
        <v>41794.642267592593</v>
      </c>
      <c r="CE64" s="433">
        <v>0.23759628394566742</v>
      </c>
      <c r="CF64" s="433">
        <v>0.16769792432989633</v>
      </c>
      <c r="CG64" s="433">
        <v>0.13923731496982597</v>
      </c>
      <c r="CH64" s="433">
        <v>0.14097114871113556</v>
      </c>
      <c r="CI64" s="433">
        <v>9.3511471554120679E-2</v>
      </c>
      <c r="CJ64" s="433">
        <v>0.20168320925073591</v>
      </c>
      <c r="CK64" s="433">
        <v>0.20005420011599015</v>
      </c>
      <c r="CL64" s="433">
        <v>0.2150045900352773</v>
      </c>
      <c r="CM64" s="433">
        <v>0.16961013043929046</v>
      </c>
      <c r="CN64" s="433">
        <v>0.1594153889399724</v>
      </c>
      <c r="CO64" s="433">
        <v>0.30843420591209786</v>
      </c>
      <c r="CP64" s="433">
        <v>0.25731882522665095</v>
      </c>
      <c r="CQ64" s="433">
        <v>0.29895541791566238</v>
      </c>
      <c r="CR64" s="433">
        <v>0.3372812953284029</v>
      </c>
      <c r="CS64" s="433">
        <v>0.39443520669059223</v>
      </c>
      <c r="CT64" s="433">
        <v>0.447221292916757</v>
      </c>
      <c r="CU64" s="433">
        <v>0.3622790598707698</v>
      </c>
      <c r="CV64" s="433">
        <v>0.47604249083347333</v>
      </c>
      <c r="CW64" s="433">
        <v>0.4759898508915783</v>
      </c>
      <c r="CX64" s="433">
        <v>0.4007797062399322</v>
      </c>
      <c r="CY64" s="433">
        <v>0.43383847945766757</v>
      </c>
      <c r="CZ64" s="433">
        <v>0.29816004259848461</v>
      </c>
      <c r="DA64" s="433">
        <v>0.25104840798869349</v>
      </c>
      <c r="DB64" s="433">
        <v>0.39158019166331348</v>
      </c>
      <c r="DC64" s="433">
        <v>0.29816004259848461</v>
      </c>
      <c r="DD64" s="433">
        <v>0.25104840798869349</v>
      </c>
      <c r="DE64" s="433">
        <v>0.29926769201452108</v>
      </c>
      <c r="DF64" s="433">
        <v>0.37270005324810579</v>
      </c>
      <c r="DG64" s="433">
        <v>0</v>
      </c>
      <c r="DH64" s="433">
        <v>0</v>
      </c>
      <c r="DI64" s="433">
        <v>0</v>
      </c>
      <c r="DJ64" s="433">
        <v>0.33104833187447025</v>
      </c>
      <c r="DK64" s="433">
        <v>0.30102696608500845</v>
      </c>
      <c r="DL64" s="433">
        <v>0.26738519112937981</v>
      </c>
      <c r="DM64" s="433">
        <v>0.39133505591051104</v>
      </c>
      <c r="DN64" s="433">
        <v>0</v>
      </c>
      <c r="DO64" s="433">
        <v>0</v>
      </c>
      <c r="DP64" s="433">
        <v>0</v>
      </c>
      <c r="DR64" s="409" t="s">
        <v>711</v>
      </c>
      <c r="DS64" s="409" t="s">
        <v>2367</v>
      </c>
    </row>
    <row r="65" spans="2:123" s="1471" customFormat="1">
      <c r="B65" s="428">
        <v>41794.647975694446</v>
      </c>
      <c r="C65" s="429">
        <v>1.461209340938302</v>
      </c>
      <c r="D65" s="429">
        <v>1.4724593159667367</v>
      </c>
      <c r="E65" s="429">
        <v>1.5149783293052308</v>
      </c>
      <c r="F65" s="429">
        <v>1.4638618617336916</v>
      </c>
      <c r="G65" s="429">
        <v>1.4305286409046594</v>
      </c>
      <c r="H65" s="429">
        <v>1.4668057918808504</v>
      </c>
      <c r="I65" s="429">
        <v>1.504771279044367</v>
      </c>
      <c r="J65" s="429">
        <v>1.5163554486103763</v>
      </c>
      <c r="K65" s="429">
        <v>1.3513439888063683</v>
      </c>
      <c r="L65" s="429">
        <v>1.5763830458951187</v>
      </c>
      <c r="M65" s="429">
        <v>1.8181767723752433</v>
      </c>
      <c r="N65" s="429">
        <v>1.7671030256959757</v>
      </c>
      <c r="O65" s="429">
        <v>1.3756493624048374</v>
      </c>
      <c r="P65" s="429">
        <v>1.4220413410113535</v>
      </c>
      <c r="Q65" s="429">
        <v>2884.3794494964313</v>
      </c>
      <c r="R65" s="429">
        <v>13.513008208535584</v>
      </c>
      <c r="S65" s="429">
        <v>8.6416990874533877</v>
      </c>
      <c r="T65" s="429">
        <v>4526.1631985456925</v>
      </c>
      <c r="U65" s="429">
        <v>4687.5424465616752</v>
      </c>
      <c r="V65" s="429">
        <v>4861.8407269273303</v>
      </c>
      <c r="W65" s="429">
        <v>868.79670398442693</v>
      </c>
      <c r="X65" s="429">
        <v>9.2564388021195079</v>
      </c>
      <c r="Y65" s="429">
        <v>10.306142109216035</v>
      </c>
      <c r="Z65" s="429">
        <v>13.580622311970592</v>
      </c>
      <c r="AA65" s="429">
        <v>7.119514053678869</v>
      </c>
      <c r="AB65" s="429">
        <v>7.9783622140305734</v>
      </c>
      <c r="AC65" s="429">
        <v>4.2651386150273352</v>
      </c>
      <c r="AD65" s="429">
        <v>3.3801542242445661</v>
      </c>
      <c r="AE65" s="429">
        <v>0</v>
      </c>
      <c r="AF65" s="429">
        <v>0</v>
      </c>
      <c r="AG65" s="429">
        <v>0</v>
      </c>
      <c r="AH65" s="429">
        <v>3.1441766939511027</v>
      </c>
      <c r="AI65" s="429">
        <v>6.5976169276117087</v>
      </c>
      <c r="AJ65" s="429">
        <v>6.3031874377168498</v>
      </c>
      <c r="AK65" s="429">
        <v>7.1701507235412869</v>
      </c>
      <c r="AL65" s="429">
        <v>0</v>
      </c>
      <c r="AM65" s="429">
        <v>0</v>
      </c>
      <c r="AN65" s="429">
        <v>0</v>
      </c>
      <c r="AO65" s="432"/>
      <c r="AP65" s="428">
        <v>41794.647975694446</v>
      </c>
      <c r="AQ65" s="431">
        <v>133.23460010195899</v>
      </c>
      <c r="AR65" s="431">
        <v>175.96719895557675</v>
      </c>
      <c r="AS65" s="431">
        <v>192.50024868292388</v>
      </c>
      <c r="AT65" s="431">
        <v>210.15536723447059</v>
      </c>
      <c r="AU65" s="431">
        <v>5.6046433337647112</v>
      </c>
      <c r="AV65" s="431">
        <v>120.42117878976892</v>
      </c>
      <c r="AW65" s="431">
        <v>-6.9137532262521146</v>
      </c>
      <c r="AX65" s="431">
        <v>-50.669825746857697</v>
      </c>
      <c r="AY65" s="431">
        <v>159.4236947182489</v>
      </c>
      <c r="AZ65" s="431">
        <v>-69.968394380545703</v>
      </c>
      <c r="BA65" s="431">
        <v>84.144753514749866</v>
      </c>
      <c r="BB65" s="431">
        <v>174.22179983237285</v>
      </c>
      <c r="BC65" s="431">
        <v>125.34892530769216</v>
      </c>
      <c r="BD65" s="431">
        <v>112.99498743652023</v>
      </c>
      <c r="BE65" s="431">
        <v>367627.28422208509</v>
      </c>
      <c r="BF65" s="431">
        <v>8447.4216818154273</v>
      </c>
      <c r="BG65" s="431">
        <v>405.00386534415611</v>
      </c>
      <c r="BH65" s="431">
        <v>568935.82005790924</v>
      </c>
      <c r="BI65" s="431">
        <v>550134.10758983926</v>
      </c>
      <c r="BJ65" s="431">
        <v>-33846.978331489707</v>
      </c>
      <c r="BK65" s="431">
        <v>467991.36852800852</v>
      </c>
      <c r="BL65" s="431">
        <v>3313.1571400026442</v>
      </c>
      <c r="BM65" s="431">
        <v>-203.84185670250756</v>
      </c>
      <c r="BN65" s="431">
        <v>5818.7471048356601</v>
      </c>
      <c r="BO65" s="431">
        <v>2710.7649327294357</v>
      </c>
      <c r="BP65" s="431">
        <v>-166.77970093841526</v>
      </c>
      <c r="BQ65" s="431">
        <v>2185.0919111946355</v>
      </c>
      <c r="BR65" s="431">
        <v>924.06244157201638</v>
      </c>
      <c r="BS65" s="431">
        <v>0</v>
      </c>
      <c r="BT65" s="431">
        <v>0</v>
      </c>
      <c r="BU65" s="431">
        <v>0</v>
      </c>
      <c r="BV65" s="431">
        <v>877.17400800983717</v>
      </c>
      <c r="BW65" s="431">
        <v>1430.6068451973465</v>
      </c>
      <c r="BX65" s="431">
        <v>1347.7349104902953</v>
      </c>
      <c r="BY65" s="431">
        <v>1100.4668039979588</v>
      </c>
      <c r="BZ65" s="431">
        <v>0</v>
      </c>
      <c r="CA65" s="431">
        <v>0</v>
      </c>
      <c r="CB65" s="431">
        <v>0</v>
      </c>
      <c r="CC65" s="432"/>
      <c r="CD65" s="428">
        <v>41794.6479755787</v>
      </c>
      <c r="CE65" s="433">
        <v>0.23759628394566742</v>
      </c>
      <c r="CF65" s="433">
        <v>0.16769792432989633</v>
      </c>
      <c r="CG65" s="433">
        <v>0.13923731496982597</v>
      </c>
      <c r="CH65" s="433">
        <v>0.14097114871113556</v>
      </c>
      <c r="CI65" s="433">
        <v>9.3511471554120679E-2</v>
      </c>
      <c r="CJ65" s="433">
        <v>0.20168320925073591</v>
      </c>
      <c r="CK65" s="433">
        <v>0.20005420011599015</v>
      </c>
      <c r="CL65" s="433">
        <v>0.2150045900352773</v>
      </c>
      <c r="CM65" s="433">
        <v>0.16961013043929046</v>
      </c>
      <c r="CN65" s="433">
        <v>0.1594153889399724</v>
      </c>
      <c r="CO65" s="433">
        <v>0.30843420591209786</v>
      </c>
      <c r="CP65" s="433">
        <v>0.25731882522665095</v>
      </c>
      <c r="CQ65" s="433">
        <v>0.29895541791566238</v>
      </c>
      <c r="CR65" s="433">
        <v>0.3372812953284029</v>
      </c>
      <c r="CS65" s="433">
        <v>0.39443520669059223</v>
      </c>
      <c r="CT65" s="433">
        <v>0.447221292916757</v>
      </c>
      <c r="CU65" s="433">
        <v>0.3622790598707698</v>
      </c>
      <c r="CV65" s="433">
        <v>0.47604249083347333</v>
      </c>
      <c r="CW65" s="433">
        <v>0.4759898508915783</v>
      </c>
      <c r="CX65" s="433">
        <v>0.4007797062399322</v>
      </c>
      <c r="CY65" s="433">
        <v>0.43383847945766757</v>
      </c>
      <c r="CZ65" s="433">
        <v>0.29816004259848461</v>
      </c>
      <c r="DA65" s="433">
        <v>0.25104840798869349</v>
      </c>
      <c r="DB65" s="433">
        <v>0.39158019166331348</v>
      </c>
      <c r="DC65" s="433">
        <v>0.29816004259848461</v>
      </c>
      <c r="DD65" s="433">
        <v>0.25104840798869349</v>
      </c>
      <c r="DE65" s="433">
        <v>0.29926769201452108</v>
      </c>
      <c r="DF65" s="433">
        <v>0.37270005324810579</v>
      </c>
      <c r="DG65" s="433">
        <v>0</v>
      </c>
      <c r="DH65" s="433">
        <v>0</v>
      </c>
      <c r="DI65" s="433">
        <v>0</v>
      </c>
      <c r="DJ65" s="433">
        <v>0.33104833187447025</v>
      </c>
      <c r="DK65" s="433">
        <v>0.30102696608500845</v>
      </c>
      <c r="DL65" s="433">
        <v>0.26738519112937981</v>
      </c>
      <c r="DM65" s="433">
        <v>0.39133505591051104</v>
      </c>
      <c r="DN65" s="433">
        <v>0</v>
      </c>
      <c r="DO65" s="433">
        <v>0</v>
      </c>
      <c r="DP65" s="433">
        <v>0</v>
      </c>
      <c r="DR65" s="409" t="s">
        <v>711</v>
      </c>
      <c r="DS65" s="409" t="s">
        <v>2371</v>
      </c>
    </row>
    <row r="66" spans="2:123" s="1471" customFormat="1">
      <c r="B66" s="428">
        <v>41794.651397337962</v>
      </c>
      <c r="C66" s="429">
        <v>1.461209340938302</v>
      </c>
      <c r="D66" s="429">
        <v>1.4724593159667367</v>
      </c>
      <c r="E66" s="429">
        <v>1.5163587531279294</v>
      </c>
      <c r="F66" s="429">
        <v>1.4634261629551228</v>
      </c>
      <c r="G66" s="429">
        <v>1.4278796154742759</v>
      </c>
      <c r="H66" s="429">
        <v>1.4670127223937897</v>
      </c>
      <c r="I66" s="429">
        <v>1.5030802986743375</v>
      </c>
      <c r="J66" s="429">
        <v>1.5138450023954608</v>
      </c>
      <c r="K66" s="429">
        <v>1.3513439888063683</v>
      </c>
      <c r="L66" s="429">
        <v>1.57707284334984</v>
      </c>
      <c r="M66" s="429">
        <v>1.817671685709447</v>
      </c>
      <c r="N66" s="429">
        <v>1.7671030256959757</v>
      </c>
      <c r="O66" s="429">
        <v>1.3756493624048374</v>
      </c>
      <c r="P66" s="429">
        <v>1.4220413410113535</v>
      </c>
      <c r="Q66" s="429">
        <v>2884.3794494964313</v>
      </c>
      <c r="R66" s="429">
        <v>13.513008208535584</v>
      </c>
      <c r="S66" s="429">
        <v>8.551395159247944</v>
      </c>
      <c r="T66" s="429">
        <v>4526.1631985456925</v>
      </c>
      <c r="U66" s="429">
        <v>4687.5424465616752</v>
      </c>
      <c r="V66" s="429">
        <v>4854.7946180768822</v>
      </c>
      <c r="W66" s="429">
        <v>868.79670398442693</v>
      </c>
      <c r="X66" s="429">
        <v>9.2564388021195079</v>
      </c>
      <c r="Y66" s="429">
        <v>10.263707245561843</v>
      </c>
      <c r="Z66" s="429">
        <v>13.580622311970592</v>
      </c>
      <c r="AA66" s="429">
        <v>7.119514053678869</v>
      </c>
      <c r="AB66" s="429">
        <v>7.9436427801316896</v>
      </c>
      <c r="AC66" s="429">
        <v>4.2651386150273352</v>
      </c>
      <c r="AD66" s="429">
        <v>3.3801542242445661</v>
      </c>
      <c r="AE66" s="429">
        <v>0</v>
      </c>
      <c r="AF66" s="429">
        <v>0</v>
      </c>
      <c r="AG66" s="429">
        <v>0</v>
      </c>
      <c r="AH66" s="429">
        <v>3.1441766939511027</v>
      </c>
      <c r="AI66" s="429">
        <v>6.5976169276117087</v>
      </c>
      <c r="AJ66" s="429">
        <v>6.3031874377168498</v>
      </c>
      <c r="AK66" s="429">
        <v>7.1701507235412869</v>
      </c>
      <c r="AL66" s="429">
        <v>0</v>
      </c>
      <c r="AM66" s="429">
        <v>0</v>
      </c>
      <c r="AN66" s="429">
        <v>0</v>
      </c>
      <c r="AO66" s="432"/>
      <c r="AP66" s="428">
        <v>41794.651397337962</v>
      </c>
      <c r="AQ66" s="431">
        <v>133.23460010195899</v>
      </c>
      <c r="AR66" s="431">
        <v>175.96719895557675</v>
      </c>
      <c r="AS66" s="431">
        <v>182.32566870309211</v>
      </c>
      <c r="AT66" s="431">
        <v>213.36673753739595</v>
      </c>
      <c r="AU66" s="431">
        <v>25.129604194955956</v>
      </c>
      <c r="AV66" s="431">
        <v>118.89597253097629</v>
      </c>
      <c r="AW66" s="431">
        <v>5.5498211748023536</v>
      </c>
      <c r="AX66" s="431">
        <v>-32.166279677368067</v>
      </c>
      <c r="AY66" s="431">
        <v>159.4236947182489</v>
      </c>
      <c r="AZ66" s="431">
        <v>-75.05262956798768</v>
      </c>
      <c r="BA66" s="431">
        <v>87.867555594363481</v>
      </c>
      <c r="BB66" s="431">
        <v>174.22179983237285</v>
      </c>
      <c r="BC66" s="431">
        <v>125.34892530769216</v>
      </c>
      <c r="BD66" s="431">
        <v>112.99498743652023</v>
      </c>
      <c r="BE66" s="431">
        <v>367627.28422208509</v>
      </c>
      <c r="BF66" s="431">
        <v>8447.4216818154273</v>
      </c>
      <c r="BG66" s="431">
        <v>1070.5998402260718</v>
      </c>
      <c r="BH66" s="431">
        <v>568935.82005790924</v>
      </c>
      <c r="BI66" s="431">
        <v>550134.10758983926</v>
      </c>
      <c r="BJ66" s="431">
        <v>18087.215259381013</v>
      </c>
      <c r="BK66" s="431">
        <v>467991.36852800852</v>
      </c>
      <c r="BL66" s="431">
        <v>3313.1571400026442</v>
      </c>
      <c r="BM66" s="431">
        <v>108.92941476019438</v>
      </c>
      <c r="BN66" s="431">
        <v>5818.7471048356601</v>
      </c>
      <c r="BO66" s="431">
        <v>2710.7649327294357</v>
      </c>
      <c r="BP66" s="431">
        <v>89.124066621977207</v>
      </c>
      <c r="BQ66" s="431">
        <v>2185.0919111946355</v>
      </c>
      <c r="BR66" s="431">
        <v>924.06244157201638</v>
      </c>
      <c r="BS66" s="431">
        <v>0</v>
      </c>
      <c r="BT66" s="431">
        <v>0</v>
      </c>
      <c r="BU66" s="431">
        <v>0</v>
      </c>
      <c r="BV66" s="431">
        <v>877.17400800983717</v>
      </c>
      <c r="BW66" s="431">
        <v>1430.6068451973465</v>
      </c>
      <c r="BX66" s="431">
        <v>1347.7349104902953</v>
      </c>
      <c r="BY66" s="431">
        <v>1100.4668039979588</v>
      </c>
      <c r="BZ66" s="431">
        <v>0</v>
      </c>
      <c r="CA66" s="431">
        <v>0</v>
      </c>
      <c r="CB66" s="431">
        <v>0</v>
      </c>
      <c r="CC66" s="432"/>
      <c r="CD66" s="428">
        <v>41794.651397222224</v>
      </c>
      <c r="CE66" s="433">
        <v>0.23759628394566742</v>
      </c>
      <c r="CF66" s="433">
        <v>0.16769792432989633</v>
      </c>
      <c r="CG66" s="433">
        <v>0.13923731496982597</v>
      </c>
      <c r="CH66" s="433">
        <v>0.14097114871113556</v>
      </c>
      <c r="CI66" s="433">
        <v>9.3511471554120679E-2</v>
      </c>
      <c r="CJ66" s="433">
        <v>0.20168320925073591</v>
      </c>
      <c r="CK66" s="433">
        <v>0.20005420011599015</v>
      </c>
      <c r="CL66" s="433">
        <v>0.2150045900352773</v>
      </c>
      <c r="CM66" s="433">
        <v>0.16961013043929046</v>
      </c>
      <c r="CN66" s="433">
        <v>0.1594153889399724</v>
      </c>
      <c r="CO66" s="433">
        <v>0.30843420591209786</v>
      </c>
      <c r="CP66" s="433">
        <v>0.25731882522665095</v>
      </c>
      <c r="CQ66" s="433">
        <v>0.29895541791566238</v>
      </c>
      <c r="CR66" s="433">
        <v>0.3372812953284029</v>
      </c>
      <c r="CS66" s="433">
        <v>0.39443520669059223</v>
      </c>
      <c r="CT66" s="433">
        <v>0.447221292916757</v>
      </c>
      <c r="CU66" s="433">
        <v>0.3622790598707698</v>
      </c>
      <c r="CV66" s="433">
        <v>0.47604249083347333</v>
      </c>
      <c r="CW66" s="433">
        <v>0.4759898508915783</v>
      </c>
      <c r="CX66" s="433">
        <v>0.4007797062399322</v>
      </c>
      <c r="CY66" s="433">
        <v>0.43383847945766757</v>
      </c>
      <c r="CZ66" s="433">
        <v>0.29816004259848461</v>
      </c>
      <c r="DA66" s="433">
        <v>0.25104840798869349</v>
      </c>
      <c r="DB66" s="433">
        <v>0.39158019166331348</v>
      </c>
      <c r="DC66" s="433">
        <v>0.29816004259848461</v>
      </c>
      <c r="DD66" s="433">
        <v>0.25104840798869349</v>
      </c>
      <c r="DE66" s="433">
        <v>0.29926769201452108</v>
      </c>
      <c r="DF66" s="433">
        <v>0.37270005324810579</v>
      </c>
      <c r="DG66" s="433">
        <v>0</v>
      </c>
      <c r="DH66" s="433">
        <v>0</v>
      </c>
      <c r="DI66" s="433">
        <v>0</v>
      </c>
      <c r="DJ66" s="433">
        <v>0.33104833187447025</v>
      </c>
      <c r="DK66" s="433">
        <v>0.30102696608500845</v>
      </c>
      <c r="DL66" s="433">
        <v>0.26738519112937981</v>
      </c>
      <c r="DM66" s="433">
        <v>0.39133505591051104</v>
      </c>
      <c r="DN66" s="433">
        <v>0</v>
      </c>
      <c r="DO66" s="433">
        <v>0</v>
      </c>
      <c r="DP66" s="433">
        <v>0</v>
      </c>
      <c r="DR66" s="409" t="s">
        <v>711</v>
      </c>
      <c r="DS66" s="409" t="s">
        <v>2375</v>
      </c>
    </row>
    <row r="67" spans="2:123" s="1471" customFormat="1">
      <c r="B67" s="428">
        <v>41794.662423495371</v>
      </c>
      <c r="C67" s="429">
        <v>1.461209340938302</v>
      </c>
      <c r="D67" s="429">
        <v>1.4724593159667367</v>
      </c>
      <c r="E67" s="429">
        <v>1.5139494131224551</v>
      </c>
      <c r="F67" s="429">
        <v>1.4634261629551228</v>
      </c>
      <c r="G67" s="429">
        <v>1.4278796154742759</v>
      </c>
      <c r="H67" s="429">
        <v>1.4667438108618625</v>
      </c>
      <c r="I67" s="429">
        <v>1.5030802986743375</v>
      </c>
      <c r="J67" s="429">
        <v>1.5138450023954608</v>
      </c>
      <c r="K67" s="429">
        <v>1.3513439888063683</v>
      </c>
      <c r="L67" s="429">
        <v>1.57707284334984</v>
      </c>
      <c r="M67" s="429">
        <v>1.817671685709447</v>
      </c>
      <c r="N67" s="429">
        <v>1.7671030256959757</v>
      </c>
      <c r="O67" s="429">
        <v>1.3756493624048374</v>
      </c>
      <c r="P67" s="429">
        <v>1.4220413410113535</v>
      </c>
      <c r="Q67" s="429">
        <v>2884.3794494964313</v>
      </c>
      <c r="R67" s="429">
        <v>13.513008208535584</v>
      </c>
      <c r="S67" s="429">
        <v>8.551395159247944</v>
      </c>
      <c r="T67" s="429">
        <v>4526.1631985456925</v>
      </c>
      <c r="U67" s="429">
        <v>4687.5424465616752</v>
      </c>
      <c r="V67" s="429">
        <v>4854.7946180768822</v>
      </c>
      <c r="W67" s="429">
        <v>868.79670398442693</v>
      </c>
      <c r="X67" s="429">
        <v>9.2564388021195079</v>
      </c>
      <c r="Y67" s="429">
        <v>10.263707245561843</v>
      </c>
      <c r="Z67" s="429">
        <v>13.580622311970592</v>
      </c>
      <c r="AA67" s="429">
        <v>7.119514053678869</v>
      </c>
      <c r="AB67" s="429">
        <v>7.9436427801316896</v>
      </c>
      <c r="AC67" s="429">
        <v>4.2651386150273352</v>
      </c>
      <c r="AD67" s="429">
        <v>3.3801542242445661</v>
      </c>
      <c r="AE67" s="429">
        <v>0</v>
      </c>
      <c r="AF67" s="429">
        <v>0</v>
      </c>
      <c r="AG67" s="429">
        <v>0</v>
      </c>
      <c r="AH67" s="429">
        <v>3.1441766939511027</v>
      </c>
      <c r="AI67" s="429">
        <v>6.5976169276117087</v>
      </c>
      <c r="AJ67" s="429">
        <v>6.3031874377168498</v>
      </c>
      <c r="AK67" s="429">
        <v>7.1701507235412869</v>
      </c>
      <c r="AL67" s="429">
        <v>0</v>
      </c>
      <c r="AM67" s="429">
        <v>0</v>
      </c>
      <c r="AN67" s="429">
        <v>0</v>
      </c>
      <c r="AO67" s="432"/>
      <c r="AP67" s="428">
        <v>41794.662423495371</v>
      </c>
      <c r="AQ67" s="431">
        <v>133.23460010195899</v>
      </c>
      <c r="AR67" s="431">
        <v>175.96719895557675</v>
      </c>
      <c r="AS67" s="431">
        <v>130.84637151547258</v>
      </c>
      <c r="AT67" s="431">
        <v>213.36673753739595</v>
      </c>
      <c r="AU67" s="431">
        <v>25.129604194955956</v>
      </c>
      <c r="AV67" s="431">
        <v>113.15025933242427</v>
      </c>
      <c r="AW67" s="431">
        <v>5.5498211748023536</v>
      </c>
      <c r="AX67" s="431">
        <v>-32.166279677368067</v>
      </c>
      <c r="AY67" s="431">
        <v>159.4236947182489</v>
      </c>
      <c r="AZ67" s="431">
        <v>-75.05262956798768</v>
      </c>
      <c r="BA67" s="431">
        <v>87.867555594363481</v>
      </c>
      <c r="BB67" s="431">
        <v>174.22179983237285</v>
      </c>
      <c r="BC67" s="431">
        <v>125.34892530769216</v>
      </c>
      <c r="BD67" s="431">
        <v>112.99498743652023</v>
      </c>
      <c r="BE67" s="431">
        <v>367627.28422208509</v>
      </c>
      <c r="BF67" s="431">
        <v>8447.4216818154273</v>
      </c>
      <c r="BG67" s="431">
        <v>1070.5998402260718</v>
      </c>
      <c r="BH67" s="431">
        <v>568935.82005790924</v>
      </c>
      <c r="BI67" s="431">
        <v>550134.10758983926</v>
      </c>
      <c r="BJ67" s="431">
        <v>18087.215259381013</v>
      </c>
      <c r="BK67" s="431">
        <v>467991.36852800852</v>
      </c>
      <c r="BL67" s="431">
        <v>3313.1571400026442</v>
      </c>
      <c r="BM67" s="431">
        <v>108.92941476019438</v>
      </c>
      <c r="BN67" s="431">
        <v>5818.7471048356601</v>
      </c>
      <c r="BO67" s="431">
        <v>2710.7649327294357</v>
      </c>
      <c r="BP67" s="431">
        <v>89.124066621977207</v>
      </c>
      <c r="BQ67" s="431">
        <v>2185.0919111946355</v>
      </c>
      <c r="BR67" s="431">
        <v>924.06244157201638</v>
      </c>
      <c r="BS67" s="431">
        <v>0</v>
      </c>
      <c r="BT67" s="431">
        <v>0</v>
      </c>
      <c r="BU67" s="431">
        <v>0</v>
      </c>
      <c r="BV67" s="431">
        <v>877.17400800983717</v>
      </c>
      <c r="BW67" s="431">
        <v>1430.6068451973465</v>
      </c>
      <c r="BX67" s="431">
        <v>1347.7349104902953</v>
      </c>
      <c r="BY67" s="431">
        <v>1100.4668039979588</v>
      </c>
      <c r="BZ67" s="431">
        <v>0</v>
      </c>
      <c r="CA67" s="431">
        <v>0</v>
      </c>
      <c r="CB67" s="431">
        <v>0</v>
      </c>
      <c r="CC67" s="432"/>
      <c r="CD67" s="428">
        <v>41794.662423495371</v>
      </c>
      <c r="CE67" s="433">
        <v>0.23759628394566742</v>
      </c>
      <c r="CF67" s="433">
        <v>0.16769792432989633</v>
      </c>
      <c r="CG67" s="433">
        <v>0.13923731496982597</v>
      </c>
      <c r="CH67" s="433">
        <v>0.14097114871113556</v>
      </c>
      <c r="CI67" s="433">
        <v>9.3511471554120679E-2</v>
      </c>
      <c r="CJ67" s="433">
        <v>0.20168320925073591</v>
      </c>
      <c r="CK67" s="433">
        <v>0.20005420011599015</v>
      </c>
      <c r="CL67" s="433">
        <v>0.2150045900352773</v>
      </c>
      <c r="CM67" s="433">
        <v>0.16961013043929046</v>
      </c>
      <c r="CN67" s="433">
        <v>0.1594153889399724</v>
      </c>
      <c r="CO67" s="433">
        <v>0.30843420591209786</v>
      </c>
      <c r="CP67" s="433">
        <v>0.25731882522665095</v>
      </c>
      <c r="CQ67" s="433">
        <v>0.29895541791566238</v>
      </c>
      <c r="CR67" s="433">
        <v>0.3372812953284029</v>
      </c>
      <c r="CS67" s="433">
        <v>0.39443520669059223</v>
      </c>
      <c r="CT67" s="433">
        <v>0.447221292916757</v>
      </c>
      <c r="CU67" s="433">
        <v>0.3622790598707698</v>
      </c>
      <c r="CV67" s="433">
        <v>0.47604249083347333</v>
      </c>
      <c r="CW67" s="433">
        <v>0.4759898508915783</v>
      </c>
      <c r="CX67" s="433">
        <v>0.4007797062399322</v>
      </c>
      <c r="CY67" s="433">
        <v>0.43383847945766757</v>
      </c>
      <c r="CZ67" s="433">
        <v>0.29816004259848461</v>
      </c>
      <c r="DA67" s="433">
        <v>0.25104840798869349</v>
      </c>
      <c r="DB67" s="433">
        <v>0.39158019166331348</v>
      </c>
      <c r="DC67" s="433">
        <v>0.29816004259848461</v>
      </c>
      <c r="DD67" s="433">
        <v>0.25104840798869349</v>
      </c>
      <c r="DE67" s="433">
        <v>0.29926769201452108</v>
      </c>
      <c r="DF67" s="433">
        <v>0.37270005324810579</v>
      </c>
      <c r="DG67" s="433">
        <v>0</v>
      </c>
      <c r="DH67" s="433">
        <v>0</v>
      </c>
      <c r="DI67" s="433">
        <v>0</v>
      </c>
      <c r="DJ67" s="433">
        <v>0.33104833187447025</v>
      </c>
      <c r="DK67" s="433">
        <v>0.30102696608500845</v>
      </c>
      <c r="DL67" s="433">
        <v>0.26738519112937981</v>
      </c>
      <c r="DM67" s="433">
        <v>0.39133505591051104</v>
      </c>
      <c r="DN67" s="433">
        <v>0</v>
      </c>
      <c r="DO67" s="433">
        <v>0</v>
      </c>
      <c r="DP67" s="433">
        <v>0</v>
      </c>
      <c r="DR67" s="409" t="s">
        <v>711</v>
      </c>
      <c r="DS67" s="409" t="s">
        <v>2376</v>
      </c>
    </row>
    <row r="68" spans="2:123" s="1471" customFormat="1">
      <c r="B68" s="428">
        <v>41794.886455902779</v>
      </c>
      <c r="C68" s="429">
        <v>1.461209340938302</v>
      </c>
      <c r="D68" s="429">
        <v>1.4724593159667367</v>
      </c>
      <c r="E68" s="429">
        <v>1.5139494131224551</v>
      </c>
      <c r="F68" s="429">
        <v>1.4634261629551228</v>
      </c>
      <c r="G68" s="429">
        <v>1.4278796154742759</v>
      </c>
      <c r="H68" s="429">
        <v>1.4667438108618625</v>
      </c>
      <c r="I68" s="429">
        <v>1.5030802986743375</v>
      </c>
      <c r="J68" s="429">
        <v>1.5138450023954608</v>
      </c>
      <c r="K68" s="429">
        <v>1.3513439888063683</v>
      </c>
      <c r="L68" s="429">
        <v>1.57707284334984</v>
      </c>
      <c r="M68" s="429">
        <v>1.817671685709447</v>
      </c>
      <c r="N68" s="429">
        <v>1.7671030256959757</v>
      </c>
      <c r="O68" s="429">
        <v>1.3756493624048374</v>
      </c>
      <c r="P68" s="429">
        <v>1.4220413410113535</v>
      </c>
      <c r="Q68" s="429">
        <v>2884.3794494964313</v>
      </c>
      <c r="R68" s="429">
        <v>13.513008208535584</v>
      </c>
      <c r="S68" s="429">
        <v>21.773299405919403</v>
      </c>
      <c r="T68" s="429">
        <v>4526.1631985456925</v>
      </c>
      <c r="U68" s="429">
        <v>4687.5424465616752</v>
      </c>
      <c r="V68" s="429">
        <v>4854.7946180768822</v>
      </c>
      <c r="W68" s="429">
        <v>868.79670398442693</v>
      </c>
      <c r="X68" s="429">
        <v>9.2564388021195079</v>
      </c>
      <c r="Y68" s="429">
        <v>10.263707245561843</v>
      </c>
      <c r="Z68" s="429">
        <v>13.580622311970592</v>
      </c>
      <c r="AA68" s="429">
        <v>7.119514053678869</v>
      </c>
      <c r="AB68" s="429">
        <v>7.9436427801316896</v>
      </c>
      <c r="AC68" s="429">
        <v>4.2651386150273352</v>
      </c>
      <c r="AD68" s="429">
        <v>3.3801542242445661</v>
      </c>
      <c r="AE68" s="429">
        <v>0</v>
      </c>
      <c r="AF68" s="429">
        <v>0</v>
      </c>
      <c r="AG68" s="429">
        <v>0</v>
      </c>
      <c r="AH68" s="429">
        <v>3.1441766939511027</v>
      </c>
      <c r="AI68" s="429">
        <v>6.5976169276117087</v>
      </c>
      <c r="AJ68" s="429">
        <v>6.3031874377168498</v>
      </c>
      <c r="AK68" s="429">
        <v>7.1701507235412869</v>
      </c>
      <c r="AL68" s="429">
        <v>0</v>
      </c>
      <c r="AM68" s="429">
        <v>0</v>
      </c>
      <c r="AN68" s="429">
        <v>0</v>
      </c>
      <c r="AO68" s="432"/>
      <c r="AP68" s="428">
        <v>41794.886455902779</v>
      </c>
      <c r="AQ68" s="431">
        <v>133.23460010195899</v>
      </c>
      <c r="AR68" s="431">
        <v>175.96719895557675</v>
      </c>
      <c r="AS68" s="431">
        <v>130.84637151547258</v>
      </c>
      <c r="AT68" s="431">
        <v>213.36673753739595</v>
      </c>
      <c r="AU68" s="431">
        <v>25.129604194955956</v>
      </c>
      <c r="AV68" s="431">
        <v>113.15025933242427</v>
      </c>
      <c r="AW68" s="431">
        <v>5.5498211748023536</v>
      </c>
      <c r="AX68" s="431">
        <v>-32.166279677368067</v>
      </c>
      <c r="AY68" s="431">
        <v>159.4236947182489</v>
      </c>
      <c r="AZ68" s="431">
        <v>-75.05262956798768</v>
      </c>
      <c r="BA68" s="431">
        <v>87.867555594363481</v>
      </c>
      <c r="BB68" s="431">
        <v>174.22179983237285</v>
      </c>
      <c r="BC68" s="431">
        <v>125.34892530769216</v>
      </c>
      <c r="BD68" s="431">
        <v>112.99498743652023</v>
      </c>
      <c r="BE68" s="431">
        <v>367627.28422208509</v>
      </c>
      <c r="BF68" s="431">
        <v>8447.4216818154273</v>
      </c>
      <c r="BG68" s="431">
        <v>1737.2413080259669</v>
      </c>
      <c r="BH68" s="431">
        <v>568935.82005790924</v>
      </c>
      <c r="BI68" s="431">
        <v>550134.10758983926</v>
      </c>
      <c r="BJ68" s="431">
        <v>18087.215259381013</v>
      </c>
      <c r="BK68" s="431">
        <v>467991.36852800852</v>
      </c>
      <c r="BL68" s="431">
        <v>3313.1571400026442</v>
      </c>
      <c r="BM68" s="431">
        <v>108.92941476019438</v>
      </c>
      <c r="BN68" s="431">
        <v>5818.7471048356601</v>
      </c>
      <c r="BO68" s="431">
        <v>2710.7649327294357</v>
      </c>
      <c r="BP68" s="431">
        <v>89.124066621977207</v>
      </c>
      <c r="BQ68" s="431">
        <v>2185.0919111946355</v>
      </c>
      <c r="BR68" s="431">
        <v>924.06244157201638</v>
      </c>
      <c r="BS68" s="431">
        <v>0</v>
      </c>
      <c r="BT68" s="431">
        <v>0</v>
      </c>
      <c r="BU68" s="431">
        <v>0</v>
      </c>
      <c r="BV68" s="431">
        <v>877.17400800983717</v>
      </c>
      <c r="BW68" s="431">
        <v>1430.6068451973465</v>
      </c>
      <c r="BX68" s="431">
        <v>1347.7349104902953</v>
      </c>
      <c r="BY68" s="431">
        <v>1100.4668039979588</v>
      </c>
      <c r="BZ68" s="431">
        <v>0</v>
      </c>
      <c r="CA68" s="431">
        <v>0</v>
      </c>
      <c r="CB68" s="431">
        <v>0</v>
      </c>
      <c r="CC68" s="432"/>
      <c r="CD68" s="428">
        <v>41794.88645578704</v>
      </c>
      <c r="CE68" s="433">
        <v>0.23759628394566742</v>
      </c>
      <c r="CF68" s="433">
        <v>0.16769792432989633</v>
      </c>
      <c r="CG68" s="433">
        <v>0.13923731496982597</v>
      </c>
      <c r="CH68" s="433">
        <v>0.14097114871113556</v>
      </c>
      <c r="CI68" s="433">
        <v>9.3511471554120679E-2</v>
      </c>
      <c r="CJ68" s="433">
        <v>0.20168320925073591</v>
      </c>
      <c r="CK68" s="433">
        <v>0.20005420011599015</v>
      </c>
      <c r="CL68" s="433">
        <v>0.2150045900352773</v>
      </c>
      <c r="CM68" s="433">
        <v>0.16961013043929046</v>
      </c>
      <c r="CN68" s="433">
        <v>0.1594153889399724</v>
      </c>
      <c r="CO68" s="433">
        <v>0.30843420591209786</v>
      </c>
      <c r="CP68" s="433">
        <v>0.25731882522665095</v>
      </c>
      <c r="CQ68" s="433">
        <v>0.29895541791566238</v>
      </c>
      <c r="CR68" s="433">
        <v>0.3372812953284029</v>
      </c>
      <c r="CS68" s="433">
        <v>0.39443520669059223</v>
      </c>
      <c r="CT68" s="433">
        <v>0.447221292916757</v>
      </c>
      <c r="CU68" s="433">
        <v>0.3622790598707698</v>
      </c>
      <c r="CV68" s="433">
        <v>0.47604249083347333</v>
      </c>
      <c r="CW68" s="433">
        <v>0.4759898508915783</v>
      </c>
      <c r="CX68" s="433">
        <v>0.4007797062399322</v>
      </c>
      <c r="CY68" s="433">
        <v>0.43383847945766757</v>
      </c>
      <c r="CZ68" s="433">
        <v>0.29816004259848461</v>
      </c>
      <c r="DA68" s="433">
        <v>0.25104840798869349</v>
      </c>
      <c r="DB68" s="433">
        <v>0.39158019166331348</v>
      </c>
      <c r="DC68" s="433">
        <v>0.29816004259848461</v>
      </c>
      <c r="DD68" s="433">
        <v>0.25104840798869349</v>
      </c>
      <c r="DE68" s="433">
        <v>0.29926769201452108</v>
      </c>
      <c r="DF68" s="433">
        <v>0.37270005324810579</v>
      </c>
      <c r="DG68" s="433">
        <v>0</v>
      </c>
      <c r="DH68" s="433">
        <v>0</v>
      </c>
      <c r="DI68" s="433">
        <v>0</v>
      </c>
      <c r="DJ68" s="433">
        <v>0.33104833187447025</v>
      </c>
      <c r="DK68" s="433">
        <v>0.30102696608500845</v>
      </c>
      <c r="DL68" s="433">
        <v>0.26738519112937981</v>
      </c>
      <c r="DM68" s="433">
        <v>0.39133505591051104</v>
      </c>
      <c r="DN68" s="433">
        <v>0</v>
      </c>
      <c r="DO68" s="433">
        <v>0</v>
      </c>
      <c r="DP68" s="433">
        <v>0</v>
      </c>
      <c r="DR68" s="409" t="s">
        <v>2011</v>
      </c>
      <c r="DS68" s="409" t="s">
        <v>2379</v>
      </c>
    </row>
    <row r="69" spans="2:123" s="1471" customFormat="1">
      <c r="B69" s="428">
        <v>41794.965696296298</v>
      </c>
      <c r="C69" s="429">
        <v>1.461037935176611</v>
      </c>
      <c r="D69" s="429">
        <v>1.4724593159667367</v>
      </c>
      <c r="E69" s="429">
        <v>1.5139494131224551</v>
      </c>
      <c r="F69" s="429">
        <v>1.4634261629551228</v>
      </c>
      <c r="G69" s="429">
        <v>1.4278796154742759</v>
      </c>
      <c r="H69" s="429">
        <v>1.4665433265343193</v>
      </c>
      <c r="I69" s="429">
        <v>1.502993548948915</v>
      </c>
      <c r="J69" s="429">
        <v>1.5137801072154411</v>
      </c>
      <c r="K69" s="429">
        <v>1.3513439888063683</v>
      </c>
      <c r="L69" s="429">
        <v>1.57707284334984</v>
      </c>
      <c r="M69" s="429">
        <v>1.802084881341008</v>
      </c>
      <c r="N69" s="429">
        <v>1.768248565337583</v>
      </c>
      <c r="O69" s="429">
        <v>1.3614819970754357</v>
      </c>
      <c r="P69" s="429">
        <v>1.4328961345883269</v>
      </c>
      <c r="Q69" s="429">
        <v>2884.3794494964313</v>
      </c>
      <c r="R69" s="429">
        <v>13.513008208535584</v>
      </c>
      <c r="S69" s="429">
        <v>21.773299405919403</v>
      </c>
      <c r="T69" s="429">
        <v>4526.1631985456925</v>
      </c>
      <c r="U69" s="429">
        <v>4687.5424465616752</v>
      </c>
      <c r="V69" s="429">
        <v>4854.7946180768822</v>
      </c>
      <c r="W69" s="429">
        <v>868.79670398442693</v>
      </c>
      <c r="X69" s="429">
        <v>9.2564388021195079</v>
      </c>
      <c r="Y69" s="429">
        <v>10.263707245561843</v>
      </c>
      <c r="Z69" s="429">
        <v>13.580622311970592</v>
      </c>
      <c r="AA69" s="429">
        <v>7.119514053678869</v>
      </c>
      <c r="AB69" s="429">
        <v>7.9436427801316896</v>
      </c>
      <c r="AC69" s="429">
        <v>4.2651386150273352</v>
      </c>
      <c r="AD69" s="429">
        <v>3.3801542242445661</v>
      </c>
      <c r="AE69" s="429">
        <v>0</v>
      </c>
      <c r="AF69" s="429">
        <v>0</v>
      </c>
      <c r="AG69" s="429">
        <v>0</v>
      </c>
      <c r="AH69" s="429">
        <v>3.1441766939511027</v>
      </c>
      <c r="AI69" s="429">
        <v>6.5976169276117087</v>
      </c>
      <c r="AJ69" s="429">
        <v>6.3031874377168498</v>
      </c>
      <c r="AK69" s="429">
        <v>7.1701507235412869</v>
      </c>
      <c r="AL69" s="429">
        <v>0</v>
      </c>
      <c r="AM69" s="429">
        <v>0</v>
      </c>
      <c r="AN69" s="429">
        <v>0</v>
      </c>
      <c r="AO69" s="432"/>
      <c r="AP69" s="428">
        <v>41794.965696296298</v>
      </c>
      <c r="AQ69" s="431">
        <v>132.21754208591349</v>
      </c>
      <c r="AR69" s="431">
        <v>175.96719895557675</v>
      </c>
      <c r="AS69" s="431">
        <v>130.84637151547258</v>
      </c>
      <c r="AT69" s="431">
        <v>213.36673753739595</v>
      </c>
      <c r="AU69" s="431">
        <v>25.129604194955956</v>
      </c>
      <c r="AV69" s="431">
        <v>112.28651689477218</v>
      </c>
      <c r="AW69" s="431">
        <v>5.5074561276664582</v>
      </c>
      <c r="AX69" s="431">
        <v>-31.920735557693497</v>
      </c>
      <c r="AY69" s="431">
        <v>159.4236947182489</v>
      </c>
      <c r="AZ69" s="431">
        <v>-75.05262956798768</v>
      </c>
      <c r="BA69" s="431">
        <v>67.627734368887062</v>
      </c>
      <c r="BB69" s="431">
        <v>154.39344958165967</v>
      </c>
      <c r="BC69" s="431">
        <v>98.445187715772022</v>
      </c>
      <c r="BD69" s="431">
        <v>223.85372183717683</v>
      </c>
      <c r="BE69" s="431">
        <v>367627.28422208509</v>
      </c>
      <c r="BF69" s="431">
        <v>8447.4216818154273</v>
      </c>
      <c r="BG69" s="431">
        <v>1737.2413080259669</v>
      </c>
      <c r="BH69" s="431">
        <v>568935.82005790924</v>
      </c>
      <c r="BI69" s="431">
        <v>550134.10758983926</v>
      </c>
      <c r="BJ69" s="431">
        <v>18087.215259381013</v>
      </c>
      <c r="BK69" s="431">
        <v>467991.36852800852</v>
      </c>
      <c r="BL69" s="431">
        <v>3313.1571400026442</v>
      </c>
      <c r="BM69" s="431">
        <v>108.92941476019438</v>
      </c>
      <c r="BN69" s="431">
        <v>5818.7471048356601</v>
      </c>
      <c r="BO69" s="431">
        <v>2710.7649327294357</v>
      </c>
      <c r="BP69" s="431">
        <v>89.124066621977207</v>
      </c>
      <c r="BQ69" s="431">
        <v>2185.0919111946355</v>
      </c>
      <c r="BR69" s="431">
        <v>924.06244157201638</v>
      </c>
      <c r="BS69" s="431">
        <v>0</v>
      </c>
      <c r="BT69" s="431">
        <v>0</v>
      </c>
      <c r="BU69" s="431">
        <v>0</v>
      </c>
      <c r="BV69" s="431">
        <v>877.17400800983717</v>
      </c>
      <c r="BW69" s="431">
        <v>1430.6068451973465</v>
      </c>
      <c r="BX69" s="431">
        <v>1347.7349104902953</v>
      </c>
      <c r="BY69" s="431">
        <v>1100.4668039979588</v>
      </c>
      <c r="BZ69" s="431">
        <v>0</v>
      </c>
      <c r="CA69" s="431">
        <v>0</v>
      </c>
      <c r="CB69" s="431">
        <v>0</v>
      </c>
      <c r="CC69" s="432"/>
      <c r="CD69" s="428">
        <v>41794.965696296298</v>
      </c>
      <c r="CE69" s="433">
        <v>0.23759628394566742</v>
      </c>
      <c r="CF69" s="433">
        <v>0.16769792432989633</v>
      </c>
      <c r="CG69" s="433">
        <v>0.13923731496982597</v>
      </c>
      <c r="CH69" s="433">
        <v>0.14097114871113556</v>
      </c>
      <c r="CI69" s="433">
        <v>9.3511471554120679E-2</v>
      </c>
      <c r="CJ69" s="433">
        <v>0.20168320925073591</v>
      </c>
      <c r="CK69" s="433">
        <v>0.20005420011599015</v>
      </c>
      <c r="CL69" s="433">
        <v>0.2150045900352773</v>
      </c>
      <c r="CM69" s="433">
        <v>0.16831539661914319</v>
      </c>
      <c r="CN69" s="433">
        <v>0.15819847757401839</v>
      </c>
      <c r="CO69" s="433">
        <v>0.36280254888498531</v>
      </c>
      <c r="CP69" s="433">
        <v>0.31129755303263124</v>
      </c>
      <c r="CQ69" s="433">
        <v>0.37775011787636886</v>
      </c>
      <c r="CR69" s="433">
        <v>0.2097743198857383</v>
      </c>
      <c r="CS69" s="433">
        <v>0.39443520669059223</v>
      </c>
      <c r="CT69" s="433">
        <v>0.447221292916757</v>
      </c>
      <c r="CU69" s="433">
        <v>0.3622790598707698</v>
      </c>
      <c r="CV69" s="433">
        <v>0.47604249083347333</v>
      </c>
      <c r="CW69" s="433">
        <v>0.4759898508915783</v>
      </c>
      <c r="CX69" s="433">
        <v>0.4007797062399322</v>
      </c>
      <c r="CY69" s="433">
        <v>0.43383847945766757</v>
      </c>
      <c r="CZ69" s="433">
        <v>0.29816004259848461</v>
      </c>
      <c r="DA69" s="433">
        <v>0.25104840798869349</v>
      </c>
      <c r="DB69" s="433">
        <v>0.39158019166331348</v>
      </c>
      <c r="DC69" s="433">
        <v>0.29816004259848461</v>
      </c>
      <c r="DD69" s="433">
        <v>0.25104840798869349</v>
      </c>
      <c r="DE69" s="433">
        <v>0.29926769201452108</v>
      </c>
      <c r="DF69" s="433">
        <v>0.37270005324810579</v>
      </c>
      <c r="DG69" s="433">
        <v>0</v>
      </c>
      <c r="DH69" s="433">
        <v>0</v>
      </c>
      <c r="DI69" s="433">
        <v>0</v>
      </c>
      <c r="DJ69" s="433">
        <v>0.33104833187447025</v>
      </c>
      <c r="DK69" s="433">
        <v>0.30102696608500845</v>
      </c>
      <c r="DL69" s="433">
        <v>0.26738519112937981</v>
      </c>
      <c r="DM69" s="433">
        <v>0.39133505591051104</v>
      </c>
      <c r="DN69" s="433">
        <v>0</v>
      </c>
      <c r="DO69" s="433">
        <v>0</v>
      </c>
      <c r="DP69" s="433">
        <v>0</v>
      </c>
      <c r="DR69" s="409" t="s">
        <v>855</v>
      </c>
      <c r="DS69" s="409" t="s">
        <v>2384</v>
      </c>
    </row>
    <row r="70" spans="2:123" s="1471" customFormat="1">
      <c r="B70" s="428">
        <v>41794.971999421294</v>
      </c>
      <c r="C70" s="429">
        <v>1.461037935176611</v>
      </c>
      <c r="D70" s="429">
        <v>1.4724593159667367</v>
      </c>
      <c r="E70" s="429">
        <v>1.5139494131224551</v>
      </c>
      <c r="F70" s="429">
        <v>1.4634261629551228</v>
      </c>
      <c r="G70" s="429">
        <v>1.4278796154742759</v>
      </c>
      <c r="H70" s="429">
        <v>1.4665433265343193</v>
      </c>
      <c r="I70" s="429">
        <v>1.502993548948915</v>
      </c>
      <c r="J70" s="429">
        <v>1.5137801072154411</v>
      </c>
      <c r="K70" s="429">
        <v>1.3513439888063683</v>
      </c>
      <c r="L70" s="429">
        <v>1.57707284334984</v>
      </c>
      <c r="M70" s="429">
        <v>1.8102737917248921</v>
      </c>
      <c r="N70" s="429">
        <v>1.7691496553700718</v>
      </c>
      <c r="O70" s="429">
        <v>1.3614819970754357</v>
      </c>
      <c r="P70" s="429">
        <v>1.4265706494839208</v>
      </c>
      <c r="Q70" s="429">
        <v>2884.3794494964313</v>
      </c>
      <c r="R70" s="429">
        <v>13.513008208535584</v>
      </c>
      <c r="S70" s="429">
        <v>21.773299405919403</v>
      </c>
      <c r="T70" s="429">
        <v>4526.1631985456925</v>
      </c>
      <c r="U70" s="429">
        <v>4687.5424465616752</v>
      </c>
      <c r="V70" s="429">
        <v>4854.7946180768822</v>
      </c>
      <c r="W70" s="429">
        <v>868.79670398442693</v>
      </c>
      <c r="X70" s="429">
        <v>9.2564388021195079</v>
      </c>
      <c r="Y70" s="429">
        <v>10.263707245561843</v>
      </c>
      <c r="Z70" s="429">
        <v>13.580622311970592</v>
      </c>
      <c r="AA70" s="429">
        <v>7.119514053678869</v>
      </c>
      <c r="AB70" s="429">
        <v>7.9436427801316896</v>
      </c>
      <c r="AC70" s="429">
        <v>4.2651386150273352</v>
      </c>
      <c r="AD70" s="429">
        <v>3.3801542242445661</v>
      </c>
      <c r="AE70" s="429">
        <v>0</v>
      </c>
      <c r="AF70" s="429">
        <v>0</v>
      </c>
      <c r="AG70" s="429">
        <v>0</v>
      </c>
      <c r="AH70" s="429">
        <v>3.1441766939511027</v>
      </c>
      <c r="AI70" s="429">
        <v>6.5976169276117087</v>
      </c>
      <c r="AJ70" s="429">
        <v>6.3031874377168498</v>
      </c>
      <c r="AK70" s="429">
        <v>7.1701507235412869</v>
      </c>
      <c r="AL70" s="429">
        <v>0</v>
      </c>
      <c r="AM70" s="429">
        <v>0</v>
      </c>
      <c r="AN70" s="429">
        <v>0</v>
      </c>
      <c r="AO70" s="432"/>
      <c r="AP70" s="428">
        <v>41794.971999421294</v>
      </c>
      <c r="AQ70" s="431">
        <v>132.21754208591349</v>
      </c>
      <c r="AR70" s="431">
        <v>175.96719895557675</v>
      </c>
      <c r="AS70" s="431">
        <v>130.84637151547258</v>
      </c>
      <c r="AT70" s="431">
        <v>213.36673753739595</v>
      </c>
      <c r="AU70" s="431">
        <v>25.129604194955956</v>
      </c>
      <c r="AV70" s="431">
        <v>112.28651689477218</v>
      </c>
      <c r="AW70" s="431">
        <v>5.5074561276664582</v>
      </c>
      <c r="AX70" s="431">
        <v>-31.920735557693497</v>
      </c>
      <c r="AY70" s="431">
        <v>159.4236947182489</v>
      </c>
      <c r="AZ70" s="431">
        <v>-75.05262956798768</v>
      </c>
      <c r="BA70" s="431">
        <v>75.776811172663514</v>
      </c>
      <c r="BB70" s="431">
        <v>162.35682356282993</v>
      </c>
      <c r="BC70" s="431">
        <v>98.445187715772022</v>
      </c>
      <c r="BD70" s="431">
        <v>141.85822219522623</v>
      </c>
      <c r="BE70" s="431">
        <v>367627.28422208509</v>
      </c>
      <c r="BF70" s="431">
        <v>8447.4216818154273</v>
      </c>
      <c r="BG70" s="431">
        <v>1737.2413080259669</v>
      </c>
      <c r="BH70" s="431">
        <v>568935.82005790924</v>
      </c>
      <c r="BI70" s="431">
        <v>550134.10758983926</v>
      </c>
      <c r="BJ70" s="431">
        <v>18087.215259381013</v>
      </c>
      <c r="BK70" s="431">
        <v>467991.36852800852</v>
      </c>
      <c r="BL70" s="431">
        <v>3313.1571400026442</v>
      </c>
      <c r="BM70" s="431">
        <v>108.92941476019438</v>
      </c>
      <c r="BN70" s="431">
        <v>5818.7471048356601</v>
      </c>
      <c r="BO70" s="431">
        <v>2710.7649327294357</v>
      </c>
      <c r="BP70" s="431">
        <v>89.124066621977207</v>
      </c>
      <c r="BQ70" s="431">
        <v>2185.0919111946355</v>
      </c>
      <c r="BR70" s="431">
        <v>924.06244157201638</v>
      </c>
      <c r="BS70" s="431">
        <v>0</v>
      </c>
      <c r="BT70" s="431">
        <v>0</v>
      </c>
      <c r="BU70" s="431">
        <v>0</v>
      </c>
      <c r="BV70" s="431">
        <v>877.17400800983717</v>
      </c>
      <c r="BW70" s="431">
        <v>1430.6068451973465</v>
      </c>
      <c r="BX70" s="431">
        <v>1347.7349104902953</v>
      </c>
      <c r="BY70" s="431">
        <v>1100.4668039979588</v>
      </c>
      <c r="BZ70" s="431">
        <v>0</v>
      </c>
      <c r="CA70" s="431">
        <v>0</v>
      </c>
      <c r="CB70" s="431">
        <v>0</v>
      </c>
      <c r="CC70" s="432"/>
      <c r="CD70" s="428">
        <v>41794.971999421294</v>
      </c>
      <c r="CE70" s="433">
        <v>0.23759628394566742</v>
      </c>
      <c r="CF70" s="433">
        <v>0.16769792432989633</v>
      </c>
      <c r="CG70" s="433">
        <v>0.13923731496982597</v>
      </c>
      <c r="CH70" s="433">
        <v>0.14097114871113556</v>
      </c>
      <c r="CI70" s="433">
        <v>9.3511471554120679E-2</v>
      </c>
      <c r="CJ70" s="433">
        <v>0.20168320925073591</v>
      </c>
      <c r="CK70" s="433">
        <v>0.20005420011599015</v>
      </c>
      <c r="CL70" s="433">
        <v>0.2150045900352773</v>
      </c>
      <c r="CM70" s="433">
        <v>0.16831539661914319</v>
      </c>
      <c r="CN70" s="433">
        <v>0.15819847757401839</v>
      </c>
      <c r="CO70" s="433">
        <v>0.33702421666507049</v>
      </c>
      <c r="CP70" s="433">
        <v>0.28551922081271636</v>
      </c>
      <c r="CQ70" s="433">
        <v>0.34039021610837633</v>
      </c>
      <c r="CR70" s="433">
        <v>0.26734268293054819</v>
      </c>
      <c r="CS70" s="433">
        <v>0.39443520669059223</v>
      </c>
      <c r="CT70" s="433">
        <v>0.447221292916757</v>
      </c>
      <c r="CU70" s="433">
        <v>0.3622790598707698</v>
      </c>
      <c r="CV70" s="433">
        <v>0.47604249083347333</v>
      </c>
      <c r="CW70" s="433">
        <v>0.4759898508915783</v>
      </c>
      <c r="CX70" s="433">
        <v>0.4007797062399322</v>
      </c>
      <c r="CY70" s="433">
        <v>0.43383847945766757</v>
      </c>
      <c r="CZ70" s="433">
        <v>0.29816004259848461</v>
      </c>
      <c r="DA70" s="433">
        <v>0.25104840798869349</v>
      </c>
      <c r="DB70" s="433">
        <v>0.39158019166331348</v>
      </c>
      <c r="DC70" s="433">
        <v>0.29816004259848461</v>
      </c>
      <c r="DD70" s="433">
        <v>0.25104840798869349</v>
      </c>
      <c r="DE70" s="433">
        <v>0.29926769201452108</v>
      </c>
      <c r="DF70" s="433">
        <v>0.37270005324810579</v>
      </c>
      <c r="DG70" s="433">
        <v>0</v>
      </c>
      <c r="DH70" s="433">
        <v>0</v>
      </c>
      <c r="DI70" s="433">
        <v>0</v>
      </c>
      <c r="DJ70" s="433">
        <v>0.33104833187447025</v>
      </c>
      <c r="DK70" s="433">
        <v>0.30102696608500845</v>
      </c>
      <c r="DL70" s="433">
        <v>0.26738519112937981</v>
      </c>
      <c r="DM70" s="433">
        <v>0.39133505591051104</v>
      </c>
      <c r="DN70" s="433">
        <v>0</v>
      </c>
      <c r="DO70" s="433">
        <v>0</v>
      </c>
      <c r="DP70" s="433">
        <v>0</v>
      </c>
      <c r="DR70" s="409" t="s">
        <v>855</v>
      </c>
      <c r="DS70" s="409" t="s">
        <v>2655</v>
      </c>
    </row>
    <row r="71" spans="2:123" s="1471" customFormat="1">
      <c r="B71" s="428">
        <v>41800.556282523146</v>
      </c>
      <c r="C71" s="429">
        <v>1.461037935176611</v>
      </c>
      <c r="D71" s="429">
        <v>1.4724593159667367</v>
      </c>
      <c r="E71" s="429">
        <v>1.5168452574621776</v>
      </c>
      <c r="F71" s="429">
        <v>1.4609969816749495</v>
      </c>
      <c r="G71" s="429">
        <v>1.4267708077393384</v>
      </c>
      <c r="H71" s="429">
        <v>1.4650175432171022</v>
      </c>
      <c r="I71" s="429">
        <v>1.5014321332885645</v>
      </c>
      <c r="J71" s="429">
        <v>1.5145160968587721</v>
      </c>
      <c r="K71" s="429">
        <v>1.3513439888063683</v>
      </c>
      <c r="L71" s="429">
        <v>1.57707284334984</v>
      </c>
      <c r="M71" s="429">
        <v>1.8103902617223755</v>
      </c>
      <c r="N71" s="429">
        <v>1.7691496553700718</v>
      </c>
      <c r="O71" s="429">
        <v>1.3614819970754357</v>
      </c>
      <c r="P71" s="429">
        <v>1.4265706494839208</v>
      </c>
      <c r="Q71" s="429">
        <v>2884.3794494964313</v>
      </c>
      <c r="R71" s="429">
        <v>13.513008208535584</v>
      </c>
      <c r="S71" s="429">
        <v>21.713819735686467</v>
      </c>
      <c r="T71" s="429">
        <v>4526.1631985456925</v>
      </c>
      <c r="U71" s="429">
        <v>4687.5424465616752</v>
      </c>
      <c r="V71" s="429">
        <v>4848.2383416491375</v>
      </c>
      <c r="W71" s="429">
        <v>868.79670398442693</v>
      </c>
      <c r="X71" s="429">
        <v>9.2564388021195079</v>
      </c>
      <c r="Y71" s="429">
        <v>10.224222374948061</v>
      </c>
      <c r="Z71" s="429">
        <v>13.580622311970592</v>
      </c>
      <c r="AA71" s="429">
        <v>7.119514053678869</v>
      </c>
      <c r="AB71" s="429">
        <v>7.9113369769022306</v>
      </c>
      <c r="AC71" s="429">
        <v>4.2651386150273352</v>
      </c>
      <c r="AD71" s="429">
        <v>3.3801542242445661</v>
      </c>
      <c r="AE71" s="429">
        <v>0</v>
      </c>
      <c r="AF71" s="429">
        <v>0</v>
      </c>
      <c r="AG71" s="429">
        <v>0</v>
      </c>
      <c r="AH71" s="429">
        <v>3.1441766939511027</v>
      </c>
      <c r="AI71" s="429">
        <v>6.5976169276117087</v>
      </c>
      <c r="AJ71" s="429">
        <v>6.3031874377168498</v>
      </c>
      <c r="AK71" s="429">
        <v>7.1701507235412869</v>
      </c>
      <c r="AL71" s="429">
        <v>0</v>
      </c>
      <c r="AM71" s="429">
        <v>0</v>
      </c>
      <c r="AN71" s="429">
        <v>0</v>
      </c>
      <c r="AO71" s="432"/>
      <c r="AP71" s="428">
        <v>41800.556282523146</v>
      </c>
      <c r="AQ71" s="431">
        <v>132.21754208591349</v>
      </c>
      <c r="AR71" s="431">
        <v>175.96719895557675</v>
      </c>
      <c r="AS71" s="431">
        <v>121.56800585673152</v>
      </c>
      <c r="AT71" s="431">
        <v>155.71269432080473</v>
      </c>
      <c r="AU71" s="431">
        <v>10.632356683566815</v>
      </c>
      <c r="AV71" s="431">
        <v>79.685782813047879</v>
      </c>
      <c r="AW71" s="431">
        <v>-13.861429399273678</v>
      </c>
      <c r="AX71" s="431">
        <v>5.1043538166706366</v>
      </c>
      <c r="AY71" s="431">
        <v>159.4236947182489</v>
      </c>
      <c r="AZ71" s="431">
        <v>-75.05262956798768</v>
      </c>
      <c r="BA71" s="431">
        <v>83.205119276382419</v>
      </c>
      <c r="BB71" s="431">
        <v>162.35682356282993</v>
      </c>
      <c r="BC71" s="431">
        <v>98.445187715772022</v>
      </c>
      <c r="BD71" s="431">
        <v>141.85822219522623</v>
      </c>
      <c r="BE71" s="431">
        <v>367627.28422208509</v>
      </c>
      <c r="BF71" s="431">
        <v>8447.4216818154273</v>
      </c>
      <c r="BG71" s="431">
        <v>466.36562689095859</v>
      </c>
      <c r="BH71" s="431">
        <v>568935.82005790924</v>
      </c>
      <c r="BI71" s="431">
        <v>550134.10758983926</v>
      </c>
      <c r="BJ71" s="431">
        <v>-63241.396228646867</v>
      </c>
      <c r="BK71" s="431">
        <v>467991.36852800852</v>
      </c>
      <c r="BL71" s="431">
        <v>3313.1571400026442</v>
      </c>
      <c r="BM71" s="431">
        <v>-380.86837476162253</v>
      </c>
      <c r="BN71" s="431">
        <v>5818.7471048356601</v>
      </c>
      <c r="BO71" s="431">
        <v>2710.7649327294357</v>
      </c>
      <c r="BP71" s="431">
        <v>-311.61957935041841</v>
      </c>
      <c r="BQ71" s="431">
        <v>2185.0919111946355</v>
      </c>
      <c r="BR71" s="431">
        <v>924.06244157201638</v>
      </c>
      <c r="BS71" s="431">
        <v>0</v>
      </c>
      <c r="BT71" s="431">
        <v>0</v>
      </c>
      <c r="BU71" s="431">
        <v>0</v>
      </c>
      <c r="BV71" s="431">
        <v>877.17400800983717</v>
      </c>
      <c r="BW71" s="431">
        <v>1430.6068451973465</v>
      </c>
      <c r="BX71" s="431">
        <v>1347.7349104902953</v>
      </c>
      <c r="BY71" s="431">
        <v>1100.4668039979588</v>
      </c>
      <c r="BZ71" s="431">
        <v>0</v>
      </c>
      <c r="CA71" s="431">
        <v>0</v>
      </c>
      <c r="CB71" s="431">
        <v>0</v>
      </c>
      <c r="CC71" s="432"/>
      <c r="CD71" s="428">
        <v>41800.556282291669</v>
      </c>
      <c r="CE71" s="433">
        <v>0.23759628394566742</v>
      </c>
      <c r="CF71" s="433">
        <v>0.16769792432989633</v>
      </c>
      <c r="CG71" s="433">
        <v>0.13923731496982597</v>
      </c>
      <c r="CH71" s="433">
        <v>0.14097114871113556</v>
      </c>
      <c r="CI71" s="433">
        <v>9.3511471554120679E-2</v>
      </c>
      <c r="CJ71" s="433">
        <v>0.20168320925073591</v>
      </c>
      <c r="CK71" s="433">
        <v>0.20005420011599015</v>
      </c>
      <c r="CL71" s="433">
        <v>0.2150045900352773</v>
      </c>
      <c r="CM71" s="433">
        <v>0.16831539661914319</v>
      </c>
      <c r="CN71" s="433">
        <v>0.15819847757401839</v>
      </c>
      <c r="CO71" s="433">
        <v>0.33702421666507049</v>
      </c>
      <c r="CP71" s="433">
        <v>0.28551922081271636</v>
      </c>
      <c r="CQ71" s="433">
        <v>0.34039021610837633</v>
      </c>
      <c r="CR71" s="433">
        <v>0.26734268293054819</v>
      </c>
      <c r="CS71" s="433">
        <v>0.39443520669059223</v>
      </c>
      <c r="CT71" s="433">
        <v>0.447221292916757</v>
      </c>
      <c r="CU71" s="433">
        <v>0.3622790598707698</v>
      </c>
      <c r="CV71" s="433">
        <v>0.47604249083347333</v>
      </c>
      <c r="CW71" s="433">
        <v>0.4759898508915783</v>
      </c>
      <c r="CX71" s="433">
        <v>0.4007797062399322</v>
      </c>
      <c r="CY71" s="433">
        <v>0.43383847945766757</v>
      </c>
      <c r="CZ71" s="433">
        <v>0.29816004259848461</v>
      </c>
      <c r="DA71" s="433">
        <v>0.25104840798869349</v>
      </c>
      <c r="DB71" s="433">
        <v>0.39158019166331348</v>
      </c>
      <c r="DC71" s="433">
        <v>0.29816004259848461</v>
      </c>
      <c r="DD71" s="433">
        <v>0.25104840798869349</v>
      </c>
      <c r="DE71" s="433">
        <v>0.29926769201452108</v>
      </c>
      <c r="DF71" s="433">
        <v>0.37270005324810579</v>
      </c>
      <c r="DG71" s="433">
        <v>0</v>
      </c>
      <c r="DH71" s="433">
        <v>0</v>
      </c>
      <c r="DI71" s="433">
        <v>0</v>
      </c>
      <c r="DJ71" s="433">
        <v>0.33104833187447025</v>
      </c>
      <c r="DK71" s="433">
        <v>0.30102696608500845</v>
      </c>
      <c r="DL71" s="433">
        <v>0.26738519112937981</v>
      </c>
      <c r="DM71" s="433">
        <v>0.39133505591051104</v>
      </c>
      <c r="DN71" s="433">
        <v>0</v>
      </c>
      <c r="DO71" s="433">
        <v>0</v>
      </c>
      <c r="DP71" s="433">
        <v>0</v>
      </c>
      <c r="DR71" s="409" t="s">
        <v>711</v>
      </c>
      <c r="DS71" s="409" t="s">
        <v>2388</v>
      </c>
    </row>
    <row r="72" spans="2:123" s="1471" customFormat="1">
      <c r="B72" s="428">
        <v>41801.640901620369</v>
      </c>
      <c r="C72" s="429">
        <v>1.461037935176611</v>
      </c>
      <c r="D72" s="429">
        <v>1.4724593159667367</v>
      </c>
      <c r="E72" s="429">
        <v>1.5168452574621776</v>
      </c>
      <c r="F72" s="429">
        <v>1.4609969816749495</v>
      </c>
      <c r="G72" s="429">
        <v>1.4267708077393384</v>
      </c>
      <c r="H72" s="429">
        <v>1.5627241120881736</v>
      </c>
      <c r="I72" s="429">
        <v>1.5014321332885645</v>
      </c>
      <c r="J72" s="429">
        <v>1.5145160968587721</v>
      </c>
      <c r="K72" s="429">
        <v>1.3513439888063683</v>
      </c>
      <c r="L72" s="429">
        <v>1.57707284334984</v>
      </c>
      <c r="M72" s="429">
        <v>1.8103902617223755</v>
      </c>
      <c r="N72" s="429">
        <v>1.7691496553700718</v>
      </c>
      <c r="O72" s="429">
        <v>1.3614819970754357</v>
      </c>
      <c r="P72" s="429">
        <v>1.4265706494839208</v>
      </c>
      <c r="Q72" s="429">
        <v>2884.3794494964313</v>
      </c>
      <c r="R72" s="429">
        <v>13.513008208535584</v>
      </c>
      <c r="S72" s="429">
        <v>21.713819735686467</v>
      </c>
      <c r="T72" s="429">
        <v>4526.1631985456925</v>
      </c>
      <c r="U72" s="429">
        <v>4687.5424465616752</v>
      </c>
      <c r="V72" s="429">
        <v>4848.2383416491375</v>
      </c>
      <c r="W72" s="429">
        <v>868.79670398442693</v>
      </c>
      <c r="X72" s="429">
        <v>9.2564388021195079</v>
      </c>
      <c r="Y72" s="429">
        <v>10.224222374948061</v>
      </c>
      <c r="Z72" s="429">
        <v>13.580622311970592</v>
      </c>
      <c r="AA72" s="429">
        <v>7.119514053678869</v>
      </c>
      <c r="AB72" s="429">
        <v>7.9113369769022306</v>
      </c>
      <c r="AC72" s="429">
        <v>4.2651386150273352</v>
      </c>
      <c r="AD72" s="429">
        <v>3.3801542242445661</v>
      </c>
      <c r="AE72" s="429">
        <v>0</v>
      </c>
      <c r="AF72" s="429">
        <v>0</v>
      </c>
      <c r="AG72" s="429">
        <v>0</v>
      </c>
      <c r="AH72" s="429">
        <v>3.1441766939511027</v>
      </c>
      <c r="AI72" s="429">
        <v>6.5976169276117087</v>
      </c>
      <c r="AJ72" s="429">
        <v>6.3031874377168498</v>
      </c>
      <c r="AK72" s="429">
        <v>7.1701507235412869</v>
      </c>
      <c r="AL72" s="429">
        <v>0</v>
      </c>
      <c r="AM72" s="429">
        <v>0</v>
      </c>
      <c r="AN72" s="429">
        <v>0</v>
      </c>
      <c r="AO72" s="432"/>
      <c r="AP72" s="428">
        <v>41801.640901620369</v>
      </c>
      <c r="AQ72" s="431">
        <v>132.21754208591349</v>
      </c>
      <c r="AR72" s="431">
        <v>175.96719895557675</v>
      </c>
      <c r="AS72" s="431">
        <v>121.56800585673152</v>
      </c>
      <c r="AT72" s="431">
        <v>155.71269432080473</v>
      </c>
      <c r="AU72" s="431">
        <v>10.632356683566815</v>
      </c>
      <c r="AV72" s="431">
        <v>81.40574075684367</v>
      </c>
      <c r="AW72" s="431">
        <v>-13.861429399273678</v>
      </c>
      <c r="AX72" s="431">
        <v>5.1043538166706366</v>
      </c>
      <c r="AY72" s="431">
        <v>159.4236947182489</v>
      </c>
      <c r="AZ72" s="431">
        <v>-75.05262956798768</v>
      </c>
      <c r="BA72" s="431">
        <v>83.205119276382419</v>
      </c>
      <c r="BB72" s="431">
        <v>162.35682356282993</v>
      </c>
      <c r="BC72" s="431">
        <v>98.445187715772022</v>
      </c>
      <c r="BD72" s="431">
        <v>141.85822219522623</v>
      </c>
      <c r="BE72" s="431">
        <v>367627.28422208509</v>
      </c>
      <c r="BF72" s="431">
        <v>8447.4216818154273</v>
      </c>
      <c r="BG72" s="431">
        <v>466.36562689095859</v>
      </c>
      <c r="BH72" s="431">
        <v>568935.82005790924</v>
      </c>
      <c r="BI72" s="431">
        <v>550134.10758983926</v>
      </c>
      <c r="BJ72" s="431">
        <v>-63241.396228646867</v>
      </c>
      <c r="BK72" s="431">
        <v>467991.36852800852</v>
      </c>
      <c r="BL72" s="431">
        <v>3313.1571400026442</v>
      </c>
      <c r="BM72" s="431">
        <v>-380.86837476162253</v>
      </c>
      <c r="BN72" s="431">
        <v>5818.7471048356601</v>
      </c>
      <c r="BO72" s="431">
        <v>2710.7649327294357</v>
      </c>
      <c r="BP72" s="431">
        <v>-311.61957935041841</v>
      </c>
      <c r="BQ72" s="431">
        <v>2185.0919111946355</v>
      </c>
      <c r="BR72" s="431">
        <v>924.06244157201638</v>
      </c>
      <c r="BS72" s="431">
        <v>0</v>
      </c>
      <c r="BT72" s="431">
        <v>0</v>
      </c>
      <c r="BU72" s="431">
        <v>0</v>
      </c>
      <c r="BV72" s="431">
        <v>877.17400800983717</v>
      </c>
      <c r="BW72" s="431">
        <v>1430.6068451973465</v>
      </c>
      <c r="BX72" s="431">
        <v>1347.7349104902953</v>
      </c>
      <c r="BY72" s="431">
        <v>1100.4668039979588</v>
      </c>
      <c r="BZ72" s="431">
        <v>0</v>
      </c>
      <c r="CA72" s="431">
        <v>0</v>
      </c>
      <c r="CB72" s="431">
        <v>0</v>
      </c>
      <c r="CC72" s="432"/>
      <c r="CD72" s="428">
        <v>41801.640901620369</v>
      </c>
      <c r="CE72" s="433">
        <v>0.23759628394566742</v>
      </c>
      <c r="CF72" s="433">
        <v>0.16769792432989633</v>
      </c>
      <c r="CG72" s="433">
        <v>0.13923731496982597</v>
      </c>
      <c r="CH72" s="433">
        <v>0.14097114871113556</v>
      </c>
      <c r="CI72" s="433">
        <v>9.3511471554120679E-2</v>
      </c>
      <c r="CJ72" s="433">
        <v>0.2136987442730591</v>
      </c>
      <c r="CK72" s="433">
        <v>0.20005420011599015</v>
      </c>
      <c r="CL72" s="433">
        <v>0.2150045900352773</v>
      </c>
      <c r="CM72" s="433">
        <v>0.16831539661914319</v>
      </c>
      <c r="CN72" s="433">
        <v>0.15819847757401839</v>
      </c>
      <c r="CO72" s="433">
        <v>0.33702421666507049</v>
      </c>
      <c r="CP72" s="433">
        <v>0.28551922081271636</v>
      </c>
      <c r="CQ72" s="433">
        <v>0.34039021610837633</v>
      </c>
      <c r="CR72" s="433">
        <v>0.26734268293054819</v>
      </c>
      <c r="CS72" s="433">
        <v>0.39443520669059223</v>
      </c>
      <c r="CT72" s="433">
        <v>0.447221292916757</v>
      </c>
      <c r="CU72" s="433">
        <v>0.3622790598707698</v>
      </c>
      <c r="CV72" s="433">
        <v>0.47604249083347333</v>
      </c>
      <c r="CW72" s="433">
        <v>0.4759898508915783</v>
      </c>
      <c r="CX72" s="433">
        <v>0.4007797062399322</v>
      </c>
      <c r="CY72" s="433">
        <v>0.43383847945766757</v>
      </c>
      <c r="CZ72" s="433">
        <v>0.29816004259848461</v>
      </c>
      <c r="DA72" s="433">
        <v>0.25104840798869349</v>
      </c>
      <c r="DB72" s="433">
        <v>0.39158019166331348</v>
      </c>
      <c r="DC72" s="433">
        <v>0.29816004259848461</v>
      </c>
      <c r="DD72" s="433">
        <v>0.25104840798869349</v>
      </c>
      <c r="DE72" s="433">
        <v>0.29926769201452108</v>
      </c>
      <c r="DF72" s="433">
        <v>0.37270005324810579</v>
      </c>
      <c r="DG72" s="433">
        <v>0</v>
      </c>
      <c r="DH72" s="433">
        <v>0</v>
      </c>
      <c r="DI72" s="433">
        <v>0</v>
      </c>
      <c r="DJ72" s="433">
        <v>0.33104833187447025</v>
      </c>
      <c r="DK72" s="433">
        <v>0.30102696608500845</v>
      </c>
      <c r="DL72" s="433">
        <v>0.26738519112937981</v>
      </c>
      <c r="DM72" s="433">
        <v>0.39133505591051104</v>
      </c>
      <c r="DN72" s="433">
        <v>0</v>
      </c>
      <c r="DO72" s="433">
        <v>0</v>
      </c>
      <c r="DP72" s="433">
        <v>0</v>
      </c>
      <c r="DR72" s="409" t="s">
        <v>711</v>
      </c>
      <c r="DS72" s="409" t="s">
        <v>2423</v>
      </c>
    </row>
    <row r="73" spans="2:123" s="1471" customFormat="1">
      <c r="B73" s="428">
        <v>41801.68733090278</v>
      </c>
      <c r="C73" s="429">
        <v>1.461037935176611</v>
      </c>
      <c r="D73" s="429">
        <v>1.4724593159667367</v>
      </c>
      <c r="E73" s="429">
        <v>1.5168452574621776</v>
      </c>
      <c r="F73" s="429">
        <v>1.4609969816749495</v>
      </c>
      <c r="G73" s="429">
        <v>1.4267708077393384</v>
      </c>
      <c r="H73" s="429">
        <v>1.5627241120881736</v>
      </c>
      <c r="I73" s="429">
        <v>1.5014321332885645</v>
      </c>
      <c r="J73" s="429">
        <v>1.5145160968587721</v>
      </c>
      <c r="K73" s="429">
        <v>1.3513439888063683</v>
      </c>
      <c r="L73" s="429">
        <v>1.57707284334984</v>
      </c>
      <c r="M73" s="429">
        <v>1.8103902617223755</v>
      </c>
      <c r="N73" s="429">
        <v>1.7708909112978517</v>
      </c>
      <c r="O73" s="429">
        <v>1.3614819970754357</v>
      </c>
      <c r="P73" s="429">
        <v>1.4265706494839208</v>
      </c>
      <c r="Q73" s="429">
        <v>2884.3794494964313</v>
      </c>
      <c r="R73" s="429">
        <v>13.513008208535584</v>
      </c>
      <c r="S73" s="429">
        <v>21.713819735686467</v>
      </c>
      <c r="T73" s="429">
        <v>4526.1631985456925</v>
      </c>
      <c r="U73" s="429">
        <v>4687.5424465616752</v>
      </c>
      <c r="V73" s="429">
        <v>4848.2383416491375</v>
      </c>
      <c r="W73" s="429">
        <v>868.79670398442693</v>
      </c>
      <c r="X73" s="429">
        <v>9.2564388021195079</v>
      </c>
      <c r="Y73" s="429">
        <v>10.224222374948061</v>
      </c>
      <c r="Z73" s="429">
        <v>13.580622311970592</v>
      </c>
      <c r="AA73" s="429">
        <v>7.119514053678869</v>
      </c>
      <c r="AB73" s="429">
        <v>7.9113369769022306</v>
      </c>
      <c r="AC73" s="429">
        <v>4.2651386150273352</v>
      </c>
      <c r="AD73" s="429">
        <v>3.3801542242445661</v>
      </c>
      <c r="AE73" s="429">
        <v>0</v>
      </c>
      <c r="AF73" s="429">
        <v>0</v>
      </c>
      <c r="AG73" s="429">
        <v>0</v>
      </c>
      <c r="AH73" s="429">
        <v>3.1441766939511027</v>
      </c>
      <c r="AI73" s="429">
        <v>6.5976169276117087</v>
      </c>
      <c r="AJ73" s="429">
        <v>6.3031874377168498</v>
      </c>
      <c r="AK73" s="429">
        <v>7.1701507235412869</v>
      </c>
      <c r="AL73" s="429">
        <v>0</v>
      </c>
      <c r="AM73" s="429">
        <v>0</v>
      </c>
      <c r="AN73" s="429">
        <v>0</v>
      </c>
      <c r="AO73" s="432"/>
      <c r="AP73" s="428">
        <v>41801.68733090278</v>
      </c>
      <c r="AQ73" s="431">
        <v>132.21754208591349</v>
      </c>
      <c r="AR73" s="431">
        <v>175.96719895557675</v>
      </c>
      <c r="AS73" s="431">
        <v>121.56800585673152</v>
      </c>
      <c r="AT73" s="431">
        <v>155.71269432080473</v>
      </c>
      <c r="AU73" s="431">
        <v>10.632356683566815</v>
      </c>
      <c r="AV73" s="431">
        <v>81.40574075684367</v>
      </c>
      <c r="AW73" s="431">
        <v>-13.861429399273678</v>
      </c>
      <c r="AX73" s="431">
        <v>5.1043538166706366</v>
      </c>
      <c r="AY73" s="431">
        <v>159.4236947182489</v>
      </c>
      <c r="AZ73" s="431">
        <v>-75.05262956798768</v>
      </c>
      <c r="BA73" s="431">
        <v>83.205119276382419</v>
      </c>
      <c r="BB73" s="431">
        <v>177.74515508342654</v>
      </c>
      <c r="BC73" s="431">
        <v>98.445187715772022</v>
      </c>
      <c r="BD73" s="431">
        <v>141.85822219522623</v>
      </c>
      <c r="BE73" s="431">
        <v>367627.28422208509</v>
      </c>
      <c r="BF73" s="431">
        <v>8447.4216818154273</v>
      </c>
      <c r="BG73" s="431">
        <v>466.36562689095859</v>
      </c>
      <c r="BH73" s="431">
        <v>568935.82005790924</v>
      </c>
      <c r="BI73" s="431">
        <v>550134.10758983926</v>
      </c>
      <c r="BJ73" s="431">
        <v>-63241.396228646867</v>
      </c>
      <c r="BK73" s="431">
        <v>467991.36852800852</v>
      </c>
      <c r="BL73" s="431">
        <v>3313.1571400026442</v>
      </c>
      <c r="BM73" s="431">
        <v>-380.86837476162253</v>
      </c>
      <c r="BN73" s="431">
        <v>5818.7471048356601</v>
      </c>
      <c r="BO73" s="431">
        <v>2710.7649327294357</v>
      </c>
      <c r="BP73" s="431">
        <v>-311.61957935041841</v>
      </c>
      <c r="BQ73" s="431">
        <v>2185.0919111946355</v>
      </c>
      <c r="BR73" s="431">
        <v>924.06244157201638</v>
      </c>
      <c r="BS73" s="431">
        <v>0</v>
      </c>
      <c r="BT73" s="431">
        <v>0</v>
      </c>
      <c r="BU73" s="431">
        <v>0</v>
      </c>
      <c r="BV73" s="431">
        <v>877.17400800983717</v>
      </c>
      <c r="BW73" s="431">
        <v>1430.6068451973465</v>
      </c>
      <c r="BX73" s="431">
        <v>1347.7349104902953</v>
      </c>
      <c r="BY73" s="431">
        <v>1100.4668039979588</v>
      </c>
      <c r="BZ73" s="431">
        <v>0</v>
      </c>
      <c r="CA73" s="431">
        <v>0</v>
      </c>
      <c r="CB73" s="431">
        <v>0</v>
      </c>
      <c r="CC73" s="432"/>
      <c r="CD73" s="428">
        <v>41801.68733090278</v>
      </c>
      <c r="CE73" s="433">
        <v>0.23759628394566742</v>
      </c>
      <c r="CF73" s="433">
        <v>0.16769792432989633</v>
      </c>
      <c r="CG73" s="433">
        <v>0.13923731496982597</v>
      </c>
      <c r="CH73" s="433">
        <v>0.14097114871113556</v>
      </c>
      <c r="CI73" s="433">
        <v>9.3511471554120679E-2</v>
      </c>
      <c r="CJ73" s="433">
        <v>0.2136987442730591</v>
      </c>
      <c r="CK73" s="433">
        <v>0.20005420011599015</v>
      </c>
      <c r="CL73" s="433">
        <v>0.2150045900352773</v>
      </c>
      <c r="CM73" s="433">
        <v>0.16831539661914319</v>
      </c>
      <c r="CN73" s="433">
        <v>0.15819847757401839</v>
      </c>
      <c r="CO73" s="433">
        <v>0.33702421666507049</v>
      </c>
      <c r="CP73" s="433">
        <v>0.28551922081271636</v>
      </c>
      <c r="CQ73" s="433">
        <v>0.34039021610837633</v>
      </c>
      <c r="CR73" s="433">
        <v>0.26734268293054819</v>
      </c>
      <c r="CS73" s="433">
        <v>0.39443520669059223</v>
      </c>
      <c r="CT73" s="433">
        <v>0.447221292916757</v>
      </c>
      <c r="CU73" s="433">
        <v>0.3622790598707698</v>
      </c>
      <c r="CV73" s="433">
        <v>0.47604249083347333</v>
      </c>
      <c r="CW73" s="433">
        <v>0.4759898508915783</v>
      </c>
      <c r="CX73" s="433">
        <v>0.4007797062399322</v>
      </c>
      <c r="CY73" s="433">
        <v>0.43383847945766757</v>
      </c>
      <c r="CZ73" s="433">
        <v>0.29816004259848461</v>
      </c>
      <c r="DA73" s="433">
        <v>0.25104840798869349</v>
      </c>
      <c r="DB73" s="433">
        <v>0.39158019166331348</v>
      </c>
      <c r="DC73" s="433">
        <v>0.29816004259848461</v>
      </c>
      <c r="DD73" s="433">
        <v>0.25104840798869349</v>
      </c>
      <c r="DE73" s="433">
        <v>0.29926769201452108</v>
      </c>
      <c r="DF73" s="433">
        <v>0.37270005324810579</v>
      </c>
      <c r="DG73" s="433">
        <v>0</v>
      </c>
      <c r="DH73" s="433">
        <v>0</v>
      </c>
      <c r="DI73" s="433">
        <v>0</v>
      </c>
      <c r="DJ73" s="433">
        <v>0.33104833187447025</v>
      </c>
      <c r="DK73" s="433">
        <v>0.30102696608500845</v>
      </c>
      <c r="DL73" s="433">
        <v>0.26738519112937981</v>
      </c>
      <c r="DM73" s="433">
        <v>0.39133505591051104</v>
      </c>
      <c r="DN73" s="433">
        <v>0</v>
      </c>
      <c r="DO73" s="433">
        <v>0</v>
      </c>
      <c r="DP73" s="433">
        <v>0</v>
      </c>
      <c r="DR73" s="409" t="s">
        <v>711</v>
      </c>
      <c r="DS73" s="409" t="s">
        <v>2429</v>
      </c>
    </row>
    <row r="74" spans="2:123" s="1471" customFormat="1">
      <c r="B74" s="428">
        <v>41803.536000231485</v>
      </c>
      <c r="C74" s="429">
        <v>1.461037935176611</v>
      </c>
      <c r="D74" s="429">
        <v>1.4724593159667367</v>
      </c>
      <c r="E74" s="429">
        <v>1.5168452574621776</v>
      </c>
      <c r="F74" s="429">
        <v>1.4609969816749495</v>
      </c>
      <c r="G74" s="429">
        <v>1.4267708077393384</v>
      </c>
      <c r="H74" s="429">
        <v>1.5627241120881736</v>
      </c>
      <c r="I74" s="429">
        <v>1.5014321332885645</v>
      </c>
      <c r="J74" s="429">
        <v>1.5145160968587721</v>
      </c>
      <c r="K74" s="429">
        <v>1.3513439888063683</v>
      </c>
      <c r="L74" s="429">
        <v>1.57707284334984</v>
      </c>
      <c r="M74" s="429">
        <v>1.8103902617223755</v>
      </c>
      <c r="N74" s="429">
        <v>1.7708909112978517</v>
      </c>
      <c r="O74" s="429">
        <v>1.3614819970754357</v>
      </c>
      <c r="P74" s="429">
        <v>1.4265706494839208</v>
      </c>
      <c r="Q74" s="429">
        <v>2884.3794494964313</v>
      </c>
      <c r="R74" s="429">
        <v>13.513008208535584</v>
      </c>
      <c r="S74" s="429">
        <v>21.713819735686467</v>
      </c>
      <c r="T74" s="429">
        <v>4526.1631985456925</v>
      </c>
      <c r="U74" s="429">
        <v>4687.5424465616752</v>
      </c>
      <c r="V74" s="429">
        <v>4848.2383416491375</v>
      </c>
      <c r="W74" s="429">
        <v>872.29929680053624</v>
      </c>
      <c r="X74" s="429">
        <v>9.2564388021195079</v>
      </c>
      <c r="Y74" s="429">
        <v>10.224222374948061</v>
      </c>
      <c r="Z74" s="429">
        <v>13.580622311970592</v>
      </c>
      <c r="AA74" s="429">
        <v>7.119514053678869</v>
      </c>
      <c r="AB74" s="429">
        <v>7.9113369769022306</v>
      </c>
      <c r="AC74" s="429">
        <v>4.2651386150273352</v>
      </c>
      <c r="AD74" s="429">
        <v>3.3801542242445661</v>
      </c>
      <c r="AE74" s="429">
        <v>0</v>
      </c>
      <c r="AF74" s="429">
        <v>0</v>
      </c>
      <c r="AG74" s="429">
        <v>0</v>
      </c>
      <c r="AH74" s="429">
        <v>3.1441766939511027</v>
      </c>
      <c r="AI74" s="429">
        <v>6.5976169276117087</v>
      </c>
      <c r="AJ74" s="429">
        <v>6.3031874377168498</v>
      </c>
      <c r="AK74" s="429">
        <v>7.1701507235412869</v>
      </c>
      <c r="AL74" s="429">
        <v>0</v>
      </c>
      <c r="AM74" s="429">
        <v>0</v>
      </c>
      <c r="AN74" s="429">
        <v>0</v>
      </c>
      <c r="AO74" s="432"/>
      <c r="AP74" s="428">
        <v>41803.536000231485</v>
      </c>
      <c r="AQ74" s="431">
        <v>132.21754208591349</v>
      </c>
      <c r="AR74" s="431">
        <v>175.96719895557675</v>
      </c>
      <c r="AS74" s="431">
        <v>121.56800585673152</v>
      </c>
      <c r="AT74" s="431">
        <v>155.71269432080473</v>
      </c>
      <c r="AU74" s="431">
        <v>10.632356683566815</v>
      </c>
      <c r="AV74" s="431">
        <v>81.40574075684367</v>
      </c>
      <c r="AW74" s="431">
        <v>-13.861429399273678</v>
      </c>
      <c r="AX74" s="431">
        <v>5.1043538166706366</v>
      </c>
      <c r="AY74" s="431">
        <v>159.4236947182489</v>
      </c>
      <c r="AZ74" s="431">
        <v>-75.05262956798768</v>
      </c>
      <c r="BA74" s="431">
        <v>83.205119276382419</v>
      </c>
      <c r="BB74" s="431">
        <v>177.74515508342654</v>
      </c>
      <c r="BC74" s="431">
        <v>98.445187715772022</v>
      </c>
      <c r="BD74" s="431">
        <v>141.85822219522623</v>
      </c>
      <c r="BE74" s="431">
        <v>367627.28422208509</v>
      </c>
      <c r="BF74" s="431">
        <v>8447.4216818154273</v>
      </c>
      <c r="BG74" s="431">
        <v>466.36562689095859</v>
      </c>
      <c r="BH74" s="431">
        <v>568935.82005790924</v>
      </c>
      <c r="BI74" s="431">
        <v>550134.10758983926</v>
      </c>
      <c r="BJ74" s="431">
        <v>-63241.396228646867</v>
      </c>
      <c r="BK74" s="431">
        <v>504586.81763168029</v>
      </c>
      <c r="BL74" s="431">
        <v>3313.1571400026442</v>
      </c>
      <c r="BM74" s="431">
        <v>-380.86837476162253</v>
      </c>
      <c r="BN74" s="431">
        <v>5818.7471048356601</v>
      </c>
      <c r="BO74" s="431">
        <v>2710.7649327294357</v>
      </c>
      <c r="BP74" s="431">
        <v>-311.61957935041841</v>
      </c>
      <c r="BQ74" s="431">
        <v>2185.0919111946355</v>
      </c>
      <c r="BR74" s="431">
        <v>924.06244157201638</v>
      </c>
      <c r="BS74" s="431">
        <v>0</v>
      </c>
      <c r="BT74" s="431">
        <v>0</v>
      </c>
      <c r="BU74" s="431">
        <v>0</v>
      </c>
      <c r="BV74" s="431">
        <v>877.17400800983717</v>
      </c>
      <c r="BW74" s="431">
        <v>1430.6068451973465</v>
      </c>
      <c r="BX74" s="431">
        <v>1347.7349104902953</v>
      </c>
      <c r="BY74" s="431">
        <v>1100.4668039979588</v>
      </c>
      <c r="BZ74" s="431">
        <v>0</v>
      </c>
      <c r="CA74" s="431">
        <v>0</v>
      </c>
      <c r="CB74" s="431">
        <v>0</v>
      </c>
      <c r="CC74" s="432"/>
      <c r="CD74" s="428">
        <v>41803.536000231485</v>
      </c>
      <c r="CE74" s="433">
        <v>0.23759628394566742</v>
      </c>
      <c r="CF74" s="433">
        <v>0.16769792432989633</v>
      </c>
      <c r="CG74" s="433">
        <v>0.13923731496982597</v>
      </c>
      <c r="CH74" s="433">
        <v>0.14097114871113556</v>
      </c>
      <c r="CI74" s="433">
        <v>9.3511471554120679E-2</v>
      </c>
      <c r="CJ74" s="433">
        <v>0.2136987442730591</v>
      </c>
      <c r="CK74" s="433">
        <v>0.20005420011599015</v>
      </c>
      <c r="CL74" s="433">
        <v>0.2150045900352773</v>
      </c>
      <c r="CM74" s="433">
        <v>0.16831539661914319</v>
      </c>
      <c r="CN74" s="433">
        <v>0.15819847757401839</v>
      </c>
      <c r="CO74" s="433">
        <v>0.33702421666507049</v>
      </c>
      <c r="CP74" s="433">
        <v>0.28551922081271636</v>
      </c>
      <c r="CQ74" s="433">
        <v>0.34039021610837633</v>
      </c>
      <c r="CR74" s="433">
        <v>0.26734268293054819</v>
      </c>
      <c r="CS74" s="433">
        <v>0.39443520669059223</v>
      </c>
      <c r="CT74" s="433">
        <v>0.447221292916757</v>
      </c>
      <c r="CU74" s="433">
        <v>0.3622790598707698</v>
      </c>
      <c r="CV74" s="433">
        <v>0.47604249083347333</v>
      </c>
      <c r="CW74" s="433">
        <v>0.4759898508915783</v>
      </c>
      <c r="CX74" s="433">
        <v>0.4007797062399322</v>
      </c>
      <c r="CY74" s="433">
        <v>0.43383847945766757</v>
      </c>
      <c r="CZ74" s="433">
        <v>0.29816004259848461</v>
      </c>
      <c r="DA74" s="433">
        <v>0.25104840798869349</v>
      </c>
      <c r="DB74" s="433">
        <v>0.39158019166331348</v>
      </c>
      <c r="DC74" s="433">
        <v>0.29816004259848461</v>
      </c>
      <c r="DD74" s="433">
        <v>0.25104840798869349</v>
      </c>
      <c r="DE74" s="433">
        <v>0.29926769201452108</v>
      </c>
      <c r="DF74" s="433">
        <v>0.37270005324810579</v>
      </c>
      <c r="DG74" s="433">
        <v>0</v>
      </c>
      <c r="DH74" s="433">
        <v>0</v>
      </c>
      <c r="DI74" s="433">
        <v>0</v>
      </c>
      <c r="DJ74" s="433">
        <v>0.33104833187447025</v>
      </c>
      <c r="DK74" s="433">
        <v>0.30102696608500845</v>
      </c>
      <c r="DL74" s="433">
        <v>0.26738519112937981</v>
      </c>
      <c r="DM74" s="433">
        <v>0.39133505591051104</v>
      </c>
      <c r="DN74" s="433">
        <v>0</v>
      </c>
      <c r="DO74" s="433">
        <v>0</v>
      </c>
      <c r="DP74" s="433">
        <v>0</v>
      </c>
      <c r="DR74" s="409" t="s">
        <v>711</v>
      </c>
      <c r="DS74" s="409" t="s">
        <v>2434</v>
      </c>
    </row>
    <row r="75" spans="2:123" s="1471" customFormat="1">
      <c r="B75" s="428">
        <v>41803.643126041665</v>
      </c>
      <c r="C75" s="429">
        <v>1.461037935176611</v>
      </c>
      <c r="D75" s="429">
        <v>1.4724593159667367</v>
      </c>
      <c r="E75" s="429">
        <v>1.5168452574621776</v>
      </c>
      <c r="F75" s="429">
        <v>1.4609969816749495</v>
      </c>
      <c r="G75" s="429">
        <v>1.4267708077393384</v>
      </c>
      <c r="H75" s="429">
        <v>1.5627241120881736</v>
      </c>
      <c r="I75" s="429">
        <v>1.5014321332885645</v>
      </c>
      <c r="J75" s="429">
        <v>1.5145160968587721</v>
      </c>
      <c r="K75" s="429">
        <v>1.3513439888063683</v>
      </c>
      <c r="L75" s="429">
        <v>1.57707284334984</v>
      </c>
      <c r="M75" s="429">
        <v>1.8103902617223755</v>
      </c>
      <c r="N75" s="429">
        <v>1.7708909112978517</v>
      </c>
      <c r="O75" s="429">
        <v>1.3614819970754357</v>
      </c>
      <c r="P75" s="429">
        <v>1.4265706494839208</v>
      </c>
      <c r="Q75" s="429">
        <v>2884.3794494964313</v>
      </c>
      <c r="R75" s="429">
        <v>13.513008208535584</v>
      </c>
      <c r="S75" s="429">
        <v>21.713819735686467</v>
      </c>
      <c r="T75" s="429">
        <v>4526.1631985456925</v>
      </c>
      <c r="U75" s="429">
        <v>4687.5424465616752</v>
      </c>
      <c r="V75" s="429">
        <v>4848.2383416491375</v>
      </c>
      <c r="W75" s="429">
        <v>872.29929680053624</v>
      </c>
      <c r="X75" s="429">
        <v>9.2564388021195079</v>
      </c>
      <c r="Y75" s="429">
        <v>10.224222374948061</v>
      </c>
      <c r="Z75" s="429">
        <v>13.580622311970592</v>
      </c>
      <c r="AA75" s="429">
        <v>7.119514053678869</v>
      </c>
      <c r="AB75" s="429">
        <v>7.9113369769022306</v>
      </c>
      <c r="AC75" s="429">
        <v>4.2651386150273352</v>
      </c>
      <c r="AD75" s="429">
        <v>3.3801542242445661</v>
      </c>
      <c r="AE75" s="429">
        <v>0</v>
      </c>
      <c r="AF75" s="429">
        <v>0</v>
      </c>
      <c r="AG75" s="429">
        <v>0</v>
      </c>
      <c r="AH75" s="429">
        <v>3.1441766939511027</v>
      </c>
      <c r="AI75" s="429">
        <v>6.5976169276117087</v>
      </c>
      <c r="AJ75" s="429">
        <v>6.3031874377168498</v>
      </c>
      <c r="AK75" s="429">
        <v>7.1701507235412869</v>
      </c>
      <c r="AL75" s="429">
        <v>0</v>
      </c>
      <c r="AM75" s="429">
        <v>0</v>
      </c>
      <c r="AN75" s="429">
        <v>0</v>
      </c>
      <c r="AO75" s="432"/>
      <c r="AP75" s="428">
        <v>41803.643126041665</v>
      </c>
      <c r="AQ75" s="431">
        <v>132.21754208591349</v>
      </c>
      <c r="AR75" s="431">
        <v>175.96719895557675</v>
      </c>
      <c r="AS75" s="431">
        <v>121.56800585673152</v>
      </c>
      <c r="AT75" s="431">
        <v>155.71269432080473</v>
      </c>
      <c r="AU75" s="431">
        <v>10.632356683566815</v>
      </c>
      <c r="AV75" s="431">
        <v>81.40574075684367</v>
      </c>
      <c r="AW75" s="431">
        <v>-13.861429399273678</v>
      </c>
      <c r="AX75" s="431">
        <v>5.1043538166706366</v>
      </c>
      <c r="AY75" s="431">
        <v>159.4236947182489</v>
      </c>
      <c r="AZ75" s="431">
        <v>-75.05262956798768</v>
      </c>
      <c r="BA75" s="431">
        <v>83.205119276382419</v>
      </c>
      <c r="BB75" s="431">
        <v>177.74515508342654</v>
      </c>
      <c r="BC75" s="431">
        <v>98.445187715772022</v>
      </c>
      <c r="BD75" s="431">
        <v>141.85822219522623</v>
      </c>
      <c r="BE75" s="431">
        <v>367627.28422208509</v>
      </c>
      <c r="BF75" s="431">
        <v>8447.4216818154273</v>
      </c>
      <c r="BG75" s="431">
        <v>466.36562689095859</v>
      </c>
      <c r="BH75" s="431">
        <v>568935.82005790924</v>
      </c>
      <c r="BI75" s="431">
        <v>550134.10758983926</v>
      </c>
      <c r="BJ75" s="431">
        <v>-63241.396228646867</v>
      </c>
      <c r="BK75" s="431">
        <v>504586.81763168029</v>
      </c>
      <c r="BL75" s="431">
        <v>3313.1571400026442</v>
      </c>
      <c r="BM75" s="431">
        <v>-380.86837476162253</v>
      </c>
      <c r="BN75" s="431">
        <v>5818.7471048356601</v>
      </c>
      <c r="BO75" s="431">
        <v>2710.7649327294357</v>
      </c>
      <c r="BP75" s="431">
        <v>-311.61957935041841</v>
      </c>
      <c r="BQ75" s="431">
        <v>2185.0919111946355</v>
      </c>
      <c r="BR75" s="431">
        <v>924.06244157201638</v>
      </c>
      <c r="BS75" s="431">
        <v>0</v>
      </c>
      <c r="BT75" s="431">
        <v>0</v>
      </c>
      <c r="BU75" s="431">
        <v>0</v>
      </c>
      <c r="BV75" s="431">
        <v>877.17400800983717</v>
      </c>
      <c r="BW75" s="431">
        <v>1430.6068451973465</v>
      </c>
      <c r="BX75" s="431">
        <v>1347.7349104902953</v>
      </c>
      <c r="BY75" s="431">
        <v>1100.4668039979588</v>
      </c>
      <c r="BZ75" s="431">
        <v>0</v>
      </c>
      <c r="CA75" s="431">
        <v>0</v>
      </c>
      <c r="CB75" s="431">
        <v>0</v>
      </c>
      <c r="CC75" s="432"/>
      <c r="CD75" s="428">
        <v>41803.643125925926</v>
      </c>
      <c r="CE75" s="433">
        <v>0.23759628394566742</v>
      </c>
      <c r="CF75" s="433">
        <v>0.16769792432989633</v>
      </c>
      <c r="CG75" s="433">
        <v>0.13923731496982597</v>
      </c>
      <c r="CH75" s="433">
        <v>0.14097114871113556</v>
      </c>
      <c r="CI75" s="433">
        <v>9.3511471554120679E-2</v>
      </c>
      <c r="CJ75" s="433">
        <v>0.2136987442730591</v>
      </c>
      <c r="CK75" s="433">
        <v>0.20005420011599015</v>
      </c>
      <c r="CL75" s="433">
        <v>0.2150045900352773</v>
      </c>
      <c r="CM75" s="433">
        <v>0.16831539661914319</v>
      </c>
      <c r="CN75" s="433">
        <v>0.15819847757401839</v>
      </c>
      <c r="CO75" s="433">
        <v>0.33702421666507049</v>
      </c>
      <c r="CP75" s="433">
        <v>0.28551922081271636</v>
      </c>
      <c r="CQ75" s="433">
        <v>0.34039021610837633</v>
      </c>
      <c r="CR75" s="433">
        <v>0.26734268293054819</v>
      </c>
      <c r="CS75" s="433">
        <v>0.39443520669059223</v>
      </c>
      <c r="CT75" s="433">
        <v>0.447221292916757</v>
      </c>
      <c r="CU75" s="433">
        <v>0.3622790598707698</v>
      </c>
      <c r="CV75" s="433">
        <v>0.47604249083347333</v>
      </c>
      <c r="CW75" s="433">
        <v>0.4759898508915783</v>
      </c>
      <c r="CX75" s="433">
        <v>0.4007797062399322</v>
      </c>
      <c r="CY75" s="433">
        <v>0.43383847945766757</v>
      </c>
      <c r="CZ75" s="433">
        <v>0.29816004259848461</v>
      </c>
      <c r="DA75" s="433">
        <v>0.25104840798869349</v>
      </c>
      <c r="DB75" s="433">
        <v>0.39158019166331348</v>
      </c>
      <c r="DC75" s="433">
        <v>0.29816004259848461</v>
      </c>
      <c r="DD75" s="433">
        <v>0.25104840798869349</v>
      </c>
      <c r="DE75" s="433">
        <v>0.29926769201452108</v>
      </c>
      <c r="DF75" s="433">
        <v>0.37270005324810579</v>
      </c>
      <c r="DG75" s="433">
        <v>0</v>
      </c>
      <c r="DH75" s="433">
        <v>0</v>
      </c>
      <c r="DI75" s="433">
        <v>0</v>
      </c>
      <c r="DJ75" s="433">
        <v>0.33104833187447025</v>
      </c>
      <c r="DK75" s="433">
        <v>0.30102696608500845</v>
      </c>
      <c r="DL75" s="433">
        <v>0.26738519112937981</v>
      </c>
      <c r="DM75" s="433">
        <v>0.39133505591051104</v>
      </c>
      <c r="DN75" s="433">
        <v>0</v>
      </c>
      <c r="DO75" s="433">
        <v>0</v>
      </c>
      <c r="DP75" s="433">
        <v>0</v>
      </c>
      <c r="DR75" s="409" t="s">
        <v>711</v>
      </c>
      <c r="DS75" s="409" t="s">
        <v>2440</v>
      </c>
    </row>
    <row r="76" spans="2:123" s="1471" customFormat="1">
      <c r="B76" s="428">
        <v>41803.685705671298</v>
      </c>
      <c r="C76" s="429">
        <v>1.461037935176611</v>
      </c>
      <c r="D76" s="429">
        <v>1.4724593159667367</v>
      </c>
      <c r="E76" s="429">
        <v>1.4745527520751238</v>
      </c>
      <c r="F76" s="429">
        <v>1.4569344695742203</v>
      </c>
      <c r="G76" s="429">
        <v>1.4267708077393384</v>
      </c>
      <c r="H76" s="429">
        <v>1.2364049093456293</v>
      </c>
      <c r="I76" s="429">
        <v>1.5022511332885644</v>
      </c>
      <c r="J76" s="429">
        <v>1.5145160968587721</v>
      </c>
      <c r="K76" s="429">
        <v>1.3513439888063683</v>
      </c>
      <c r="L76" s="429">
        <v>1.57707284334984</v>
      </c>
      <c r="M76" s="429">
        <v>1.8103902617223755</v>
      </c>
      <c r="N76" s="429">
        <v>1.7708909112978517</v>
      </c>
      <c r="O76" s="429">
        <v>1.3614819970754357</v>
      </c>
      <c r="P76" s="429">
        <v>1.4265706494839208</v>
      </c>
      <c r="Q76" s="429">
        <v>2884.3794494964313</v>
      </c>
      <c r="R76" s="429">
        <v>13.513008208535584</v>
      </c>
      <c r="S76" s="429">
        <v>33.740719412385651</v>
      </c>
      <c r="T76" s="429">
        <v>4526.1631985456925</v>
      </c>
      <c r="U76" s="429">
        <v>4687.5424465616752</v>
      </c>
      <c r="V76" s="429">
        <v>4851.5393783662003</v>
      </c>
      <c r="W76" s="429">
        <v>872.29929680053624</v>
      </c>
      <c r="X76" s="429">
        <v>9.2564388021195079</v>
      </c>
      <c r="Y76" s="429">
        <v>10.244102715428062</v>
      </c>
      <c r="Z76" s="429">
        <v>13.580622311970592</v>
      </c>
      <c r="AA76" s="429">
        <v>7.119514053678869</v>
      </c>
      <c r="AB76" s="429">
        <v>7.9276027100222306</v>
      </c>
      <c r="AC76" s="429">
        <v>4.2651386150273352</v>
      </c>
      <c r="AD76" s="429">
        <v>3.3801542242445661</v>
      </c>
      <c r="AE76" s="429">
        <v>0</v>
      </c>
      <c r="AF76" s="429">
        <v>0</v>
      </c>
      <c r="AG76" s="429">
        <v>0</v>
      </c>
      <c r="AH76" s="429">
        <v>3.1441766939511027</v>
      </c>
      <c r="AI76" s="429">
        <v>6.5976169276117087</v>
      </c>
      <c r="AJ76" s="429">
        <v>6.3031874377168498</v>
      </c>
      <c r="AK76" s="429">
        <v>7.1701507235412869</v>
      </c>
      <c r="AL76" s="429">
        <v>0</v>
      </c>
      <c r="AM76" s="429">
        <v>0</v>
      </c>
      <c r="AN76" s="429">
        <v>0</v>
      </c>
      <c r="AO76" s="432"/>
      <c r="AP76" s="428">
        <v>41803.685705671298</v>
      </c>
      <c r="AQ76" s="431">
        <v>132.21754208591349</v>
      </c>
      <c r="AR76" s="431">
        <v>175.96719895557675</v>
      </c>
      <c r="AS76" s="431">
        <v>121.56800585673152</v>
      </c>
      <c r="AT76" s="431">
        <v>155.71269432080473</v>
      </c>
      <c r="AU76" s="431">
        <v>10.632356683566815</v>
      </c>
      <c r="AV76" s="431">
        <v>81.40574075684367</v>
      </c>
      <c r="AW76" s="431">
        <v>-13.861429399273678</v>
      </c>
      <c r="AX76" s="431">
        <v>5.1043538166706366</v>
      </c>
      <c r="AY76" s="431">
        <v>159.4236947182489</v>
      </c>
      <c r="AZ76" s="431">
        <v>-75.05262956798768</v>
      </c>
      <c r="BA76" s="431">
        <v>83.205119276382419</v>
      </c>
      <c r="BB76" s="431">
        <v>177.74515508342654</v>
      </c>
      <c r="BC76" s="431">
        <v>98.445187715772022</v>
      </c>
      <c r="BD76" s="431">
        <v>141.85822219522623</v>
      </c>
      <c r="BE76" s="431">
        <v>367627.28422208509</v>
      </c>
      <c r="BF76" s="431">
        <v>8447.4216818154273</v>
      </c>
      <c r="BG76" s="431">
        <v>620.55385902190505</v>
      </c>
      <c r="BH76" s="431">
        <v>568935.82005790924</v>
      </c>
      <c r="BI76" s="431">
        <v>550134.10758983926</v>
      </c>
      <c r="BJ76" s="431">
        <v>-63241.396228646867</v>
      </c>
      <c r="BK76" s="431">
        <v>504586.81763168029</v>
      </c>
      <c r="BL76" s="431">
        <v>3313.1571400026442</v>
      </c>
      <c r="BM76" s="431">
        <v>-380.86837476162253</v>
      </c>
      <c r="BN76" s="431">
        <v>5818.7471048356601</v>
      </c>
      <c r="BO76" s="431">
        <v>2710.7649327294357</v>
      </c>
      <c r="BP76" s="431">
        <v>-311.61957935041841</v>
      </c>
      <c r="BQ76" s="431">
        <v>2185.0919111946355</v>
      </c>
      <c r="BR76" s="431">
        <v>924.06244157201638</v>
      </c>
      <c r="BS76" s="431">
        <v>0</v>
      </c>
      <c r="BT76" s="431">
        <v>0</v>
      </c>
      <c r="BU76" s="431">
        <v>0</v>
      </c>
      <c r="BV76" s="431">
        <v>877.17400800983717</v>
      </c>
      <c r="BW76" s="431">
        <v>1430.6068451973465</v>
      </c>
      <c r="BX76" s="431">
        <v>1347.7349104902953</v>
      </c>
      <c r="BY76" s="431">
        <v>1100.4668039979588</v>
      </c>
      <c r="BZ76" s="431">
        <v>0</v>
      </c>
      <c r="CA76" s="431">
        <v>0</v>
      </c>
      <c r="CB76" s="431">
        <v>0</v>
      </c>
      <c r="CC76" s="432"/>
      <c r="CD76" s="428">
        <v>41803.685705671298</v>
      </c>
      <c r="CE76" s="433">
        <v>0.23759628394566742</v>
      </c>
      <c r="CF76" s="433">
        <v>0.16769792432989633</v>
      </c>
      <c r="CG76" s="433">
        <v>0.13923731496982597</v>
      </c>
      <c r="CH76" s="433">
        <v>0.14097114871113556</v>
      </c>
      <c r="CI76" s="433">
        <v>9.3511471554120679E-2</v>
      </c>
      <c r="CJ76" s="433">
        <v>0.2136987442730591</v>
      </c>
      <c r="CK76" s="433">
        <v>0.20005420011599015</v>
      </c>
      <c r="CL76" s="433">
        <v>0.2150045900352773</v>
      </c>
      <c r="CM76" s="433">
        <v>0.16831539661914319</v>
      </c>
      <c r="CN76" s="433">
        <v>0.15819847757401839</v>
      </c>
      <c r="CO76" s="433">
        <v>0.33702421666507049</v>
      </c>
      <c r="CP76" s="433">
        <v>0.28551922081271636</v>
      </c>
      <c r="CQ76" s="433">
        <v>0.34039021610837633</v>
      </c>
      <c r="CR76" s="433">
        <v>0.26734268293054819</v>
      </c>
      <c r="CS76" s="433">
        <v>0.39443520669059223</v>
      </c>
      <c r="CT76" s="433">
        <v>0.447221292916757</v>
      </c>
      <c r="CU76" s="433">
        <v>0.3622790598707698</v>
      </c>
      <c r="CV76" s="433">
        <v>0.47604249083347333</v>
      </c>
      <c r="CW76" s="433">
        <v>0.4759898508915783</v>
      </c>
      <c r="CX76" s="433">
        <v>0.4007797062399322</v>
      </c>
      <c r="CY76" s="433">
        <v>0.43383847945766757</v>
      </c>
      <c r="CZ76" s="433">
        <v>0.29816004259848461</v>
      </c>
      <c r="DA76" s="433">
        <v>0.25104840798869349</v>
      </c>
      <c r="DB76" s="433">
        <v>0.39158019166331348</v>
      </c>
      <c r="DC76" s="433">
        <v>0.29816004259848461</v>
      </c>
      <c r="DD76" s="433">
        <v>0.25104840798869349</v>
      </c>
      <c r="DE76" s="433">
        <v>0.29926769201452108</v>
      </c>
      <c r="DF76" s="433">
        <v>0.37270005324810579</v>
      </c>
      <c r="DG76" s="433">
        <v>0</v>
      </c>
      <c r="DH76" s="433">
        <v>0</v>
      </c>
      <c r="DI76" s="433">
        <v>0</v>
      </c>
      <c r="DJ76" s="433">
        <v>0.33104833187447025</v>
      </c>
      <c r="DK76" s="433">
        <v>0.30102696608500845</v>
      </c>
      <c r="DL76" s="433">
        <v>0.26738519112937981</v>
      </c>
      <c r="DM76" s="433">
        <v>0.39133505591051104</v>
      </c>
      <c r="DN76" s="433">
        <v>0</v>
      </c>
      <c r="DO76" s="433">
        <v>0</v>
      </c>
      <c r="DP76" s="433">
        <v>0</v>
      </c>
      <c r="DR76" s="409" t="s">
        <v>711</v>
      </c>
      <c r="DS76" s="409" t="s">
        <v>2443</v>
      </c>
    </row>
    <row r="77" spans="2:123" s="1471" customFormat="1">
      <c r="B77" s="428">
        <v>41803.694520949073</v>
      </c>
      <c r="C77" s="429">
        <v>1.461037935176611</v>
      </c>
      <c r="D77" s="429">
        <v>1.4724593159667367</v>
      </c>
      <c r="E77" s="429">
        <v>1.4745527520751238</v>
      </c>
      <c r="F77" s="429">
        <v>1.4569344695742203</v>
      </c>
      <c r="G77" s="429">
        <v>1.4267708077393384</v>
      </c>
      <c r="H77" s="429">
        <v>1.4317981265138462</v>
      </c>
      <c r="I77" s="429">
        <v>1.5022511332885644</v>
      </c>
      <c r="J77" s="429">
        <v>1.5145160968587721</v>
      </c>
      <c r="K77" s="429">
        <v>1.3513439888063683</v>
      </c>
      <c r="L77" s="429">
        <v>1.57707284334984</v>
      </c>
      <c r="M77" s="429">
        <v>1.8103902617223755</v>
      </c>
      <c r="N77" s="429">
        <v>1.7708909112978517</v>
      </c>
      <c r="O77" s="429">
        <v>1.3614819970754357</v>
      </c>
      <c r="P77" s="429">
        <v>1.4265706494839208</v>
      </c>
      <c r="Q77" s="429">
        <v>2884.3794494964313</v>
      </c>
      <c r="R77" s="429">
        <v>13.513008208535584</v>
      </c>
      <c r="S77" s="429">
        <v>17.546082223959015</v>
      </c>
      <c r="T77" s="429">
        <v>4526.1631985456925</v>
      </c>
      <c r="U77" s="429">
        <v>4687.5424465616752</v>
      </c>
      <c r="V77" s="429">
        <v>4851.5393783662003</v>
      </c>
      <c r="W77" s="429">
        <v>872.29929680053624</v>
      </c>
      <c r="X77" s="429">
        <v>9.2564388021195079</v>
      </c>
      <c r="Y77" s="429">
        <v>10.244102715428062</v>
      </c>
      <c r="Z77" s="429">
        <v>13.580622311970592</v>
      </c>
      <c r="AA77" s="429">
        <v>7.119514053678869</v>
      </c>
      <c r="AB77" s="429">
        <v>7.9276027100222306</v>
      </c>
      <c r="AC77" s="429">
        <v>4.2651386150273352</v>
      </c>
      <c r="AD77" s="429">
        <v>3.3801542242445661</v>
      </c>
      <c r="AE77" s="429">
        <v>0</v>
      </c>
      <c r="AF77" s="429">
        <v>0</v>
      </c>
      <c r="AG77" s="429">
        <v>0</v>
      </c>
      <c r="AH77" s="429">
        <v>3.1441766939511027</v>
      </c>
      <c r="AI77" s="429">
        <v>6.5976169276117087</v>
      </c>
      <c r="AJ77" s="429">
        <v>6.3031874377168498</v>
      </c>
      <c r="AK77" s="429">
        <v>7.1701507235412869</v>
      </c>
      <c r="AL77" s="429">
        <v>0</v>
      </c>
      <c r="AM77" s="429">
        <v>0</v>
      </c>
      <c r="AN77" s="429">
        <v>0</v>
      </c>
      <c r="AO77" s="432"/>
      <c r="AP77" s="428">
        <v>41803.694520949073</v>
      </c>
      <c r="AQ77" s="431">
        <v>132.21754208591349</v>
      </c>
      <c r="AR77" s="431">
        <v>175.96719895557675</v>
      </c>
      <c r="AS77" s="431">
        <v>121.56800585673152</v>
      </c>
      <c r="AT77" s="431">
        <v>155.71269432080473</v>
      </c>
      <c r="AU77" s="431">
        <v>10.632356683566815</v>
      </c>
      <c r="AV77" s="431">
        <v>81.40574075684367</v>
      </c>
      <c r="AW77" s="431">
        <v>-13.861429399273678</v>
      </c>
      <c r="AX77" s="431">
        <v>5.1043538166706366</v>
      </c>
      <c r="AY77" s="431">
        <v>159.4236947182489</v>
      </c>
      <c r="AZ77" s="431">
        <v>-75.05262956798768</v>
      </c>
      <c r="BA77" s="431">
        <v>83.205119276382419</v>
      </c>
      <c r="BB77" s="431">
        <v>177.74515508342654</v>
      </c>
      <c r="BC77" s="431">
        <v>98.445187715772022</v>
      </c>
      <c r="BD77" s="431">
        <v>141.85822219522623</v>
      </c>
      <c r="BE77" s="431">
        <v>367627.28422208509</v>
      </c>
      <c r="BF77" s="431">
        <v>8447.4216818154273</v>
      </c>
      <c r="BG77" s="431">
        <v>412.93406130102659</v>
      </c>
      <c r="BH77" s="431">
        <v>568935.82005790924</v>
      </c>
      <c r="BI77" s="431">
        <v>550134.10758983926</v>
      </c>
      <c r="BJ77" s="431">
        <v>-63241.396228646867</v>
      </c>
      <c r="BK77" s="431">
        <v>504586.81763168029</v>
      </c>
      <c r="BL77" s="431">
        <v>3313.1571400026442</v>
      </c>
      <c r="BM77" s="431">
        <v>-380.86837476162253</v>
      </c>
      <c r="BN77" s="431">
        <v>5818.7471048356601</v>
      </c>
      <c r="BO77" s="431">
        <v>2710.7649327294357</v>
      </c>
      <c r="BP77" s="431">
        <v>-311.61957935041841</v>
      </c>
      <c r="BQ77" s="431">
        <v>2185.0919111946355</v>
      </c>
      <c r="BR77" s="431">
        <v>924.06244157201638</v>
      </c>
      <c r="BS77" s="431">
        <v>0</v>
      </c>
      <c r="BT77" s="431">
        <v>0</v>
      </c>
      <c r="BU77" s="431">
        <v>0</v>
      </c>
      <c r="BV77" s="431">
        <v>877.17400800983717</v>
      </c>
      <c r="BW77" s="431">
        <v>1430.6068451973465</v>
      </c>
      <c r="BX77" s="431">
        <v>1347.7349104902953</v>
      </c>
      <c r="BY77" s="431">
        <v>1100.4668039979588</v>
      </c>
      <c r="BZ77" s="431">
        <v>0</v>
      </c>
      <c r="CA77" s="431">
        <v>0</v>
      </c>
      <c r="CB77" s="431">
        <v>0</v>
      </c>
      <c r="CC77" s="432"/>
      <c r="CD77" s="428">
        <v>41803.694520949073</v>
      </c>
      <c r="CE77" s="433">
        <v>0.23759628394566742</v>
      </c>
      <c r="CF77" s="433">
        <v>0.16769792432989633</v>
      </c>
      <c r="CG77" s="433">
        <v>0.13923731496982597</v>
      </c>
      <c r="CH77" s="433">
        <v>0.14097114871113556</v>
      </c>
      <c r="CI77" s="433">
        <v>9.3511471554120679E-2</v>
      </c>
      <c r="CJ77" s="433">
        <v>0.21434479620157099</v>
      </c>
      <c r="CK77" s="433">
        <v>0.20005420011599015</v>
      </c>
      <c r="CL77" s="433">
        <v>0.2150045900352773</v>
      </c>
      <c r="CM77" s="433">
        <v>0.16831539661914319</v>
      </c>
      <c r="CN77" s="433">
        <v>0.15819847757401839</v>
      </c>
      <c r="CO77" s="433">
        <v>0.33702421666507049</v>
      </c>
      <c r="CP77" s="433">
        <v>0.28551922081271636</v>
      </c>
      <c r="CQ77" s="433">
        <v>0.34039021610837633</v>
      </c>
      <c r="CR77" s="433">
        <v>0.26734268293054819</v>
      </c>
      <c r="CS77" s="433">
        <v>0.39443520669059223</v>
      </c>
      <c r="CT77" s="433">
        <v>0.447221292916757</v>
      </c>
      <c r="CU77" s="433">
        <v>0.51158194515084476</v>
      </c>
      <c r="CV77" s="433">
        <v>0.47604249083347333</v>
      </c>
      <c r="CW77" s="433">
        <v>0.4759898508915783</v>
      </c>
      <c r="CX77" s="433">
        <v>0.4007797062399322</v>
      </c>
      <c r="CY77" s="433">
        <v>0.43383847945766757</v>
      </c>
      <c r="CZ77" s="433">
        <v>0.29816004259848461</v>
      </c>
      <c r="DA77" s="433">
        <v>0.25104840798869349</v>
      </c>
      <c r="DB77" s="433">
        <v>0.39158019166331348</v>
      </c>
      <c r="DC77" s="433">
        <v>0.29816004259848461</v>
      </c>
      <c r="DD77" s="433">
        <v>0.25104840798869349</v>
      </c>
      <c r="DE77" s="433">
        <v>0.29926769201452108</v>
      </c>
      <c r="DF77" s="433">
        <v>0.37270005324810579</v>
      </c>
      <c r="DG77" s="433">
        <v>0</v>
      </c>
      <c r="DH77" s="433">
        <v>0</v>
      </c>
      <c r="DI77" s="433">
        <v>0</v>
      </c>
      <c r="DJ77" s="433">
        <v>0.33104833187447025</v>
      </c>
      <c r="DK77" s="433">
        <v>0.30102696608500845</v>
      </c>
      <c r="DL77" s="433">
        <v>0.26738519112937981</v>
      </c>
      <c r="DM77" s="433">
        <v>0.39133505591051104</v>
      </c>
      <c r="DN77" s="433">
        <v>0</v>
      </c>
      <c r="DO77" s="433">
        <v>0</v>
      </c>
      <c r="DP77" s="433">
        <v>0</v>
      </c>
      <c r="DR77" s="409" t="s">
        <v>711</v>
      </c>
      <c r="DS77" s="409" t="s">
        <v>2445</v>
      </c>
    </row>
    <row r="78" spans="2:123" s="1471" customFormat="1">
      <c r="B78" s="428">
        <v>41803.715264930557</v>
      </c>
      <c r="C78" s="429">
        <v>1.461037935176611</v>
      </c>
      <c r="D78" s="429">
        <v>1.4724593159667367</v>
      </c>
      <c r="E78" s="429">
        <v>1.4745527520751238</v>
      </c>
      <c r="F78" s="429">
        <v>1.3996528116623139</v>
      </c>
      <c r="G78" s="429">
        <v>1.4267708077393384</v>
      </c>
      <c r="H78" s="429">
        <v>1.4317981265138462</v>
      </c>
      <c r="I78" s="429">
        <v>1.5022511332885644</v>
      </c>
      <c r="J78" s="429">
        <v>1.5145160968587721</v>
      </c>
      <c r="K78" s="429">
        <v>1.3513439888063683</v>
      </c>
      <c r="L78" s="429">
        <v>1.57707284334984</v>
      </c>
      <c r="M78" s="429">
        <v>1.8103902617223755</v>
      </c>
      <c r="N78" s="429">
        <v>1.7708909112978517</v>
      </c>
      <c r="O78" s="429">
        <v>1.3614819970754357</v>
      </c>
      <c r="P78" s="429">
        <v>1.4265706494839208</v>
      </c>
      <c r="Q78" s="429">
        <v>2884.3794494964313</v>
      </c>
      <c r="R78" s="429">
        <v>13.513008208535584</v>
      </c>
      <c r="S78" s="429">
        <v>17.546082223959015</v>
      </c>
      <c r="T78" s="429">
        <v>4526.1631985456925</v>
      </c>
      <c r="U78" s="429">
        <v>4687.5424465616752</v>
      </c>
      <c r="V78" s="429">
        <v>4851.5393783662003</v>
      </c>
      <c r="W78" s="429">
        <v>872.29929680053624</v>
      </c>
      <c r="X78" s="429">
        <v>9.2564388021195079</v>
      </c>
      <c r="Y78" s="429">
        <v>10.244102715428062</v>
      </c>
      <c r="Z78" s="429">
        <v>13.580622311970592</v>
      </c>
      <c r="AA78" s="429">
        <v>7.119514053678869</v>
      </c>
      <c r="AB78" s="429">
        <v>7.9276027100222306</v>
      </c>
      <c r="AC78" s="429">
        <v>4.2651386150273352</v>
      </c>
      <c r="AD78" s="429">
        <v>3.3801542242445661</v>
      </c>
      <c r="AE78" s="429">
        <v>0</v>
      </c>
      <c r="AF78" s="429">
        <v>0</v>
      </c>
      <c r="AG78" s="429">
        <v>0</v>
      </c>
      <c r="AH78" s="429">
        <v>3.1441766939511027</v>
      </c>
      <c r="AI78" s="429">
        <v>6.5976169276117087</v>
      </c>
      <c r="AJ78" s="429">
        <v>6.3031874377168498</v>
      </c>
      <c r="AK78" s="429">
        <v>7.1701507235412869</v>
      </c>
      <c r="AL78" s="429">
        <v>0</v>
      </c>
      <c r="AM78" s="429">
        <v>0</v>
      </c>
      <c r="AN78" s="429">
        <v>0</v>
      </c>
      <c r="AO78" s="432"/>
      <c r="AP78" s="428">
        <v>41803.715264930557</v>
      </c>
      <c r="AQ78" s="431">
        <v>132.21754208591349</v>
      </c>
      <c r="AR78" s="431">
        <v>175.96719895557675</v>
      </c>
      <c r="AS78" s="431">
        <v>121.56800585673152</v>
      </c>
      <c r="AT78" s="431">
        <v>130.36489722614525</v>
      </c>
      <c r="AU78" s="431">
        <v>10.632356683566815</v>
      </c>
      <c r="AV78" s="431">
        <v>81.40574075684367</v>
      </c>
      <c r="AW78" s="431">
        <v>-13.861429399273678</v>
      </c>
      <c r="AX78" s="431">
        <v>5.1043538166706366</v>
      </c>
      <c r="AY78" s="431">
        <v>159.4236947182489</v>
      </c>
      <c r="AZ78" s="431">
        <v>-75.05262956798768</v>
      </c>
      <c r="BA78" s="431">
        <v>83.205119276382419</v>
      </c>
      <c r="BB78" s="431">
        <v>177.74515508342654</v>
      </c>
      <c r="BC78" s="431">
        <v>98.445187715772022</v>
      </c>
      <c r="BD78" s="431">
        <v>141.85822219522623</v>
      </c>
      <c r="BE78" s="431">
        <v>367627.28422208509</v>
      </c>
      <c r="BF78" s="431">
        <v>8447.4216818154273</v>
      </c>
      <c r="BG78" s="431">
        <v>412.93406130102659</v>
      </c>
      <c r="BH78" s="431">
        <v>568935.82005790924</v>
      </c>
      <c r="BI78" s="431">
        <v>550134.10758983926</v>
      </c>
      <c r="BJ78" s="431">
        <v>-63241.396228646867</v>
      </c>
      <c r="BK78" s="431">
        <v>504586.81763168029</v>
      </c>
      <c r="BL78" s="431">
        <v>3313.1571400026442</v>
      </c>
      <c r="BM78" s="431">
        <v>-380.86837476162253</v>
      </c>
      <c r="BN78" s="431">
        <v>5818.7471048356601</v>
      </c>
      <c r="BO78" s="431">
        <v>2710.7649327294357</v>
      </c>
      <c r="BP78" s="431">
        <v>-311.61957935041841</v>
      </c>
      <c r="BQ78" s="431">
        <v>2185.0919111946355</v>
      </c>
      <c r="BR78" s="431">
        <v>924.06244157201638</v>
      </c>
      <c r="BS78" s="431">
        <v>0</v>
      </c>
      <c r="BT78" s="431">
        <v>0</v>
      </c>
      <c r="BU78" s="431">
        <v>0</v>
      </c>
      <c r="BV78" s="431">
        <v>877.17400800983717</v>
      </c>
      <c r="BW78" s="431">
        <v>1430.6068451973465</v>
      </c>
      <c r="BX78" s="431">
        <v>1347.7349104902953</v>
      </c>
      <c r="BY78" s="431">
        <v>1100.4668039979588</v>
      </c>
      <c r="BZ78" s="431">
        <v>0</v>
      </c>
      <c r="CA78" s="431">
        <v>0</v>
      </c>
      <c r="CB78" s="431">
        <v>0</v>
      </c>
      <c r="CC78" s="432"/>
      <c r="CD78" s="428">
        <v>41803.715264814811</v>
      </c>
      <c r="CE78" s="433">
        <v>0.23759628394566742</v>
      </c>
      <c r="CF78" s="433">
        <v>0.16769792432989633</v>
      </c>
      <c r="CG78" s="433">
        <v>0.13923731496982597</v>
      </c>
      <c r="CH78" s="433">
        <v>0.11242287429465053</v>
      </c>
      <c r="CI78" s="433">
        <v>9.3511471554120679E-2</v>
      </c>
      <c r="CJ78" s="433">
        <v>0.21434479620157099</v>
      </c>
      <c r="CK78" s="433">
        <v>0.20005420011599015</v>
      </c>
      <c r="CL78" s="433">
        <v>0.2150045900352773</v>
      </c>
      <c r="CM78" s="433">
        <v>0.16831539661914319</v>
      </c>
      <c r="CN78" s="433">
        <v>0.15819847757401839</v>
      </c>
      <c r="CO78" s="433">
        <v>0.33702421666507049</v>
      </c>
      <c r="CP78" s="433">
        <v>0.28551922081271636</v>
      </c>
      <c r="CQ78" s="433">
        <v>0.34039021610837633</v>
      </c>
      <c r="CR78" s="433">
        <v>0.26734268293054819</v>
      </c>
      <c r="CS78" s="433">
        <v>0.39443520669059223</v>
      </c>
      <c r="CT78" s="433">
        <v>0.447221292916757</v>
      </c>
      <c r="CU78" s="433">
        <v>0.51158194515084476</v>
      </c>
      <c r="CV78" s="433">
        <v>0.47604249083347333</v>
      </c>
      <c r="CW78" s="433">
        <v>0.4759898508915783</v>
      </c>
      <c r="CX78" s="433">
        <v>0.4007797062399322</v>
      </c>
      <c r="CY78" s="433">
        <v>0.43383847945766757</v>
      </c>
      <c r="CZ78" s="433">
        <v>0.29816004259848461</v>
      </c>
      <c r="DA78" s="433">
        <v>0.25104840798869349</v>
      </c>
      <c r="DB78" s="433">
        <v>0.39158019166331348</v>
      </c>
      <c r="DC78" s="433">
        <v>0.29816004259848461</v>
      </c>
      <c r="DD78" s="433">
        <v>0.25104840798869349</v>
      </c>
      <c r="DE78" s="433">
        <v>0.29926769201452108</v>
      </c>
      <c r="DF78" s="433">
        <v>0.37270005324810579</v>
      </c>
      <c r="DG78" s="433">
        <v>0</v>
      </c>
      <c r="DH78" s="433">
        <v>0</v>
      </c>
      <c r="DI78" s="433">
        <v>0</v>
      </c>
      <c r="DJ78" s="433">
        <v>0.33104833187447025</v>
      </c>
      <c r="DK78" s="433">
        <v>0.30102696608500845</v>
      </c>
      <c r="DL78" s="433">
        <v>0.26738519112937981</v>
      </c>
      <c r="DM78" s="433">
        <v>0.39133505591051104</v>
      </c>
      <c r="DN78" s="433">
        <v>0</v>
      </c>
      <c r="DO78" s="433">
        <v>0</v>
      </c>
      <c r="DP78" s="433">
        <v>0</v>
      </c>
      <c r="DR78" s="409" t="s">
        <v>711</v>
      </c>
      <c r="DS78" s="409" t="s">
        <v>2460</v>
      </c>
    </row>
    <row r="79" spans="2:123" s="1471" customFormat="1">
      <c r="B79" s="428">
        <v>41806.551296296297</v>
      </c>
      <c r="C79" s="429">
        <v>1.461037935176611</v>
      </c>
      <c r="D79" s="429">
        <v>1.4724593159667367</v>
      </c>
      <c r="E79" s="429">
        <v>1.4745527520751238</v>
      </c>
      <c r="F79" s="429">
        <v>1.3996528116623139</v>
      </c>
      <c r="G79" s="429">
        <v>1.4267708077393384</v>
      </c>
      <c r="H79" s="429">
        <v>1.4317981265138462</v>
      </c>
      <c r="I79" s="429">
        <v>1.5014321332885645</v>
      </c>
      <c r="J79" s="429">
        <v>1.5145160968587721</v>
      </c>
      <c r="K79" s="429">
        <v>1.3513439888063683</v>
      </c>
      <c r="L79" s="429">
        <v>1.57707284334984</v>
      </c>
      <c r="M79" s="429">
        <v>1.8103902617223755</v>
      </c>
      <c r="N79" s="429">
        <v>1.7708909112978517</v>
      </c>
      <c r="O79" s="429">
        <v>1.3614819970754357</v>
      </c>
      <c r="P79" s="429">
        <v>1.4265706494839208</v>
      </c>
      <c r="Q79" s="429">
        <v>2884.3794494964313</v>
      </c>
      <c r="R79" s="429">
        <v>13.513008208535584</v>
      </c>
      <c r="S79" s="429">
        <v>17.546082223959015</v>
      </c>
      <c r="T79" s="429">
        <v>4526.1631985456925</v>
      </c>
      <c r="U79" s="429">
        <v>4687.5424465616752</v>
      </c>
      <c r="V79" s="429">
        <v>4848.2383416491375</v>
      </c>
      <c r="W79" s="429">
        <v>872.29929680053624</v>
      </c>
      <c r="X79" s="429">
        <v>9.2564388021195079</v>
      </c>
      <c r="Y79" s="429">
        <v>10.224222374948063</v>
      </c>
      <c r="Z79" s="429">
        <v>13.580622311970592</v>
      </c>
      <c r="AA79" s="429">
        <v>7.119514053678869</v>
      </c>
      <c r="AB79" s="429">
        <v>7.9113369769022315</v>
      </c>
      <c r="AC79" s="429">
        <v>4.2651386150273352</v>
      </c>
      <c r="AD79" s="429">
        <v>3.3801542242445661</v>
      </c>
      <c r="AE79" s="429">
        <v>0</v>
      </c>
      <c r="AF79" s="429">
        <v>0</v>
      </c>
      <c r="AG79" s="429">
        <v>0</v>
      </c>
      <c r="AH79" s="429">
        <v>3.1441766939511027</v>
      </c>
      <c r="AI79" s="429">
        <v>6.5976169276117087</v>
      </c>
      <c r="AJ79" s="429">
        <v>6.3031874377168498</v>
      </c>
      <c r="AK79" s="429">
        <v>7.1701507235412869</v>
      </c>
      <c r="AL79" s="429">
        <v>0</v>
      </c>
      <c r="AM79" s="429">
        <v>0</v>
      </c>
      <c r="AN79" s="429">
        <v>0</v>
      </c>
      <c r="AO79" s="432"/>
      <c r="AP79" s="428">
        <v>41806.551296296297</v>
      </c>
      <c r="AQ79" s="431">
        <v>132.21754208591349</v>
      </c>
      <c r="AR79" s="431">
        <v>175.96719895557675</v>
      </c>
      <c r="AS79" s="431">
        <v>121.56800585673152</v>
      </c>
      <c r="AT79" s="431">
        <v>130.36489722614525</v>
      </c>
      <c r="AU79" s="431">
        <v>10.632356683566815</v>
      </c>
      <c r="AV79" s="431">
        <v>81.40574075684367</v>
      </c>
      <c r="AW79" s="431">
        <v>-13.861429399273678</v>
      </c>
      <c r="AX79" s="431">
        <v>5.1043538166706366</v>
      </c>
      <c r="AY79" s="431">
        <v>159.4236947182489</v>
      </c>
      <c r="AZ79" s="431">
        <v>-75.05262956798768</v>
      </c>
      <c r="BA79" s="431">
        <v>83.205119276382419</v>
      </c>
      <c r="BB79" s="431">
        <v>177.74515508342654</v>
      </c>
      <c r="BC79" s="431">
        <v>98.445187715772022</v>
      </c>
      <c r="BD79" s="431">
        <v>141.85822219522623</v>
      </c>
      <c r="BE79" s="431">
        <v>367627.28422208509</v>
      </c>
      <c r="BF79" s="431">
        <v>8447.4216818154273</v>
      </c>
      <c r="BG79" s="431">
        <v>412.93406130102659</v>
      </c>
      <c r="BH79" s="431">
        <v>568935.82005790924</v>
      </c>
      <c r="BI79" s="431">
        <v>550134.10758983926</v>
      </c>
      <c r="BJ79" s="431">
        <v>-63241.396228646867</v>
      </c>
      <c r="BK79" s="431">
        <v>504586.81763168029</v>
      </c>
      <c r="BL79" s="431">
        <v>3313.1571400026442</v>
      </c>
      <c r="BM79" s="431">
        <v>-380.86837476162253</v>
      </c>
      <c r="BN79" s="431">
        <v>5818.7471048356601</v>
      </c>
      <c r="BO79" s="431">
        <v>2710.7649327294357</v>
      </c>
      <c r="BP79" s="431">
        <v>-311.61957935041841</v>
      </c>
      <c r="BQ79" s="431">
        <v>2185.0919111946355</v>
      </c>
      <c r="BR79" s="431">
        <v>924.06244157201638</v>
      </c>
      <c r="BS79" s="431">
        <v>0</v>
      </c>
      <c r="BT79" s="431">
        <v>0</v>
      </c>
      <c r="BU79" s="431">
        <v>0</v>
      </c>
      <c r="BV79" s="431">
        <v>877.17400800983717</v>
      </c>
      <c r="BW79" s="431">
        <v>1430.6068451973465</v>
      </c>
      <c r="BX79" s="431">
        <v>1347.7349104902953</v>
      </c>
      <c r="BY79" s="431">
        <v>1100.4668039979588</v>
      </c>
      <c r="BZ79" s="431">
        <v>0</v>
      </c>
      <c r="CA79" s="431">
        <v>0</v>
      </c>
      <c r="CB79" s="431">
        <v>0</v>
      </c>
      <c r="CC79" s="432"/>
      <c r="CD79" s="428">
        <v>41806.551296296297</v>
      </c>
      <c r="CE79" s="433">
        <v>0.23759628394566742</v>
      </c>
      <c r="CF79" s="433">
        <v>0.16769792432989633</v>
      </c>
      <c r="CG79" s="433">
        <v>0.13923731496982597</v>
      </c>
      <c r="CH79" s="433">
        <v>0.11242287429465053</v>
      </c>
      <c r="CI79" s="433">
        <v>9.3511471554120679E-2</v>
      </c>
      <c r="CJ79" s="433">
        <v>0.21434479620157099</v>
      </c>
      <c r="CK79" s="433">
        <v>0.20005420011599015</v>
      </c>
      <c r="CL79" s="433">
        <v>0.2150045900352773</v>
      </c>
      <c r="CM79" s="433">
        <v>0.16831539661914319</v>
      </c>
      <c r="CN79" s="433">
        <v>0.15819847757401839</v>
      </c>
      <c r="CO79" s="433">
        <v>0.33702421666507049</v>
      </c>
      <c r="CP79" s="433">
        <v>0.28551922081271636</v>
      </c>
      <c r="CQ79" s="433">
        <v>0.34039021610837633</v>
      </c>
      <c r="CR79" s="433">
        <v>0.26734268293054819</v>
      </c>
      <c r="CS79" s="433">
        <v>0.39443520669059223</v>
      </c>
      <c r="CT79" s="433">
        <v>0.447221292916757</v>
      </c>
      <c r="CU79" s="433">
        <v>0.51158194515084476</v>
      </c>
      <c r="CV79" s="433">
        <v>0.47604249083347333</v>
      </c>
      <c r="CW79" s="433">
        <v>0.4759898508915783</v>
      </c>
      <c r="CX79" s="433">
        <v>0.4007797062399322</v>
      </c>
      <c r="CY79" s="433">
        <v>0.43383847945766757</v>
      </c>
      <c r="CZ79" s="433">
        <v>0.29816004259848461</v>
      </c>
      <c r="DA79" s="433">
        <v>0.25104840798869349</v>
      </c>
      <c r="DB79" s="433">
        <v>0.39158019166331348</v>
      </c>
      <c r="DC79" s="433">
        <v>0.29816004259848461</v>
      </c>
      <c r="DD79" s="433">
        <v>0.25104840798869349</v>
      </c>
      <c r="DE79" s="433">
        <v>0.29926769201452108</v>
      </c>
      <c r="DF79" s="433">
        <v>0.37270005324810579</v>
      </c>
      <c r="DG79" s="433">
        <v>0</v>
      </c>
      <c r="DH79" s="433">
        <v>0</v>
      </c>
      <c r="DI79" s="433">
        <v>0</v>
      </c>
      <c r="DJ79" s="433">
        <v>0.33104833187447025</v>
      </c>
      <c r="DK79" s="433">
        <v>0.30102696608500845</v>
      </c>
      <c r="DL79" s="433">
        <v>0.26738519112937981</v>
      </c>
      <c r="DM79" s="433">
        <v>0.39133505591051104</v>
      </c>
      <c r="DN79" s="433">
        <v>0</v>
      </c>
      <c r="DO79" s="433">
        <v>0</v>
      </c>
      <c r="DP79" s="433">
        <v>0</v>
      </c>
      <c r="DR79" s="409" t="s">
        <v>711</v>
      </c>
      <c r="DS79" s="409" t="s">
        <v>2473</v>
      </c>
    </row>
    <row r="80" spans="2:123" s="1471" customFormat="1">
      <c r="B80" s="428">
        <v>41806.557592939818</v>
      </c>
      <c r="C80" s="429">
        <v>1.461037935176611</v>
      </c>
      <c r="D80" s="429">
        <v>1.4724593159667367</v>
      </c>
      <c r="E80" s="429">
        <v>1.4745527520751238</v>
      </c>
      <c r="F80" s="429">
        <v>1.3996528116623139</v>
      </c>
      <c r="G80" s="429">
        <v>1.4267708077393384</v>
      </c>
      <c r="H80" s="429">
        <v>1.4317981265138462</v>
      </c>
      <c r="I80" s="429">
        <v>1.4998933428132517</v>
      </c>
      <c r="J80" s="429">
        <v>1.5145160968587721</v>
      </c>
      <c r="K80" s="429">
        <v>1.3513439888063683</v>
      </c>
      <c r="L80" s="429">
        <v>1.57707284334984</v>
      </c>
      <c r="M80" s="429">
        <v>1.8103902617223755</v>
      </c>
      <c r="N80" s="429">
        <v>1.7708909112978517</v>
      </c>
      <c r="O80" s="429">
        <v>1.3614819970754357</v>
      </c>
      <c r="P80" s="429">
        <v>1.4265706494839208</v>
      </c>
      <c r="Q80" s="429">
        <v>2884.3794494964313</v>
      </c>
      <c r="R80" s="429">
        <v>13.513008208535584</v>
      </c>
      <c r="S80" s="429">
        <v>17.404953009667501</v>
      </c>
      <c r="T80" s="429">
        <v>4526.1631985456925</v>
      </c>
      <c r="U80" s="429">
        <v>4687.5424465616752</v>
      </c>
      <c r="V80" s="429">
        <v>4841.7770668094408</v>
      </c>
      <c r="W80" s="429">
        <v>872.29929680053624</v>
      </c>
      <c r="X80" s="429">
        <v>9.2564388021195079</v>
      </c>
      <c r="Y80" s="429">
        <v>10.185309646990788</v>
      </c>
      <c r="Z80" s="429">
        <v>13.580622311970592</v>
      </c>
      <c r="AA80" s="429">
        <v>7.119514053678869</v>
      </c>
      <c r="AB80" s="429">
        <v>7.8794992903917338</v>
      </c>
      <c r="AC80" s="429">
        <v>4.2651386150273352</v>
      </c>
      <c r="AD80" s="429">
        <v>3.3801542242445661</v>
      </c>
      <c r="AE80" s="429">
        <v>0</v>
      </c>
      <c r="AF80" s="429">
        <v>0</v>
      </c>
      <c r="AG80" s="429">
        <v>0</v>
      </c>
      <c r="AH80" s="429">
        <v>3.1441766939511027</v>
      </c>
      <c r="AI80" s="429">
        <v>6.5976169276117087</v>
      </c>
      <c r="AJ80" s="429">
        <v>6.3031874377168498</v>
      </c>
      <c r="AK80" s="429">
        <v>7.1701507235412869</v>
      </c>
      <c r="AL80" s="429">
        <v>0</v>
      </c>
      <c r="AM80" s="429">
        <v>0</v>
      </c>
      <c r="AN80" s="429">
        <v>0</v>
      </c>
      <c r="AO80" s="432"/>
      <c r="AP80" s="428">
        <v>41806.557592939818</v>
      </c>
      <c r="AQ80" s="431">
        <v>132.21754208591349</v>
      </c>
      <c r="AR80" s="431">
        <v>175.96719895557675</v>
      </c>
      <c r="AS80" s="431">
        <v>121.56800585673152</v>
      </c>
      <c r="AT80" s="431">
        <v>130.36489722614525</v>
      </c>
      <c r="AU80" s="431">
        <v>10.632356683566815</v>
      </c>
      <c r="AV80" s="431">
        <v>81.40574075684367</v>
      </c>
      <c r="AW80" s="431">
        <v>-46.740081647657163</v>
      </c>
      <c r="AX80" s="431">
        <v>5.1043538166706366</v>
      </c>
      <c r="AY80" s="431">
        <v>159.4236947182489</v>
      </c>
      <c r="AZ80" s="431">
        <v>-75.05262956798768</v>
      </c>
      <c r="BA80" s="431">
        <v>83.205119276382419</v>
      </c>
      <c r="BB80" s="431">
        <v>177.74515508342654</v>
      </c>
      <c r="BC80" s="431">
        <v>98.445187715772022</v>
      </c>
      <c r="BD80" s="431">
        <v>141.85822219522623</v>
      </c>
      <c r="BE80" s="431">
        <v>367627.28422208509</v>
      </c>
      <c r="BF80" s="431">
        <v>8447.4216818154273</v>
      </c>
      <c r="BG80" s="431">
        <v>-2602.5111427220613</v>
      </c>
      <c r="BH80" s="431">
        <v>568935.82005790924</v>
      </c>
      <c r="BI80" s="431">
        <v>550134.10758983926</v>
      </c>
      <c r="BJ80" s="431">
        <v>-201296.58434153697</v>
      </c>
      <c r="BK80" s="431">
        <v>504586.81763168029</v>
      </c>
      <c r="BL80" s="431">
        <v>3313.1571400026442</v>
      </c>
      <c r="BM80" s="431">
        <v>-1212.2993402302286</v>
      </c>
      <c r="BN80" s="431">
        <v>5818.7471048356601</v>
      </c>
      <c r="BO80" s="431">
        <v>2710.7649327294357</v>
      </c>
      <c r="BP80" s="431">
        <v>-991.88127837018669</v>
      </c>
      <c r="BQ80" s="431">
        <v>2185.0919111946355</v>
      </c>
      <c r="BR80" s="431">
        <v>924.06244157201638</v>
      </c>
      <c r="BS80" s="431">
        <v>0</v>
      </c>
      <c r="BT80" s="431">
        <v>0</v>
      </c>
      <c r="BU80" s="431">
        <v>0</v>
      </c>
      <c r="BV80" s="431">
        <v>877.17400800983717</v>
      </c>
      <c r="BW80" s="431">
        <v>1430.6068451973465</v>
      </c>
      <c r="BX80" s="431">
        <v>1347.7349104902953</v>
      </c>
      <c r="BY80" s="431">
        <v>1100.4668039979588</v>
      </c>
      <c r="BZ80" s="431">
        <v>0</v>
      </c>
      <c r="CA80" s="431">
        <v>0</v>
      </c>
      <c r="CB80" s="431">
        <v>0</v>
      </c>
      <c r="CC80" s="432"/>
      <c r="CD80" s="428">
        <v>41806.557592824072</v>
      </c>
      <c r="CE80" s="433">
        <v>0.23759628394566742</v>
      </c>
      <c r="CF80" s="433">
        <v>0.16769792432989633</v>
      </c>
      <c r="CG80" s="433">
        <v>0.13923731496982597</v>
      </c>
      <c r="CH80" s="433">
        <v>0.11242287429465053</v>
      </c>
      <c r="CI80" s="433">
        <v>9.3511471554120679E-2</v>
      </c>
      <c r="CJ80" s="433">
        <v>0.21434479620157099</v>
      </c>
      <c r="CK80" s="433">
        <v>0.20005420011599015</v>
      </c>
      <c r="CL80" s="433">
        <v>0.2150045900352773</v>
      </c>
      <c r="CM80" s="433">
        <v>0.16831539661914319</v>
      </c>
      <c r="CN80" s="433">
        <v>0.15819847757401839</v>
      </c>
      <c r="CO80" s="433">
        <v>0.33702421666507049</v>
      </c>
      <c r="CP80" s="433">
        <v>0.28551922081271636</v>
      </c>
      <c r="CQ80" s="433">
        <v>0.34039021610837633</v>
      </c>
      <c r="CR80" s="433">
        <v>0.26734268293054819</v>
      </c>
      <c r="CS80" s="433">
        <v>0.39443520669059223</v>
      </c>
      <c r="CT80" s="433">
        <v>0.447221292916757</v>
      </c>
      <c r="CU80" s="433">
        <v>0.51158194515084476</v>
      </c>
      <c r="CV80" s="433">
        <v>0.47604249083347333</v>
      </c>
      <c r="CW80" s="433">
        <v>0.4759898508915783</v>
      </c>
      <c r="CX80" s="433">
        <v>0.4007797062399322</v>
      </c>
      <c r="CY80" s="433">
        <v>0.43383847945766757</v>
      </c>
      <c r="CZ80" s="433">
        <v>0.29816004259848461</v>
      </c>
      <c r="DA80" s="433">
        <v>0.25104840798869349</v>
      </c>
      <c r="DB80" s="433">
        <v>0.39158019166331348</v>
      </c>
      <c r="DC80" s="433">
        <v>0.29816004259848461</v>
      </c>
      <c r="DD80" s="433">
        <v>0.25104840798869349</v>
      </c>
      <c r="DE80" s="433">
        <v>0.29926769201452108</v>
      </c>
      <c r="DF80" s="433">
        <v>0.37270005324810579</v>
      </c>
      <c r="DG80" s="433">
        <v>0</v>
      </c>
      <c r="DH80" s="433">
        <v>0</v>
      </c>
      <c r="DI80" s="433">
        <v>0</v>
      </c>
      <c r="DJ80" s="433">
        <v>0.33104833187447025</v>
      </c>
      <c r="DK80" s="433">
        <v>0.30102696608500845</v>
      </c>
      <c r="DL80" s="433">
        <v>0.26738519112937981</v>
      </c>
      <c r="DM80" s="433">
        <v>0.39133505591051104</v>
      </c>
      <c r="DN80" s="433">
        <v>0</v>
      </c>
      <c r="DO80" s="433">
        <v>0</v>
      </c>
      <c r="DP80" s="433">
        <v>0</v>
      </c>
      <c r="DR80" s="409" t="s">
        <v>711</v>
      </c>
      <c r="DS80" s="409" t="s">
        <v>2478</v>
      </c>
    </row>
    <row r="81" spans="2:123" s="1471" customFormat="1">
      <c r="B81" s="428">
        <v>41815.580308912038</v>
      </c>
      <c r="C81" s="429">
        <v>1.461037935176611</v>
      </c>
      <c r="D81" s="429">
        <v>1.4724593159667367</v>
      </c>
      <c r="E81" s="429">
        <v>1.4745527520751238</v>
      </c>
      <c r="F81" s="429">
        <v>1.3996528116623139</v>
      </c>
      <c r="G81" s="429">
        <v>1.4267708077393384</v>
      </c>
      <c r="H81" s="429">
        <v>1.4317981265138462</v>
      </c>
      <c r="I81" s="429">
        <v>1.4998933428132517</v>
      </c>
      <c r="J81" s="429">
        <v>1.5145160968587721</v>
      </c>
      <c r="K81" s="429">
        <v>1.3513439888063683</v>
      </c>
      <c r="L81" s="429">
        <v>1.57707284334984</v>
      </c>
      <c r="M81" s="429">
        <v>1.8103902617223755</v>
      </c>
      <c r="N81" s="429">
        <v>1.7708909112978517</v>
      </c>
      <c r="O81" s="429">
        <v>1.3614819970754357</v>
      </c>
      <c r="P81" s="429">
        <v>1.4265706494839208</v>
      </c>
      <c r="Q81" s="429">
        <v>2884.3794494964313</v>
      </c>
      <c r="R81" s="429">
        <v>13.513008208535584</v>
      </c>
      <c r="S81" s="429">
        <v>17.404953009667501</v>
      </c>
      <c r="T81" s="429">
        <v>4526.1631985456925</v>
      </c>
      <c r="U81" s="429">
        <v>4687.5424465616752</v>
      </c>
      <c r="V81" s="429">
        <v>4841.7770668094408</v>
      </c>
      <c r="W81" s="429">
        <v>872.29929680053624</v>
      </c>
      <c r="X81" s="429">
        <v>61.873690206421358</v>
      </c>
      <c r="Y81" s="429">
        <v>62.802561051292642</v>
      </c>
      <c r="Z81" s="429">
        <v>69.624129604647408</v>
      </c>
      <c r="AA81" s="429">
        <v>36.419514053678867</v>
      </c>
      <c r="AB81" s="429">
        <v>37.179499290391732</v>
      </c>
      <c r="AC81" s="429">
        <v>33.565138615027337</v>
      </c>
      <c r="AD81" s="429">
        <v>3.3801542242445661</v>
      </c>
      <c r="AE81" s="429">
        <v>0</v>
      </c>
      <c r="AF81" s="429">
        <v>0</v>
      </c>
      <c r="AG81" s="429">
        <v>0</v>
      </c>
      <c r="AH81" s="429">
        <v>3.1441766939511027</v>
      </c>
      <c r="AI81" s="429">
        <v>6.5976169276117087</v>
      </c>
      <c r="AJ81" s="429">
        <v>6.3031874377168498</v>
      </c>
      <c r="AK81" s="429">
        <v>7.1701507235412869</v>
      </c>
      <c r="AL81" s="429">
        <v>0</v>
      </c>
      <c r="AM81" s="429">
        <v>0</v>
      </c>
      <c r="AN81" s="429">
        <v>0</v>
      </c>
      <c r="AO81" s="432"/>
      <c r="AP81" s="428">
        <v>41815.580308912038</v>
      </c>
      <c r="AQ81" s="431">
        <v>132.21754208591349</v>
      </c>
      <c r="AR81" s="431">
        <v>175.96719895557675</v>
      </c>
      <c r="AS81" s="431">
        <v>121.56800585673152</v>
      </c>
      <c r="AT81" s="431">
        <v>130.36489722614525</v>
      </c>
      <c r="AU81" s="431">
        <v>10.632356683566815</v>
      </c>
      <c r="AV81" s="431">
        <v>81.40574075684367</v>
      </c>
      <c r="AW81" s="431">
        <v>-46.740081647657163</v>
      </c>
      <c r="AX81" s="431">
        <v>5.1043538166706366</v>
      </c>
      <c r="AY81" s="431">
        <v>159.4236947182489</v>
      </c>
      <c r="AZ81" s="431">
        <v>-75.05262956798768</v>
      </c>
      <c r="BA81" s="431">
        <v>83.205119276382419</v>
      </c>
      <c r="BB81" s="431">
        <v>177.74515508342654</v>
      </c>
      <c r="BC81" s="431">
        <v>98.445187715772022</v>
      </c>
      <c r="BD81" s="431">
        <v>141.85822219522623</v>
      </c>
      <c r="BE81" s="431">
        <v>367627.28422208509</v>
      </c>
      <c r="BF81" s="431">
        <v>8447.4216818154273</v>
      </c>
      <c r="BG81" s="431">
        <v>-2602.5111427220613</v>
      </c>
      <c r="BH81" s="431">
        <v>568935.82005790924</v>
      </c>
      <c r="BI81" s="431">
        <v>550134.10758983926</v>
      </c>
      <c r="BJ81" s="431">
        <v>-201296.58434153697</v>
      </c>
      <c r="BK81" s="431">
        <v>504586.81763168029</v>
      </c>
      <c r="BL81" s="431">
        <v>3313.1571400026442</v>
      </c>
      <c r="BM81" s="431">
        <v>-1212.2993402302286</v>
      </c>
      <c r="BN81" s="431">
        <v>5818.7471048356601</v>
      </c>
      <c r="BO81" s="431">
        <v>2710.7649327294357</v>
      </c>
      <c r="BP81" s="431">
        <v>-991.88127837018669</v>
      </c>
      <c r="BQ81" s="431">
        <v>2185.0919111946355</v>
      </c>
      <c r="BR81" s="431">
        <v>924.06244157201638</v>
      </c>
      <c r="BS81" s="431">
        <v>0</v>
      </c>
      <c r="BT81" s="431">
        <v>0</v>
      </c>
      <c r="BU81" s="431">
        <v>0</v>
      </c>
      <c r="BV81" s="431">
        <v>877.17400800983717</v>
      </c>
      <c r="BW81" s="431">
        <v>1430.6068451973465</v>
      </c>
      <c r="BX81" s="431">
        <v>1347.7349104902953</v>
      </c>
      <c r="BY81" s="431">
        <v>1100.4668039979588</v>
      </c>
      <c r="BZ81" s="431">
        <v>0</v>
      </c>
      <c r="CA81" s="431">
        <v>0</v>
      </c>
      <c r="CB81" s="431">
        <v>0</v>
      </c>
      <c r="CC81" s="432"/>
      <c r="CD81" s="428">
        <v>41815.5803087963</v>
      </c>
      <c r="CE81" s="433">
        <v>0.23759628394566742</v>
      </c>
      <c r="CF81" s="433">
        <v>0.16769792432989633</v>
      </c>
      <c r="CG81" s="433">
        <v>0.13923731496982597</v>
      </c>
      <c r="CH81" s="433">
        <v>0.11242287429465053</v>
      </c>
      <c r="CI81" s="433">
        <v>9.3511471554120679E-2</v>
      </c>
      <c r="CJ81" s="433">
        <v>0.21434479620157099</v>
      </c>
      <c r="CK81" s="433">
        <v>0.20005420011599015</v>
      </c>
      <c r="CL81" s="433">
        <v>0.2150045900352773</v>
      </c>
      <c r="CM81" s="433">
        <v>0.16831539661914319</v>
      </c>
      <c r="CN81" s="433">
        <v>0.15819847757401839</v>
      </c>
      <c r="CO81" s="433">
        <v>0.33702421666507049</v>
      </c>
      <c r="CP81" s="433">
        <v>0.28551922081271636</v>
      </c>
      <c r="CQ81" s="433">
        <v>0.34039021610837633</v>
      </c>
      <c r="CR81" s="433">
        <v>0.26734268293054819</v>
      </c>
      <c r="CS81" s="433">
        <v>0.39443520669059223</v>
      </c>
      <c r="CT81" s="433">
        <v>0.447221292916757</v>
      </c>
      <c r="CU81" s="433">
        <v>0.51158194515084476</v>
      </c>
      <c r="CV81" s="433">
        <v>0.47604249083347333</v>
      </c>
      <c r="CW81" s="433">
        <v>0.4759898508915783</v>
      </c>
      <c r="CX81" s="433">
        <v>0.4007797062399322</v>
      </c>
      <c r="CY81" s="433">
        <v>0.43383847945766757</v>
      </c>
      <c r="CZ81" s="433">
        <v>0.29816004259848461</v>
      </c>
      <c r="DA81" s="433">
        <v>0.25104840798869349</v>
      </c>
      <c r="DB81" s="433">
        <v>0.39158019166331348</v>
      </c>
      <c r="DC81" s="433">
        <v>0.29816004259848461</v>
      </c>
      <c r="DD81" s="433">
        <v>0.25104840798869349</v>
      </c>
      <c r="DE81" s="433">
        <v>0.29926769201452108</v>
      </c>
      <c r="DF81" s="433">
        <v>0.37270005324810579</v>
      </c>
      <c r="DG81" s="433">
        <v>0</v>
      </c>
      <c r="DH81" s="433">
        <v>0</v>
      </c>
      <c r="DI81" s="433">
        <v>0</v>
      </c>
      <c r="DJ81" s="433">
        <v>0.33104833187447025</v>
      </c>
      <c r="DK81" s="433">
        <v>0.30102696608500845</v>
      </c>
      <c r="DL81" s="433">
        <v>0.26738519112937981</v>
      </c>
      <c r="DM81" s="433">
        <v>0.39133505591051104</v>
      </c>
      <c r="DN81" s="433">
        <v>0</v>
      </c>
      <c r="DO81" s="433">
        <v>0</v>
      </c>
      <c r="DP81" s="433">
        <v>0</v>
      </c>
      <c r="DR81" s="409" t="s">
        <v>855</v>
      </c>
      <c r="DS81" s="409" t="s">
        <v>2480</v>
      </c>
    </row>
    <row r="82" spans="2:123" s="1471" customFormat="1">
      <c r="B82" s="428">
        <v>41815.613988310186</v>
      </c>
      <c r="C82" s="429">
        <v>1.461037935176611</v>
      </c>
      <c r="D82" s="429">
        <v>1.4724593159667367</v>
      </c>
      <c r="E82" s="429">
        <v>1.4745527520751238</v>
      </c>
      <c r="F82" s="429">
        <v>1.3996528116623139</v>
      </c>
      <c r="G82" s="429">
        <v>1.4267708077393384</v>
      </c>
      <c r="H82" s="429">
        <v>1.4317981265138462</v>
      </c>
      <c r="I82" s="429">
        <v>1.4998933428132517</v>
      </c>
      <c r="J82" s="429">
        <v>1.5145160968587721</v>
      </c>
      <c r="K82" s="429">
        <v>1.3803814888063681</v>
      </c>
      <c r="L82" s="429">
        <v>1.57707284334984</v>
      </c>
      <c r="M82" s="429">
        <v>1.8103902617223755</v>
      </c>
      <c r="N82" s="429">
        <v>1.7708909112978517</v>
      </c>
      <c r="O82" s="429">
        <v>1.3614819970754357</v>
      </c>
      <c r="P82" s="429">
        <v>1.4265706494839208</v>
      </c>
      <c r="Q82" s="429">
        <v>2884.3794494964313</v>
      </c>
      <c r="R82" s="429">
        <v>13.513008208535584</v>
      </c>
      <c r="S82" s="429">
        <v>17.404953009667501</v>
      </c>
      <c r="T82" s="429">
        <v>4526.1631985456925</v>
      </c>
      <c r="U82" s="429">
        <v>4687.5424465616752</v>
      </c>
      <c r="V82" s="429">
        <v>4841.7770668094408</v>
      </c>
      <c r="W82" s="429">
        <v>958.47582513816224</v>
      </c>
      <c r="X82" s="429">
        <v>61.873690206421358</v>
      </c>
      <c r="Y82" s="429">
        <v>62.802561051292642</v>
      </c>
      <c r="Z82" s="429">
        <v>69.624129604647408</v>
      </c>
      <c r="AA82" s="429">
        <v>36.419514053678867</v>
      </c>
      <c r="AB82" s="429">
        <v>37.179499290391732</v>
      </c>
      <c r="AC82" s="429">
        <v>33.968554615027337</v>
      </c>
      <c r="AD82" s="429">
        <v>3.3801542242445661</v>
      </c>
      <c r="AE82" s="429">
        <v>0</v>
      </c>
      <c r="AF82" s="429">
        <v>0</v>
      </c>
      <c r="AG82" s="429">
        <v>0</v>
      </c>
      <c r="AH82" s="429">
        <v>3.2977026030420116</v>
      </c>
      <c r="AI82" s="429">
        <v>6.5976169276117087</v>
      </c>
      <c r="AJ82" s="429">
        <v>6.5413061227168496</v>
      </c>
      <c r="AK82" s="429">
        <v>7.1701507235412869</v>
      </c>
      <c r="AL82" s="429">
        <v>0</v>
      </c>
      <c r="AM82" s="429">
        <v>0</v>
      </c>
      <c r="AN82" s="429">
        <v>0</v>
      </c>
      <c r="AO82" s="432"/>
      <c r="AP82" s="428">
        <v>41815.613988310186</v>
      </c>
      <c r="AQ82" s="431">
        <v>132.21754208591349</v>
      </c>
      <c r="AR82" s="431">
        <v>175.96719895557675</v>
      </c>
      <c r="AS82" s="431">
        <v>121.56800585673152</v>
      </c>
      <c r="AT82" s="431">
        <v>130.36489722614525</v>
      </c>
      <c r="AU82" s="431">
        <v>10.632356683566815</v>
      </c>
      <c r="AV82" s="431">
        <v>81.40574075684367</v>
      </c>
      <c r="AW82" s="431">
        <v>-46.740081647657163</v>
      </c>
      <c r="AX82" s="431">
        <v>5.1043538166706366</v>
      </c>
      <c r="AY82" s="431">
        <v>159.4236947182489</v>
      </c>
      <c r="AZ82" s="431">
        <v>-75.05262956798768</v>
      </c>
      <c r="BA82" s="431">
        <v>83.205119276382419</v>
      </c>
      <c r="BB82" s="431">
        <v>177.74515508342654</v>
      </c>
      <c r="BC82" s="431">
        <v>98.445187715772022</v>
      </c>
      <c r="BD82" s="431">
        <v>141.85822219522623</v>
      </c>
      <c r="BE82" s="431">
        <v>367627.28422208509</v>
      </c>
      <c r="BF82" s="431">
        <v>8447.4216818154273</v>
      </c>
      <c r="BG82" s="431">
        <v>-2602.5111427220613</v>
      </c>
      <c r="BH82" s="431">
        <v>568935.82005790924</v>
      </c>
      <c r="BI82" s="431">
        <v>550134.10758983926</v>
      </c>
      <c r="BJ82" s="431">
        <v>-201296.58434153697</v>
      </c>
      <c r="BK82" s="431">
        <v>504586.81763168029</v>
      </c>
      <c r="BL82" s="431">
        <v>3313.1571400026442</v>
      </c>
      <c r="BM82" s="431">
        <v>-1212.2993402302286</v>
      </c>
      <c r="BN82" s="431">
        <v>5818.7471048356601</v>
      </c>
      <c r="BO82" s="431">
        <v>2710.7649327294357</v>
      </c>
      <c r="BP82" s="431">
        <v>-991.88127837018669</v>
      </c>
      <c r="BQ82" s="431">
        <v>2185.0919111946355</v>
      </c>
      <c r="BR82" s="431">
        <v>924.06244157201638</v>
      </c>
      <c r="BS82" s="431">
        <v>0</v>
      </c>
      <c r="BT82" s="431">
        <v>0</v>
      </c>
      <c r="BU82" s="431">
        <v>0</v>
      </c>
      <c r="BV82" s="431">
        <v>877.17400800983717</v>
      </c>
      <c r="BW82" s="431">
        <v>1430.6068451973465</v>
      </c>
      <c r="BX82" s="431">
        <v>1347.7349104902953</v>
      </c>
      <c r="BY82" s="431">
        <v>1100.4668039979588</v>
      </c>
      <c r="BZ82" s="431">
        <v>0</v>
      </c>
      <c r="CA82" s="431">
        <v>0</v>
      </c>
      <c r="CB82" s="431">
        <v>0</v>
      </c>
      <c r="CC82" s="432"/>
      <c r="CD82" s="428">
        <v>41815.613988310186</v>
      </c>
      <c r="CE82" s="433">
        <v>0.23759628394566742</v>
      </c>
      <c r="CF82" s="433">
        <v>0.16769792432989633</v>
      </c>
      <c r="CG82" s="433">
        <v>0.13923731496982597</v>
      </c>
      <c r="CH82" s="433">
        <v>0.11242287429465053</v>
      </c>
      <c r="CI82" s="433">
        <v>9.3511471554120679E-2</v>
      </c>
      <c r="CJ82" s="433">
        <v>0.21434479620157099</v>
      </c>
      <c r="CK82" s="433">
        <v>0.20005420011599015</v>
      </c>
      <c r="CL82" s="433">
        <v>0.2150045900352773</v>
      </c>
      <c r="CM82" s="433">
        <v>0.16831539661914319</v>
      </c>
      <c r="CN82" s="433">
        <v>0.15819847757401839</v>
      </c>
      <c r="CO82" s="433">
        <v>0.33702421666507049</v>
      </c>
      <c r="CP82" s="433">
        <v>0.28551922081271636</v>
      </c>
      <c r="CQ82" s="433">
        <v>0.34039021610837633</v>
      </c>
      <c r="CR82" s="433">
        <v>0.26734268293054819</v>
      </c>
      <c r="CS82" s="433">
        <v>0.39443520669059223</v>
      </c>
      <c r="CT82" s="433">
        <v>0.447221292916757</v>
      </c>
      <c r="CU82" s="433">
        <v>0.51158194515084476</v>
      </c>
      <c r="CV82" s="433">
        <v>0.47604249083347333</v>
      </c>
      <c r="CW82" s="433">
        <v>0.4759898508915783</v>
      </c>
      <c r="CX82" s="433">
        <v>0.4007797062399322</v>
      </c>
      <c r="CY82" s="433">
        <v>0.43383847945766757</v>
      </c>
      <c r="CZ82" s="433">
        <v>0.29816004259848461</v>
      </c>
      <c r="DA82" s="433">
        <v>0.25104840798869349</v>
      </c>
      <c r="DB82" s="433">
        <v>0.39158019166331348</v>
      </c>
      <c r="DC82" s="433">
        <v>0.29816004259848461</v>
      </c>
      <c r="DD82" s="433">
        <v>0.25104840798869349</v>
      </c>
      <c r="DE82" s="433">
        <v>0.29926769201452108</v>
      </c>
      <c r="DF82" s="433">
        <v>0.37270005324810579</v>
      </c>
      <c r="DG82" s="433">
        <v>0</v>
      </c>
      <c r="DH82" s="433">
        <v>0</v>
      </c>
      <c r="DI82" s="433">
        <v>0</v>
      </c>
      <c r="DJ82" s="433">
        <v>0.33104833187447025</v>
      </c>
      <c r="DK82" s="433">
        <v>0.30102696608500845</v>
      </c>
      <c r="DL82" s="433">
        <v>0.26738519112937981</v>
      </c>
      <c r="DM82" s="433">
        <v>0.39133505591051104</v>
      </c>
      <c r="DN82" s="433">
        <v>0</v>
      </c>
      <c r="DO82" s="433">
        <v>0</v>
      </c>
      <c r="DP82" s="433">
        <v>0</v>
      </c>
      <c r="DR82" s="409" t="s">
        <v>855</v>
      </c>
      <c r="DS82" s="409" t="s">
        <v>2483</v>
      </c>
    </row>
    <row r="83" spans="2:123" s="1471" customFormat="1">
      <c r="B83" s="428">
        <v>41815.617346643521</v>
      </c>
      <c r="C83" s="429">
        <v>1.461037935176611</v>
      </c>
      <c r="D83" s="429">
        <v>1.4724593159667367</v>
      </c>
      <c r="E83" s="429">
        <v>1.4745527520751238</v>
      </c>
      <c r="F83" s="429">
        <v>1.3996528116623139</v>
      </c>
      <c r="G83" s="429">
        <v>1.4267708077393384</v>
      </c>
      <c r="H83" s="429">
        <v>1.4317981265138462</v>
      </c>
      <c r="I83" s="429">
        <v>1.4998933428132517</v>
      </c>
      <c r="J83" s="429">
        <v>1.5145160968587721</v>
      </c>
      <c r="K83" s="429">
        <v>1.3803814888063681</v>
      </c>
      <c r="L83" s="429">
        <v>1.57707284334984</v>
      </c>
      <c r="M83" s="429">
        <v>1.8103902617223755</v>
      </c>
      <c r="N83" s="429">
        <v>1.7708909112978517</v>
      </c>
      <c r="O83" s="429">
        <v>1.3614819970754357</v>
      </c>
      <c r="P83" s="429">
        <v>1.4265706494839208</v>
      </c>
      <c r="Q83" s="429">
        <v>2884.3794494964313</v>
      </c>
      <c r="R83" s="429">
        <v>13.513008208535584</v>
      </c>
      <c r="S83" s="429">
        <v>17.404953009667501</v>
      </c>
      <c r="T83" s="429">
        <v>4526.1631985456925</v>
      </c>
      <c r="U83" s="429">
        <v>4687.5424465616752</v>
      </c>
      <c r="V83" s="429">
        <v>4841.7770668094408</v>
      </c>
      <c r="W83" s="429">
        <v>958.47582513816224</v>
      </c>
      <c r="X83" s="429">
        <v>52.000402052043327</v>
      </c>
      <c r="Y83" s="429">
        <v>52.929272896914611</v>
      </c>
      <c r="Z83" s="429">
        <v>55.960063948989223</v>
      </c>
      <c r="AA83" s="429">
        <v>36.419514053678867</v>
      </c>
      <c r="AB83" s="429">
        <v>37.179499290391732</v>
      </c>
      <c r="AC83" s="429">
        <v>33.968554615027337</v>
      </c>
      <c r="AD83" s="429">
        <v>3.3801542242445661</v>
      </c>
      <c r="AE83" s="429">
        <v>0</v>
      </c>
      <c r="AF83" s="429">
        <v>0</v>
      </c>
      <c r="AG83" s="429">
        <v>0</v>
      </c>
      <c r="AH83" s="429">
        <v>3.2977026030420116</v>
      </c>
      <c r="AI83" s="429">
        <v>6.5976169276117087</v>
      </c>
      <c r="AJ83" s="429">
        <v>6.5413061227168496</v>
      </c>
      <c r="AK83" s="429">
        <v>7.1701507235412869</v>
      </c>
      <c r="AL83" s="429">
        <v>0</v>
      </c>
      <c r="AM83" s="429">
        <v>0</v>
      </c>
      <c r="AN83" s="429">
        <v>0</v>
      </c>
      <c r="AO83" s="432"/>
      <c r="AP83" s="428">
        <v>41815.617346643521</v>
      </c>
      <c r="AQ83" s="431">
        <v>132.21754208591349</v>
      </c>
      <c r="AR83" s="431">
        <v>175.96719895557675</v>
      </c>
      <c r="AS83" s="431">
        <v>121.56800585673152</v>
      </c>
      <c r="AT83" s="431">
        <v>130.36489722614525</v>
      </c>
      <c r="AU83" s="431">
        <v>10.632356683566815</v>
      </c>
      <c r="AV83" s="431">
        <v>81.40574075684367</v>
      </c>
      <c r="AW83" s="431">
        <v>-46.740081647657163</v>
      </c>
      <c r="AX83" s="431">
        <v>5.1043538166706366</v>
      </c>
      <c r="AY83" s="431">
        <v>159.4236947182489</v>
      </c>
      <c r="AZ83" s="431">
        <v>-75.05262956798768</v>
      </c>
      <c r="BA83" s="431">
        <v>83.205119276382419</v>
      </c>
      <c r="BB83" s="431">
        <v>177.74515508342654</v>
      </c>
      <c r="BC83" s="431">
        <v>98.445187715772022</v>
      </c>
      <c r="BD83" s="431">
        <v>141.85822219522623</v>
      </c>
      <c r="BE83" s="431">
        <v>367627.28422208509</v>
      </c>
      <c r="BF83" s="431">
        <v>8447.4216818154273</v>
      </c>
      <c r="BG83" s="431">
        <v>-2602.5111427220613</v>
      </c>
      <c r="BH83" s="431">
        <v>568935.82005790924</v>
      </c>
      <c r="BI83" s="431">
        <v>550134.10758983926</v>
      </c>
      <c r="BJ83" s="431">
        <v>-201296.58434153697</v>
      </c>
      <c r="BK83" s="431">
        <v>504586.81763168029</v>
      </c>
      <c r="BL83" s="431">
        <v>3313.1571400026442</v>
      </c>
      <c r="BM83" s="431">
        <v>-1212.2993402302286</v>
      </c>
      <c r="BN83" s="431">
        <v>5818.7471048356601</v>
      </c>
      <c r="BO83" s="431">
        <v>2710.7649327294357</v>
      </c>
      <c r="BP83" s="431">
        <v>-991.88127837018669</v>
      </c>
      <c r="BQ83" s="431">
        <v>2185.0919111946355</v>
      </c>
      <c r="BR83" s="431">
        <v>924.06244157201638</v>
      </c>
      <c r="BS83" s="431">
        <v>0</v>
      </c>
      <c r="BT83" s="431">
        <v>0</v>
      </c>
      <c r="BU83" s="431">
        <v>0</v>
      </c>
      <c r="BV83" s="431">
        <v>877.17400800983717</v>
      </c>
      <c r="BW83" s="431">
        <v>1430.6068451973465</v>
      </c>
      <c r="BX83" s="431">
        <v>1347.7349104902953</v>
      </c>
      <c r="BY83" s="431">
        <v>1100.4668039979588</v>
      </c>
      <c r="BZ83" s="431">
        <v>0</v>
      </c>
      <c r="CA83" s="431">
        <v>0</v>
      </c>
      <c r="CB83" s="431">
        <v>0</v>
      </c>
      <c r="CC83" s="432"/>
      <c r="CD83" s="428">
        <v>41815.617346643521</v>
      </c>
      <c r="CE83" s="433">
        <v>0.23759628394566742</v>
      </c>
      <c r="CF83" s="433">
        <v>0.16769792432989633</v>
      </c>
      <c r="CG83" s="433">
        <v>0.13923731496982597</v>
      </c>
      <c r="CH83" s="433">
        <v>0.11242287429465053</v>
      </c>
      <c r="CI83" s="433">
        <v>9.3511471554120679E-2</v>
      </c>
      <c r="CJ83" s="433">
        <v>0.21434479620157099</v>
      </c>
      <c r="CK83" s="433">
        <v>0.20005420011599015</v>
      </c>
      <c r="CL83" s="433">
        <v>0.2150045900352773</v>
      </c>
      <c r="CM83" s="433">
        <v>0.16831539661914319</v>
      </c>
      <c r="CN83" s="433">
        <v>0.15819847757401839</v>
      </c>
      <c r="CO83" s="433">
        <v>0.33702421666507049</v>
      </c>
      <c r="CP83" s="433">
        <v>0.28551922081271636</v>
      </c>
      <c r="CQ83" s="433">
        <v>0.34039021610837633</v>
      </c>
      <c r="CR83" s="433">
        <v>0.26734268293054819</v>
      </c>
      <c r="CS83" s="433">
        <v>0.39443520669059223</v>
      </c>
      <c r="CT83" s="433">
        <v>0.447221292916757</v>
      </c>
      <c r="CU83" s="433">
        <v>0.51158194515084476</v>
      </c>
      <c r="CV83" s="433">
        <v>0.47604249083347333</v>
      </c>
      <c r="CW83" s="433">
        <v>0.4759898508915783</v>
      </c>
      <c r="CX83" s="433">
        <v>0.4007797062399322</v>
      </c>
      <c r="CY83" s="433">
        <v>0.43383847945766757</v>
      </c>
      <c r="CZ83" s="433">
        <v>0.29816004259848461</v>
      </c>
      <c r="DA83" s="433">
        <v>0.25104840798869349</v>
      </c>
      <c r="DB83" s="433">
        <v>0.39158019166331348</v>
      </c>
      <c r="DC83" s="433">
        <v>0.29816004259848461</v>
      </c>
      <c r="DD83" s="433">
        <v>0.25104840798869349</v>
      </c>
      <c r="DE83" s="433">
        <v>0.29926769201452108</v>
      </c>
      <c r="DF83" s="433">
        <v>0.37270005324810579</v>
      </c>
      <c r="DG83" s="433">
        <v>0</v>
      </c>
      <c r="DH83" s="433">
        <v>0</v>
      </c>
      <c r="DI83" s="433">
        <v>0</v>
      </c>
      <c r="DJ83" s="433">
        <v>0.33104833187447025</v>
      </c>
      <c r="DK83" s="433">
        <v>0.30102696608500845</v>
      </c>
      <c r="DL83" s="433">
        <v>0.26738519112937981</v>
      </c>
      <c r="DM83" s="433">
        <v>0.39133505591051104</v>
      </c>
      <c r="DN83" s="433">
        <v>0</v>
      </c>
      <c r="DO83" s="433">
        <v>0</v>
      </c>
      <c r="DP83" s="433">
        <v>0</v>
      </c>
      <c r="DR83" s="409" t="s">
        <v>855</v>
      </c>
      <c r="DS83" s="409" t="s">
        <v>2484</v>
      </c>
    </row>
    <row r="84" spans="2:123" s="1471" customFormat="1">
      <c r="B84" s="428">
        <v>41815.649182754627</v>
      </c>
      <c r="C84" s="429">
        <v>1.461037935176611</v>
      </c>
      <c r="D84" s="429">
        <v>1.4724593159667367</v>
      </c>
      <c r="E84" s="429">
        <v>1.4745527520751238</v>
      </c>
      <c r="F84" s="429">
        <v>1.3996528116623139</v>
      </c>
      <c r="G84" s="429">
        <v>1.4267708077393384</v>
      </c>
      <c r="H84" s="429">
        <v>1.4317981265138462</v>
      </c>
      <c r="I84" s="429">
        <v>1.4998933428132517</v>
      </c>
      <c r="J84" s="429">
        <v>1.5145160968587721</v>
      </c>
      <c r="K84" s="429">
        <v>1.3803814888063681</v>
      </c>
      <c r="L84" s="429">
        <v>1.57707284334984</v>
      </c>
      <c r="M84" s="429">
        <v>1.8103902617223755</v>
      </c>
      <c r="N84" s="429">
        <v>1.7708909112978517</v>
      </c>
      <c r="O84" s="429">
        <v>1.3614819970754357</v>
      </c>
      <c r="P84" s="429">
        <v>1.4265706494839208</v>
      </c>
      <c r="Q84" s="429">
        <v>2884.3794494964313</v>
      </c>
      <c r="R84" s="429">
        <v>13.513008208535584</v>
      </c>
      <c r="S84" s="429">
        <v>17.404953009667501</v>
      </c>
      <c r="T84" s="429">
        <v>4526.1631985456925</v>
      </c>
      <c r="U84" s="429">
        <v>4687.5424465616752</v>
      </c>
      <c r="V84" s="429">
        <v>4841.7770668094408</v>
      </c>
      <c r="W84" s="429">
        <v>958.47582513816224</v>
      </c>
      <c r="X84" s="429">
        <v>52.000402052043327</v>
      </c>
      <c r="Y84" s="429">
        <v>52.929272896914611</v>
      </c>
      <c r="Z84" s="429">
        <v>55.960063948989223</v>
      </c>
      <c r="AA84" s="429">
        <v>36.419514053678867</v>
      </c>
      <c r="AB84" s="429">
        <v>37.179499290391732</v>
      </c>
      <c r="AC84" s="429">
        <v>33.968554615027337</v>
      </c>
      <c r="AD84" s="429">
        <v>3.3801542242445661</v>
      </c>
      <c r="AE84" s="429">
        <v>0</v>
      </c>
      <c r="AF84" s="429">
        <v>0</v>
      </c>
      <c r="AG84" s="429">
        <v>0</v>
      </c>
      <c r="AH84" s="429">
        <v>3.2977026030420116</v>
      </c>
      <c r="AI84" s="429">
        <v>6.5976169276117087</v>
      </c>
      <c r="AJ84" s="429">
        <v>6.5413061227168496</v>
      </c>
      <c r="AK84" s="429">
        <v>7.1701507235412869</v>
      </c>
      <c r="AL84" s="429">
        <v>0</v>
      </c>
      <c r="AM84" s="429">
        <v>0</v>
      </c>
      <c r="AN84" s="429">
        <v>0</v>
      </c>
      <c r="AO84" s="432"/>
      <c r="AP84" s="428">
        <v>41815.649182754627</v>
      </c>
      <c r="AQ84" s="431">
        <v>132.21754208591349</v>
      </c>
      <c r="AR84" s="431">
        <v>175.96719895557675</v>
      </c>
      <c r="AS84" s="431">
        <v>121.56800585673152</v>
      </c>
      <c r="AT84" s="431">
        <v>130.36489722614525</v>
      </c>
      <c r="AU84" s="431">
        <v>10.632356683566815</v>
      </c>
      <c r="AV84" s="431">
        <v>81.40574075684367</v>
      </c>
      <c r="AW84" s="431">
        <v>-46.740081647657163</v>
      </c>
      <c r="AX84" s="431">
        <v>5.1043538166706366</v>
      </c>
      <c r="AY84" s="431">
        <v>159.4236947182489</v>
      </c>
      <c r="AZ84" s="431">
        <v>-75.05262956798768</v>
      </c>
      <c r="BA84" s="431">
        <v>83.205119276382419</v>
      </c>
      <c r="BB84" s="431">
        <v>177.74515508342654</v>
      </c>
      <c r="BC84" s="431">
        <v>98.445187715772022</v>
      </c>
      <c r="BD84" s="431">
        <v>141.85822219522623</v>
      </c>
      <c r="BE84" s="431">
        <v>367627.28422208509</v>
      </c>
      <c r="BF84" s="431">
        <v>8447.4216818154273</v>
      </c>
      <c r="BG84" s="431">
        <v>-2602.5111427220613</v>
      </c>
      <c r="BH84" s="431">
        <v>568935.82005790924</v>
      </c>
      <c r="BI84" s="431">
        <v>550134.10758983926</v>
      </c>
      <c r="BJ84" s="431">
        <v>-201296.58434153697</v>
      </c>
      <c r="BK84" s="431">
        <v>504586.81763168029</v>
      </c>
      <c r="BL84" s="431">
        <v>3313.1571400026442</v>
      </c>
      <c r="BM84" s="431">
        <v>-1212.2993402302286</v>
      </c>
      <c r="BN84" s="431">
        <v>5818.7471048356601</v>
      </c>
      <c r="BO84" s="431">
        <v>2710.7649327294357</v>
      </c>
      <c r="BP84" s="431">
        <v>-991.88127837018669</v>
      </c>
      <c r="BQ84" s="431">
        <v>2185.0919111946355</v>
      </c>
      <c r="BR84" s="431">
        <v>924.06244157201638</v>
      </c>
      <c r="BS84" s="431">
        <v>0</v>
      </c>
      <c r="BT84" s="431">
        <v>0</v>
      </c>
      <c r="BU84" s="431">
        <v>0</v>
      </c>
      <c r="BV84" s="431">
        <v>877.17400800983717</v>
      </c>
      <c r="BW84" s="431">
        <v>1430.6068451973465</v>
      </c>
      <c r="BX84" s="431">
        <v>1347.7349104902953</v>
      </c>
      <c r="BY84" s="431">
        <v>1100.4668039979588</v>
      </c>
      <c r="BZ84" s="431">
        <v>0</v>
      </c>
      <c r="CA84" s="431">
        <v>0</v>
      </c>
      <c r="CB84" s="431">
        <v>0</v>
      </c>
      <c r="CC84" s="432"/>
      <c r="CD84" s="428">
        <v>41815.649182754627</v>
      </c>
      <c r="CE84" s="433">
        <v>0.23759628394566742</v>
      </c>
      <c r="CF84" s="433">
        <v>0.16769792432989633</v>
      </c>
      <c r="CG84" s="433">
        <v>0.13923731496982597</v>
      </c>
      <c r="CH84" s="433">
        <v>0.11242287429465053</v>
      </c>
      <c r="CI84" s="433">
        <v>9.3511471554120679E-2</v>
      </c>
      <c r="CJ84" s="433">
        <v>0.21434479620157099</v>
      </c>
      <c r="CK84" s="433">
        <v>0.20005420011599015</v>
      </c>
      <c r="CL84" s="433">
        <v>0.2150045900352773</v>
      </c>
      <c r="CM84" s="433">
        <v>0.16831539661914319</v>
      </c>
      <c r="CN84" s="433">
        <v>0.15819847757401839</v>
      </c>
      <c r="CO84" s="433">
        <v>0.33702421666507049</v>
      </c>
      <c r="CP84" s="433">
        <v>0.28551922081271636</v>
      </c>
      <c r="CQ84" s="433">
        <v>0.34039021610837633</v>
      </c>
      <c r="CR84" s="433">
        <v>0.26734268293054819</v>
      </c>
      <c r="CS84" s="433">
        <v>0.39443520669059223</v>
      </c>
      <c r="CT84" s="433">
        <v>0.447221292916757</v>
      </c>
      <c r="CU84" s="433">
        <v>0.3622790598707698</v>
      </c>
      <c r="CV84" s="433">
        <v>0.47604249083347333</v>
      </c>
      <c r="CW84" s="433">
        <v>0.4759898508915783</v>
      </c>
      <c r="CX84" s="433">
        <v>0.4007797062399322</v>
      </c>
      <c r="CY84" s="433">
        <v>0.43383847945766757</v>
      </c>
      <c r="CZ84" s="433">
        <v>0.29816004259848461</v>
      </c>
      <c r="DA84" s="433">
        <v>0.25104840798869349</v>
      </c>
      <c r="DB84" s="433">
        <v>0.39158019166331348</v>
      </c>
      <c r="DC84" s="433">
        <v>0.29816004259848461</v>
      </c>
      <c r="DD84" s="433">
        <v>0.25104840798869349</v>
      </c>
      <c r="DE84" s="433">
        <v>0.29926769201452108</v>
      </c>
      <c r="DF84" s="433">
        <v>0.37270005324810579</v>
      </c>
      <c r="DG84" s="433">
        <v>0</v>
      </c>
      <c r="DH84" s="433">
        <v>0</v>
      </c>
      <c r="DI84" s="433">
        <v>0</v>
      </c>
      <c r="DJ84" s="433">
        <v>0.33104833187447025</v>
      </c>
      <c r="DK84" s="433">
        <v>0.30102696608500845</v>
      </c>
      <c r="DL84" s="433">
        <v>0.26738519112937981</v>
      </c>
      <c r="DM84" s="433">
        <v>0.39133505591051104</v>
      </c>
      <c r="DN84" s="433">
        <v>0</v>
      </c>
      <c r="DO84" s="433">
        <v>0</v>
      </c>
      <c r="DP84" s="433">
        <v>0</v>
      </c>
      <c r="DR84" s="409" t="s">
        <v>855</v>
      </c>
      <c r="DS84" s="409" t="s">
        <v>2485</v>
      </c>
    </row>
    <row r="85" spans="2:123" s="1471" customFormat="1">
      <c r="B85" s="428">
        <v>41822.587809027777</v>
      </c>
      <c r="C85" s="429">
        <v>1.461037935176611</v>
      </c>
      <c r="D85" s="429">
        <v>1.4724593159667367</v>
      </c>
      <c r="E85" s="429">
        <v>1.4745527520751238</v>
      </c>
      <c r="F85" s="429">
        <v>1.3996528116623139</v>
      </c>
      <c r="G85" s="429">
        <v>1.4267708077393384</v>
      </c>
      <c r="H85" s="429">
        <v>1.4317981265138462</v>
      </c>
      <c r="I85" s="429">
        <v>1.4998933428132517</v>
      </c>
      <c r="J85" s="429">
        <v>1.5145160968587721</v>
      </c>
      <c r="K85" s="429">
        <v>1.3803814888063681</v>
      </c>
      <c r="L85" s="429">
        <v>1.57707284334984</v>
      </c>
      <c r="M85" s="429">
        <v>1.8103902617223755</v>
      </c>
      <c r="N85" s="429">
        <v>1.7708909112978517</v>
      </c>
      <c r="O85" s="429">
        <v>1.3614819970754357</v>
      </c>
      <c r="P85" s="429">
        <v>1.4265706494839208</v>
      </c>
      <c r="Q85" s="429">
        <v>2884.3794494964313</v>
      </c>
      <c r="R85" s="429">
        <v>13.513008208535584</v>
      </c>
      <c r="S85" s="429">
        <v>17.404953009667501</v>
      </c>
      <c r="T85" s="429">
        <v>4526.1631985456925</v>
      </c>
      <c r="U85" s="429">
        <v>4687.5424465616752</v>
      </c>
      <c r="V85" s="429">
        <v>4841.7770668094408</v>
      </c>
      <c r="W85" s="429">
        <v>958.47582513816224</v>
      </c>
      <c r="X85" s="429">
        <v>40.507981854527799</v>
      </c>
      <c r="Y85" s="429">
        <v>41.436852699399083</v>
      </c>
      <c r="Z85" s="429">
        <v>42.169159711970586</v>
      </c>
      <c r="AA85" s="429">
        <v>36.419514053678867</v>
      </c>
      <c r="AB85" s="429">
        <v>37.179499290391732</v>
      </c>
      <c r="AC85" s="429">
        <v>33.968554615027337</v>
      </c>
      <c r="AD85" s="429">
        <v>3.3801542242445661</v>
      </c>
      <c r="AE85" s="429">
        <v>0</v>
      </c>
      <c r="AF85" s="429">
        <v>0</v>
      </c>
      <c r="AG85" s="429">
        <v>0</v>
      </c>
      <c r="AH85" s="429">
        <v>3.2977026030420116</v>
      </c>
      <c r="AI85" s="429">
        <v>6.5976169276117087</v>
      </c>
      <c r="AJ85" s="429">
        <v>6.5413061227168496</v>
      </c>
      <c r="AK85" s="429">
        <v>7.1701507235412869</v>
      </c>
      <c r="AL85" s="429">
        <v>0</v>
      </c>
      <c r="AM85" s="429">
        <v>0</v>
      </c>
      <c r="AN85" s="429">
        <v>0</v>
      </c>
      <c r="AO85" s="432"/>
      <c r="AP85" s="428">
        <v>41822.587809027777</v>
      </c>
      <c r="AQ85" s="431">
        <v>132.21754208591349</v>
      </c>
      <c r="AR85" s="431">
        <v>175.96719895557675</v>
      </c>
      <c r="AS85" s="431">
        <v>121.56800585673152</v>
      </c>
      <c r="AT85" s="431">
        <v>130.36489722614525</v>
      </c>
      <c r="AU85" s="431">
        <v>10.632356683566815</v>
      </c>
      <c r="AV85" s="431">
        <v>81.40574075684367</v>
      </c>
      <c r="AW85" s="431">
        <v>-46.740081647657163</v>
      </c>
      <c r="AX85" s="431">
        <v>5.1043538166706366</v>
      </c>
      <c r="AY85" s="431">
        <v>159.4236947182489</v>
      </c>
      <c r="AZ85" s="431">
        <v>-75.05262956798768</v>
      </c>
      <c r="BA85" s="431">
        <v>83.205119276382419</v>
      </c>
      <c r="BB85" s="431">
        <v>177.74515508342654</v>
      </c>
      <c r="BC85" s="431">
        <v>98.445187715772022</v>
      </c>
      <c r="BD85" s="431">
        <v>141.85822219522623</v>
      </c>
      <c r="BE85" s="431">
        <v>367627.28422208509</v>
      </c>
      <c r="BF85" s="431">
        <v>8447.4216818154273</v>
      </c>
      <c r="BG85" s="431">
        <v>-2602.5111427220613</v>
      </c>
      <c r="BH85" s="431">
        <v>568935.82005790924</v>
      </c>
      <c r="BI85" s="431">
        <v>550134.10758983926</v>
      </c>
      <c r="BJ85" s="431">
        <v>-201296.58434153697</v>
      </c>
      <c r="BK85" s="431">
        <v>504586.81763168029</v>
      </c>
      <c r="BL85" s="431">
        <v>3313.1571400026442</v>
      </c>
      <c r="BM85" s="431">
        <v>-1212.2993402302286</v>
      </c>
      <c r="BN85" s="431">
        <v>5818.7471048356601</v>
      </c>
      <c r="BO85" s="431">
        <v>2710.7649327294357</v>
      </c>
      <c r="BP85" s="431">
        <v>-991.88127837018669</v>
      </c>
      <c r="BQ85" s="431">
        <v>2185.0919111946355</v>
      </c>
      <c r="BR85" s="431">
        <v>924.06244157201638</v>
      </c>
      <c r="BS85" s="431">
        <v>0</v>
      </c>
      <c r="BT85" s="431">
        <v>0</v>
      </c>
      <c r="BU85" s="431">
        <v>0</v>
      </c>
      <c r="BV85" s="431">
        <v>877.17400800983717</v>
      </c>
      <c r="BW85" s="431">
        <v>1430.6068451973465</v>
      </c>
      <c r="BX85" s="431">
        <v>1347.7349104902953</v>
      </c>
      <c r="BY85" s="431">
        <v>1100.4668039979588</v>
      </c>
      <c r="BZ85" s="431">
        <v>0</v>
      </c>
      <c r="CA85" s="431">
        <v>0</v>
      </c>
      <c r="CB85" s="431">
        <v>0</v>
      </c>
      <c r="CC85" s="432"/>
      <c r="CD85" s="428">
        <v>41822.587809027777</v>
      </c>
      <c r="CE85" s="433">
        <v>0.23759628394566742</v>
      </c>
      <c r="CF85" s="433">
        <v>0.16769792432989633</v>
      </c>
      <c r="CG85" s="433">
        <v>0.13923731496982597</v>
      </c>
      <c r="CH85" s="433">
        <v>0.11242287429465053</v>
      </c>
      <c r="CI85" s="433">
        <v>9.3511471554120679E-2</v>
      </c>
      <c r="CJ85" s="433">
        <v>0.21434479620157099</v>
      </c>
      <c r="CK85" s="433">
        <v>0.20005420011599015</v>
      </c>
      <c r="CL85" s="433">
        <v>0.2150045900352773</v>
      </c>
      <c r="CM85" s="433">
        <v>0.16831539661914319</v>
      </c>
      <c r="CN85" s="433">
        <v>0.15819847757401839</v>
      </c>
      <c r="CO85" s="433">
        <v>0.33702421666507049</v>
      </c>
      <c r="CP85" s="433">
        <v>0.28551922081271636</v>
      </c>
      <c r="CQ85" s="433">
        <v>0.34039021610837633</v>
      </c>
      <c r="CR85" s="433">
        <v>0.26734268293054819</v>
      </c>
      <c r="CS85" s="433">
        <v>0.39443520669059223</v>
      </c>
      <c r="CT85" s="433">
        <v>0.447221292916757</v>
      </c>
      <c r="CU85" s="433">
        <v>0.3622790598707698</v>
      </c>
      <c r="CV85" s="433">
        <v>0.47604249083347333</v>
      </c>
      <c r="CW85" s="433">
        <v>0.4759898508915783</v>
      </c>
      <c r="CX85" s="433">
        <v>0.4007797062399322</v>
      </c>
      <c r="CY85" s="433">
        <v>0.43383847945766757</v>
      </c>
      <c r="CZ85" s="433">
        <v>0.29816004259848461</v>
      </c>
      <c r="DA85" s="433">
        <v>0.25104840798869349</v>
      </c>
      <c r="DB85" s="433">
        <v>0.39158019166331348</v>
      </c>
      <c r="DC85" s="433">
        <v>0.29816004259848461</v>
      </c>
      <c r="DD85" s="433">
        <v>0.25104840798869349</v>
      </c>
      <c r="DE85" s="433">
        <v>0.29926769201452108</v>
      </c>
      <c r="DF85" s="433">
        <v>0.37270005324810579</v>
      </c>
      <c r="DG85" s="433">
        <v>0</v>
      </c>
      <c r="DH85" s="433">
        <v>0</v>
      </c>
      <c r="DI85" s="433">
        <v>0</v>
      </c>
      <c r="DJ85" s="433">
        <v>0.33104833187447025</v>
      </c>
      <c r="DK85" s="433">
        <v>0.30102696608500845</v>
      </c>
      <c r="DL85" s="433">
        <v>0.26738519112937981</v>
      </c>
      <c r="DM85" s="433">
        <v>0.39133505591051104</v>
      </c>
      <c r="DN85" s="433">
        <v>0</v>
      </c>
      <c r="DO85" s="433">
        <v>0</v>
      </c>
      <c r="DP85" s="433">
        <v>0</v>
      </c>
      <c r="DR85" s="409" t="s">
        <v>711</v>
      </c>
      <c r="DS85" s="409" t="s">
        <v>2496</v>
      </c>
    </row>
    <row r="86" spans="2:123" s="1471" customFormat="1">
      <c r="B86" s="428">
        <v>41822.66426273148</v>
      </c>
      <c r="C86" s="429">
        <v>1.461037935176611</v>
      </c>
      <c r="D86" s="429">
        <v>1.4724593159667367</v>
      </c>
      <c r="E86" s="429">
        <v>1.527704600924372</v>
      </c>
      <c r="F86" s="429">
        <v>1.4024393844655505</v>
      </c>
      <c r="G86" s="429">
        <v>1.4267708077393384</v>
      </c>
      <c r="H86" s="429">
        <v>1.4402712839033314</v>
      </c>
      <c r="I86" s="429">
        <v>1.4998933428132517</v>
      </c>
      <c r="J86" s="429">
        <v>1.5145160968587721</v>
      </c>
      <c r="K86" s="429">
        <v>1.3860842357819911</v>
      </c>
      <c r="L86" s="429">
        <v>1.6138526322050029</v>
      </c>
      <c r="M86" s="429">
        <v>1.8103902617223755</v>
      </c>
      <c r="N86" s="429">
        <v>1.7708909112978517</v>
      </c>
      <c r="O86" s="429">
        <v>1.3614819970754357</v>
      </c>
      <c r="P86" s="429">
        <v>1.4265706494839208</v>
      </c>
      <c r="Q86" s="429">
        <v>2884.3794494964313</v>
      </c>
      <c r="R86" s="429">
        <v>13.513008208535584</v>
      </c>
      <c r="S86" s="429">
        <v>17.404953009667501</v>
      </c>
      <c r="T86" s="429">
        <v>4526.1631985456925</v>
      </c>
      <c r="U86" s="429">
        <v>4687.5424465616752</v>
      </c>
      <c r="V86" s="429">
        <v>4841.7770668094408</v>
      </c>
      <c r="W86" s="429">
        <v>983.74967736902136</v>
      </c>
      <c r="X86" s="429">
        <v>40.507981854527799</v>
      </c>
      <c r="Y86" s="429">
        <v>41.436852699399083</v>
      </c>
      <c r="Z86" s="429">
        <v>42.169159711970586</v>
      </c>
      <c r="AA86" s="429">
        <v>36.419514053678867</v>
      </c>
      <c r="AB86" s="429">
        <v>37.179499290391732</v>
      </c>
      <c r="AC86" s="429">
        <v>34.04778248842959</v>
      </c>
      <c r="AD86" s="429">
        <v>3.3801542242445661</v>
      </c>
      <c r="AE86" s="429">
        <v>0</v>
      </c>
      <c r="AF86" s="429">
        <v>0</v>
      </c>
      <c r="AG86" s="429">
        <v>0</v>
      </c>
      <c r="AH86" s="429">
        <v>3.3278539388576966</v>
      </c>
      <c r="AI86" s="429">
        <v>6.5976169276117087</v>
      </c>
      <c r="AJ86" s="429">
        <v>6.5880708445669773</v>
      </c>
      <c r="AK86" s="429">
        <v>7.1701507235412869</v>
      </c>
      <c r="AL86" s="429">
        <v>0</v>
      </c>
      <c r="AM86" s="429">
        <v>0</v>
      </c>
      <c r="AN86" s="429">
        <v>0</v>
      </c>
      <c r="AO86" s="432"/>
      <c r="AP86" s="428">
        <v>41822.66426273148</v>
      </c>
      <c r="AQ86" s="431">
        <v>132.21754208591349</v>
      </c>
      <c r="AR86" s="431">
        <v>175.96719895557675</v>
      </c>
      <c r="AS86" s="431">
        <v>121.56800585673152</v>
      </c>
      <c r="AT86" s="431">
        <v>130.36489722614525</v>
      </c>
      <c r="AU86" s="431">
        <v>10.632356683566815</v>
      </c>
      <c r="AV86" s="431">
        <v>81.40574075684367</v>
      </c>
      <c r="AW86" s="431">
        <v>-46.740081647657163</v>
      </c>
      <c r="AX86" s="431">
        <v>5.1043538166706366</v>
      </c>
      <c r="AY86" s="431">
        <v>159.4236947182489</v>
      </c>
      <c r="AZ86" s="431">
        <v>-75.05262956798768</v>
      </c>
      <c r="BA86" s="431">
        <v>83.205119276382419</v>
      </c>
      <c r="BB86" s="431">
        <v>177.74515508342654</v>
      </c>
      <c r="BC86" s="431">
        <v>98.445187715772022</v>
      </c>
      <c r="BD86" s="431">
        <v>141.85822219522623</v>
      </c>
      <c r="BE86" s="431">
        <v>367627.28422208509</v>
      </c>
      <c r="BF86" s="431">
        <v>8447.4216818154273</v>
      </c>
      <c r="BG86" s="431">
        <v>-2602.5111427220613</v>
      </c>
      <c r="BH86" s="431">
        <v>568935.82005790924</v>
      </c>
      <c r="BI86" s="431">
        <v>550134.10758983926</v>
      </c>
      <c r="BJ86" s="431">
        <v>-201296.58434153697</v>
      </c>
      <c r="BK86" s="431">
        <v>504586.81763168029</v>
      </c>
      <c r="BL86" s="431">
        <v>3313.1571400026442</v>
      </c>
      <c r="BM86" s="431">
        <v>-1212.2993402302286</v>
      </c>
      <c r="BN86" s="431">
        <v>5818.7471048356601</v>
      </c>
      <c r="BO86" s="431">
        <v>2710.7649327294357</v>
      </c>
      <c r="BP86" s="431">
        <v>-991.88127837018669</v>
      </c>
      <c r="BQ86" s="431">
        <v>2185.0919111946355</v>
      </c>
      <c r="BR86" s="431">
        <v>924.06244157201638</v>
      </c>
      <c r="BS86" s="431">
        <v>0</v>
      </c>
      <c r="BT86" s="431">
        <v>0</v>
      </c>
      <c r="BU86" s="431">
        <v>0</v>
      </c>
      <c r="BV86" s="431">
        <v>877.17400800983717</v>
      </c>
      <c r="BW86" s="431">
        <v>1430.6068451973465</v>
      </c>
      <c r="BX86" s="431">
        <v>1347.7349104902953</v>
      </c>
      <c r="BY86" s="431">
        <v>1100.4668039979588</v>
      </c>
      <c r="BZ86" s="431">
        <v>0</v>
      </c>
      <c r="CA86" s="431">
        <v>0</v>
      </c>
      <c r="CB86" s="431">
        <v>0</v>
      </c>
      <c r="CC86" s="432"/>
      <c r="CD86" s="428">
        <v>41822.66426273148</v>
      </c>
      <c r="CE86" s="433">
        <v>0.23759628394566742</v>
      </c>
      <c r="CF86" s="433">
        <v>0.16769792432989633</v>
      </c>
      <c r="CG86" s="433">
        <v>0.13923731496982597</v>
      </c>
      <c r="CH86" s="433">
        <v>0.11242287429465053</v>
      </c>
      <c r="CI86" s="433">
        <v>9.3511471554120679E-2</v>
      </c>
      <c r="CJ86" s="433">
        <v>0.21434479620157099</v>
      </c>
      <c r="CK86" s="433">
        <v>0.20005420011599015</v>
      </c>
      <c r="CL86" s="433">
        <v>0.2150045900352773</v>
      </c>
      <c r="CM86" s="433">
        <v>0.16831539661914319</v>
      </c>
      <c r="CN86" s="433">
        <v>0.15819847757401839</v>
      </c>
      <c r="CO86" s="433">
        <v>0.33702421666507049</v>
      </c>
      <c r="CP86" s="433">
        <v>0.28551922081271636</v>
      </c>
      <c r="CQ86" s="433">
        <v>0.34039021610837633</v>
      </c>
      <c r="CR86" s="433">
        <v>0.26734268293054819</v>
      </c>
      <c r="CS86" s="433">
        <v>0.39443520669059223</v>
      </c>
      <c r="CT86" s="433">
        <v>0.447221292916757</v>
      </c>
      <c r="CU86" s="433">
        <v>0.3622790598707698</v>
      </c>
      <c r="CV86" s="433">
        <v>0.47604249083347333</v>
      </c>
      <c r="CW86" s="433">
        <v>0.4759898508915783</v>
      </c>
      <c r="CX86" s="433">
        <v>0.4007797062399322</v>
      </c>
      <c r="CY86" s="433">
        <v>0.43383847945766757</v>
      </c>
      <c r="CZ86" s="433">
        <v>0.29816004259848461</v>
      </c>
      <c r="DA86" s="433">
        <v>0.25104840798869349</v>
      </c>
      <c r="DB86" s="433">
        <v>0.39158019166331348</v>
      </c>
      <c r="DC86" s="433">
        <v>0.29816004259848461</v>
      </c>
      <c r="DD86" s="433">
        <v>0.25104840798869349</v>
      </c>
      <c r="DE86" s="433">
        <v>0.29926769201452108</v>
      </c>
      <c r="DF86" s="433">
        <v>0.37270005324810579</v>
      </c>
      <c r="DG86" s="433">
        <v>0</v>
      </c>
      <c r="DH86" s="433">
        <v>0</v>
      </c>
      <c r="DI86" s="433">
        <v>0</v>
      </c>
      <c r="DJ86" s="433">
        <v>0.33104833187447025</v>
      </c>
      <c r="DK86" s="433">
        <v>0.30102696608500845</v>
      </c>
      <c r="DL86" s="433">
        <v>0.26738519112937981</v>
      </c>
      <c r="DM86" s="433">
        <v>0.39133505591051104</v>
      </c>
      <c r="DN86" s="433">
        <v>0</v>
      </c>
      <c r="DO86" s="433">
        <v>0</v>
      </c>
      <c r="DP86" s="433">
        <v>0</v>
      </c>
      <c r="DR86" s="409" t="s">
        <v>711</v>
      </c>
      <c r="DS86" s="409" t="s">
        <v>2505</v>
      </c>
    </row>
    <row r="87" spans="2:123" s="1471" customFormat="1">
      <c r="B87" s="428">
        <v>41824.615819907405</v>
      </c>
      <c r="C87" s="429">
        <v>1.461037935176611</v>
      </c>
      <c r="D87" s="429">
        <v>1.4724593159667367</v>
      </c>
      <c r="E87" s="429">
        <v>1.5310431409243721</v>
      </c>
      <c r="F87" s="429">
        <v>1.4044032315243742</v>
      </c>
      <c r="G87" s="429">
        <v>1.4267708077393384</v>
      </c>
      <c r="H87" s="429">
        <v>1.4428324252076792</v>
      </c>
      <c r="I87" s="429">
        <v>1.4998933428132517</v>
      </c>
      <c r="J87" s="429">
        <v>1.5145160968587721</v>
      </c>
      <c r="K87" s="429">
        <v>1.3860842357819911</v>
      </c>
      <c r="L87" s="429">
        <v>1.6138526322050029</v>
      </c>
      <c r="M87" s="429">
        <v>1.8103902617223755</v>
      </c>
      <c r="N87" s="429">
        <v>1.7708909112978517</v>
      </c>
      <c r="O87" s="429">
        <v>1.3614819970754357</v>
      </c>
      <c r="P87" s="429">
        <v>1.4265706494839208</v>
      </c>
      <c r="Q87" s="429">
        <v>2884.3794494964313</v>
      </c>
      <c r="R87" s="429">
        <v>13.513008208535584</v>
      </c>
      <c r="S87" s="429">
        <v>17.404953009667501</v>
      </c>
      <c r="T87" s="429">
        <v>4526.1631985456925</v>
      </c>
      <c r="U87" s="429">
        <v>4687.5424465616752</v>
      </c>
      <c r="V87" s="429">
        <v>4841.7770668094408</v>
      </c>
      <c r="W87" s="429">
        <v>983.74967736902136</v>
      </c>
      <c r="X87" s="429">
        <v>40.507981854527799</v>
      </c>
      <c r="Y87" s="429">
        <v>41.436852699399083</v>
      </c>
      <c r="Z87" s="429">
        <v>42.169159711970586</v>
      </c>
      <c r="AA87" s="429">
        <v>36.419514053678867</v>
      </c>
      <c r="AB87" s="429">
        <v>37.179499290391732</v>
      </c>
      <c r="AC87" s="429">
        <v>34.04778248842959</v>
      </c>
      <c r="AD87" s="429">
        <v>3.3801542242445661</v>
      </c>
      <c r="AE87" s="429">
        <v>0</v>
      </c>
      <c r="AF87" s="429">
        <v>0</v>
      </c>
      <c r="AG87" s="429">
        <v>0</v>
      </c>
      <c r="AH87" s="429">
        <v>3.3278539388576966</v>
      </c>
      <c r="AI87" s="429">
        <v>6.5976169276117087</v>
      </c>
      <c r="AJ87" s="429">
        <v>6.5880708445669773</v>
      </c>
      <c r="AK87" s="429">
        <v>7.1701507235412869</v>
      </c>
      <c r="AL87" s="429">
        <v>0</v>
      </c>
      <c r="AM87" s="429">
        <v>0</v>
      </c>
      <c r="AN87" s="429">
        <v>0</v>
      </c>
      <c r="AO87" s="432"/>
      <c r="AP87" s="428">
        <v>41824.615819907405</v>
      </c>
      <c r="AQ87" s="431">
        <v>132.21754208591349</v>
      </c>
      <c r="AR87" s="431">
        <v>175.96719895557675</v>
      </c>
      <c r="AS87" s="431">
        <v>121.56800585673152</v>
      </c>
      <c r="AT87" s="431">
        <v>130.36489722614525</v>
      </c>
      <c r="AU87" s="431">
        <v>10.632356683566815</v>
      </c>
      <c r="AV87" s="431">
        <v>81.40574075684367</v>
      </c>
      <c r="AW87" s="431">
        <v>-46.740081647657163</v>
      </c>
      <c r="AX87" s="431">
        <v>5.1043538166706366</v>
      </c>
      <c r="AY87" s="431">
        <v>159.4236947182489</v>
      </c>
      <c r="AZ87" s="431">
        <v>-75.05262956798768</v>
      </c>
      <c r="BA87" s="431">
        <v>83.205119276382419</v>
      </c>
      <c r="BB87" s="431">
        <v>177.74515508342654</v>
      </c>
      <c r="BC87" s="431">
        <v>98.445187715772022</v>
      </c>
      <c r="BD87" s="431">
        <v>141.85822219522623</v>
      </c>
      <c r="BE87" s="431">
        <v>367627.28422208509</v>
      </c>
      <c r="BF87" s="431">
        <v>8447.4216818154273</v>
      </c>
      <c r="BG87" s="431">
        <v>-2602.5111427220613</v>
      </c>
      <c r="BH87" s="431">
        <v>568935.82005790924</v>
      </c>
      <c r="BI87" s="431">
        <v>550134.10758983926</v>
      </c>
      <c r="BJ87" s="431">
        <v>-201296.58434153697</v>
      </c>
      <c r="BK87" s="431">
        <v>504586.81763168029</v>
      </c>
      <c r="BL87" s="431">
        <v>3313.1571400026442</v>
      </c>
      <c r="BM87" s="431">
        <v>-1212.2993402302286</v>
      </c>
      <c r="BN87" s="431">
        <v>5818.7471048356601</v>
      </c>
      <c r="BO87" s="431">
        <v>2710.7649327294357</v>
      </c>
      <c r="BP87" s="431">
        <v>-991.88127837018669</v>
      </c>
      <c r="BQ87" s="431">
        <v>2185.0919111946355</v>
      </c>
      <c r="BR87" s="431">
        <v>924.06244157201638</v>
      </c>
      <c r="BS87" s="431">
        <v>0</v>
      </c>
      <c r="BT87" s="431">
        <v>0</v>
      </c>
      <c r="BU87" s="431">
        <v>0</v>
      </c>
      <c r="BV87" s="431">
        <v>877.17400800983717</v>
      </c>
      <c r="BW87" s="431">
        <v>1430.6068451973465</v>
      </c>
      <c r="BX87" s="431">
        <v>1347.7349104902953</v>
      </c>
      <c r="BY87" s="431">
        <v>1100.4668039979588</v>
      </c>
      <c r="BZ87" s="431">
        <v>0</v>
      </c>
      <c r="CA87" s="431">
        <v>0</v>
      </c>
      <c r="CB87" s="431">
        <v>0</v>
      </c>
      <c r="CC87" s="432"/>
      <c r="CD87" s="428">
        <v>41824.615820023151</v>
      </c>
      <c r="CE87" s="433">
        <v>0.23759628394566742</v>
      </c>
      <c r="CF87" s="433">
        <v>0.16769792432989633</v>
      </c>
      <c r="CG87" s="433">
        <v>0.13923731496982597</v>
      </c>
      <c r="CH87" s="433" t="e">
        <v>#REF!</v>
      </c>
      <c r="CI87" s="433">
        <v>9.3511471554120679E-2</v>
      </c>
      <c r="CJ87" s="433">
        <v>0.20776980245257207</v>
      </c>
      <c r="CK87" s="433">
        <v>0.20005420011599015</v>
      </c>
      <c r="CL87" s="433">
        <v>0.2150045900352773</v>
      </c>
      <c r="CM87" s="433">
        <v>0.16831539661914319</v>
      </c>
      <c r="CN87" s="433">
        <v>0.15819847757401839</v>
      </c>
      <c r="CO87" s="433">
        <v>0.33702421666507049</v>
      </c>
      <c r="CP87" s="433">
        <v>0.28551922081271636</v>
      </c>
      <c r="CQ87" s="433">
        <v>0.34039021610837633</v>
      </c>
      <c r="CR87" s="433">
        <v>0.26734268293054819</v>
      </c>
      <c r="CS87" s="433">
        <v>0.39443520669059223</v>
      </c>
      <c r="CT87" s="433">
        <v>0.447221292916757</v>
      </c>
      <c r="CU87" s="433">
        <v>0.3622790598707698</v>
      </c>
      <c r="CV87" s="433">
        <v>0.47604249083347333</v>
      </c>
      <c r="CW87" s="433">
        <v>0.4759898508915783</v>
      </c>
      <c r="CX87" s="433">
        <v>0.4007797062399322</v>
      </c>
      <c r="CY87" s="433">
        <v>0.43383847945766757</v>
      </c>
      <c r="CZ87" s="433">
        <v>0.29816004259848461</v>
      </c>
      <c r="DA87" s="433">
        <v>0.25104840798869349</v>
      </c>
      <c r="DB87" s="433">
        <v>0.39158019166331348</v>
      </c>
      <c r="DC87" s="433">
        <v>0.29816004259848461</v>
      </c>
      <c r="DD87" s="433">
        <v>0.25104840798869349</v>
      </c>
      <c r="DE87" s="433">
        <v>0.29926769201452108</v>
      </c>
      <c r="DF87" s="433">
        <v>0.37270005324810579</v>
      </c>
      <c r="DG87" s="433">
        <v>0</v>
      </c>
      <c r="DH87" s="433">
        <v>0</v>
      </c>
      <c r="DI87" s="433">
        <v>0</v>
      </c>
      <c r="DJ87" s="433">
        <v>0.33104833187447025</v>
      </c>
      <c r="DK87" s="433">
        <v>0.30102696608500845</v>
      </c>
      <c r="DL87" s="433">
        <v>0.26738519112937981</v>
      </c>
      <c r="DM87" s="433">
        <v>0.39133505591051104</v>
      </c>
      <c r="DN87" s="433">
        <v>0</v>
      </c>
      <c r="DO87" s="433">
        <v>0</v>
      </c>
      <c r="DP87" s="433">
        <v>0</v>
      </c>
      <c r="DR87" s="409" t="s">
        <v>711</v>
      </c>
      <c r="DS87" s="409" t="s">
        <v>2523</v>
      </c>
    </row>
    <row r="88" spans="2:123" s="1471" customFormat="1">
      <c r="B88" s="428">
        <v>41824.683914814814</v>
      </c>
      <c r="C88" s="429">
        <v>1.461037935176611</v>
      </c>
      <c r="D88" s="429">
        <v>1.4724593159667367</v>
      </c>
      <c r="E88" s="429">
        <v>1.5352762575305838</v>
      </c>
      <c r="F88" s="429">
        <v>1.4077491069901382</v>
      </c>
      <c r="G88" s="429">
        <v>1.4531223852105939</v>
      </c>
      <c r="H88" s="429">
        <v>1.4428324252076792</v>
      </c>
      <c r="I88" s="429">
        <v>1.5210738213776733</v>
      </c>
      <c r="J88" s="429">
        <v>1.5426027260031707</v>
      </c>
      <c r="K88" s="429">
        <v>1.3860842357819911</v>
      </c>
      <c r="L88" s="429">
        <v>1.6138526322050029</v>
      </c>
      <c r="M88" s="429">
        <v>1.8135113222962385</v>
      </c>
      <c r="N88" s="429">
        <v>1.7708909112978517</v>
      </c>
      <c r="O88" s="429">
        <v>1.3614819970754357</v>
      </c>
      <c r="P88" s="429">
        <v>1.4265706494839208</v>
      </c>
      <c r="Q88" s="429">
        <v>2884.3794494964313</v>
      </c>
      <c r="R88" s="429">
        <v>13.513008208535584</v>
      </c>
      <c r="S88" s="429">
        <v>19.596277599811103</v>
      </c>
      <c r="T88" s="429">
        <v>4526.1631985456925</v>
      </c>
      <c r="U88" s="429">
        <v>4687.5424465616752</v>
      </c>
      <c r="V88" s="429">
        <v>4927.1464653761241</v>
      </c>
      <c r="W88" s="429">
        <v>983.74967736902136</v>
      </c>
      <c r="X88" s="429">
        <v>40.507981854527799</v>
      </c>
      <c r="Y88" s="429">
        <v>41.950985941633569</v>
      </c>
      <c r="Z88" s="429">
        <v>42.169159711970586</v>
      </c>
      <c r="AA88" s="429">
        <v>36.419514053678867</v>
      </c>
      <c r="AB88" s="429">
        <v>37.600153761310857</v>
      </c>
      <c r="AC88" s="429">
        <v>34.04778248842959</v>
      </c>
      <c r="AD88" s="429">
        <v>3.3801542242445661</v>
      </c>
      <c r="AE88" s="429">
        <v>0</v>
      </c>
      <c r="AF88" s="429">
        <v>0</v>
      </c>
      <c r="AG88" s="429">
        <v>0</v>
      </c>
      <c r="AH88" s="429">
        <v>3.3278539388576966</v>
      </c>
      <c r="AI88" s="429">
        <v>6.5976169276117087</v>
      </c>
      <c r="AJ88" s="429">
        <v>6.5880708445669773</v>
      </c>
      <c r="AK88" s="429">
        <v>7.1701507235412869</v>
      </c>
      <c r="AL88" s="429">
        <v>0</v>
      </c>
      <c r="AM88" s="429">
        <v>0</v>
      </c>
      <c r="AN88" s="429">
        <v>0</v>
      </c>
      <c r="AO88" s="432"/>
      <c r="AP88" s="428">
        <v>41824.683914814814</v>
      </c>
      <c r="AQ88" s="431">
        <v>132.21754208591349</v>
      </c>
      <c r="AR88" s="431">
        <v>175.96719895557675</v>
      </c>
      <c r="AS88" s="431">
        <v>121.56800585673152</v>
      </c>
      <c r="AT88" s="431">
        <v>130.36489722614525</v>
      </c>
      <c r="AU88" s="431">
        <v>10.632356683566815</v>
      </c>
      <c r="AV88" s="431">
        <v>81.40574075684367</v>
      </c>
      <c r="AW88" s="431">
        <v>-46.740081647657163</v>
      </c>
      <c r="AX88" s="431">
        <v>5.1043538166706366</v>
      </c>
      <c r="AY88" s="431">
        <v>159.4236947182489</v>
      </c>
      <c r="AZ88" s="431">
        <v>-75.05262956798768</v>
      </c>
      <c r="BA88" s="431">
        <v>83.205119276382419</v>
      </c>
      <c r="BB88" s="431">
        <v>177.74515508342654</v>
      </c>
      <c r="BC88" s="431">
        <v>98.445187715772022</v>
      </c>
      <c r="BD88" s="431">
        <v>141.85822219522623</v>
      </c>
      <c r="BE88" s="431">
        <v>367627.28422208509</v>
      </c>
      <c r="BF88" s="431">
        <v>8447.4216818154273</v>
      </c>
      <c r="BG88" s="431">
        <v>-2964.1283434909196</v>
      </c>
      <c r="BH88" s="431">
        <v>568935.82005790924</v>
      </c>
      <c r="BI88" s="431">
        <v>550134.10758983926</v>
      </c>
      <c r="BJ88" s="431">
        <v>-201296.58434153697</v>
      </c>
      <c r="BK88" s="431">
        <v>504586.81763168029</v>
      </c>
      <c r="BL88" s="431">
        <v>3313.1571400026442</v>
      </c>
      <c r="BM88" s="431">
        <v>-1212.2993402302286</v>
      </c>
      <c r="BN88" s="431">
        <v>5818.7471048356601</v>
      </c>
      <c r="BO88" s="431">
        <v>2710.7649327294357</v>
      </c>
      <c r="BP88" s="431">
        <v>-991.88127837018669</v>
      </c>
      <c r="BQ88" s="431">
        <v>2185.0919111946355</v>
      </c>
      <c r="BR88" s="431">
        <v>924.06244157201638</v>
      </c>
      <c r="BS88" s="431">
        <v>0</v>
      </c>
      <c r="BT88" s="431">
        <v>0</v>
      </c>
      <c r="BU88" s="431">
        <v>0</v>
      </c>
      <c r="BV88" s="431">
        <v>877.17400800983717</v>
      </c>
      <c r="BW88" s="431">
        <v>1430.6068451973465</v>
      </c>
      <c r="BX88" s="431">
        <v>1347.7349104902953</v>
      </c>
      <c r="BY88" s="431">
        <v>1100.4668039979588</v>
      </c>
      <c r="BZ88" s="431">
        <v>0</v>
      </c>
      <c r="CA88" s="431">
        <v>0</v>
      </c>
      <c r="CB88" s="431">
        <v>0</v>
      </c>
      <c r="CC88" s="432"/>
      <c r="CD88" s="428">
        <v>41824.683914814814</v>
      </c>
      <c r="CE88" s="433">
        <v>0.23759628394566742</v>
      </c>
      <c r="CF88" s="433">
        <v>0.16769792432989633</v>
      </c>
      <c r="CG88" s="433">
        <v>0.13923731496982597</v>
      </c>
      <c r="CH88" s="433" t="e">
        <v>#REF!</v>
      </c>
      <c r="CI88" s="433">
        <v>9.3511471554120679E-2</v>
      </c>
      <c r="CJ88" s="433">
        <v>0.20776980245257207</v>
      </c>
      <c r="CK88" s="433">
        <v>0.20005420011599015</v>
      </c>
      <c r="CL88" s="433">
        <v>0.2150045900352773</v>
      </c>
      <c r="CM88" s="433">
        <v>0.16831539661914319</v>
      </c>
      <c r="CN88" s="433">
        <v>0.15819847757401839</v>
      </c>
      <c r="CO88" s="433">
        <v>0.33702421666507049</v>
      </c>
      <c r="CP88" s="433">
        <v>0.28551922081271636</v>
      </c>
      <c r="CQ88" s="433">
        <v>0.34039021610837633</v>
      </c>
      <c r="CR88" s="433">
        <v>0.26734268293054819</v>
      </c>
      <c r="CS88" s="433">
        <v>0.39443520669059223</v>
      </c>
      <c r="CT88" s="433">
        <v>0.447221292916757</v>
      </c>
      <c r="CU88" s="433">
        <v>0.3622790598707698</v>
      </c>
      <c r="CV88" s="433">
        <v>0.47604249083347333</v>
      </c>
      <c r="CW88" s="433">
        <v>0.4759898508915783</v>
      </c>
      <c r="CX88" s="433">
        <v>0.4007797062399322</v>
      </c>
      <c r="CY88" s="433">
        <v>0.43383847945766757</v>
      </c>
      <c r="CZ88" s="433">
        <v>0.29816004259848461</v>
      </c>
      <c r="DA88" s="433">
        <v>0.25104840798869349</v>
      </c>
      <c r="DB88" s="433">
        <v>0.39158019166331348</v>
      </c>
      <c r="DC88" s="433">
        <v>0.29816004259848461</v>
      </c>
      <c r="DD88" s="433">
        <v>0.25104840798869349</v>
      </c>
      <c r="DE88" s="433">
        <v>0.29926769201452108</v>
      </c>
      <c r="DF88" s="433">
        <v>0.37270005324810579</v>
      </c>
      <c r="DG88" s="433">
        <v>0</v>
      </c>
      <c r="DH88" s="433">
        <v>0</v>
      </c>
      <c r="DI88" s="433">
        <v>0</v>
      </c>
      <c r="DJ88" s="433">
        <v>0.33104833187447025</v>
      </c>
      <c r="DK88" s="433">
        <v>0.30102696608500845</v>
      </c>
      <c r="DL88" s="433">
        <v>0.26738519112937981</v>
      </c>
      <c r="DM88" s="433">
        <v>0.39133505591051104</v>
      </c>
      <c r="DN88" s="433">
        <v>0</v>
      </c>
      <c r="DO88" s="433">
        <v>0</v>
      </c>
      <c r="DP88" s="433">
        <v>0</v>
      </c>
      <c r="DR88" s="409" t="s">
        <v>711</v>
      </c>
      <c r="DS88" s="409" t="s">
        <v>2525</v>
      </c>
    </row>
    <row r="89" spans="2:123" s="1471" customFormat="1">
      <c r="B89" s="428">
        <v>41824.685371643522</v>
      </c>
      <c r="C89" s="429">
        <v>1.461037935176611</v>
      </c>
      <c r="D89" s="429">
        <v>1.4724593159667367</v>
      </c>
      <c r="E89" s="429">
        <v>1.5353841150279204</v>
      </c>
      <c r="F89" s="429">
        <v>1.4078343580681756</v>
      </c>
      <c r="G89" s="429">
        <v>1.4537938090009881</v>
      </c>
      <c r="H89" s="429">
        <v>1.4428324252076792</v>
      </c>
      <c r="I89" s="429">
        <v>1.521613488394405</v>
      </c>
      <c r="J89" s="429">
        <v>1.5433183579618304</v>
      </c>
      <c r="K89" s="429">
        <v>1.3860842357819911</v>
      </c>
      <c r="L89" s="429">
        <v>1.6138526322050029</v>
      </c>
      <c r="M89" s="429">
        <v>1.8135908452137122</v>
      </c>
      <c r="N89" s="429">
        <v>1.7708909112978517</v>
      </c>
      <c r="O89" s="429">
        <v>1.3614819970754357</v>
      </c>
      <c r="P89" s="429">
        <v>1.4265706494839208</v>
      </c>
      <c r="Q89" s="429">
        <v>2884.3794494964313</v>
      </c>
      <c r="R89" s="429">
        <v>13.513008208535584</v>
      </c>
      <c r="S89" s="429">
        <v>19.652111352606472</v>
      </c>
      <c r="T89" s="429">
        <v>4526.1631985456925</v>
      </c>
      <c r="U89" s="429">
        <v>4687.5424465616752</v>
      </c>
      <c r="V89" s="429">
        <v>4929.3216309893342</v>
      </c>
      <c r="W89" s="429">
        <v>983.74967736902136</v>
      </c>
      <c r="X89" s="429">
        <v>40.507981854527799</v>
      </c>
      <c r="Y89" s="429">
        <v>41.964085775624348</v>
      </c>
      <c r="Z89" s="429">
        <v>42.169159711970586</v>
      </c>
      <c r="AA89" s="429">
        <v>36.419514053678867</v>
      </c>
      <c r="AB89" s="429">
        <v>37.610871807303319</v>
      </c>
      <c r="AC89" s="429">
        <v>34.04778248842959</v>
      </c>
      <c r="AD89" s="429">
        <v>3.3801542242445661</v>
      </c>
      <c r="AE89" s="429">
        <v>0</v>
      </c>
      <c r="AF89" s="429">
        <v>0</v>
      </c>
      <c r="AG89" s="429">
        <v>0</v>
      </c>
      <c r="AH89" s="429">
        <v>3.3278539388576966</v>
      </c>
      <c r="AI89" s="429">
        <v>6.5976169276117087</v>
      </c>
      <c r="AJ89" s="429">
        <v>6.5880708445669773</v>
      </c>
      <c r="AK89" s="429">
        <v>7.1701507235412869</v>
      </c>
      <c r="AL89" s="429">
        <v>0</v>
      </c>
      <c r="AM89" s="429">
        <v>0</v>
      </c>
      <c r="AN89" s="429">
        <v>0</v>
      </c>
      <c r="AO89" s="432"/>
      <c r="AP89" s="428">
        <v>41824.685371643522</v>
      </c>
      <c r="AQ89" s="431">
        <v>132.21754208591349</v>
      </c>
      <c r="AR89" s="431">
        <v>175.96719895557675</v>
      </c>
      <c r="AS89" s="431">
        <v>121.56800585673152</v>
      </c>
      <c r="AT89" s="431">
        <v>130.36489722614525</v>
      </c>
      <c r="AU89" s="431">
        <v>10.632356683566815</v>
      </c>
      <c r="AV89" s="431">
        <v>81.40574075684367</v>
      </c>
      <c r="AW89" s="431">
        <v>-46.740081647657163</v>
      </c>
      <c r="AX89" s="431">
        <v>5.1043538166706366</v>
      </c>
      <c r="AY89" s="431">
        <v>159.4236947182489</v>
      </c>
      <c r="AZ89" s="431">
        <v>-75.05262956798768</v>
      </c>
      <c r="BA89" s="431">
        <v>83.205119276382419</v>
      </c>
      <c r="BB89" s="431">
        <v>177.74515508342654</v>
      </c>
      <c r="BC89" s="431">
        <v>98.445187715772022</v>
      </c>
      <c r="BD89" s="431">
        <v>141.85822219522623</v>
      </c>
      <c r="BE89" s="431">
        <v>367627.28422208509</v>
      </c>
      <c r="BF89" s="431">
        <v>8447.4216818154273</v>
      </c>
      <c r="BG89" s="431">
        <v>-2973.3421521092764</v>
      </c>
      <c r="BH89" s="431">
        <v>568935.82005790924</v>
      </c>
      <c r="BI89" s="431">
        <v>550134.10758983926</v>
      </c>
      <c r="BJ89" s="431">
        <v>-201296.58434153697</v>
      </c>
      <c r="BK89" s="431">
        <v>504586.81763168029</v>
      </c>
      <c r="BL89" s="431">
        <v>3313.1571400026442</v>
      </c>
      <c r="BM89" s="431">
        <v>-1212.2993402302286</v>
      </c>
      <c r="BN89" s="431">
        <v>5818.7471048356601</v>
      </c>
      <c r="BO89" s="431">
        <v>2710.7649327294357</v>
      </c>
      <c r="BP89" s="431">
        <v>-991.88127837018669</v>
      </c>
      <c r="BQ89" s="431">
        <v>2185.0919111946355</v>
      </c>
      <c r="BR89" s="431">
        <v>924.06244157201638</v>
      </c>
      <c r="BS89" s="431">
        <v>0</v>
      </c>
      <c r="BT89" s="431">
        <v>0</v>
      </c>
      <c r="BU89" s="431">
        <v>0</v>
      </c>
      <c r="BV89" s="431">
        <v>877.17400800983717</v>
      </c>
      <c r="BW89" s="431">
        <v>1430.6068451973465</v>
      </c>
      <c r="BX89" s="431">
        <v>1347.7349104902953</v>
      </c>
      <c r="BY89" s="431">
        <v>1100.4668039979588</v>
      </c>
      <c r="BZ89" s="431">
        <v>0</v>
      </c>
      <c r="CA89" s="431">
        <v>0</v>
      </c>
      <c r="CB89" s="431">
        <v>0</v>
      </c>
      <c r="CC89" s="432"/>
      <c r="CD89" s="428">
        <v>41824.685371643522</v>
      </c>
      <c r="CE89" s="433">
        <v>0.23759628394566742</v>
      </c>
      <c r="CF89" s="433">
        <v>0.16769792432989633</v>
      </c>
      <c r="CG89" s="433">
        <v>0.13923731496982597</v>
      </c>
      <c r="CH89" s="433" t="e">
        <v>#REF!</v>
      </c>
      <c r="CI89" s="433">
        <v>9.3511471554120679E-2</v>
      </c>
      <c r="CJ89" s="433">
        <v>0.20776980245257207</v>
      </c>
      <c r="CK89" s="433">
        <v>0.20005420011599015</v>
      </c>
      <c r="CL89" s="433">
        <v>0.2150045900352773</v>
      </c>
      <c r="CM89" s="433">
        <v>0.16831539661914319</v>
      </c>
      <c r="CN89" s="433">
        <v>0.15819847757401839</v>
      </c>
      <c r="CO89" s="433">
        <v>0.33702421666507049</v>
      </c>
      <c r="CP89" s="433">
        <v>0.28551922081271636</v>
      </c>
      <c r="CQ89" s="433">
        <v>0.34039021610837633</v>
      </c>
      <c r="CR89" s="433">
        <v>0.26734268293054819</v>
      </c>
      <c r="CS89" s="433">
        <v>0.39443520669059223</v>
      </c>
      <c r="CT89" s="433">
        <v>0.447221292916757</v>
      </c>
      <c r="CU89" s="433">
        <v>0.3622790598707698</v>
      </c>
      <c r="CV89" s="433">
        <v>0.47604249083347333</v>
      </c>
      <c r="CW89" s="433">
        <v>0.4759898508915783</v>
      </c>
      <c r="CX89" s="433">
        <v>0.4007797062399322</v>
      </c>
      <c r="CY89" s="433">
        <v>0.43383847945766757</v>
      </c>
      <c r="CZ89" s="433">
        <v>0.29816004259848461</v>
      </c>
      <c r="DA89" s="433">
        <v>0.25104840798869349</v>
      </c>
      <c r="DB89" s="433">
        <v>0.39158019166331348</v>
      </c>
      <c r="DC89" s="433">
        <v>0.29816004259848461</v>
      </c>
      <c r="DD89" s="433">
        <v>0.25104840798869349</v>
      </c>
      <c r="DE89" s="433">
        <v>0.29926769201452108</v>
      </c>
      <c r="DF89" s="433">
        <v>0.37270005324810579</v>
      </c>
      <c r="DG89" s="433">
        <v>0</v>
      </c>
      <c r="DH89" s="433">
        <v>0</v>
      </c>
      <c r="DI89" s="433">
        <v>0</v>
      </c>
      <c r="DJ89" s="433">
        <v>0.33104833187447025</v>
      </c>
      <c r="DK89" s="433">
        <v>0.30102696608500845</v>
      </c>
      <c r="DL89" s="433">
        <v>0.26738519112937981</v>
      </c>
      <c r="DM89" s="433">
        <v>0.39133505591051104</v>
      </c>
      <c r="DN89" s="433">
        <v>0</v>
      </c>
      <c r="DO89" s="433">
        <v>0</v>
      </c>
      <c r="DP89" s="433">
        <v>0</v>
      </c>
      <c r="DR89" s="409" t="s">
        <v>711</v>
      </c>
      <c r="DS89" s="409" t="s">
        <v>2526</v>
      </c>
    </row>
    <row r="90" spans="2:123" s="1471" customFormat="1">
      <c r="B90" s="428">
        <v>41824.690281944444</v>
      </c>
      <c r="C90" s="429">
        <v>1.461037935176611</v>
      </c>
      <c r="D90" s="429">
        <v>1.4724593159667367</v>
      </c>
      <c r="E90" s="429">
        <v>1.5353841150279204</v>
      </c>
      <c r="F90" s="429">
        <v>1.4078343580681756</v>
      </c>
      <c r="G90" s="429">
        <v>1.4537938090009881</v>
      </c>
      <c r="H90" s="429">
        <v>1.4428324252076792</v>
      </c>
      <c r="I90" s="429">
        <v>1.5234234454778524</v>
      </c>
      <c r="J90" s="429">
        <v>1.5433183579618304</v>
      </c>
      <c r="K90" s="429">
        <v>1.3860842357819911</v>
      </c>
      <c r="L90" s="429">
        <v>1.6138526322050029</v>
      </c>
      <c r="M90" s="429">
        <v>1.8135908452137122</v>
      </c>
      <c r="N90" s="429">
        <v>1.7708909112978517</v>
      </c>
      <c r="O90" s="429">
        <v>1.3614819970754357</v>
      </c>
      <c r="P90" s="429">
        <v>1.4265706494839208</v>
      </c>
      <c r="Q90" s="429">
        <v>2884.3794494964313</v>
      </c>
      <c r="R90" s="429">
        <v>13.513008208535584</v>
      </c>
      <c r="S90" s="429">
        <v>19.70127916136305</v>
      </c>
      <c r="T90" s="429">
        <v>4526.1631985456925</v>
      </c>
      <c r="U90" s="429">
        <v>4687.5424465616752</v>
      </c>
      <c r="V90" s="429">
        <v>4936.6167894615774</v>
      </c>
      <c r="W90" s="429">
        <v>983.74967736902136</v>
      </c>
      <c r="X90" s="429">
        <v>40.507981854527799</v>
      </c>
      <c r="Y90" s="429">
        <v>42.008020529071381</v>
      </c>
      <c r="Z90" s="429">
        <v>42.169159711970586</v>
      </c>
      <c r="AA90" s="429">
        <v>36.419514053678867</v>
      </c>
      <c r="AB90" s="429">
        <v>37.646818423759981</v>
      </c>
      <c r="AC90" s="429">
        <v>34.04778248842959</v>
      </c>
      <c r="AD90" s="429">
        <v>3.3801542242445661</v>
      </c>
      <c r="AE90" s="429">
        <v>0</v>
      </c>
      <c r="AF90" s="429">
        <v>0</v>
      </c>
      <c r="AG90" s="429">
        <v>0</v>
      </c>
      <c r="AH90" s="429">
        <v>3.3278539388576966</v>
      </c>
      <c r="AI90" s="429">
        <v>6.5976169276117087</v>
      </c>
      <c r="AJ90" s="429">
        <v>6.5880708445669773</v>
      </c>
      <c r="AK90" s="429">
        <v>7.1701507235412869</v>
      </c>
      <c r="AL90" s="429">
        <v>0</v>
      </c>
      <c r="AM90" s="429">
        <v>0</v>
      </c>
      <c r="AN90" s="429">
        <v>0</v>
      </c>
      <c r="AO90" s="432"/>
      <c r="AP90" s="428">
        <v>41824.690281944444</v>
      </c>
      <c r="AQ90" s="431">
        <v>132.21754208591349</v>
      </c>
      <c r="AR90" s="431">
        <v>175.96719895557675</v>
      </c>
      <c r="AS90" s="431">
        <v>121.56800585673152</v>
      </c>
      <c r="AT90" s="431">
        <v>130.36489722614525</v>
      </c>
      <c r="AU90" s="431">
        <v>10.632356683566815</v>
      </c>
      <c r="AV90" s="431">
        <v>81.40574075684367</v>
      </c>
      <c r="AW90" s="431">
        <v>-46.740081647657163</v>
      </c>
      <c r="AX90" s="431">
        <v>5.1043538166706366</v>
      </c>
      <c r="AY90" s="431">
        <v>159.4236947182489</v>
      </c>
      <c r="AZ90" s="431">
        <v>-75.05262956798768</v>
      </c>
      <c r="BA90" s="431">
        <v>83.205119276382419</v>
      </c>
      <c r="BB90" s="431">
        <v>177.74515508342654</v>
      </c>
      <c r="BC90" s="431">
        <v>98.445187715772022</v>
      </c>
      <c r="BD90" s="431">
        <v>141.85822219522623</v>
      </c>
      <c r="BE90" s="431">
        <v>367627.28422208509</v>
      </c>
      <c r="BF90" s="431">
        <v>8447.4216818154273</v>
      </c>
      <c r="BG90" s="431">
        <v>-2981.4559319894738</v>
      </c>
      <c r="BH90" s="431">
        <v>568935.82005790924</v>
      </c>
      <c r="BI90" s="431">
        <v>550134.10758983926</v>
      </c>
      <c r="BJ90" s="431">
        <v>-201296.58434153697</v>
      </c>
      <c r="BK90" s="431">
        <v>504586.81763168029</v>
      </c>
      <c r="BL90" s="431">
        <v>3313.1571400026442</v>
      </c>
      <c r="BM90" s="431">
        <v>-1212.2993402302286</v>
      </c>
      <c r="BN90" s="431">
        <v>5818.7471048356601</v>
      </c>
      <c r="BO90" s="431">
        <v>2710.7649327294357</v>
      </c>
      <c r="BP90" s="431">
        <v>-991.88127837018669</v>
      </c>
      <c r="BQ90" s="431">
        <v>2185.0919111946355</v>
      </c>
      <c r="BR90" s="431">
        <v>924.06244157201638</v>
      </c>
      <c r="BS90" s="431">
        <v>0</v>
      </c>
      <c r="BT90" s="431">
        <v>0</v>
      </c>
      <c r="BU90" s="431">
        <v>0</v>
      </c>
      <c r="BV90" s="431">
        <v>877.17400800983717</v>
      </c>
      <c r="BW90" s="431">
        <v>1430.6068451973465</v>
      </c>
      <c r="BX90" s="431">
        <v>1347.7349104902953</v>
      </c>
      <c r="BY90" s="431">
        <v>1100.4668039979588</v>
      </c>
      <c r="BZ90" s="431">
        <v>0</v>
      </c>
      <c r="CA90" s="431">
        <v>0</v>
      </c>
      <c r="CB90" s="431">
        <v>0</v>
      </c>
      <c r="CC90" s="432"/>
      <c r="CD90" s="428">
        <v>41824.690281944444</v>
      </c>
      <c r="CE90" s="433">
        <v>0.23759628394566742</v>
      </c>
      <c r="CF90" s="433">
        <v>0.16769792432989633</v>
      </c>
      <c r="CG90" s="433">
        <v>0.13923731496982597</v>
      </c>
      <c r="CH90" s="433" t="e">
        <v>#REF!</v>
      </c>
      <c r="CI90" s="433">
        <v>9.3511471554120679E-2</v>
      </c>
      <c r="CJ90" s="433">
        <v>0.20776980245257207</v>
      </c>
      <c r="CK90" s="433">
        <v>0.20005420011599015</v>
      </c>
      <c r="CL90" s="433">
        <v>0.2150045900352773</v>
      </c>
      <c r="CM90" s="433">
        <v>0.16831539661914319</v>
      </c>
      <c r="CN90" s="433">
        <v>0.15819847757401839</v>
      </c>
      <c r="CO90" s="433">
        <v>0.33702421666507049</v>
      </c>
      <c r="CP90" s="433">
        <v>0.28551922081271636</v>
      </c>
      <c r="CQ90" s="433">
        <v>0.34039021610837633</v>
      </c>
      <c r="CR90" s="433">
        <v>0.26734268293054819</v>
      </c>
      <c r="CS90" s="433">
        <v>0.39443520669059223</v>
      </c>
      <c r="CT90" s="433">
        <v>0.447221292916757</v>
      </c>
      <c r="CU90" s="433">
        <v>0.3622790598707698</v>
      </c>
      <c r="CV90" s="433">
        <v>0.47604249083347333</v>
      </c>
      <c r="CW90" s="433">
        <v>0.4759898508915783</v>
      </c>
      <c r="CX90" s="433">
        <v>0.4007797062399322</v>
      </c>
      <c r="CY90" s="433">
        <v>0.43383847945766757</v>
      </c>
      <c r="CZ90" s="433">
        <v>0.29816004259848461</v>
      </c>
      <c r="DA90" s="433">
        <v>0.25104840798869349</v>
      </c>
      <c r="DB90" s="433">
        <v>0.39158019166331348</v>
      </c>
      <c r="DC90" s="433">
        <v>0.29816004259848461</v>
      </c>
      <c r="DD90" s="433">
        <v>0.25104840798869349</v>
      </c>
      <c r="DE90" s="433">
        <v>0.29926769201452108</v>
      </c>
      <c r="DF90" s="433">
        <v>0.37270005324810579</v>
      </c>
      <c r="DG90" s="433">
        <v>0</v>
      </c>
      <c r="DH90" s="433">
        <v>0</v>
      </c>
      <c r="DI90" s="433">
        <v>0</v>
      </c>
      <c r="DJ90" s="433">
        <v>0.33104833187447025</v>
      </c>
      <c r="DK90" s="433">
        <v>0.30102696608500845</v>
      </c>
      <c r="DL90" s="433">
        <v>0.26738519112937981</v>
      </c>
      <c r="DM90" s="433">
        <v>0.39133505591051104</v>
      </c>
      <c r="DN90" s="433">
        <v>0</v>
      </c>
      <c r="DO90" s="433">
        <v>0</v>
      </c>
      <c r="DP90" s="433">
        <v>0</v>
      </c>
      <c r="DR90" s="409" t="s">
        <v>711</v>
      </c>
      <c r="DS90" s="409" t="s">
        <v>2528</v>
      </c>
    </row>
    <row r="91" spans="2:123" s="1471" customFormat="1">
      <c r="B91" s="428">
        <v>41842.401770370372</v>
      </c>
      <c r="C91" s="429">
        <v>1.4609809396304301</v>
      </c>
      <c r="D91" s="429">
        <v>1.472426419064881</v>
      </c>
      <c r="E91" s="429">
        <v>1.5327681571947707</v>
      </c>
      <c r="F91" s="429">
        <v>1.403987373784723</v>
      </c>
      <c r="G91" s="429">
        <v>1.4537938090009881</v>
      </c>
      <c r="H91" s="429">
        <v>1.4528810821186924</v>
      </c>
      <c r="I91" s="429">
        <v>1.5257336544564375</v>
      </c>
      <c r="J91" s="429">
        <v>1.5433183579618304</v>
      </c>
      <c r="K91" s="429">
        <v>1.385639962683652</v>
      </c>
      <c r="L91" s="429">
        <v>1.6120807897600118</v>
      </c>
      <c r="M91" s="429">
        <v>1.8103310184936745</v>
      </c>
      <c r="N91" s="429">
        <v>1.7611890642863253</v>
      </c>
      <c r="O91" s="429">
        <v>1.3566598602343358</v>
      </c>
      <c r="P91" s="429">
        <v>1.425257172690187</v>
      </c>
      <c r="Q91" s="429">
        <v>2884.8680371186429</v>
      </c>
      <c r="R91" s="429">
        <v>13.84811063587572</v>
      </c>
      <c r="S91" s="429">
        <v>19.733527167565953</v>
      </c>
      <c r="T91" s="429">
        <v>4526.9193312144098</v>
      </c>
      <c r="U91" s="429">
        <v>4687.2846732623229</v>
      </c>
      <c r="V91" s="429">
        <v>4946.317197273589</v>
      </c>
      <c r="W91" s="429">
        <v>983.73348419061188</v>
      </c>
      <c r="X91" s="429">
        <v>40.506429426791598</v>
      </c>
      <c r="Y91" s="429">
        <v>42.06644078507788</v>
      </c>
      <c r="Z91" s="429">
        <v>41.88414024647593</v>
      </c>
      <c r="AA91" s="429">
        <v>36.418243885531069</v>
      </c>
      <c r="AB91" s="429">
        <v>37.694616815038025</v>
      </c>
      <c r="AC91" s="429">
        <v>34.04161023268307</v>
      </c>
      <c r="AD91" s="429">
        <v>3.3797264532504707</v>
      </c>
      <c r="AE91" s="429">
        <v>3.3270994409179933</v>
      </c>
      <c r="AF91" s="429">
        <v>3.3255049958940397</v>
      </c>
      <c r="AG91" s="429">
        <v>0</v>
      </c>
      <c r="AH91" s="429">
        <v>6.5969534547998672</v>
      </c>
      <c r="AI91" s="429">
        <v>6.5153289586721943</v>
      </c>
      <c r="AJ91" s="429">
        <v>6.9397109133785362</v>
      </c>
      <c r="AK91" s="429">
        <v>7.169640359839871</v>
      </c>
      <c r="AL91" s="429">
        <v>0</v>
      </c>
      <c r="AM91" s="429">
        <v>0</v>
      </c>
      <c r="AN91" s="429">
        <v>0</v>
      </c>
      <c r="AO91" s="432"/>
      <c r="AP91" s="428">
        <v>41842.401770370372</v>
      </c>
      <c r="AQ91" s="431">
        <v>130.29627427063704</v>
      </c>
      <c r="AR91" s="431">
        <v>173.34250765760584</v>
      </c>
      <c r="AS91" s="431">
        <v>73.702564369878857</v>
      </c>
      <c r="AT91" s="431">
        <v>52.388595364704166</v>
      </c>
      <c r="AU91" s="431">
        <v>10.632356683566815</v>
      </c>
      <c r="AV91" s="431">
        <v>54.078857610339142</v>
      </c>
      <c r="AW91" s="431">
        <v>-20.254518843273139</v>
      </c>
      <c r="AX91" s="431">
        <v>5.1043538166706366</v>
      </c>
      <c r="AY91" s="431">
        <v>148.46711957195433</v>
      </c>
      <c r="AZ91" s="431">
        <v>-118.74945696650954</v>
      </c>
      <c r="BA91" s="431">
        <v>2.7758019092514807</v>
      </c>
      <c r="BB91" s="431">
        <v>4.243005198355692</v>
      </c>
      <c r="BC91" s="431">
        <v>2.3500131018202395</v>
      </c>
      <c r="BD91" s="431">
        <v>99.244467015512598</v>
      </c>
      <c r="BE91" s="431">
        <v>363521.76344382623</v>
      </c>
      <c r="BF91" s="431">
        <v>8343.0793397421985</v>
      </c>
      <c r="BG91" s="431">
        <v>-2611.7462643704444</v>
      </c>
      <c r="BH91" s="431">
        <v>562582.16261464811</v>
      </c>
      <c r="BI91" s="431">
        <v>542066.83683769731</v>
      </c>
      <c r="BJ91" s="431">
        <v>-90085.53689311925</v>
      </c>
      <c r="BK91" s="431">
        <v>504080.03607247717</v>
      </c>
      <c r="BL91" s="431">
        <v>3264.5723761713475</v>
      </c>
      <c r="BM91" s="431">
        <v>-542.53596650461941</v>
      </c>
      <c r="BN91" s="431">
        <v>138.90096864888841</v>
      </c>
      <c r="BO91" s="431">
        <v>2671.0137623220112</v>
      </c>
      <c r="BP91" s="431">
        <v>-443.89306350377939</v>
      </c>
      <c r="BQ91" s="431">
        <v>2032.8729626206339</v>
      </c>
      <c r="BR91" s="431">
        <v>910.67492456410582</v>
      </c>
      <c r="BS91" s="431">
        <v>379.58709093382186</v>
      </c>
      <c r="BT91" s="431">
        <v>819.24484193638932</v>
      </c>
      <c r="BU91" s="431">
        <v>0</v>
      </c>
      <c r="BV91" s="431">
        <v>1409.8428063180768</v>
      </c>
      <c r="BW91" s="431">
        <v>586.1255763575067</v>
      </c>
      <c r="BX91" s="431">
        <v>1494.6850769998048</v>
      </c>
      <c r="BY91" s="431">
        <v>1084.4944663985207</v>
      </c>
      <c r="BZ91" s="431">
        <v>0</v>
      </c>
      <c r="CA91" s="431">
        <v>0</v>
      </c>
      <c r="CB91" s="431">
        <v>0</v>
      </c>
      <c r="CC91" s="432"/>
      <c r="CD91" s="428">
        <v>41842.401770370372</v>
      </c>
      <c r="CE91" s="433">
        <v>0.23759628394566742</v>
      </c>
      <c r="CF91" s="433">
        <v>0.16769792432989633</v>
      </c>
      <c r="CG91" s="433">
        <v>0.13923731496982597</v>
      </c>
      <c r="CH91" s="433">
        <v>0.14097114871113556</v>
      </c>
      <c r="CI91" s="433">
        <v>9.3511471554120679E-2</v>
      </c>
      <c r="CJ91" s="433">
        <v>0.20776980245257207</v>
      </c>
      <c r="CK91" s="433">
        <v>0.20005420011599015</v>
      </c>
      <c r="CL91" s="433">
        <v>0.2150045900352773</v>
      </c>
      <c r="CM91" s="433">
        <v>0.16831539661914319</v>
      </c>
      <c r="CN91" s="433">
        <v>0.15819847757401839</v>
      </c>
      <c r="CO91" s="433">
        <v>0.55351751631068857</v>
      </c>
      <c r="CP91" s="433">
        <v>0.54869968593943474</v>
      </c>
      <c r="CQ91" s="433">
        <v>0.65414862139188079</v>
      </c>
      <c r="CR91" s="433">
        <v>0.37402054072693969</v>
      </c>
      <c r="CS91" s="433">
        <v>0.39443520669059223</v>
      </c>
      <c r="CT91" s="433">
        <v>0.447221292916757</v>
      </c>
      <c r="CU91" s="433">
        <v>0.3622790598707698</v>
      </c>
      <c r="CV91" s="433">
        <v>0.47604249083347333</v>
      </c>
      <c r="CW91" s="433">
        <v>0.4759898508915783</v>
      </c>
      <c r="CX91" s="433">
        <v>0.4007797062399322</v>
      </c>
      <c r="CY91" s="433">
        <v>0.43383847945766757</v>
      </c>
      <c r="CZ91" s="433">
        <v>0.29816004259848461</v>
      </c>
      <c r="DA91" s="433">
        <v>0.25104840798869349</v>
      </c>
      <c r="DB91" s="433">
        <v>0.75252351689030117</v>
      </c>
      <c r="DC91" s="433">
        <v>0.29816004259848461</v>
      </c>
      <c r="DD91" s="433">
        <v>0.25104840798869349</v>
      </c>
      <c r="DE91" s="433">
        <v>0.29926769201452108</v>
      </c>
      <c r="DF91" s="433">
        <v>0.37270005324810579</v>
      </c>
      <c r="DG91" s="433">
        <v>0.32591341561187775</v>
      </c>
      <c r="DH91" s="433">
        <v>0.33104833187447025</v>
      </c>
      <c r="DI91" s="433">
        <v>0</v>
      </c>
      <c r="DJ91" s="433">
        <v>0.30102696608500845</v>
      </c>
      <c r="DK91" s="433">
        <v>0.26323775876343969</v>
      </c>
      <c r="DL91" s="433">
        <v>0.22381130813051786</v>
      </c>
      <c r="DM91" s="433">
        <v>0.39133505591051104</v>
      </c>
      <c r="DN91" s="433">
        <v>0</v>
      </c>
      <c r="DO91" s="433">
        <v>0</v>
      </c>
      <c r="DP91" s="433">
        <v>0</v>
      </c>
      <c r="DR91" s="409" t="s">
        <v>2542</v>
      </c>
      <c r="DS91" s="409" t="s">
        <v>2543</v>
      </c>
    </row>
    <row r="92" spans="2:123" s="1471" customFormat="1">
      <c r="B92" s="428">
        <v>41845.356060300925</v>
      </c>
      <c r="C92" s="429">
        <v>1.4609809396304301</v>
      </c>
      <c r="D92" s="429">
        <v>1.472426419064881</v>
      </c>
      <c r="E92" s="429">
        <v>1.5327681571947707</v>
      </c>
      <c r="F92" s="429">
        <v>1.403987373784723</v>
      </c>
      <c r="G92" s="429">
        <v>1.5230733543802277</v>
      </c>
      <c r="H92" s="429">
        <v>1.4528810821186924</v>
      </c>
      <c r="I92" s="429">
        <v>1.5257336544564375</v>
      </c>
      <c r="J92" s="429">
        <v>1.5433183579618304</v>
      </c>
      <c r="K92" s="429">
        <v>1.385639962683652</v>
      </c>
      <c r="L92" s="429">
        <v>1.6120807897600118</v>
      </c>
      <c r="M92" s="429">
        <v>1.8103310184936745</v>
      </c>
      <c r="N92" s="429">
        <v>1.7611890642863253</v>
      </c>
      <c r="O92" s="429">
        <v>1.3566598602343358</v>
      </c>
      <c r="P92" s="429">
        <v>1.425257172690187</v>
      </c>
      <c r="Q92" s="429">
        <v>2884.8680371186429</v>
      </c>
      <c r="R92" s="429">
        <v>13.84811063587572</v>
      </c>
      <c r="S92" s="429">
        <v>19.733527167565953</v>
      </c>
      <c r="T92" s="429">
        <v>4526.9193312144098</v>
      </c>
      <c r="U92" s="429">
        <v>4687.2846732623229</v>
      </c>
      <c r="V92" s="429">
        <v>4946.317197273589</v>
      </c>
      <c r="W92" s="429">
        <v>983.73348419061188</v>
      </c>
      <c r="X92" s="429">
        <v>40.506429426791598</v>
      </c>
      <c r="Y92" s="429">
        <v>42.06644078507788</v>
      </c>
      <c r="Z92" s="429">
        <v>41.88414024647593</v>
      </c>
      <c r="AA92" s="429">
        <v>36.418243885531069</v>
      </c>
      <c r="AB92" s="429">
        <v>37.694616815038025</v>
      </c>
      <c r="AC92" s="429">
        <v>34.04161023268307</v>
      </c>
      <c r="AD92" s="429">
        <v>3.3797264532504707</v>
      </c>
      <c r="AE92" s="429">
        <v>3.4063383838505743</v>
      </c>
      <c r="AF92" s="429">
        <v>3.3255049958940397</v>
      </c>
      <c r="AG92" s="429">
        <v>0</v>
      </c>
      <c r="AH92" s="429">
        <v>6.5969534547998672</v>
      </c>
      <c r="AI92" s="429">
        <v>6.5153289586721943</v>
      </c>
      <c r="AJ92" s="429">
        <v>6.9397109133785362</v>
      </c>
      <c r="AK92" s="429">
        <v>7.169640359839871</v>
      </c>
      <c r="AL92" s="429">
        <v>0</v>
      </c>
      <c r="AM92" s="429">
        <v>0</v>
      </c>
      <c r="AN92" s="429">
        <v>0</v>
      </c>
      <c r="AO92" s="432"/>
      <c r="AP92" s="428">
        <v>41845.356060300925</v>
      </c>
      <c r="AQ92" s="431">
        <v>130.29627427063704</v>
      </c>
      <c r="AR92" s="431">
        <v>173.34250765760584</v>
      </c>
      <c r="AS92" s="431">
        <v>73.702564369878857</v>
      </c>
      <c r="AT92" s="431">
        <v>52.388595364704166</v>
      </c>
      <c r="AU92" s="431">
        <v>46.86628329166404</v>
      </c>
      <c r="AV92" s="431">
        <v>54.078857610339142</v>
      </c>
      <c r="AW92" s="431">
        <v>-20.254518843273139</v>
      </c>
      <c r="AX92" s="431">
        <v>5.1043538166706366</v>
      </c>
      <c r="AY92" s="431">
        <v>148.46711957195433</v>
      </c>
      <c r="AZ92" s="431">
        <v>-118.74945696650954</v>
      </c>
      <c r="BA92" s="431">
        <v>2.7758019092514807</v>
      </c>
      <c r="BB92" s="431">
        <v>4.243005198355692</v>
      </c>
      <c r="BC92" s="431">
        <v>2.3500131018202395</v>
      </c>
      <c r="BD92" s="431">
        <v>99.244467015512598</v>
      </c>
      <c r="BE92" s="431">
        <v>363521.76344382623</v>
      </c>
      <c r="BF92" s="431">
        <v>8343.0793397421985</v>
      </c>
      <c r="BG92" s="431">
        <v>-2611.7462643704444</v>
      </c>
      <c r="BH92" s="431">
        <v>562582.16261464811</v>
      </c>
      <c r="BI92" s="431">
        <v>542066.83683769731</v>
      </c>
      <c r="BJ92" s="431">
        <v>-90085.53689311925</v>
      </c>
      <c r="BK92" s="431">
        <v>504080.03607247717</v>
      </c>
      <c r="BL92" s="431">
        <v>3264.5723761713475</v>
      </c>
      <c r="BM92" s="431">
        <v>-542.53596650461941</v>
      </c>
      <c r="BN92" s="431">
        <v>138.90096864888841</v>
      </c>
      <c r="BO92" s="431">
        <v>2671.0137623220112</v>
      </c>
      <c r="BP92" s="431">
        <v>-443.89306350377939</v>
      </c>
      <c r="BQ92" s="431">
        <v>2032.8729626206339</v>
      </c>
      <c r="BR92" s="431">
        <v>910.67492456410582</v>
      </c>
      <c r="BS92" s="431">
        <v>385.41614662932631</v>
      </c>
      <c r="BT92" s="431">
        <v>819.24484193638932</v>
      </c>
      <c r="BU92" s="431">
        <v>0</v>
      </c>
      <c r="BV92" s="431">
        <v>1409.8428063180768</v>
      </c>
      <c r="BW92" s="431">
        <v>586.1255763575067</v>
      </c>
      <c r="BX92" s="431">
        <v>1494.6850769998048</v>
      </c>
      <c r="BY92" s="431">
        <v>1084.4944663985207</v>
      </c>
      <c r="BZ92" s="431">
        <v>0</v>
      </c>
      <c r="CA92" s="431">
        <v>0</v>
      </c>
      <c r="CB92" s="431">
        <v>0</v>
      </c>
      <c r="CC92" s="432"/>
      <c r="CD92" s="428">
        <v>41845.356060300925</v>
      </c>
      <c r="CE92" s="433">
        <v>0.23759628394566742</v>
      </c>
      <c r="CF92" s="433">
        <v>0.16769792432989633</v>
      </c>
      <c r="CG92" s="433">
        <v>0.13923731496982597</v>
      </c>
      <c r="CH92" s="433">
        <v>0.14097114871113556</v>
      </c>
      <c r="CI92" s="433">
        <v>0.12872803566339891</v>
      </c>
      <c r="CJ92" s="433">
        <v>0.20776980245257207</v>
      </c>
      <c r="CK92" s="433">
        <v>0.20005420011599015</v>
      </c>
      <c r="CL92" s="433">
        <v>0.2150045900352773</v>
      </c>
      <c r="CM92" s="433">
        <v>0.16831539661914319</v>
      </c>
      <c r="CN92" s="433">
        <v>0.15819847757401839</v>
      </c>
      <c r="CO92" s="433">
        <v>0.55351751631068857</v>
      </c>
      <c r="CP92" s="433">
        <v>0.54869968593943474</v>
      </c>
      <c r="CQ92" s="433">
        <v>0.65414862139188079</v>
      </c>
      <c r="CR92" s="433">
        <v>0.37402054072693969</v>
      </c>
      <c r="CS92" s="433">
        <v>0.39443520669059223</v>
      </c>
      <c r="CT92" s="433">
        <v>0.447221292916757</v>
      </c>
      <c r="CU92" s="433">
        <v>0.3622790598707698</v>
      </c>
      <c r="CV92" s="433">
        <v>0.47604249083347333</v>
      </c>
      <c r="CW92" s="433">
        <v>0.4759898508915783</v>
      </c>
      <c r="CX92" s="433">
        <v>0.4007797062399322</v>
      </c>
      <c r="CY92" s="433">
        <v>0.43383847945766757</v>
      </c>
      <c r="CZ92" s="433">
        <v>0.29816004259848461</v>
      </c>
      <c r="DA92" s="433">
        <v>0.25104840798869349</v>
      </c>
      <c r="DB92" s="433">
        <v>0.75252351689030117</v>
      </c>
      <c r="DC92" s="433">
        <v>0.29816004259848461</v>
      </c>
      <c r="DD92" s="433">
        <v>0.25104840798869349</v>
      </c>
      <c r="DE92" s="433">
        <v>0.29926769201452108</v>
      </c>
      <c r="DF92" s="433">
        <v>0.37270005324810579</v>
      </c>
      <c r="DG92" s="433">
        <v>0.32591341561187775</v>
      </c>
      <c r="DH92" s="433">
        <v>0.33104833187447025</v>
      </c>
      <c r="DI92" s="433">
        <v>0</v>
      </c>
      <c r="DJ92" s="433">
        <v>0.30102696608500845</v>
      </c>
      <c r="DK92" s="433">
        <v>0.26323775876343969</v>
      </c>
      <c r="DL92" s="433">
        <v>0.22381130813051786</v>
      </c>
      <c r="DM92" s="433">
        <v>0.39133505591051104</v>
      </c>
      <c r="DN92" s="433">
        <v>0</v>
      </c>
      <c r="DO92" s="433">
        <v>0</v>
      </c>
      <c r="DP92" s="433">
        <v>0</v>
      </c>
      <c r="DR92" s="409" t="s">
        <v>2542</v>
      </c>
      <c r="DS92" s="409" t="s">
        <v>2544</v>
      </c>
    </row>
    <row r="93" spans="2:123" s="1471" customFormat="1">
      <c r="B93" s="428">
        <v>41845.5632744213</v>
      </c>
      <c r="C93" s="429">
        <v>1.4609809396304301</v>
      </c>
      <c r="D93" s="429">
        <v>1.472426419064881</v>
      </c>
      <c r="E93" s="429">
        <v>1.5327681571947707</v>
      </c>
      <c r="F93" s="429">
        <v>1.403987373784723</v>
      </c>
      <c r="G93" s="429">
        <v>1.5230733543802277</v>
      </c>
      <c r="H93" s="429">
        <v>1.453105814539728</v>
      </c>
      <c r="I93" s="429">
        <v>1.5257336544564375</v>
      </c>
      <c r="J93" s="429">
        <v>1.5433183579618304</v>
      </c>
      <c r="K93" s="429">
        <v>1.385639962683652</v>
      </c>
      <c r="L93" s="429">
        <v>1.6120807897600118</v>
      </c>
      <c r="M93" s="429">
        <v>1.8103310184936745</v>
      </c>
      <c r="N93" s="429">
        <v>1.7611890642863253</v>
      </c>
      <c r="O93" s="429">
        <v>1.3566598602343358</v>
      </c>
      <c r="P93" s="429">
        <v>1.425257172690187</v>
      </c>
      <c r="Q93" s="429">
        <v>2884.8680371186429</v>
      </c>
      <c r="R93" s="429">
        <v>13.84811063587572</v>
      </c>
      <c r="S93" s="429">
        <v>19.733527167565953</v>
      </c>
      <c r="T93" s="429">
        <v>4526.9193312144098</v>
      </c>
      <c r="U93" s="429">
        <v>4687.2846732623229</v>
      </c>
      <c r="V93" s="429">
        <v>4946.317197273589</v>
      </c>
      <c r="W93" s="429">
        <v>983.73348419061188</v>
      </c>
      <c r="X93" s="429">
        <v>40.506429426791598</v>
      </c>
      <c r="Y93" s="429">
        <v>42.06644078507788</v>
      </c>
      <c r="Z93" s="429">
        <v>41.88414024647593</v>
      </c>
      <c r="AA93" s="429">
        <v>36.418243885531069</v>
      </c>
      <c r="AB93" s="429">
        <v>37.694616815038025</v>
      </c>
      <c r="AC93" s="429">
        <v>34.04161023268307</v>
      </c>
      <c r="AD93" s="429">
        <v>3.3797264532504707</v>
      </c>
      <c r="AE93" s="429">
        <v>3.4079283809389742</v>
      </c>
      <c r="AF93" s="429">
        <v>3.3255049958940397</v>
      </c>
      <c r="AG93" s="429">
        <v>0</v>
      </c>
      <c r="AH93" s="429">
        <v>6.5969534547998672</v>
      </c>
      <c r="AI93" s="429">
        <v>6.5177577469393526</v>
      </c>
      <c r="AJ93" s="429">
        <v>6.9397109133785362</v>
      </c>
      <c r="AK93" s="429">
        <v>7.169640359839871</v>
      </c>
      <c r="AL93" s="429">
        <v>0</v>
      </c>
      <c r="AM93" s="429">
        <v>0</v>
      </c>
      <c r="AN93" s="429">
        <v>0</v>
      </c>
      <c r="AO93" s="432"/>
      <c r="AP93" s="428">
        <v>41845.5632744213</v>
      </c>
      <c r="AQ93" s="431">
        <v>130.29627427063704</v>
      </c>
      <c r="AR93" s="431">
        <v>173.34250765760584</v>
      </c>
      <c r="AS93" s="431">
        <v>73.702564369878857</v>
      </c>
      <c r="AT93" s="431">
        <v>52.388595364704166</v>
      </c>
      <c r="AU93" s="431">
        <v>46.86628329166404</v>
      </c>
      <c r="AV93" s="431">
        <v>58.880615379642592</v>
      </c>
      <c r="AW93" s="431">
        <v>-20.254518843273139</v>
      </c>
      <c r="AX93" s="431">
        <v>5.1043538166706366</v>
      </c>
      <c r="AY93" s="431">
        <v>148.46711957195433</v>
      </c>
      <c r="AZ93" s="431">
        <v>-118.74945696650954</v>
      </c>
      <c r="BA93" s="431">
        <v>2.7758019092514807</v>
      </c>
      <c r="BB93" s="431">
        <v>4.243005198355692</v>
      </c>
      <c r="BC93" s="431">
        <v>2.3500131018202395</v>
      </c>
      <c r="BD93" s="431">
        <v>99.244467015512598</v>
      </c>
      <c r="BE93" s="431">
        <v>363521.76344382623</v>
      </c>
      <c r="BF93" s="431">
        <v>8343.0793397421985</v>
      </c>
      <c r="BG93" s="431">
        <v>-2611.7462643704444</v>
      </c>
      <c r="BH93" s="431">
        <v>562582.16261464811</v>
      </c>
      <c r="BI93" s="431">
        <v>542066.83683769731</v>
      </c>
      <c r="BJ93" s="431">
        <v>-90085.53689311925</v>
      </c>
      <c r="BK93" s="431">
        <v>504080.03607247717</v>
      </c>
      <c r="BL93" s="431">
        <v>3264.5723761713475</v>
      </c>
      <c r="BM93" s="431">
        <v>-542.53596650461941</v>
      </c>
      <c r="BN93" s="431">
        <v>138.90096864888841</v>
      </c>
      <c r="BO93" s="431">
        <v>2671.0137623220112</v>
      </c>
      <c r="BP93" s="431">
        <v>-443.89306350377939</v>
      </c>
      <c r="BQ93" s="431">
        <v>2032.8729626206339</v>
      </c>
      <c r="BR93" s="431">
        <v>910.67492456410582</v>
      </c>
      <c r="BS93" s="431">
        <v>419.38890782335613</v>
      </c>
      <c r="BT93" s="431">
        <v>819.24484193638932</v>
      </c>
      <c r="BU93" s="431">
        <v>0</v>
      </c>
      <c r="BV93" s="431">
        <v>1409.8428063180768</v>
      </c>
      <c r="BW93" s="431">
        <v>638.02041590974545</v>
      </c>
      <c r="BX93" s="431">
        <v>1494.6850769998048</v>
      </c>
      <c r="BY93" s="431">
        <v>1084.4944663985207</v>
      </c>
      <c r="BZ93" s="431">
        <v>0</v>
      </c>
      <c r="CA93" s="431">
        <v>0</v>
      </c>
      <c r="CB93" s="431">
        <v>0</v>
      </c>
      <c r="CC93" s="432"/>
      <c r="CD93" s="428">
        <v>41845.5632744213</v>
      </c>
      <c r="CE93" s="433">
        <v>0.23759628394566742</v>
      </c>
      <c r="CF93" s="433">
        <v>0.16769792432989633</v>
      </c>
      <c r="CG93" s="433">
        <v>0.13923731496982597</v>
      </c>
      <c r="CH93" s="433">
        <v>0.14097114871113556</v>
      </c>
      <c r="CI93" s="433">
        <v>0.12872803566339891</v>
      </c>
      <c r="CJ93" s="433">
        <v>0.20776980245257207</v>
      </c>
      <c r="CK93" s="433">
        <v>0.20005420011599015</v>
      </c>
      <c r="CL93" s="433">
        <v>0.2150045900352773</v>
      </c>
      <c r="CM93" s="433">
        <v>0.16831539661914319</v>
      </c>
      <c r="CN93" s="433">
        <v>0.15819847757401839</v>
      </c>
      <c r="CO93" s="433">
        <v>0.55351751631068857</v>
      </c>
      <c r="CP93" s="433">
        <v>0.54869968593943474</v>
      </c>
      <c r="CQ93" s="433">
        <v>0.65414862139188079</v>
      </c>
      <c r="CR93" s="433">
        <v>0.37402054072693969</v>
      </c>
      <c r="CS93" s="433">
        <v>0.39443520669059223</v>
      </c>
      <c r="CT93" s="433">
        <v>0.447221292916757</v>
      </c>
      <c r="CU93" s="433">
        <v>0.3622790598707698</v>
      </c>
      <c r="CV93" s="433">
        <v>0.47604249083347333</v>
      </c>
      <c r="CW93" s="433">
        <v>0.4759898508915783</v>
      </c>
      <c r="CX93" s="433">
        <v>0.4007797062399322</v>
      </c>
      <c r="CY93" s="433">
        <v>0.43383847945766757</v>
      </c>
      <c r="CZ93" s="433">
        <v>0.29816004259848461</v>
      </c>
      <c r="DA93" s="433">
        <v>0.25104840798869349</v>
      </c>
      <c r="DB93" s="433">
        <v>0.75252351689030117</v>
      </c>
      <c r="DC93" s="433">
        <v>0.29816004259848461</v>
      </c>
      <c r="DD93" s="433">
        <v>0.25104840798869349</v>
      </c>
      <c r="DE93" s="433">
        <v>0.29926769201452108</v>
      </c>
      <c r="DF93" s="433">
        <v>0.37270005324810579</v>
      </c>
      <c r="DG93" s="433">
        <v>0.32591341561187775</v>
      </c>
      <c r="DH93" s="433">
        <v>0.33104833187447025</v>
      </c>
      <c r="DI93" s="433">
        <v>0</v>
      </c>
      <c r="DJ93" s="433">
        <v>0.30102696608500845</v>
      </c>
      <c r="DK93" s="433">
        <v>0.26323775876343969</v>
      </c>
      <c r="DL93" s="433">
        <v>0.22381130813051786</v>
      </c>
      <c r="DM93" s="433">
        <v>0.39133505591051104</v>
      </c>
      <c r="DN93" s="433">
        <v>0</v>
      </c>
      <c r="DO93" s="433">
        <v>0</v>
      </c>
      <c r="DP93" s="433">
        <v>0</v>
      </c>
      <c r="DR93" s="409" t="s">
        <v>2542</v>
      </c>
      <c r="DS93" s="409" t="s">
        <v>2546</v>
      </c>
    </row>
    <row r="94" spans="2:123" s="1471" customFormat="1">
      <c r="B94" s="428">
        <v>41845.628191782409</v>
      </c>
      <c r="C94" s="429">
        <v>1.4609809396304301</v>
      </c>
      <c r="D94" s="429">
        <v>1.472426419064881</v>
      </c>
      <c r="E94" s="429">
        <v>1.5327681571947707</v>
      </c>
      <c r="F94" s="429">
        <v>1.403987373784723</v>
      </c>
      <c r="G94" s="429">
        <v>1.5230733543802277</v>
      </c>
      <c r="H94" s="429">
        <v>1.453105814539728</v>
      </c>
      <c r="I94" s="429">
        <v>1.5257336544564375</v>
      </c>
      <c r="J94" s="429">
        <v>1.5433183579618304</v>
      </c>
      <c r="K94" s="429">
        <v>1.385639962683652</v>
      </c>
      <c r="L94" s="429">
        <v>1.6120807897600118</v>
      </c>
      <c r="M94" s="429">
        <v>1.8103310184936745</v>
      </c>
      <c r="N94" s="429">
        <v>1.7611890642863253</v>
      </c>
      <c r="O94" s="429">
        <v>1.3566598602343358</v>
      </c>
      <c r="P94" s="429">
        <v>1.425257172690187</v>
      </c>
      <c r="Q94" s="429">
        <v>2884.8680371186429</v>
      </c>
      <c r="R94" s="429">
        <v>15.280493114695293</v>
      </c>
      <c r="S94" s="429">
        <v>21.165909646385526</v>
      </c>
      <c r="T94" s="429">
        <v>4526.9193312144098</v>
      </c>
      <c r="U94" s="429">
        <v>4687.2846732623229</v>
      </c>
      <c r="V94" s="429">
        <v>4946.317197273589</v>
      </c>
      <c r="W94" s="429">
        <v>983.73348419061188</v>
      </c>
      <c r="X94" s="429">
        <v>40.506429426791598</v>
      </c>
      <c r="Y94" s="429">
        <v>42.06644078507788</v>
      </c>
      <c r="Z94" s="429">
        <v>41.88414024647593</v>
      </c>
      <c r="AA94" s="429">
        <v>36.418243885531069</v>
      </c>
      <c r="AB94" s="429">
        <v>37.694616815038025</v>
      </c>
      <c r="AC94" s="429">
        <v>34.04161023268307</v>
      </c>
      <c r="AD94" s="429">
        <v>3.3797264532504707</v>
      </c>
      <c r="AE94" s="429">
        <v>3.4079283809389742</v>
      </c>
      <c r="AF94" s="429">
        <v>3.3255049958940397</v>
      </c>
      <c r="AG94" s="429">
        <v>0</v>
      </c>
      <c r="AH94" s="429">
        <v>6.5969534547998672</v>
      </c>
      <c r="AI94" s="429">
        <v>6.5177577469393526</v>
      </c>
      <c r="AJ94" s="429">
        <v>6.9397109133785362</v>
      </c>
      <c r="AK94" s="429">
        <v>7.169640359839871</v>
      </c>
      <c r="AL94" s="429">
        <v>0</v>
      </c>
      <c r="AM94" s="429">
        <v>0</v>
      </c>
      <c r="AN94" s="429">
        <v>0</v>
      </c>
      <c r="AO94" s="432"/>
      <c r="AP94" s="428">
        <v>41845.628191782409</v>
      </c>
      <c r="AQ94" s="431">
        <v>130.29627427063704</v>
      </c>
      <c r="AR94" s="431">
        <v>173.34250765760584</v>
      </c>
      <c r="AS94" s="431">
        <v>73.702564369878857</v>
      </c>
      <c r="AT94" s="431">
        <v>52.388595364704166</v>
      </c>
      <c r="AU94" s="431">
        <v>46.86628329166404</v>
      </c>
      <c r="AV94" s="431">
        <v>58.880615379642592</v>
      </c>
      <c r="AW94" s="431">
        <v>-20.254518843273139</v>
      </c>
      <c r="AX94" s="431">
        <v>5.1043538166706366</v>
      </c>
      <c r="AY94" s="431">
        <v>148.46711957195433</v>
      </c>
      <c r="AZ94" s="431">
        <v>-118.74945696650954</v>
      </c>
      <c r="BA94" s="431">
        <v>2.7758019092514807</v>
      </c>
      <c r="BB94" s="431">
        <v>4.243005198355692</v>
      </c>
      <c r="BC94" s="431">
        <v>2.3500131018202395</v>
      </c>
      <c r="BD94" s="431">
        <v>99.244467015512598</v>
      </c>
      <c r="BE94" s="431">
        <v>363521.76344382623</v>
      </c>
      <c r="BF94" s="431">
        <v>8157.8792861177453</v>
      </c>
      <c r="BG94" s="431">
        <v>-2796.9463179948971</v>
      </c>
      <c r="BH94" s="431">
        <v>562582.16261464811</v>
      </c>
      <c r="BI94" s="431">
        <v>542066.83683769731</v>
      </c>
      <c r="BJ94" s="431">
        <v>-90085.53689311925</v>
      </c>
      <c r="BK94" s="431">
        <v>504080.03607247717</v>
      </c>
      <c r="BL94" s="431">
        <v>3264.5723761713475</v>
      </c>
      <c r="BM94" s="431">
        <v>-542.53596650461941</v>
      </c>
      <c r="BN94" s="431">
        <v>138.90096864888841</v>
      </c>
      <c r="BO94" s="431">
        <v>2671.0137623220112</v>
      </c>
      <c r="BP94" s="431">
        <v>-443.89306350377939</v>
      </c>
      <c r="BQ94" s="431">
        <v>2032.8729626206339</v>
      </c>
      <c r="BR94" s="431">
        <v>910.67492456410582</v>
      </c>
      <c r="BS94" s="431">
        <v>419.38890782335613</v>
      </c>
      <c r="BT94" s="431">
        <v>819.24484193638932</v>
      </c>
      <c r="BU94" s="431">
        <v>0</v>
      </c>
      <c r="BV94" s="431">
        <v>1409.8428063180768</v>
      </c>
      <c r="BW94" s="431">
        <v>638.02041590974545</v>
      </c>
      <c r="BX94" s="431">
        <v>1494.6850769998048</v>
      </c>
      <c r="BY94" s="431">
        <v>1084.4944663985207</v>
      </c>
      <c r="BZ94" s="431">
        <v>0</v>
      </c>
      <c r="CA94" s="431">
        <v>0</v>
      </c>
      <c r="CB94" s="431">
        <v>0</v>
      </c>
      <c r="CC94" s="432"/>
      <c r="CD94" s="428">
        <v>41845.628191782409</v>
      </c>
      <c r="CE94" s="433">
        <v>0.23759628394566742</v>
      </c>
      <c r="CF94" s="433">
        <v>0.16769792432989633</v>
      </c>
      <c r="CG94" s="433">
        <v>0.13923731496982597</v>
      </c>
      <c r="CH94" s="433">
        <v>0.14097114871113556</v>
      </c>
      <c r="CI94" s="433">
        <v>0.12872803566339891</v>
      </c>
      <c r="CJ94" s="433">
        <v>0.20776980245257207</v>
      </c>
      <c r="CK94" s="433">
        <v>0.20005420011599015</v>
      </c>
      <c r="CL94" s="433">
        <v>0.2150045900352773</v>
      </c>
      <c r="CM94" s="433">
        <v>0.16831539661914319</v>
      </c>
      <c r="CN94" s="433">
        <v>0.15819847757401839</v>
      </c>
      <c r="CO94" s="433">
        <v>0.55351751631068857</v>
      </c>
      <c r="CP94" s="433">
        <v>0.54869968593943474</v>
      </c>
      <c r="CQ94" s="433">
        <v>0.65414862139188079</v>
      </c>
      <c r="CR94" s="433">
        <v>0.37402054072693969</v>
      </c>
      <c r="CS94" s="433">
        <v>0.39443520669059223</v>
      </c>
      <c r="CT94" s="433">
        <v>0.447221292916757</v>
      </c>
      <c r="CU94" s="433">
        <v>0.3622790598707698</v>
      </c>
      <c r="CV94" s="433">
        <v>0.47604249083347333</v>
      </c>
      <c r="CW94" s="433">
        <v>0.4759898508915783</v>
      </c>
      <c r="CX94" s="433">
        <v>0.4007797062399322</v>
      </c>
      <c r="CY94" s="433">
        <v>0.43383847945766757</v>
      </c>
      <c r="CZ94" s="433">
        <v>0.29816004259848461</v>
      </c>
      <c r="DA94" s="433">
        <v>0.25104840798869349</v>
      </c>
      <c r="DB94" s="433">
        <v>0.75252351689030117</v>
      </c>
      <c r="DC94" s="433">
        <v>0.29816004259848461</v>
      </c>
      <c r="DD94" s="433">
        <v>0.25104840798869349</v>
      </c>
      <c r="DE94" s="433">
        <v>0.29926769201452108</v>
      </c>
      <c r="DF94" s="433">
        <v>0.37270005324810579</v>
      </c>
      <c r="DG94" s="433">
        <v>0.32591341561187775</v>
      </c>
      <c r="DH94" s="433">
        <v>0.33104833187447025</v>
      </c>
      <c r="DI94" s="433">
        <v>0</v>
      </c>
      <c r="DJ94" s="433">
        <v>0.30102696608500845</v>
      </c>
      <c r="DK94" s="433">
        <v>0.26323775876343969</v>
      </c>
      <c r="DL94" s="433">
        <v>0.22381130813051786</v>
      </c>
      <c r="DM94" s="433">
        <v>0.39133505591051104</v>
      </c>
      <c r="DN94" s="433">
        <v>0</v>
      </c>
      <c r="DO94" s="433">
        <v>0</v>
      </c>
      <c r="DP94" s="433">
        <v>0</v>
      </c>
      <c r="DR94" s="409" t="s">
        <v>2542</v>
      </c>
      <c r="DS94" s="409" t="s">
        <v>2547</v>
      </c>
    </row>
    <row r="95" spans="2:123" s="1471" customFormat="1">
      <c r="B95" s="428">
        <v>41848.354422222219</v>
      </c>
      <c r="C95" s="429">
        <v>1.4609809396304301</v>
      </c>
      <c r="D95" s="429">
        <v>1.472426419064881</v>
      </c>
      <c r="E95" s="429">
        <v>1.5327681571947707</v>
      </c>
      <c r="F95" s="429">
        <v>1.403987373784723</v>
      </c>
      <c r="G95" s="429">
        <v>1.5230733543802277</v>
      </c>
      <c r="H95" s="429">
        <v>1.453105814539728</v>
      </c>
      <c r="I95" s="429">
        <v>1.5257336544564375</v>
      </c>
      <c r="J95" s="429">
        <v>1.5433183579618304</v>
      </c>
      <c r="K95" s="429">
        <v>1.385639962683652</v>
      </c>
      <c r="L95" s="429">
        <v>1.6120807897600118</v>
      </c>
      <c r="M95" s="429">
        <v>1.8103310184936745</v>
      </c>
      <c r="N95" s="429">
        <v>1.7611890642863253</v>
      </c>
      <c r="O95" s="429">
        <v>1.3566598602343358</v>
      </c>
      <c r="P95" s="429">
        <v>1.425257172690187</v>
      </c>
      <c r="Q95" s="429">
        <v>2884.8680371186429</v>
      </c>
      <c r="R95" s="429">
        <v>15.280493114695293</v>
      </c>
      <c r="S95" s="429">
        <v>20.851308484337206</v>
      </c>
      <c r="T95" s="429">
        <v>4526.9193312144098</v>
      </c>
      <c r="U95" s="429">
        <v>4687.2846732623229</v>
      </c>
      <c r="V95" s="429">
        <v>4946.317197273589</v>
      </c>
      <c r="W95" s="429">
        <v>983.73348419061188</v>
      </c>
      <c r="X95" s="429">
        <v>40.506429426791598</v>
      </c>
      <c r="Y95" s="429">
        <v>42.06644078507788</v>
      </c>
      <c r="Z95" s="429">
        <v>41.88414024647593</v>
      </c>
      <c r="AA95" s="429">
        <v>36.418243885531069</v>
      </c>
      <c r="AB95" s="429">
        <v>37.694616815038025</v>
      </c>
      <c r="AC95" s="429">
        <v>34.04161023268307</v>
      </c>
      <c r="AD95" s="429">
        <v>3.3797264532504707</v>
      </c>
      <c r="AE95" s="429">
        <v>3.4079283809389742</v>
      </c>
      <c r="AF95" s="429">
        <v>3.3255049958940397</v>
      </c>
      <c r="AG95" s="429">
        <v>0</v>
      </c>
      <c r="AH95" s="429">
        <v>6.5969534547998672</v>
      </c>
      <c r="AI95" s="429">
        <v>6.5177577469393526</v>
      </c>
      <c r="AJ95" s="429">
        <v>6.9397109133785362</v>
      </c>
      <c r="AK95" s="429">
        <v>7.169640359839871</v>
      </c>
      <c r="AL95" s="429">
        <v>0</v>
      </c>
      <c r="AM95" s="429">
        <v>0</v>
      </c>
      <c r="AN95" s="429">
        <v>0</v>
      </c>
      <c r="AO95" s="432"/>
      <c r="AP95" s="428">
        <v>41848.354422222219</v>
      </c>
      <c r="AQ95" s="431">
        <v>130.29627427063704</v>
      </c>
      <c r="AR95" s="431">
        <v>173.34250765760584</v>
      </c>
      <c r="AS95" s="431">
        <v>73.702564369878857</v>
      </c>
      <c r="AT95" s="431">
        <v>52.388595364704166</v>
      </c>
      <c r="AU95" s="431">
        <v>46.86628329166404</v>
      </c>
      <c r="AV95" s="431">
        <v>58.880615379642592</v>
      </c>
      <c r="AW95" s="431">
        <v>-20.254518843273139</v>
      </c>
      <c r="AX95" s="431">
        <v>5.1043538166706366</v>
      </c>
      <c r="AY95" s="431">
        <v>148.46711957195433</v>
      </c>
      <c r="AZ95" s="431">
        <v>-118.74945696650954</v>
      </c>
      <c r="BA95" s="431">
        <v>2.7758019092514807</v>
      </c>
      <c r="BB95" s="431">
        <v>4.243005198355692</v>
      </c>
      <c r="BC95" s="431">
        <v>2.3500131018202395</v>
      </c>
      <c r="BD95" s="431">
        <v>99.244467015512598</v>
      </c>
      <c r="BE95" s="431">
        <v>363521.76344382623</v>
      </c>
      <c r="BF95" s="431">
        <v>8157.8792861177453</v>
      </c>
      <c r="BG95" s="431">
        <v>-5569.359020539483</v>
      </c>
      <c r="BH95" s="431">
        <v>562582.16261464811</v>
      </c>
      <c r="BI95" s="431">
        <v>542066.83683769731</v>
      </c>
      <c r="BJ95" s="431">
        <v>-90085.53689311925</v>
      </c>
      <c r="BK95" s="431">
        <v>504080.03607247717</v>
      </c>
      <c r="BL95" s="431">
        <v>3264.5723761713475</v>
      </c>
      <c r="BM95" s="431">
        <v>-542.53596650461941</v>
      </c>
      <c r="BN95" s="431">
        <v>138.90096864888841</v>
      </c>
      <c r="BO95" s="431">
        <v>2671.0137623220112</v>
      </c>
      <c r="BP95" s="431">
        <v>-443.89306350377939</v>
      </c>
      <c r="BQ95" s="431">
        <v>2032.8729626206339</v>
      </c>
      <c r="BR95" s="431">
        <v>910.67492456410582</v>
      </c>
      <c r="BS95" s="431">
        <v>419.38890782335613</v>
      </c>
      <c r="BT95" s="431">
        <v>819.24484193638932</v>
      </c>
      <c r="BU95" s="431">
        <v>0</v>
      </c>
      <c r="BV95" s="431">
        <v>1409.8428063180768</v>
      </c>
      <c r="BW95" s="431">
        <v>638.02041590974545</v>
      </c>
      <c r="BX95" s="431">
        <v>1494.6850769998048</v>
      </c>
      <c r="BY95" s="431">
        <v>1084.4944663985207</v>
      </c>
      <c r="BZ95" s="431">
        <v>0</v>
      </c>
      <c r="CA95" s="431">
        <v>0</v>
      </c>
      <c r="CB95" s="431">
        <v>0</v>
      </c>
      <c r="CC95" s="432"/>
      <c r="CD95" s="428">
        <v>41848.354422222219</v>
      </c>
      <c r="CE95" s="433">
        <v>0.23759628394566742</v>
      </c>
      <c r="CF95" s="433">
        <v>0.16769792432989633</v>
      </c>
      <c r="CG95" s="433">
        <v>0.13923731496982597</v>
      </c>
      <c r="CH95" s="433">
        <v>0.14097114871113556</v>
      </c>
      <c r="CI95" s="433">
        <v>0.12872803566339891</v>
      </c>
      <c r="CJ95" s="433">
        <v>0.20776980245257207</v>
      </c>
      <c r="CK95" s="433">
        <v>0.20005420011599015</v>
      </c>
      <c r="CL95" s="433">
        <v>0.2150045900352773</v>
      </c>
      <c r="CM95" s="433">
        <v>0.16831539661914319</v>
      </c>
      <c r="CN95" s="433">
        <v>0.15819847757401839</v>
      </c>
      <c r="CO95" s="433">
        <v>0.55351751631068857</v>
      </c>
      <c r="CP95" s="433">
        <v>0.54869968593943474</v>
      </c>
      <c r="CQ95" s="433">
        <v>0.65414862139188079</v>
      </c>
      <c r="CR95" s="433">
        <v>0.37402054072693969</v>
      </c>
      <c r="CS95" s="433">
        <v>0.39443520669059223</v>
      </c>
      <c r="CT95" s="433">
        <v>0.447221292916757</v>
      </c>
      <c r="CU95" s="433">
        <v>0.3622790598707698</v>
      </c>
      <c r="CV95" s="433">
        <v>0.47604249083347333</v>
      </c>
      <c r="CW95" s="433">
        <v>0.4759898508915783</v>
      </c>
      <c r="CX95" s="433">
        <v>0.4007797062399322</v>
      </c>
      <c r="CY95" s="433">
        <v>0.43383847945766757</v>
      </c>
      <c r="CZ95" s="433">
        <v>0.29816004259848461</v>
      </c>
      <c r="DA95" s="433">
        <v>0.25104840798869349</v>
      </c>
      <c r="DB95" s="433">
        <v>0.75252351689030117</v>
      </c>
      <c r="DC95" s="433">
        <v>0.29816004259848461</v>
      </c>
      <c r="DD95" s="433">
        <v>0.25104840798869349</v>
      </c>
      <c r="DE95" s="433">
        <v>0.29926769201452108</v>
      </c>
      <c r="DF95" s="433">
        <v>0.37270005324810579</v>
      </c>
      <c r="DG95" s="433">
        <v>0.32591341561187775</v>
      </c>
      <c r="DH95" s="433">
        <v>0.33104833187447025</v>
      </c>
      <c r="DI95" s="433">
        <v>0</v>
      </c>
      <c r="DJ95" s="433">
        <v>0.30102696608500845</v>
      </c>
      <c r="DK95" s="433">
        <v>0.26323775876343969</v>
      </c>
      <c r="DL95" s="433">
        <v>0.22381130813051786</v>
      </c>
      <c r="DM95" s="433">
        <v>0.39133505591051104</v>
      </c>
      <c r="DN95" s="433">
        <v>0</v>
      </c>
      <c r="DO95" s="433">
        <v>0</v>
      </c>
      <c r="DP95" s="433">
        <v>0</v>
      </c>
      <c r="DR95" s="409" t="s">
        <v>2542</v>
      </c>
      <c r="DS95" s="409" t="s">
        <v>2549</v>
      </c>
    </row>
    <row r="96" spans="2:123" s="1471" customFormat="1">
      <c r="B96" s="428">
        <v>41858.661198263886</v>
      </c>
      <c r="C96" s="429">
        <v>1.4609809396304301</v>
      </c>
      <c r="D96" s="429">
        <v>1.472426419064881</v>
      </c>
      <c r="E96" s="429">
        <v>1.5327681571947707</v>
      </c>
      <c r="F96" s="429">
        <v>1.403987373784723</v>
      </c>
      <c r="G96" s="429">
        <v>1.5230733543802277</v>
      </c>
      <c r="H96" s="429">
        <v>1.453105814539728</v>
      </c>
      <c r="I96" s="429">
        <v>1.5257336544564375</v>
      </c>
      <c r="J96" s="429">
        <v>1.5433183579618304</v>
      </c>
      <c r="K96" s="429">
        <v>1.385639962683652</v>
      </c>
      <c r="L96" s="429">
        <v>1.6120807897600118</v>
      </c>
      <c r="M96" s="429">
        <v>1.8103310184936745</v>
      </c>
      <c r="N96" s="429">
        <v>1.7611890642863253</v>
      </c>
      <c r="O96" s="429">
        <v>1.3566598602343358</v>
      </c>
      <c r="P96" s="429">
        <v>1.425257172690187</v>
      </c>
      <c r="Q96" s="429">
        <v>2884.8680371186429</v>
      </c>
      <c r="R96" s="429">
        <v>15.280493114695293</v>
      </c>
      <c r="S96" s="429">
        <v>20.851308484337206</v>
      </c>
      <c r="T96" s="429">
        <v>4526.9193312144098</v>
      </c>
      <c r="U96" s="429">
        <v>2448.5091277324486</v>
      </c>
      <c r="V96" s="429">
        <v>2707.5416517437161</v>
      </c>
      <c r="W96" s="429">
        <v>983.73348419061188</v>
      </c>
      <c r="X96" s="429">
        <v>40.506429426791598</v>
      </c>
      <c r="Y96" s="429">
        <v>42.06644078507788</v>
      </c>
      <c r="Z96" s="429">
        <v>41.88414024647593</v>
      </c>
      <c r="AA96" s="429">
        <v>36.418243885531069</v>
      </c>
      <c r="AB96" s="429">
        <v>37.694616815038025</v>
      </c>
      <c r="AC96" s="429">
        <v>34.04161023268307</v>
      </c>
      <c r="AD96" s="429">
        <v>3.3797264532504707</v>
      </c>
      <c r="AE96" s="429">
        <v>3.4079283809389742</v>
      </c>
      <c r="AF96" s="429">
        <v>3.3255049958940397</v>
      </c>
      <c r="AG96" s="429">
        <v>0</v>
      </c>
      <c r="AH96" s="429">
        <v>6.5969534547998672</v>
      </c>
      <c r="AI96" s="429">
        <v>6.5177577469393526</v>
      </c>
      <c r="AJ96" s="429">
        <v>6.9397109133785362</v>
      </c>
      <c r="AK96" s="429">
        <v>7.169640359839871</v>
      </c>
      <c r="AL96" s="429">
        <v>0</v>
      </c>
      <c r="AM96" s="429">
        <v>0</v>
      </c>
      <c r="AN96" s="429">
        <v>0</v>
      </c>
      <c r="AO96" s="432"/>
      <c r="AP96" s="428">
        <v>41858.661198263886</v>
      </c>
      <c r="AQ96" s="431">
        <v>130.29627427063704</v>
      </c>
      <c r="AR96" s="431">
        <v>173.34250765760584</v>
      </c>
      <c r="AS96" s="431">
        <v>73.702564369878857</v>
      </c>
      <c r="AT96" s="431">
        <v>52.388595364704166</v>
      </c>
      <c r="AU96" s="431">
        <v>46.86628329166404</v>
      </c>
      <c r="AV96" s="431">
        <v>58.880615379642592</v>
      </c>
      <c r="AW96" s="431">
        <v>-20.254518843273139</v>
      </c>
      <c r="AX96" s="431">
        <v>5.1043538166706366</v>
      </c>
      <c r="AY96" s="431">
        <v>148.46711957195433</v>
      </c>
      <c r="AZ96" s="431">
        <v>-118.74945696650954</v>
      </c>
      <c r="BA96" s="431">
        <v>2.7758019092514807</v>
      </c>
      <c r="BB96" s="431">
        <v>4.243005198355692</v>
      </c>
      <c r="BC96" s="431">
        <v>2.3500131018202395</v>
      </c>
      <c r="BD96" s="431">
        <v>99.244467015512598</v>
      </c>
      <c r="BE96" s="431">
        <v>363521.76344382623</v>
      </c>
      <c r="BF96" s="431">
        <v>8157.8792861177453</v>
      </c>
      <c r="BG96" s="431">
        <v>-5569.359020539483</v>
      </c>
      <c r="BH96" s="431">
        <v>562582.16261464811</v>
      </c>
      <c r="BI96" s="431">
        <v>542066.83683769731</v>
      </c>
      <c r="BJ96" s="431">
        <v>-90085.53689311925</v>
      </c>
      <c r="BK96" s="431">
        <v>504080.03607247717</v>
      </c>
      <c r="BL96" s="431">
        <v>3264.5723761713475</v>
      </c>
      <c r="BM96" s="431">
        <v>-542.53596650461941</v>
      </c>
      <c r="BN96" s="431">
        <v>138.90096864888841</v>
      </c>
      <c r="BO96" s="431">
        <v>2671.0137623220112</v>
      </c>
      <c r="BP96" s="431">
        <v>-443.89306350377939</v>
      </c>
      <c r="BQ96" s="431">
        <v>2032.8729626206339</v>
      </c>
      <c r="BR96" s="431">
        <v>910.67492456410582</v>
      </c>
      <c r="BS96" s="431">
        <v>419.38890782335613</v>
      </c>
      <c r="BT96" s="431">
        <v>819.24484193638932</v>
      </c>
      <c r="BU96" s="431">
        <v>0</v>
      </c>
      <c r="BV96" s="431">
        <v>1409.8428063180768</v>
      </c>
      <c r="BW96" s="431">
        <v>638.02041590974545</v>
      </c>
      <c r="BX96" s="431">
        <v>1494.6850769998048</v>
      </c>
      <c r="BY96" s="431">
        <v>1084.4944663985207</v>
      </c>
      <c r="BZ96" s="431">
        <v>0</v>
      </c>
      <c r="CA96" s="431">
        <v>0</v>
      </c>
      <c r="CB96" s="431">
        <v>0</v>
      </c>
      <c r="CC96" s="432"/>
      <c r="CD96" s="428">
        <v>41858.661198263886</v>
      </c>
      <c r="CE96" s="433">
        <v>0.23759628394566742</v>
      </c>
      <c r="CF96" s="433">
        <v>0.16769792432989633</v>
      </c>
      <c r="CG96" s="433">
        <v>0.13923731496982597</v>
      </c>
      <c r="CH96" s="433">
        <v>0.14097114871113556</v>
      </c>
      <c r="CI96" s="433">
        <v>0.12872803566339891</v>
      </c>
      <c r="CJ96" s="433">
        <v>0.20776980245257207</v>
      </c>
      <c r="CK96" s="433">
        <v>0.20005420011599015</v>
      </c>
      <c r="CL96" s="433">
        <v>0.2150045900352773</v>
      </c>
      <c r="CM96" s="433">
        <v>0.16831539661914319</v>
      </c>
      <c r="CN96" s="433">
        <v>0.15819847757401839</v>
      </c>
      <c r="CO96" s="433">
        <v>0.55351751631068857</v>
      </c>
      <c r="CP96" s="433">
        <v>0.54869968593943474</v>
      </c>
      <c r="CQ96" s="433">
        <v>0.65414862139188079</v>
      </c>
      <c r="CR96" s="433">
        <v>0.37402054072693969</v>
      </c>
      <c r="CS96" s="433">
        <v>0.39443520669059223</v>
      </c>
      <c r="CT96" s="433">
        <v>0.447221292916757</v>
      </c>
      <c r="CU96" s="433">
        <v>0.3622790598707698</v>
      </c>
      <c r="CV96" s="433">
        <v>0.47604249083347333</v>
      </c>
      <c r="CW96" s="433">
        <v>0.4759898508915783</v>
      </c>
      <c r="CX96" s="433">
        <v>0.4007797062399322</v>
      </c>
      <c r="CY96" s="433">
        <v>0.43383847945766757</v>
      </c>
      <c r="CZ96" s="433">
        <v>0.29816004259848461</v>
      </c>
      <c r="DA96" s="433">
        <v>0.25104840798869349</v>
      </c>
      <c r="DB96" s="433">
        <v>0.75252351689030117</v>
      </c>
      <c r="DC96" s="433">
        <v>0.29816004259848461</v>
      </c>
      <c r="DD96" s="433">
        <v>0.25104840798869349</v>
      </c>
      <c r="DE96" s="433">
        <v>0.29926769201452108</v>
      </c>
      <c r="DF96" s="433">
        <v>0.37270005324810579</v>
      </c>
      <c r="DG96" s="433">
        <v>0.32591341561187775</v>
      </c>
      <c r="DH96" s="433">
        <v>0.33104833187447025</v>
      </c>
      <c r="DI96" s="433">
        <v>0</v>
      </c>
      <c r="DJ96" s="433">
        <v>0.30102696608500845</v>
      </c>
      <c r="DK96" s="433">
        <v>0.26323775876343969</v>
      </c>
      <c r="DL96" s="433">
        <v>0.22381130813051786</v>
      </c>
      <c r="DM96" s="433">
        <v>0.39133505591051104</v>
      </c>
      <c r="DN96" s="433">
        <v>0</v>
      </c>
      <c r="DO96" s="433">
        <v>0</v>
      </c>
      <c r="DP96" s="433">
        <v>0</v>
      </c>
      <c r="DR96" s="409" t="s">
        <v>855</v>
      </c>
      <c r="DS96" s="409" t="s">
        <v>2554</v>
      </c>
    </row>
    <row r="97" spans="2:123" s="1471" customFormat="1">
      <c r="B97" s="428">
        <v>41858.667390625</v>
      </c>
      <c r="C97" s="429">
        <v>1.4609809396304301</v>
      </c>
      <c r="D97" s="429">
        <v>1.472426419064881</v>
      </c>
      <c r="E97" s="429">
        <v>1.5327681571947707</v>
      </c>
      <c r="F97" s="429">
        <v>1.403987373784723</v>
      </c>
      <c r="G97" s="429">
        <v>1.5230733543802277</v>
      </c>
      <c r="H97" s="429">
        <v>1.453105814539728</v>
      </c>
      <c r="I97" s="429">
        <v>1.5257336544564375</v>
      </c>
      <c r="J97" s="429">
        <v>1.5433183579618304</v>
      </c>
      <c r="K97" s="429">
        <v>1.385639962683652</v>
      </c>
      <c r="L97" s="429">
        <v>1.6120807897600118</v>
      </c>
      <c r="M97" s="429">
        <v>1.8103310184936745</v>
      </c>
      <c r="N97" s="429">
        <v>1.7611890642863253</v>
      </c>
      <c r="O97" s="429">
        <v>1.3566598602343358</v>
      </c>
      <c r="P97" s="429">
        <v>1.425257172690187</v>
      </c>
      <c r="Q97" s="429">
        <v>2884.8680371186429</v>
      </c>
      <c r="R97" s="429">
        <v>15.280493114695293</v>
      </c>
      <c r="S97" s="429">
        <v>20.851308484337206</v>
      </c>
      <c r="T97" s="429">
        <v>4526.9193312144098</v>
      </c>
      <c r="U97" s="429">
        <v>2448.5091277324486</v>
      </c>
      <c r="V97" s="429">
        <v>2707.5416517437161</v>
      </c>
      <c r="W97" s="429">
        <v>983.73348419061188</v>
      </c>
      <c r="X97" s="429">
        <v>51.998849624307127</v>
      </c>
      <c r="Y97" s="429">
        <v>53.558860982593409</v>
      </c>
      <c r="Z97" s="429">
        <v>55.675044483494567</v>
      </c>
      <c r="AA97" s="429">
        <v>45.878571525428349</v>
      </c>
      <c r="AB97" s="429">
        <v>47.154944454935304</v>
      </c>
      <c r="AC97" s="429">
        <v>48.232101692528985</v>
      </c>
      <c r="AD97" s="429">
        <v>3.3797264532504707</v>
      </c>
      <c r="AE97" s="429">
        <v>3.4079283809389742</v>
      </c>
      <c r="AF97" s="429">
        <v>3.3255049958940397</v>
      </c>
      <c r="AG97" s="429">
        <v>0</v>
      </c>
      <c r="AH97" s="429">
        <v>6.5969534547998672</v>
      </c>
      <c r="AI97" s="429">
        <v>6.5177577469393526</v>
      </c>
      <c r="AJ97" s="429">
        <v>6.9397109133785362</v>
      </c>
      <c r="AK97" s="429">
        <v>7.169640359839871</v>
      </c>
      <c r="AL97" s="429">
        <v>0</v>
      </c>
      <c r="AM97" s="429">
        <v>0</v>
      </c>
      <c r="AN97" s="429">
        <v>0</v>
      </c>
      <c r="AO97" s="432"/>
      <c r="AP97" s="428">
        <v>41858.667390625</v>
      </c>
      <c r="AQ97" s="431">
        <v>130.29627427063704</v>
      </c>
      <c r="AR97" s="431">
        <v>173.34250765760584</v>
      </c>
      <c r="AS97" s="431">
        <v>73.702564369878857</v>
      </c>
      <c r="AT97" s="431">
        <v>52.388595364704166</v>
      </c>
      <c r="AU97" s="431">
        <v>46.86628329166404</v>
      </c>
      <c r="AV97" s="431">
        <v>58.880615379642592</v>
      </c>
      <c r="AW97" s="431">
        <v>-20.254518843273139</v>
      </c>
      <c r="AX97" s="431">
        <v>5.1043538166706366</v>
      </c>
      <c r="AY97" s="431">
        <v>148.46711957195433</v>
      </c>
      <c r="AZ97" s="431">
        <v>-118.74945696650954</v>
      </c>
      <c r="BA97" s="431">
        <v>2.7758019092514807</v>
      </c>
      <c r="BB97" s="431">
        <v>4.243005198355692</v>
      </c>
      <c r="BC97" s="431">
        <v>2.3500131018202395</v>
      </c>
      <c r="BD97" s="431">
        <v>99.244467015512598</v>
      </c>
      <c r="BE97" s="431">
        <v>363521.76344382623</v>
      </c>
      <c r="BF97" s="431">
        <v>8157.8792861177453</v>
      </c>
      <c r="BG97" s="431">
        <v>-5569.359020539483</v>
      </c>
      <c r="BH97" s="431">
        <v>562582.16261464811</v>
      </c>
      <c r="BI97" s="431">
        <v>542066.83683769731</v>
      </c>
      <c r="BJ97" s="431">
        <v>-90085.53689311925</v>
      </c>
      <c r="BK97" s="431">
        <v>504080.03607247717</v>
      </c>
      <c r="BL97" s="431">
        <v>3264.5723761713475</v>
      </c>
      <c r="BM97" s="431">
        <v>-542.53596650461941</v>
      </c>
      <c r="BN97" s="431">
        <v>138.90096864888841</v>
      </c>
      <c r="BO97" s="431">
        <v>2671.0137623220112</v>
      </c>
      <c r="BP97" s="431">
        <v>-443.89306350377939</v>
      </c>
      <c r="BQ97" s="431">
        <v>2032.8729626206339</v>
      </c>
      <c r="BR97" s="431">
        <v>910.67492456410582</v>
      </c>
      <c r="BS97" s="431">
        <v>419.38890782335613</v>
      </c>
      <c r="BT97" s="431">
        <v>819.24484193638932</v>
      </c>
      <c r="BU97" s="431">
        <v>0</v>
      </c>
      <c r="BV97" s="431">
        <v>1409.8428063180768</v>
      </c>
      <c r="BW97" s="431">
        <v>638.02041590974545</v>
      </c>
      <c r="BX97" s="431">
        <v>1494.6850769998048</v>
      </c>
      <c r="BY97" s="431">
        <v>1084.4944663985207</v>
      </c>
      <c r="BZ97" s="431">
        <v>0</v>
      </c>
      <c r="CA97" s="431">
        <v>0</v>
      </c>
      <c r="CB97" s="431">
        <v>0</v>
      </c>
      <c r="CC97" s="432"/>
      <c r="CD97" s="428">
        <v>41858.667390625</v>
      </c>
      <c r="CE97" s="433">
        <v>0.23759628394566742</v>
      </c>
      <c r="CF97" s="433">
        <v>0.16769792432989633</v>
      </c>
      <c r="CG97" s="433">
        <v>0.13923731496982597</v>
      </c>
      <c r="CH97" s="433">
        <v>0.14097114871113556</v>
      </c>
      <c r="CI97" s="433">
        <v>0.12872803566339891</v>
      </c>
      <c r="CJ97" s="433">
        <v>0.20776980245257207</v>
      </c>
      <c r="CK97" s="433">
        <v>0.20005420011599015</v>
      </c>
      <c r="CL97" s="433">
        <v>0.2150045900352773</v>
      </c>
      <c r="CM97" s="433">
        <v>0.16831539661914319</v>
      </c>
      <c r="CN97" s="433">
        <v>0.15819847757401839</v>
      </c>
      <c r="CO97" s="433">
        <v>0.55351751631068857</v>
      </c>
      <c r="CP97" s="433">
        <v>0.54869968593943474</v>
      </c>
      <c r="CQ97" s="433">
        <v>0.65414862139188079</v>
      </c>
      <c r="CR97" s="433">
        <v>0.37402054072693969</v>
      </c>
      <c r="CS97" s="433">
        <v>0.39443520669059223</v>
      </c>
      <c r="CT97" s="433">
        <v>0.447221292916757</v>
      </c>
      <c r="CU97" s="433">
        <v>0.3622790598707698</v>
      </c>
      <c r="CV97" s="433">
        <v>0.47604249083347333</v>
      </c>
      <c r="CW97" s="433">
        <v>0.4759898508915783</v>
      </c>
      <c r="CX97" s="433">
        <v>0.4007797062399322</v>
      </c>
      <c r="CY97" s="433">
        <v>0.43383847945766757</v>
      </c>
      <c r="CZ97" s="433">
        <v>0.29816004259848461</v>
      </c>
      <c r="DA97" s="433">
        <v>0.25104840798869349</v>
      </c>
      <c r="DB97" s="433">
        <v>0.75252351689030117</v>
      </c>
      <c r="DC97" s="433">
        <v>0.29816004259848461</v>
      </c>
      <c r="DD97" s="433">
        <v>0.25104840798869349</v>
      </c>
      <c r="DE97" s="433">
        <v>0.29926769201452108</v>
      </c>
      <c r="DF97" s="433">
        <v>0.37270005324810579</v>
      </c>
      <c r="DG97" s="433">
        <v>0.32591341561187775</v>
      </c>
      <c r="DH97" s="433">
        <v>0.33104833187447025</v>
      </c>
      <c r="DI97" s="433">
        <v>0</v>
      </c>
      <c r="DJ97" s="433">
        <v>0.30102696608500845</v>
      </c>
      <c r="DK97" s="433">
        <v>0.26323775876343969</v>
      </c>
      <c r="DL97" s="433">
        <v>0.22381130813051786</v>
      </c>
      <c r="DM97" s="433">
        <v>0.39133505591051104</v>
      </c>
      <c r="DN97" s="433">
        <v>0</v>
      </c>
      <c r="DO97" s="433">
        <v>0</v>
      </c>
      <c r="DP97" s="433">
        <v>0</v>
      </c>
      <c r="DR97" s="409" t="s">
        <v>855</v>
      </c>
      <c r="DS97" s="409" t="s">
        <v>2558</v>
      </c>
    </row>
    <row r="98" spans="2:123" s="1471" customFormat="1">
      <c r="B98" s="428">
        <v>41863.539541203703</v>
      </c>
      <c r="C98" s="429">
        <v>1.4609809396304301</v>
      </c>
      <c r="D98" s="429">
        <v>1.472426419064881</v>
      </c>
      <c r="E98" s="429">
        <v>1.5327681571947707</v>
      </c>
      <c r="F98" s="429">
        <v>1.403987373784723</v>
      </c>
      <c r="G98" s="429">
        <v>1.5230733543802277</v>
      </c>
      <c r="H98" s="429">
        <v>1.453105814539728</v>
      </c>
      <c r="I98" s="429">
        <v>1.5257336544564375</v>
      </c>
      <c r="J98" s="429">
        <v>1.5433183579618304</v>
      </c>
      <c r="K98" s="429">
        <v>1.385639962683652</v>
      </c>
      <c r="L98" s="429">
        <v>1.6120807897600118</v>
      </c>
      <c r="M98" s="429">
        <v>1.8103310184936745</v>
      </c>
      <c r="N98" s="429">
        <v>1.7611890642863253</v>
      </c>
      <c r="O98" s="429">
        <v>1.3566598602343358</v>
      </c>
      <c r="P98" s="429">
        <v>1.425257172690187</v>
      </c>
      <c r="Q98" s="429">
        <v>2884.8680371186429</v>
      </c>
      <c r="R98" s="429">
        <v>56.210817298157131</v>
      </c>
      <c r="S98" s="429">
        <v>61.781632667799045</v>
      </c>
      <c r="T98" s="429">
        <v>4526.9193312144098</v>
      </c>
      <c r="U98" s="429">
        <v>2448.5091277324486</v>
      </c>
      <c r="V98" s="429">
        <v>2707.5416517437161</v>
      </c>
      <c r="W98" s="429">
        <v>983.73348419061188</v>
      </c>
      <c r="X98" s="429">
        <v>51.998849624307127</v>
      </c>
      <c r="Y98" s="429">
        <v>53.558860982593409</v>
      </c>
      <c r="Z98" s="429">
        <v>55.675044483494567</v>
      </c>
      <c r="AA98" s="429">
        <v>45.878571525428349</v>
      </c>
      <c r="AB98" s="429">
        <v>47.154944454935304</v>
      </c>
      <c r="AC98" s="429">
        <v>48.232101692528985</v>
      </c>
      <c r="AD98" s="429">
        <v>3.3797264532504707</v>
      </c>
      <c r="AE98" s="429">
        <v>3.4079283809389742</v>
      </c>
      <c r="AF98" s="429">
        <v>3.3255049958940397</v>
      </c>
      <c r="AG98" s="429">
        <v>0</v>
      </c>
      <c r="AH98" s="429">
        <v>6.5969534547998672</v>
      </c>
      <c r="AI98" s="429">
        <v>6.5177577469393526</v>
      </c>
      <c r="AJ98" s="429">
        <v>6.9397109133785362</v>
      </c>
      <c r="AK98" s="429">
        <v>7.169640359839871</v>
      </c>
      <c r="AL98" s="429">
        <v>0</v>
      </c>
      <c r="AM98" s="429">
        <v>0</v>
      </c>
      <c r="AN98" s="429">
        <v>0</v>
      </c>
      <c r="AO98" s="432"/>
      <c r="AP98" s="428">
        <v>41863.539541203703</v>
      </c>
      <c r="AQ98" s="431">
        <v>130.29627427063704</v>
      </c>
      <c r="AR98" s="431">
        <v>173.34250765760584</v>
      </c>
      <c r="AS98" s="431">
        <v>73.702564369878857</v>
      </c>
      <c r="AT98" s="431">
        <v>52.388595364704166</v>
      </c>
      <c r="AU98" s="431">
        <v>46.86628329166404</v>
      </c>
      <c r="AV98" s="431">
        <v>58.880615379642592</v>
      </c>
      <c r="AW98" s="431">
        <v>-20.254518843273139</v>
      </c>
      <c r="AX98" s="431">
        <v>5.1043538166706366</v>
      </c>
      <c r="AY98" s="431">
        <v>148.46711957195433</v>
      </c>
      <c r="AZ98" s="431">
        <v>-118.74945696650954</v>
      </c>
      <c r="BA98" s="431">
        <v>2.7758019092514807</v>
      </c>
      <c r="BB98" s="431">
        <v>4.243005198355692</v>
      </c>
      <c r="BC98" s="431">
        <v>2.3500131018202395</v>
      </c>
      <c r="BD98" s="431">
        <v>99.244467015512598</v>
      </c>
      <c r="BE98" s="431">
        <v>363521.76344382623</v>
      </c>
      <c r="BF98" s="431">
        <v>8157.8792861177453</v>
      </c>
      <c r="BG98" s="431">
        <v>-5569.359020539483</v>
      </c>
      <c r="BH98" s="431">
        <v>562582.16261464811</v>
      </c>
      <c r="BI98" s="431">
        <v>542066.83683769731</v>
      </c>
      <c r="BJ98" s="431">
        <v>-90085.53689311925</v>
      </c>
      <c r="BK98" s="431">
        <v>504080.03607247717</v>
      </c>
      <c r="BL98" s="431">
        <v>3264.5723761713475</v>
      </c>
      <c r="BM98" s="431">
        <v>-542.53596650461941</v>
      </c>
      <c r="BN98" s="431">
        <v>138.90096864888841</v>
      </c>
      <c r="BO98" s="431">
        <v>2671.0137623220112</v>
      </c>
      <c r="BP98" s="431">
        <v>-443.89306350377939</v>
      </c>
      <c r="BQ98" s="431">
        <v>2032.8729626206339</v>
      </c>
      <c r="BR98" s="431">
        <v>910.67492456410582</v>
      </c>
      <c r="BS98" s="431">
        <v>419.38890782335613</v>
      </c>
      <c r="BT98" s="431">
        <v>819.24484193638932</v>
      </c>
      <c r="BU98" s="431">
        <v>0</v>
      </c>
      <c r="BV98" s="431">
        <v>1409.8428063180768</v>
      </c>
      <c r="BW98" s="431">
        <v>638.02041590974545</v>
      </c>
      <c r="BX98" s="431">
        <v>1494.6850769998048</v>
      </c>
      <c r="BY98" s="431">
        <v>1084.4944663985207</v>
      </c>
      <c r="BZ98" s="431">
        <v>0</v>
      </c>
      <c r="CA98" s="431">
        <v>0</v>
      </c>
      <c r="CB98" s="431">
        <v>0</v>
      </c>
      <c r="CC98" s="432"/>
      <c r="CD98" s="428">
        <v>41863.539541203703</v>
      </c>
      <c r="CE98" s="433">
        <v>0.23759628394566742</v>
      </c>
      <c r="CF98" s="433">
        <v>0.16769792432989633</v>
      </c>
      <c r="CG98" s="433">
        <v>0.13923731496982597</v>
      </c>
      <c r="CH98" s="433">
        <v>0.14097114871113556</v>
      </c>
      <c r="CI98" s="433">
        <v>0.12872803566339891</v>
      </c>
      <c r="CJ98" s="433">
        <v>0.20776980245257207</v>
      </c>
      <c r="CK98" s="433">
        <v>0.20005420011599015</v>
      </c>
      <c r="CL98" s="433">
        <v>0.2150045900352773</v>
      </c>
      <c r="CM98" s="433">
        <v>0.16831539661914319</v>
      </c>
      <c r="CN98" s="433">
        <v>0.15819847757401839</v>
      </c>
      <c r="CO98" s="433">
        <v>0.55351751631068857</v>
      </c>
      <c r="CP98" s="433">
        <v>0.54869968593943474</v>
      </c>
      <c r="CQ98" s="433">
        <v>0.65414862139188079</v>
      </c>
      <c r="CR98" s="433">
        <v>0.37402054072693969</v>
      </c>
      <c r="CS98" s="433">
        <v>0.39443520669059223</v>
      </c>
      <c r="CT98" s="433">
        <v>0.447221292916757</v>
      </c>
      <c r="CU98" s="433">
        <v>0.3622790598707698</v>
      </c>
      <c r="CV98" s="433">
        <v>0.47604249083347333</v>
      </c>
      <c r="CW98" s="433">
        <v>0.4759898508915783</v>
      </c>
      <c r="CX98" s="433">
        <v>0.4007797062399322</v>
      </c>
      <c r="CY98" s="433">
        <v>0.43383847945766757</v>
      </c>
      <c r="CZ98" s="433">
        <v>0.29816004259848461</v>
      </c>
      <c r="DA98" s="433">
        <v>0.25104840798869349</v>
      </c>
      <c r="DB98" s="433">
        <v>0.75252351689030117</v>
      </c>
      <c r="DC98" s="433">
        <v>0.29816004259848461</v>
      </c>
      <c r="DD98" s="433">
        <v>0.25104840798869349</v>
      </c>
      <c r="DE98" s="433">
        <v>0.29926769201452108</v>
      </c>
      <c r="DF98" s="433">
        <v>0.37270005324810579</v>
      </c>
      <c r="DG98" s="433">
        <v>0.32591341561187775</v>
      </c>
      <c r="DH98" s="433">
        <v>0.33104833187447025</v>
      </c>
      <c r="DI98" s="433">
        <v>0</v>
      </c>
      <c r="DJ98" s="433">
        <v>0.30102696608500845</v>
      </c>
      <c r="DK98" s="433">
        <v>0.26323775876343969</v>
      </c>
      <c r="DL98" s="433">
        <v>0.22381130813051786</v>
      </c>
      <c r="DM98" s="433">
        <v>0.39133505591051104</v>
      </c>
      <c r="DN98" s="433">
        <v>0</v>
      </c>
      <c r="DO98" s="433">
        <v>0</v>
      </c>
      <c r="DP98" s="433">
        <v>0</v>
      </c>
      <c r="DR98" s="409" t="s">
        <v>855</v>
      </c>
      <c r="DS98" s="409" t="s">
        <v>2559</v>
      </c>
    </row>
    <row r="99" spans="2:123" s="1471" customFormat="1">
      <c r="B99" s="428">
        <v>41863.639294907407</v>
      </c>
      <c r="C99" s="429">
        <v>1.4609809396304301</v>
      </c>
      <c r="D99" s="429">
        <v>1.472426419064881</v>
      </c>
      <c r="E99" s="429">
        <v>1.5327681571947707</v>
      </c>
      <c r="F99" s="429">
        <v>1.403987373784723</v>
      </c>
      <c r="G99" s="429">
        <v>1.5230733543802277</v>
      </c>
      <c r="H99" s="429">
        <v>1.453105814539728</v>
      </c>
      <c r="I99" s="429">
        <v>1.5257336544564375</v>
      </c>
      <c r="J99" s="429">
        <v>1.5433183579618304</v>
      </c>
      <c r="K99" s="429">
        <v>1.385639962683652</v>
      </c>
      <c r="L99" s="429">
        <v>1.6120807897600118</v>
      </c>
      <c r="M99" s="429">
        <v>1.8103310184936745</v>
      </c>
      <c r="N99" s="429">
        <v>1.7611890642863253</v>
      </c>
      <c r="O99" s="429">
        <v>1.3566598602343358</v>
      </c>
      <c r="P99" s="429">
        <v>1.425257172690187</v>
      </c>
      <c r="Q99" s="429">
        <v>2884.8680371186429</v>
      </c>
      <c r="R99" s="429">
        <v>56.210817298157131</v>
      </c>
      <c r="S99" s="429">
        <v>61.781632667799045</v>
      </c>
      <c r="T99" s="429">
        <v>4526.9193312144098</v>
      </c>
      <c r="U99" s="429">
        <v>2448.5091277324486</v>
      </c>
      <c r="V99" s="429">
        <v>2707.5416517437161</v>
      </c>
      <c r="W99" s="429">
        <v>983.73348419061188</v>
      </c>
      <c r="X99" s="429">
        <v>51.998849624307127</v>
      </c>
      <c r="Y99" s="429">
        <v>53.558860982593409</v>
      </c>
      <c r="Z99" s="429">
        <v>52.202885223938743</v>
      </c>
      <c r="AA99" s="429">
        <v>45.878571525428349</v>
      </c>
      <c r="AB99" s="429">
        <v>47.154944454935304</v>
      </c>
      <c r="AC99" s="429">
        <v>48.232101692528985</v>
      </c>
      <c r="AD99" s="429">
        <v>3.3797264532504707</v>
      </c>
      <c r="AE99" s="429">
        <v>3.4079283809389742</v>
      </c>
      <c r="AF99" s="429">
        <v>3.3255049958940397</v>
      </c>
      <c r="AG99" s="429">
        <v>0</v>
      </c>
      <c r="AH99" s="429">
        <v>6.5969534547998672</v>
      </c>
      <c r="AI99" s="429">
        <v>6.5177577469393526</v>
      </c>
      <c r="AJ99" s="429">
        <v>6.9397109133785362</v>
      </c>
      <c r="AK99" s="429">
        <v>7.169640359839871</v>
      </c>
      <c r="AL99" s="429">
        <v>0</v>
      </c>
      <c r="AM99" s="429">
        <v>0</v>
      </c>
      <c r="AN99" s="429">
        <v>0</v>
      </c>
      <c r="AO99" s="432"/>
      <c r="AP99" s="428">
        <v>41863.639294907407</v>
      </c>
      <c r="AQ99" s="431">
        <v>130.29627427063704</v>
      </c>
      <c r="AR99" s="431">
        <v>173.34250765760584</v>
      </c>
      <c r="AS99" s="431">
        <v>73.702564369878857</v>
      </c>
      <c r="AT99" s="431">
        <v>52.388595364704166</v>
      </c>
      <c r="AU99" s="431">
        <v>46.86628329166404</v>
      </c>
      <c r="AV99" s="431">
        <v>58.880615379642592</v>
      </c>
      <c r="AW99" s="431">
        <v>-20.254518843273139</v>
      </c>
      <c r="AX99" s="431">
        <v>5.1043538166706366</v>
      </c>
      <c r="AY99" s="431">
        <v>148.46711957195433</v>
      </c>
      <c r="AZ99" s="431">
        <v>-118.74945696650954</v>
      </c>
      <c r="BA99" s="431">
        <v>2.7758019092514807</v>
      </c>
      <c r="BB99" s="431">
        <v>4.243005198355692</v>
      </c>
      <c r="BC99" s="431">
        <v>2.3500131018202395</v>
      </c>
      <c r="BD99" s="431">
        <v>99.244467015512598</v>
      </c>
      <c r="BE99" s="431">
        <v>363521.76344382623</v>
      </c>
      <c r="BF99" s="431">
        <v>8157.8792861177453</v>
      </c>
      <c r="BG99" s="431">
        <v>-5569.359020539483</v>
      </c>
      <c r="BH99" s="431">
        <v>562582.16261464811</v>
      </c>
      <c r="BI99" s="431">
        <v>542066.83683769731</v>
      </c>
      <c r="BJ99" s="431">
        <v>-90085.53689311925</v>
      </c>
      <c r="BK99" s="431">
        <v>504080.03607247717</v>
      </c>
      <c r="BL99" s="431">
        <v>3264.5723761713475</v>
      </c>
      <c r="BM99" s="431">
        <v>-542.53596650461941</v>
      </c>
      <c r="BN99" s="431">
        <v>100.57603941182192</v>
      </c>
      <c r="BO99" s="431">
        <v>2671.0137623220112</v>
      </c>
      <c r="BP99" s="431">
        <v>-443.89306350377939</v>
      </c>
      <c r="BQ99" s="431">
        <v>2032.8729626206339</v>
      </c>
      <c r="BR99" s="431">
        <v>910.67492456410582</v>
      </c>
      <c r="BS99" s="431">
        <v>419.38890782335613</v>
      </c>
      <c r="BT99" s="431">
        <v>819.24484193638932</v>
      </c>
      <c r="BU99" s="431">
        <v>0</v>
      </c>
      <c r="BV99" s="431">
        <v>1409.8428063180768</v>
      </c>
      <c r="BW99" s="431">
        <v>638.02041590974545</v>
      </c>
      <c r="BX99" s="431">
        <v>1494.6850769998048</v>
      </c>
      <c r="BY99" s="431">
        <v>1084.4944663985207</v>
      </c>
      <c r="BZ99" s="431">
        <v>0</v>
      </c>
      <c r="CA99" s="431">
        <v>0</v>
      </c>
      <c r="CB99" s="431">
        <v>0</v>
      </c>
      <c r="CC99" s="432"/>
      <c r="CD99" s="428">
        <v>41863.639294907407</v>
      </c>
      <c r="CE99" s="433">
        <v>0.23759628394566742</v>
      </c>
      <c r="CF99" s="433">
        <v>0.16769792432989633</v>
      </c>
      <c r="CG99" s="433">
        <v>0.13923731496982597</v>
      </c>
      <c r="CH99" s="433">
        <v>0.14097114871113556</v>
      </c>
      <c r="CI99" s="433">
        <v>0.12872803566339891</v>
      </c>
      <c r="CJ99" s="433">
        <v>0.20776980245257207</v>
      </c>
      <c r="CK99" s="433">
        <v>0.20005420011599015</v>
      </c>
      <c r="CL99" s="433">
        <v>0.2150045900352773</v>
      </c>
      <c r="CM99" s="433">
        <v>0.16831539661914319</v>
      </c>
      <c r="CN99" s="433">
        <v>0.15819847757401839</v>
      </c>
      <c r="CO99" s="433">
        <v>0.55351751631068857</v>
      </c>
      <c r="CP99" s="433">
        <v>0.54869968593943474</v>
      </c>
      <c r="CQ99" s="433">
        <v>0.65414862139188079</v>
      </c>
      <c r="CR99" s="433">
        <v>0.37402054072693969</v>
      </c>
      <c r="CS99" s="433">
        <v>0.39443520669059223</v>
      </c>
      <c r="CT99" s="433">
        <v>0.447221292916757</v>
      </c>
      <c r="CU99" s="433">
        <v>0.3622790598707698</v>
      </c>
      <c r="CV99" s="433">
        <v>0.47604249083347333</v>
      </c>
      <c r="CW99" s="433">
        <v>0.4759898508915783</v>
      </c>
      <c r="CX99" s="433">
        <v>0.4007797062399322</v>
      </c>
      <c r="CY99" s="433">
        <v>0.43383847945766757</v>
      </c>
      <c r="CZ99" s="433">
        <v>0.29816004259848461</v>
      </c>
      <c r="DA99" s="433">
        <v>0.25104840798869349</v>
      </c>
      <c r="DB99" s="433">
        <v>0.69049021146920753</v>
      </c>
      <c r="DC99" s="433">
        <v>0.29816004259848461</v>
      </c>
      <c r="DD99" s="433">
        <v>0.25104840798869349</v>
      </c>
      <c r="DE99" s="433">
        <v>0.29926769201452108</v>
      </c>
      <c r="DF99" s="433">
        <v>0.37270005324810579</v>
      </c>
      <c r="DG99" s="433">
        <v>0.32591341561187775</v>
      </c>
      <c r="DH99" s="433">
        <v>0.33104833187447025</v>
      </c>
      <c r="DI99" s="433">
        <v>0</v>
      </c>
      <c r="DJ99" s="433">
        <v>0.30102696608500845</v>
      </c>
      <c r="DK99" s="433">
        <v>0.26323775876343969</v>
      </c>
      <c r="DL99" s="433">
        <v>0.22381130813051786</v>
      </c>
      <c r="DM99" s="433">
        <v>0.39133505591051104</v>
      </c>
      <c r="DN99" s="433">
        <v>0</v>
      </c>
      <c r="DO99" s="433">
        <v>0</v>
      </c>
      <c r="DP99" s="433">
        <v>0</v>
      </c>
      <c r="DR99" s="409" t="s">
        <v>855</v>
      </c>
      <c r="DS99" s="409" t="s">
        <v>2570</v>
      </c>
    </row>
    <row r="100" spans="2:123" s="1471" customFormat="1">
      <c r="B100" s="428">
        <v>41865.659733333334</v>
      </c>
      <c r="C100" s="429">
        <v>1.4609809396304301</v>
      </c>
      <c r="D100" s="429">
        <v>1.472426419064881</v>
      </c>
      <c r="E100" s="429">
        <v>1.5327681571947707</v>
      </c>
      <c r="F100" s="429">
        <v>1.403987373784723</v>
      </c>
      <c r="G100" s="429">
        <v>1.5230733543802277</v>
      </c>
      <c r="H100" s="429">
        <v>1.453105814539728</v>
      </c>
      <c r="I100" s="429">
        <v>1.5257336544564375</v>
      </c>
      <c r="J100" s="429">
        <v>1.5433183579618304</v>
      </c>
      <c r="K100" s="429">
        <v>1.385639962683652</v>
      </c>
      <c r="L100" s="429">
        <v>1.6120807897600118</v>
      </c>
      <c r="M100" s="429">
        <v>1.8103310184936745</v>
      </c>
      <c r="N100" s="429">
        <v>1.7611890642863253</v>
      </c>
      <c r="O100" s="429">
        <v>1.3566598602343358</v>
      </c>
      <c r="P100" s="429">
        <v>1.425257172690187</v>
      </c>
      <c r="Q100" s="429">
        <v>2884.8680371186429</v>
      </c>
      <c r="R100" s="429">
        <v>56.210817298157131</v>
      </c>
      <c r="S100" s="429">
        <v>61.781632667799045</v>
      </c>
      <c r="T100" s="429">
        <v>4526.9193312144098</v>
      </c>
      <c r="U100" s="429">
        <v>2448.5091277324486</v>
      </c>
      <c r="V100" s="429">
        <v>2707.5416517437161</v>
      </c>
      <c r="W100" s="429">
        <v>983.73348419061188</v>
      </c>
      <c r="X100" s="429">
        <v>51.998849624307127</v>
      </c>
      <c r="Y100" s="429">
        <v>53.558860982593409</v>
      </c>
      <c r="Z100" s="429">
        <v>52.202885223938743</v>
      </c>
      <c r="AA100" s="429">
        <v>45.878571525428349</v>
      </c>
      <c r="AB100" s="429">
        <v>47.154944454935304</v>
      </c>
      <c r="AC100" s="429">
        <v>48.232101692528985</v>
      </c>
      <c r="AD100" s="429">
        <v>3.3797264532504707</v>
      </c>
      <c r="AE100" s="429">
        <v>3.4079283809389742</v>
      </c>
      <c r="AF100" s="429">
        <v>3.5764198577579767</v>
      </c>
      <c r="AG100" s="429">
        <v>0</v>
      </c>
      <c r="AH100" s="429">
        <v>6.5969534547998672</v>
      </c>
      <c r="AI100" s="429">
        <v>6.5177577469393526</v>
      </c>
      <c r="AJ100" s="429">
        <v>6.988158633289653</v>
      </c>
      <c r="AK100" s="429">
        <v>7.169640359839871</v>
      </c>
      <c r="AL100" s="429">
        <v>0</v>
      </c>
      <c r="AM100" s="429">
        <v>0</v>
      </c>
      <c r="AN100" s="429">
        <v>0</v>
      </c>
      <c r="AO100" s="432"/>
      <c r="AP100" s="428">
        <v>41865.659733333334</v>
      </c>
      <c r="AQ100" s="431">
        <v>130.29627427063704</v>
      </c>
      <c r="AR100" s="431">
        <v>173.34250765760584</v>
      </c>
      <c r="AS100" s="431">
        <v>73.702564369878857</v>
      </c>
      <c r="AT100" s="431">
        <v>52.388595364704166</v>
      </c>
      <c r="AU100" s="431">
        <v>46.86628329166404</v>
      </c>
      <c r="AV100" s="431">
        <v>58.880615379642592</v>
      </c>
      <c r="AW100" s="431">
        <v>-20.254518843273139</v>
      </c>
      <c r="AX100" s="431">
        <v>5.1043538166706366</v>
      </c>
      <c r="AY100" s="431">
        <v>148.46711957195433</v>
      </c>
      <c r="AZ100" s="431">
        <v>-118.74945696650954</v>
      </c>
      <c r="BA100" s="431">
        <v>2.7758019092514807</v>
      </c>
      <c r="BB100" s="431">
        <v>4.243005198355692</v>
      </c>
      <c r="BC100" s="431">
        <v>2.3500131018202395</v>
      </c>
      <c r="BD100" s="431">
        <v>99.244467015512598</v>
      </c>
      <c r="BE100" s="431">
        <v>363521.76344382623</v>
      </c>
      <c r="BF100" s="431">
        <v>8157.8792861177453</v>
      </c>
      <c r="BG100" s="431">
        <v>-5569.359020539483</v>
      </c>
      <c r="BH100" s="431">
        <v>562582.16261464811</v>
      </c>
      <c r="BI100" s="431">
        <v>542066.83683769731</v>
      </c>
      <c r="BJ100" s="431">
        <v>-90085.53689311925</v>
      </c>
      <c r="BK100" s="431">
        <v>504080.03607247717</v>
      </c>
      <c r="BL100" s="431">
        <v>3264.5723761713475</v>
      </c>
      <c r="BM100" s="431">
        <v>-542.53596650461941</v>
      </c>
      <c r="BN100" s="431">
        <v>100.57603941182192</v>
      </c>
      <c r="BO100" s="431">
        <v>2671.0137623220112</v>
      </c>
      <c r="BP100" s="431">
        <v>-443.89306350377939</v>
      </c>
      <c r="BQ100" s="431">
        <v>2032.8729626206339</v>
      </c>
      <c r="BR100" s="431">
        <v>910.67492456410582</v>
      </c>
      <c r="BS100" s="431">
        <v>419.38890782335613</v>
      </c>
      <c r="BT100" s="431">
        <v>993.14610981808823</v>
      </c>
      <c r="BU100" s="431">
        <v>0</v>
      </c>
      <c r="BV100" s="431">
        <v>1409.8428063180768</v>
      </c>
      <c r="BW100" s="431">
        <v>638.02041590974545</v>
      </c>
      <c r="BX100" s="431">
        <v>1526.9757546938172</v>
      </c>
      <c r="BY100" s="431">
        <v>1084.4944663985207</v>
      </c>
      <c r="BZ100" s="431">
        <v>0</v>
      </c>
      <c r="CA100" s="431">
        <v>0</v>
      </c>
      <c r="CB100" s="431">
        <v>0</v>
      </c>
      <c r="CC100" s="432"/>
      <c r="CD100" s="428">
        <v>41865.659733333334</v>
      </c>
      <c r="CE100" s="433">
        <v>0.23759628394566742</v>
      </c>
      <c r="CF100" s="433">
        <v>0.16769792432989633</v>
      </c>
      <c r="CG100" s="433">
        <v>0.13923731496982597</v>
      </c>
      <c r="CH100" s="433">
        <v>0.14097114871113556</v>
      </c>
      <c r="CI100" s="433">
        <v>0.12872803566339891</v>
      </c>
      <c r="CJ100" s="433">
        <v>0.20776980245257207</v>
      </c>
      <c r="CK100" s="433">
        <v>0.20005420011599015</v>
      </c>
      <c r="CL100" s="433">
        <v>0.2150045900352773</v>
      </c>
      <c r="CM100" s="433">
        <v>0.16831539661914319</v>
      </c>
      <c r="CN100" s="433">
        <v>0.15819847757401839</v>
      </c>
      <c r="CO100" s="433">
        <v>0.55351751631068857</v>
      </c>
      <c r="CP100" s="433">
        <v>0.54869968593943474</v>
      </c>
      <c r="CQ100" s="433">
        <v>0.65414862139188079</v>
      </c>
      <c r="CR100" s="433">
        <v>0.37402054072693969</v>
      </c>
      <c r="CS100" s="433">
        <v>0.39443520669059223</v>
      </c>
      <c r="CT100" s="433">
        <v>0.447221292916757</v>
      </c>
      <c r="CU100" s="433">
        <v>0.3622790598707698</v>
      </c>
      <c r="CV100" s="433">
        <v>0.47604249083347333</v>
      </c>
      <c r="CW100" s="433">
        <v>0.4759898508915783</v>
      </c>
      <c r="CX100" s="433">
        <v>0.4007797062399322</v>
      </c>
      <c r="CY100" s="433">
        <v>0.43383847945766757</v>
      </c>
      <c r="CZ100" s="433">
        <v>0.29816004259848461</v>
      </c>
      <c r="DA100" s="433">
        <v>0.25104840798869349</v>
      </c>
      <c r="DB100" s="433">
        <v>0.69049021146920753</v>
      </c>
      <c r="DC100" s="433">
        <v>0.29816004259848461</v>
      </c>
      <c r="DD100" s="433">
        <v>0.25104840798869349</v>
      </c>
      <c r="DE100" s="433">
        <v>0.29926769201452108</v>
      </c>
      <c r="DF100" s="433">
        <v>0.37270005324810579</v>
      </c>
      <c r="DG100" s="433">
        <v>0.32591341561187775</v>
      </c>
      <c r="DH100" s="433">
        <v>0.27107580798416769</v>
      </c>
      <c r="DI100" s="433">
        <v>0</v>
      </c>
      <c r="DJ100" s="433">
        <v>0.30102696608500845</v>
      </c>
      <c r="DK100" s="433">
        <v>0.26323775876343969</v>
      </c>
      <c r="DL100" s="433">
        <v>0.21894584491028923</v>
      </c>
      <c r="DM100" s="433">
        <v>0.39133505591051104</v>
      </c>
      <c r="DN100" s="433">
        <v>0</v>
      </c>
      <c r="DO100" s="433">
        <v>0</v>
      </c>
      <c r="DP100" s="433">
        <v>0</v>
      </c>
      <c r="DR100" s="409" t="s">
        <v>2542</v>
      </c>
      <c r="DS100" s="409" t="s">
        <v>2576</v>
      </c>
    </row>
    <row r="101" spans="2:123" s="1471" customFormat="1">
      <c r="B101" s="428">
        <v>41871.526067129627</v>
      </c>
      <c r="C101" s="429">
        <v>1.4609809396304301</v>
      </c>
      <c r="D101" s="429">
        <v>1.472426419064881</v>
      </c>
      <c r="E101" s="429">
        <v>1.5327681571947707</v>
      </c>
      <c r="F101" s="429">
        <v>1.403987373784723</v>
      </c>
      <c r="G101" s="429">
        <v>1.5230733543802277</v>
      </c>
      <c r="H101" s="429">
        <v>1.453105814539728</v>
      </c>
      <c r="I101" s="429">
        <v>1.5257336544564375</v>
      </c>
      <c r="J101" s="429">
        <v>1.5433183579618304</v>
      </c>
      <c r="K101" s="429">
        <v>1.385639962683652</v>
      </c>
      <c r="L101" s="429">
        <v>1.6120807897600118</v>
      </c>
      <c r="M101" s="429">
        <v>1.8103310184936745</v>
      </c>
      <c r="N101" s="429">
        <v>1.7611890642863253</v>
      </c>
      <c r="O101" s="429">
        <v>1.3566598602343358</v>
      </c>
      <c r="P101" s="429">
        <v>1.425257172690187</v>
      </c>
      <c r="Q101" s="429">
        <v>2884.8680371186429</v>
      </c>
      <c r="R101" s="429">
        <v>56.210817298157131</v>
      </c>
      <c r="S101" s="429">
        <v>61.781632667799045</v>
      </c>
      <c r="T101" s="429">
        <v>4526.9193312144098</v>
      </c>
      <c r="U101" s="429">
        <v>2448.5091277324486</v>
      </c>
      <c r="V101" s="429">
        <v>2707.5416517437161</v>
      </c>
      <c r="W101" s="429">
        <v>983.73348419061188</v>
      </c>
      <c r="X101" s="429">
        <v>51.998849624307127</v>
      </c>
      <c r="Y101" s="429">
        <v>53.558860982593409</v>
      </c>
      <c r="Z101" s="429">
        <v>52.202885223938743</v>
      </c>
      <c r="AA101" s="429">
        <v>45.878571525428349</v>
      </c>
      <c r="AB101" s="429">
        <v>47.154944454935304</v>
      </c>
      <c r="AC101" s="429">
        <v>48.232101692528985</v>
      </c>
      <c r="AD101" s="429">
        <v>3.3797264532504707</v>
      </c>
      <c r="AE101" s="429">
        <v>3.4079283809389742</v>
      </c>
      <c r="AF101" s="429">
        <v>3.5764198577579767</v>
      </c>
      <c r="AG101" s="429">
        <v>3.5782921419317639</v>
      </c>
      <c r="AH101" s="429">
        <v>6.5969534547998672</v>
      </c>
      <c r="AI101" s="429">
        <v>6.5177577469393526</v>
      </c>
      <c r="AJ101" s="429">
        <v>6.988158633289653</v>
      </c>
      <c r="AK101" s="429">
        <v>7.169640359839871</v>
      </c>
      <c r="AL101" s="429">
        <v>0</v>
      </c>
      <c r="AM101" s="429">
        <v>0</v>
      </c>
      <c r="AN101" s="429">
        <v>0</v>
      </c>
      <c r="AO101" s="432"/>
      <c r="AP101" s="428">
        <v>41871.526067129627</v>
      </c>
      <c r="AQ101" s="431">
        <v>130.29627427063704</v>
      </c>
      <c r="AR101" s="431">
        <v>173.34250765760584</v>
      </c>
      <c r="AS101" s="431">
        <v>73.702564369878857</v>
      </c>
      <c r="AT101" s="431">
        <v>52.388595364704166</v>
      </c>
      <c r="AU101" s="431">
        <v>46.86628329166404</v>
      </c>
      <c r="AV101" s="431">
        <v>58.880615379642592</v>
      </c>
      <c r="AW101" s="431">
        <v>-20.254518843273139</v>
      </c>
      <c r="AX101" s="431">
        <v>5.1043538166706366</v>
      </c>
      <c r="AY101" s="431">
        <v>148.46711957195433</v>
      </c>
      <c r="AZ101" s="431">
        <v>-118.74945696650954</v>
      </c>
      <c r="BA101" s="431">
        <v>2.7758019092514807</v>
      </c>
      <c r="BB101" s="431">
        <v>4.243005198355692</v>
      </c>
      <c r="BC101" s="431">
        <v>2.3500131018202395</v>
      </c>
      <c r="BD101" s="431">
        <v>99.244467015512598</v>
      </c>
      <c r="BE101" s="431">
        <v>363521.76344382623</v>
      </c>
      <c r="BF101" s="431">
        <v>8157.8792861177453</v>
      </c>
      <c r="BG101" s="431">
        <v>-5569.359020539483</v>
      </c>
      <c r="BH101" s="431">
        <v>562582.16261464811</v>
      </c>
      <c r="BI101" s="431">
        <v>542066.83683769731</v>
      </c>
      <c r="BJ101" s="431">
        <v>-90085.53689311925</v>
      </c>
      <c r="BK101" s="431">
        <v>504080.03607247717</v>
      </c>
      <c r="BL101" s="431">
        <v>3264.5723761713475</v>
      </c>
      <c r="BM101" s="431">
        <v>-542.53596650461941</v>
      </c>
      <c r="BN101" s="431">
        <v>100.57603941182192</v>
      </c>
      <c r="BO101" s="431">
        <v>2671.0137623220112</v>
      </c>
      <c r="BP101" s="431">
        <v>-443.89306350377939</v>
      </c>
      <c r="BQ101" s="431">
        <v>2032.8729626206339</v>
      </c>
      <c r="BR101" s="431">
        <v>910.67492456410582</v>
      </c>
      <c r="BS101" s="431">
        <v>419.38890782335613</v>
      </c>
      <c r="BT101" s="431">
        <v>993.14610981808823</v>
      </c>
      <c r="BU101" s="431">
        <v>36.866284410350723</v>
      </c>
      <c r="BV101" s="431">
        <v>1409.8428063180768</v>
      </c>
      <c r="BW101" s="431">
        <v>638.02041590974545</v>
      </c>
      <c r="BX101" s="431">
        <v>1526.9757546938172</v>
      </c>
      <c r="BY101" s="431">
        <v>1084.4944663985207</v>
      </c>
      <c r="BZ101" s="431">
        <v>0</v>
      </c>
      <c r="CA101" s="431">
        <v>0</v>
      </c>
      <c r="CB101" s="431">
        <v>0</v>
      </c>
      <c r="CC101" s="432"/>
      <c r="CD101" s="428">
        <v>41871.526067129627</v>
      </c>
      <c r="CE101" s="433">
        <v>0.23759628394566742</v>
      </c>
      <c r="CF101" s="433">
        <v>0.16769792432989633</v>
      </c>
      <c r="CG101" s="433">
        <v>0.13923731496982597</v>
      </c>
      <c r="CH101" s="433">
        <v>0.14097114871113556</v>
      </c>
      <c r="CI101" s="433">
        <v>0.12872803566339891</v>
      </c>
      <c r="CJ101" s="433">
        <v>0.20776980245257207</v>
      </c>
      <c r="CK101" s="433">
        <v>0.20005420011599015</v>
      </c>
      <c r="CL101" s="433">
        <v>0.2150045900352773</v>
      </c>
      <c r="CM101" s="433">
        <v>0.16831539661914319</v>
      </c>
      <c r="CN101" s="433">
        <v>0.15819847757401839</v>
      </c>
      <c r="CO101" s="433">
        <v>0.55351751631068857</v>
      </c>
      <c r="CP101" s="433">
        <v>0.54869968593943474</v>
      </c>
      <c r="CQ101" s="433">
        <v>0.65414862139188079</v>
      </c>
      <c r="CR101" s="433">
        <v>0.37402054072693969</v>
      </c>
      <c r="CS101" s="433">
        <v>0.39443520669059223</v>
      </c>
      <c r="CT101" s="433">
        <v>0.447221292916757</v>
      </c>
      <c r="CU101" s="433">
        <v>0.3622790598707698</v>
      </c>
      <c r="CV101" s="433">
        <v>0.47604249083347333</v>
      </c>
      <c r="CW101" s="433">
        <v>0.4759898508915783</v>
      </c>
      <c r="CX101" s="433">
        <v>0.4007797062399322</v>
      </c>
      <c r="CY101" s="433">
        <v>0.43383847945766757</v>
      </c>
      <c r="CZ101" s="433">
        <v>0.29816004259848461</v>
      </c>
      <c r="DA101" s="433">
        <v>0.25104840798869349</v>
      </c>
      <c r="DB101" s="433">
        <v>0.69049021146920753</v>
      </c>
      <c r="DC101" s="433">
        <v>0.29816004259848461</v>
      </c>
      <c r="DD101" s="433">
        <v>0.25104840798869349</v>
      </c>
      <c r="DE101" s="433">
        <v>0.29926769201452108</v>
      </c>
      <c r="DF101" s="433">
        <v>0.37270005324810579</v>
      </c>
      <c r="DG101" s="433">
        <v>0.32591341561187775</v>
      </c>
      <c r="DH101" s="433">
        <v>0.27107580798416769</v>
      </c>
      <c r="DI101" s="433">
        <v>0.33726210201612128</v>
      </c>
      <c r="DJ101" s="433">
        <v>0.30102696608500845</v>
      </c>
      <c r="DK101" s="433">
        <v>0.26323775876343969</v>
      </c>
      <c r="DL101" s="433">
        <v>0.21894584491028923</v>
      </c>
      <c r="DM101" s="433">
        <v>0.39133505591051104</v>
      </c>
      <c r="DN101" s="433">
        <v>0</v>
      </c>
      <c r="DO101" s="433">
        <v>0</v>
      </c>
      <c r="DP101" s="433">
        <v>0</v>
      </c>
      <c r="DR101" s="409" t="s">
        <v>2580</v>
      </c>
      <c r="DS101" s="409" t="s">
        <v>2579</v>
      </c>
    </row>
    <row r="102" spans="2:123" s="1471" customFormat="1">
      <c r="B102" s="428">
        <v>41871.625862384259</v>
      </c>
      <c r="C102" s="429">
        <v>1.4617068069973571</v>
      </c>
      <c r="D102" s="429">
        <v>1.472426419064881</v>
      </c>
      <c r="E102" s="429">
        <v>1.5327681571947707</v>
      </c>
      <c r="F102" s="429">
        <v>1.403987373784723</v>
      </c>
      <c r="G102" s="429">
        <v>1.5230733543802277</v>
      </c>
      <c r="H102" s="429">
        <v>1.453105814539728</v>
      </c>
      <c r="I102" s="429">
        <v>1.5257336544564375</v>
      </c>
      <c r="J102" s="429">
        <v>1.5433183579618304</v>
      </c>
      <c r="K102" s="429">
        <v>1.385639962683652</v>
      </c>
      <c r="L102" s="429">
        <v>1.6120807897600118</v>
      </c>
      <c r="M102" s="429">
        <v>1.8103310184936745</v>
      </c>
      <c r="N102" s="429">
        <v>1.7611890642863253</v>
      </c>
      <c r="O102" s="429">
        <v>1.3566598602343358</v>
      </c>
      <c r="P102" s="429">
        <v>1.425257172690187</v>
      </c>
      <c r="Q102" s="429">
        <v>2884.8680371186429</v>
      </c>
      <c r="R102" s="429">
        <v>56.210817298157131</v>
      </c>
      <c r="S102" s="429">
        <v>61.781632667799045</v>
      </c>
      <c r="T102" s="429">
        <v>4526.9193312144098</v>
      </c>
      <c r="U102" s="429">
        <v>2451.5569946318906</v>
      </c>
      <c r="V102" s="429">
        <v>2707.5416517437161</v>
      </c>
      <c r="W102" s="429">
        <v>983.92494953087362</v>
      </c>
      <c r="X102" s="429">
        <v>52.017205261306088</v>
      </c>
      <c r="Y102" s="429">
        <v>53.558860982593409</v>
      </c>
      <c r="Z102" s="429">
        <v>52.202885223938743</v>
      </c>
      <c r="AA102" s="429">
        <v>45.893589773882042</v>
      </c>
      <c r="AB102" s="429">
        <v>47.154944454935304</v>
      </c>
      <c r="AC102" s="429">
        <v>48.232101692528985</v>
      </c>
      <c r="AD102" s="429">
        <v>3.3847843434846983</v>
      </c>
      <c r="AE102" s="429">
        <v>3.4079283809389742</v>
      </c>
      <c r="AF102" s="429">
        <v>3.5764198577579767</v>
      </c>
      <c r="AG102" s="429">
        <v>3.5782921419317639</v>
      </c>
      <c r="AH102" s="429">
        <v>6.6047982425531542</v>
      </c>
      <c r="AI102" s="429">
        <v>6.5177577469393526</v>
      </c>
      <c r="AJ102" s="429">
        <v>6.988158633289653</v>
      </c>
      <c r="AK102" s="429">
        <v>7.1756748119577836</v>
      </c>
      <c r="AL102" s="429">
        <v>0</v>
      </c>
      <c r="AM102" s="429">
        <v>0</v>
      </c>
      <c r="AN102" s="429">
        <v>0</v>
      </c>
      <c r="AO102" s="432"/>
      <c r="AP102" s="428">
        <v>41871.625862384259</v>
      </c>
      <c r="AQ102" s="431">
        <v>130.29627427063704</v>
      </c>
      <c r="AR102" s="431">
        <v>173.34250765760584</v>
      </c>
      <c r="AS102" s="431">
        <v>73.702564369878857</v>
      </c>
      <c r="AT102" s="431">
        <v>52.388595364704166</v>
      </c>
      <c r="AU102" s="431">
        <v>46.86628329166404</v>
      </c>
      <c r="AV102" s="431">
        <v>58.880615379642592</v>
      </c>
      <c r="AW102" s="431">
        <v>-20.254518843273139</v>
      </c>
      <c r="AX102" s="431">
        <v>5.1043538166706366</v>
      </c>
      <c r="AY102" s="431">
        <v>148.46711957195433</v>
      </c>
      <c r="AZ102" s="431">
        <v>-118.74945696650954</v>
      </c>
      <c r="BA102" s="431">
        <v>2.7758019092514807</v>
      </c>
      <c r="BB102" s="431">
        <v>4.243005198355692</v>
      </c>
      <c r="BC102" s="431">
        <v>2.3500131018202395</v>
      </c>
      <c r="BD102" s="431">
        <v>99.244467015512598</v>
      </c>
      <c r="BE102" s="2355">
        <v>363521.76344382623</v>
      </c>
      <c r="BF102" s="2355">
        <v>8157.8792861177453</v>
      </c>
      <c r="BG102" s="2355">
        <v>-5569.359020539483</v>
      </c>
      <c r="BH102" s="2355">
        <v>562582.16261464811</v>
      </c>
      <c r="BI102" s="2355">
        <v>542066.83683769731</v>
      </c>
      <c r="BJ102" s="2355">
        <v>-90085.53689311925</v>
      </c>
      <c r="BK102" s="2355">
        <v>504080.03607247717</v>
      </c>
      <c r="BL102" s="2355">
        <v>3264.5723761713475</v>
      </c>
      <c r="BM102" s="2355">
        <v>-542.53596650461941</v>
      </c>
      <c r="BN102" s="2355">
        <v>100.57603941182192</v>
      </c>
      <c r="BO102" s="2355">
        <v>2671.0137623220112</v>
      </c>
      <c r="BP102" s="2355">
        <v>-443.89306350377939</v>
      </c>
      <c r="BQ102" s="2355">
        <v>2032.8729626206339</v>
      </c>
      <c r="BR102" s="431">
        <v>910.67492456410582</v>
      </c>
      <c r="BS102" s="431">
        <v>419.38890782335613</v>
      </c>
      <c r="BT102" s="431">
        <v>993.14610981808823</v>
      </c>
      <c r="BU102" s="431">
        <v>36.866284410350723</v>
      </c>
      <c r="BV102" s="431">
        <v>1409.8428063180768</v>
      </c>
      <c r="BW102" s="431">
        <v>638.02041590974545</v>
      </c>
      <c r="BX102" s="431">
        <v>1526.9757546938172</v>
      </c>
      <c r="BY102" s="431">
        <v>1084.4944663985207</v>
      </c>
      <c r="BZ102" s="431">
        <v>0</v>
      </c>
      <c r="CA102" s="431">
        <v>0</v>
      </c>
      <c r="CB102" s="431">
        <v>0</v>
      </c>
      <c r="CC102" s="432"/>
      <c r="CD102" s="428">
        <v>41871.625862384259</v>
      </c>
      <c r="CE102" s="433">
        <v>0.23759628394566742</v>
      </c>
      <c r="CF102" s="433">
        <v>0.16769792432989633</v>
      </c>
      <c r="CG102" s="433">
        <v>0.13923731496982597</v>
      </c>
      <c r="CH102" s="433">
        <v>0.14097114871113556</v>
      </c>
      <c r="CI102" s="433">
        <v>0.12872803566339891</v>
      </c>
      <c r="CJ102" s="433">
        <v>0.20776980245257207</v>
      </c>
      <c r="CK102" s="433">
        <v>0.20005420011599015</v>
      </c>
      <c r="CL102" s="433">
        <v>0.2150045900352773</v>
      </c>
      <c r="CM102" s="433">
        <v>0.16831539661914319</v>
      </c>
      <c r="CN102" s="433">
        <v>0.15819847757401839</v>
      </c>
      <c r="CO102" s="433">
        <v>0.55351751631068857</v>
      </c>
      <c r="CP102" s="433">
        <v>0.54869968593943474</v>
      </c>
      <c r="CQ102" s="433">
        <v>0.65414862139188079</v>
      </c>
      <c r="CR102" s="433">
        <v>0.37402054072693969</v>
      </c>
      <c r="CS102" s="433">
        <v>0.39443520669059223</v>
      </c>
      <c r="CT102" s="433">
        <v>0.447221292916757</v>
      </c>
      <c r="CU102" s="433">
        <v>0.3622790598707698</v>
      </c>
      <c r="CV102" s="433">
        <v>0.47604249083347333</v>
      </c>
      <c r="CW102" s="433">
        <v>0.4759898508915783</v>
      </c>
      <c r="CX102" s="433">
        <v>0.4007797062399322</v>
      </c>
      <c r="CY102" s="433">
        <v>0.43383847945766757</v>
      </c>
      <c r="CZ102" s="433">
        <v>0.29816004259848461</v>
      </c>
      <c r="DA102" s="433">
        <v>0.25104840798869349</v>
      </c>
      <c r="DB102" s="433">
        <v>0.69049021146920753</v>
      </c>
      <c r="DC102" s="433">
        <v>0.29816004259848461</v>
      </c>
      <c r="DD102" s="433">
        <v>0.25104840798869349</v>
      </c>
      <c r="DE102" s="433">
        <v>0.29926769201452108</v>
      </c>
      <c r="DF102" s="433">
        <v>0.37270005324810579</v>
      </c>
      <c r="DG102" s="433">
        <v>0.32591341561187775</v>
      </c>
      <c r="DH102" s="433">
        <v>0.27107580798416769</v>
      </c>
      <c r="DI102" s="433">
        <v>0.33726210201612128</v>
      </c>
      <c r="DJ102" s="433">
        <v>0.30102696608500845</v>
      </c>
      <c r="DK102" s="433">
        <v>0.26323775876343969</v>
      </c>
      <c r="DL102" s="433">
        <v>0.21894584491028923</v>
      </c>
      <c r="DM102" s="433">
        <v>0.39133505591051104</v>
      </c>
      <c r="DN102" s="433">
        <v>0</v>
      </c>
      <c r="DO102" s="433">
        <v>0</v>
      </c>
      <c r="DP102" s="433">
        <v>0</v>
      </c>
      <c r="DR102" s="409" t="s">
        <v>711</v>
      </c>
      <c r="DS102" s="409" t="s">
        <v>2609</v>
      </c>
    </row>
    <row r="103" spans="2:123" s="1471" customFormat="1">
      <c r="B103" s="428">
        <v>41880.500326967594</v>
      </c>
      <c r="C103" s="429">
        <v>1.4617068069973571</v>
      </c>
      <c r="D103" s="429">
        <v>1.472426419064881</v>
      </c>
      <c r="E103" s="429">
        <v>1.5327681571947707</v>
      </c>
      <c r="F103" s="429">
        <v>1.403987373784723</v>
      </c>
      <c r="G103" s="429">
        <v>1.5230733543802277</v>
      </c>
      <c r="H103" s="429">
        <v>1.453105814539728</v>
      </c>
      <c r="I103" s="429">
        <v>1.5257336544564375</v>
      </c>
      <c r="J103" s="429">
        <v>1.5433183579618304</v>
      </c>
      <c r="K103" s="429">
        <v>1.385639962683652</v>
      </c>
      <c r="L103" s="429">
        <v>1.6120807897600118</v>
      </c>
      <c r="M103" s="429">
        <v>1.8103310184936745</v>
      </c>
      <c r="N103" s="429">
        <v>1.7611890642863253</v>
      </c>
      <c r="O103" s="429">
        <v>1.3566598602343358</v>
      </c>
      <c r="P103" s="429">
        <v>1.425257172690187</v>
      </c>
      <c r="Q103" s="429">
        <v>2884.8680371186429</v>
      </c>
      <c r="R103" s="429">
        <v>56.210817298157131</v>
      </c>
      <c r="S103" s="429">
        <v>61.781632667799045</v>
      </c>
      <c r="T103" s="429">
        <v>4526.9193312144098</v>
      </c>
      <c r="U103" s="429">
        <v>1356.4865525013433</v>
      </c>
      <c r="V103" s="429">
        <v>1612.4712096131684</v>
      </c>
      <c r="W103" s="429">
        <v>983.92494953087362</v>
      </c>
      <c r="X103" s="429">
        <v>52.017205261306088</v>
      </c>
      <c r="Y103" s="429">
        <v>53.558860982593409</v>
      </c>
      <c r="Z103" s="429">
        <v>52.202885223938743</v>
      </c>
      <c r="AA103" s="429">
        <v>45.893589773882042</v>
      </c>
      <c r="AB103" s="429">
        <v>47.154944454935304</v>
      </c>
      <c r="AC103" s="429">
        <v>48.232101692528985</v>
      </c>
      <c r="AD103" s="429">
        <v>3.3847843434846983</v>
      </c>
      <c r="AE103" s="429">
        <v>3.4079283809389742</v>
      </c>
      <c r="AF103" s="429">
        <v>3.5764198577579767</v>
      </c>
      <c r="AG103" s="429">
        <v>3.5782921419317639</v>
      </c>
      <c r="AH103" s="429">
        <v>6.6047982425531542</v>
      </c>
      <c r="AI103" s="429">
        <v>6.5177577469393526</v>
      </c>
      <c r="AJ103" s="429">
        <v>6.988158633289653</v>
      </c>
      <c r="AK103" s="429">
        <v>7.1756748119577836</v>
      </c>
      <c r="AL103" s="429">
        <v>0</v>
      </c>
      <c r="AM103" s="429">
        <v>0</v>
      </c>
      <c r="AN103" s="429">
        <v>0</v>
      </c>
      <c r="AO103" s="432"/>
      <c r="AP103" s="428">
        <v>41880.500326967594</v>
      </c>
      <c r="AQ103" s="431">
        <v>130.29627427063704</v>
      </c>
      <c r="AR103" s="431">
        <v>173.34250765760584</v>
      </c>
      <c r="AS103" s="431">
        <v>73.702564369878857</v>
      </c>
      <c r="AT103" s="431">
        <v>52.388595364704166</v>
      </c>
      <c r="AU103" s="431">
        <v>46.86628329166404</v>
      </c>
      <c r="AV103" s="431">
        <v>58.880615379642592</v>
      </c>
      <c r="AW103" s="431">
        <v>-20.254518843273139</v>
      </c>
      <c r="AX103" s="431">
        <v>5.1043538166706366</v>
      </c>
      <c r="AY103" s="431">
        <v>148.46711957195433</v>
      </c>
      <c r="AZ103" s="431">
        <v>-118.74945696650954</v>
      </c>
      <c r="BA103" s="431">
        <v>2.7758019092514807</v>
      </c>
      <c r="BB103" s="431">
        <v>4.243005198355692</v>
      </c>
      <c r="BC103" s="431">
        <v>2.3500131018202395</v>
      </c>
      <c r="BD103" s="431">
        <v>99.244467015512598</v>
      </c>
      <c r="BE103" s="2355">
        <v>363521.76344382623</v>
      </c>
      <c r="BF103" s="2355">
        <v>8157.8792861177453</v>
      </c>
      <c r="BG103" s="2355">
        <v>-5569.359020539483</v>
      </c>
      <c r="BH103" s="2355">
        <v>562582.16261464811</v>
      </c>
      <c r="BI103" s="2355">
        <v>542066.83683769731</v>
      </c>
      <c r="BJ103" s="2355">
        <v>-90085.53689311925</v>
      </c>
      <c r="BK103" s="2355">
        <v>504080.03607247717</v>
      </c>
      <c r="BL103" s="2355">
        <v>3264.5723761713475</v>
      </c>
      <c r="BM103" s="2355">
        <v>-542.53596650461941</v>
      </c>
      <c r="BN103" s="2355">
        <v>100.57603941182192</v>
      </c>
      <c r="BO103" s="2355">
        <v>2671.0137623220112</v>
      </c>
      <c r="BP103" s="2355">
        <v>-443.89306350377939</v>
      </c>
      <c r="BQ103" s="2355">
        <v>2032.8729626206339</v>
      </c>
      <c r="BR103" s="431">
        <v>910.67492456410582</v>
      </c>
      <c r="BS103" s="431">
        <v>419.38890782335613</v>
      </c>
      <c r="BT103" s="431">
        <v>993.14610981808823</v>
      </c>
      <c r="BU103" s="431">
        <v>36.866284410350723</v>
      </c>
      <c r="BV103" s="431">
        <v>1409.8428063180768</v>
      </c>
      <c r="BW103" s="431">
        <v>638.02041590974545</v>
      </c>
      <c r="BX103" s="431">
        <v>1526.9757546938172</v>
      </c>
      <c r="BY103" s="431">
        <v>1084.4944663985207</v>
      </c>
      <c r="BZ103" s="431">
        <v>0</v>
      </c>
      <c r="CA103" s="431">
        <v>0</v>
      </c>
      <c r="CB103" s="431">
        <v>0</v>
      </c>
      <c r="CC103" s="432"/>
      <c r="CD103" s="428">
        <v>41880.500326967594</v>
      </c>
      <c r="CE103" s="433">
        <v>0.23759628394566742</v>
      </c>
      <c r="CF103" s="433">
        <v>0.16769792432989633</v>
      </c>
      <c r="CG103" s="433">
        <v>0.13923731496982597</v>
      </c>
      <c r="CH103" s="433">
        <v>0.14097114871113556</v>
      </c>
      <c r="CI103" s="433">
        <v>0.12872803566339891</v>
      </c>
      <c r="CJ103" s="433">
        <v>0.20776980245257207</v>
      </c>
      <c r="CK103" s="433">
        <v>0.20005420011599015</v>
      </c>
      <c r="CL103" s="433">
        <v>0.2150045900352773</v>
      </c>
      <c r="CM103" s="433">
        <v>0.16831539661914319</v>
      </c>
      <c r="CN103" s="433">
        <v>0.15819847757401839</v>
      </c>
      <c r="CO103" s="433">
        <v>0.55351751631068857</v>
      </c>
      <c r="CP103" s="433">
        <v>0.54869968593943474</v>
      </c>
      <c r="CQ103" s="433">
        <v>0.65414862139188079</v>
      </c>
      <c r="CR103" s="433">
        <v>0.37402054072693969</v>
      </c>
      <c r="CS103" s="433">
        <v>0.39443520669059223</v>
      </c>
      <c r="CT103" s="433">
        <v>0.447221292916757</v>
      </c>
      <c r="CU103" s="433">
        <v>0.3622790598707698</v>
      </c>
      <c r="CV103" s="433">
        <v>0.47604249083347333</v>
      </c>
      <c r="CW103" s="433">
        <v>0.4759898508915783</v>
      </c>
      <c r="CX103" s="433">
        <v>0.4007797062399322</v>
      </c>
      <c r="CY103" s="433">
        <v>0.43383847945766757</v>
      </c>
      <c r="CZ103" s="433">
        <v>0.29816004259848461</v>
      </c>
      <c r="DA103" s="433">
        <v>0.25104840798869349</v>
      </c>
      <c r="DB103" s="433">
        <v>0.69049021146920753</v>
      </c>
      <c r="DC103" s="433">
        <v>0.29816004259848461</v>
      </c>
      <c r="DD103" s="433">
        <v>0.25104840798869349</v>
      </c>
      <c r="DE103" s="433">
        <v>0.29926769201452108</v>
      </c>
      <c r="DF103" s="433">
        <v>0.37270005324810579</v>
      </c>
      <c r="DG103" s="433">
        <v>0.32591341561187775</v>
      </c>
      <c r="DH103" s="433">
        <v>0.27107580798416769</v>
      </c>
      <c r="DI103" s="433">
        <v>0.33726210201612128</v>
      </c>
      <c r="DJ103" s="433">
        <v>0.30102696608500845</v>
      </c>
      <c r="DK103" s="433">
        <v>0.26323775876343969</v>
      </c>
      <c r="DL103" s="433">
        <v>0.21894584491028923</v>
      </c>
      <c r="DM103" s="433">
        <v>0.39133505591051104</v>
      </c>
      <c r="DN103" s="433">
        <v>0</v>
      </c>
      <c r="DO103" s="433">
        <v>0</v>
      </c>
      <c r="DP103" s="433">
        <v>0</v>
      </c>
      <c r="DR103" s="409" t="s">
        <v>711</v>
      </c>
      <c r="DS103" s="409" t="s">
        <v>2614</v>
      </c>
    </row>
    <row r="104" spans="2:123" s="1471" customFormat="1">
      <c r="B104" s="428">
        <v>41885.474657638886</v>
      </c>
      <c r="C104" s="429">
        <v>1.4617068069973571</v>
      </c>
      <c r="D104" s="429">
        <v>1.472426419064881</v>
      </c>
      <c r="E104" s="429">
        <v>1.5327681571947707</v>
      </c>
      <c r="F104" s="429">
        <v>1.403987373784723</v>
      </c>
      <c r="G104" s="429">
        <v>1.5230733543802277</v>
      </c>
      <c r="H104" s="429">
        <v>1.453105814539728</v>
      </c>
      <c r="I104" s="429">
        <v>1.5257336544564375</v>
      </c>
      <c r="J104" s="429">
        <v>1.5433183579618304</v>
      </c>
      <c r="K104" s="429">
        <v>1.385639962683652</v>
      </c>
      <c r="L104" s="429">
        <v>1.6120807897600118</v>
      </c>
      <c r="M104" s="429">
        <v>1.8103310184936745</v>
      </c>
      <c r="N104" s="429">
        <v>1.7611890642863253</v>
      </c>
      <c r="O104" s="429">
        <v>1.3566598602343358</v>
      </c>
      <c r="P104" s="429">
        <v>1.425257172690187</v>
      </c>
      <c r="Q104" s="429">
        <v>991.81279177685099</v>
      </c>
      <c r="R104" s="429">
        <v>56.210817298157131</v>
      </c>
      <c r="S104" s="429">
        <v>61.781632667799045</v>
      </c>
      <c r="T104" s="429">
        <v>3710.7547521679717</v>
      </c>
      <c r="U104" s="429">
        <v>1767.9931905407884</v>
      </c>
      <c r="V104" s="429">
        <v>2024.161600426417</v>
      </c>
      <c r="W104" s="429">
        <v>1066.117789751358</v>
      </c>
      <c r="X104" s="429">
        <v>52.017205261306088</v>
      </c>
      <c r="Y104" s="429">
        <v>53.558860982593409</v>
      </c>
      <c r="Z104" s="429">
        <v>52.202885223938743</v>
      </c>
      <c r="AA104" s="429">
        <v>45.893589773882042</v>
      </c>
      <c r="AB104" s="429">
        <v>47.154944454935304</v>
      </c>
      <c r="AC104" s="429">
        <v>48.232101692528985</v>
      </c>
      <c r="AD104" s="429">
        <v>8.5270414350861383</v>
      </c>
      <c r="AE104" s="429">
        <v>8.5407132644247561</v>
      </c>
      <c r="AF104" s="429">
        <v>8.2865927312414875</v>
      </c>
      <c r="AG104" s="429">
        <v>8.7784487019065516</v>
      </c>
      <c r="AH104" s="429">
        <v>8.3519861947498946</v>
      </c>
      <c r="AI104" s="429">
        <v>8.2749460965044879</v>
      </c>
      <c r="AJ104" s="429">
        <v>8.268906450502616</v>
      </c>
      <c r="AK104" s="429">
        <v>9.1472353797742638</v>
      </c>
      <c r="AL104" s="429">
        <v>0</v>
      </c>
      <c r="AM104" s="429">
        <v>0</v>
      </c>
      <c r="AN104" s="429">
        <v>0</v>
      </c>
      <c r="AO104" s="432"/>
      <c r="AP104" s="428">
        <v>41885.474657638886</v>
      </c>
      <c r="AQ104" s="431">
        <v>130.29627427063704</v>
      </c>
      <c r="AR104" s="431">
        <v>173.34250765760584</v>
      </c>
      <c r="AS104" s="431">
        <v>73.702564369878857</v>
      </c>
      <c r="AT104" s="431">
        <v>52.388595364704166</v>
      </c>
      <c r="AU104" s="431">
        <v>46.86628329166404</v>
      </c>
      <c r="AV104" s="431">
        <v>58.880615379642592</v>
      </c>
      <c r="AW104" s="431">
        <v>-20.254518843273139</v>
      </c>
      <c r="AX104" s="431">
        <v>5.1043538166706366</v>
      </c>
      <c r="AY104" s="431">
        <v>148.46711957195433</v>
      </c>
      <c r="AZ104" s="431">
        <v>-118.74945696650954</v>
      </c>
      <c r="BA104" s="431">
        <v>2.7758019092514807</v>
      </c>
      <c r="BB104" s="431">
        <v>4.243005198355692</v>
      </c>
      <c r="BC104" s="431">
        <v>2.3500131018202395</v>
      </c>
      <c r="BD104" s="431">
        <v>99.244467015512598</v>
      </c>
      <c r="BE104" s="2355">
        <v>363521.76344382623</v>
      </c>
      <c r="BF104" s="2355">
        <v>8157.8792861177453</v>
      </c>
      <c r="BG104" s="2355">
        <v>-5569.359020539483</v>
      </c>
      <c r="BH104" s="2355">
        <v>562582.162614648</v>
      </c>
      <c r="BI104" s="2355">
        <v>542066.83683769731</v>
      </c>
      <c r="BJ104" s="2355">
        <v>-90085.53689311925</v>
      </c>
      <c r="BK104" s="2355">
        <v>528610.60602428927</v>
      </c>
      <c r="BL104" s="2355">
        <v>3264.5723761713475</v>
      </c>
      <c r="BM104" s="2355">
        <v>-542.53596650461941</v>
      </c>
      <c r="BN104" s="2355">
        <v>100.57603941182192</v>
      </c>
      <c r="BO104" s="2355">
        <v>2671.0137623220112</v>
      </c>
      <c r="BP104" s="2355">
        <v>-443.89306350377939</v>
      </c>
      <c r="BQ104" s="2355">
        <v>2032.8729626206339</v>
      </c>
      <c r="BR104" s="431">
        <v>1183.1579687429319</v>
      </c>
      <c r="BS104" s="431">
        <v>536.63355362854861</v>
      </c>
      <c r="BT104" s="431">
        <v>1205.3277162569384</v>
      </c>
      <c r="BU104" s="431">
        <v>47.897045368771771</v>
      </c>
      <c r="BV104" s="431">
        <v>1247.8608668687662</v>
      </c>
      <c r="BW104" s="431">
        <v>564.71594259245558</v>
      </c>
      <c r="BX104" s="431">
        <v>1299.8312299017655</v>
      </c>
      <c r="BY104" s="431">
        <v>959.8929745144352</v>
      </c>
      <c r="BZ104" s="431">
        <v>0</v>
      </c>
      <c r="CA104" s="431">
        <v>0</v>
      </c>
      <c r="CB104" s="431">
        <v>0</v>
      </c>
      <c r="CC104" s="432"/>
      <c r="CD104" s="428">
        <v>41885.474657638886</v>
      </c>
      <c r="CE104" s="433">
        <v>0.23759628394566742</v>
      </c>
      <c r="CF104" s="433">
        <v>0.16769792432989633</v>
      </c>
      <c r="CG104" s="433">
        <v>0.13923731496982597</v>
      </c>
      <c r="CH104" s="433">
        <v>0.14097114871113556</v>
      </c>
      <c r="CI104" s="433">
        <v>0.12872803566339891</v>
      </c>
      <c r="CJ104" s="433">
        <v>0.20776980245257207</v>
      </c>
      <c r="CK104" s="433">
        <v>0.20005420011599015</v>
      </c>
      <c r="CL104" s="433">
        <v>0.2150045900352773</v>
      </c>
      <c r="CM104" s="433">
        <v>0.16831539661914319</v>
      </c>
      <c r="CN104" s="433">
        <v>0.15819847757401839</v>
      </c>
      <c r="CO104" s="433">
        <v>0.55351751631068857</v>
      </c>
      <c r="CP104" s="433">
        <v>0.54869968593943474</v>
      </c>
      <c r="CQ104" s="433">
        <v>0.65414862139188079</v>
      </c>
      <c r="CR104" s="433">
        <v>0.37402054072693969</v>
      </c>
      <c r="CS104" s="433">
        <v>0.3741130180554797</v>
      </c>
      <c r="CT104" s="433">
        <v>0.447221292916757</v>
      </c>
      <c r="CU104" s="433">
        <v>0.3622790598707698</v>
      </c>
      <c r="CV104" s="433">
        <v>0.47428587647615433</v>
      </c>
      <c r="CW104" s="433">
        <v>0.45146578363252743</v>
      </c>
      <c r="CX104" s="433">
        <v>0.38013063472405745</v>
      </c>
      <c r="CY104" s="433">
        <v>0.43383847945766757</v>
      </c>
      <c r="CZ104" s="433">
        <v>0.29816004259848461</v>
      </c>
      <c r="DA104" s="433">
        <v>0.25104840798869349</v>
      </c>
      <c r="DB104" s="433">
        <v>0.69049021146920753</v>
      </c>
      <c r="DC104" s="433">
        <v>0.29816004259848461</v>
      </c>
      <c r="DD104" s="433">
        <v>0.25104840798869349</v>
      </c>
      <c r="DE104" s="433">
        <v>0.29926769201452108</v>
      </c>
      <c r="DF104" s="433">
        <v>0.37270005324810579</v>
      </c>
      <c r="DG104" s="433">
        <v>0.32591341561187775</v>
      </c>
      <c r="DH104" s="433">
        <v>0.29089665540578735</v>
      </c>
      <c r="DI104" s="433">
        <v>0.33726210201612128</v>
      </c>
      <c r="DJ104" s="433">
        <v>0.30102696608500845</v>
      </c>
      <c r="DK104" s="433">
        <v>0.26323775876343969</v>
      </c>
      <c r="DL104" s="433">
        <v>0.22790901296842467</v>
      </c>
      <c r="DM104" s="433">
        <v>0.39133505591051104</v>
      </c>
      <c r="DN104" s="433">
        <v>0</v>
      </c>
      <c r="DO104" s="433">
        <v>0</v>
      </c>
      <c r="DP104" s="433">
        <v>0</v>
      </c>
      <c r="DR104" s="409" t="s">
        <v>2542</v>
      </c>
      <c r="DS104" s="409" t="s">
        <v>2640</v>
      </c>
    </row>
    <row r="105" spans="2:123" s="1471" customFormat="1">
      <c r="B105" s="428">
        <v>41891.467038541668</v>
      </c>
      <c r="C105" s="429">
        <v>1.4617068069973571</v>
      </c>
      <c r="D105" s="429">
        <v>1.472426419064881</v>
      </c>
      <c r="E105" s="429">
        <v>1.5327681571947707</v>
      </c>
      <c r="F105" s="429">
        <v>1.403987373784723</v>
      </c>
      <c r="G105" s="429">
        <v>1.5230733543802277</v>
      </c>
      <c r="H105" s="429">
        <v>1.453105814539728</v>
      </c>
      <c r="I105" s="429">
        <v>1.5257336544564375</v>
      </c>
      <c r="J105" s="429">
        <v>1.5433183579618304</v>
      </c>
      <c r="K105" s="429">
        <v>1.385639962683652</v>
      </c>
      <c r="L105" s="429">
        <v>1.6120807897600118</v>
      </c>
      <c r="M105" s="429">
        <v>1.8103310184936745</v>
      </c>
      <c r="N105" s="429">
        <v>1.7611890642863253</v>
      </c>
      <c r="O105" s="429">
        <v>1.4979426972066534</v>
      </c>
      <c r="P105" s="429">
        <v>1.425257172690187</v>
      </c>
      <c r="Q105" s="429">
        <v>945.55553742968289</v>
      </c>
      <c r="R105" s="429">
        <v>56.210817298157131</v>
      </c>
      <c r="S105" s="429">
        <v>61.781632667799045</v>
      </c>
      <c r="T105" s="429">
        <v>3710.7547521679717</v>
      </c>
      <c r="U105" s="429">
        <v>1767.9931905407884</v>
      </c>
      <c r="V105" s="429">
        <v>2024.161600426417</v>
      </c>
      <c r="W105" s="429">
        <v>1066.117789751358</v>
      </c>
      <c r="X105" s="429">
        <v>52.017205261306088</v>
      </c>
      <c r="Y105" s="429">
        <v>53.558860982593409</v>
      </c>
      <c r="Z105" s="429">
        <v>52.202885223938743</v>
      </c>
      <c r="AA105" s="429">
        <v>45.893589773882042</v>
      </c>
      <c r="AB105" s="429">
        <v>47.154944454935304</v>
      </c>
      <c r="AC105" s="429">
        <v>48.531279681384497</v>
      </c>
      <c r="AD105" s="429">
        <v>8.5270414350861383</v>
      </c>
      <c r="AE105" s="429">
        <v>8.5407132644247561</v>
      </c>
      <c r="AF105" s="429">
        <v>8.2865927312414875</v>
      </c>
      <c r="AG105" s="429">
        <v>8.7784487019065516</v>
      </c>
      <c r="AH105" s="429">
        <v>8.3519861947498946</v>
      </c>
      <c r="AI105" s="429">
        <v>8.2749460965044879</v>
      </c>
      <c r="AJ105" s="429">
        <v>8.268906450502616</v>
      </c>
      <c r="AK105" s="429">
        <v>9.1472353797742638</v>
      </c>
      <c r="AL105" s="429">
        <v>1111.0829897531419</v>
      </c>
      <c r="AM105" s="429">
        <v>0</v>
      </c>
      <c r="AN105" s="429">
        <v>0</v>
      </c>
      <c r="AO105" s="432"/>
      <c r="AP105" s="428">
        <v>41891.467038541668</v>
      </c>
      <c r="AQ105" s="431">
        <v>130.29627427063704</v>
      </c>
      <c r="AR105" s="431">
        <v>173.34250765760584</v>
      </c>
      <c r="AS105" s="431">
        <v>73.702564369878857</v>
      </c>
      <c r="AT105" s="431">
        <v>52.388595364704166</v>
      </c>
      <c r="AU105" s="431">
        <v>46.86628329166404</v>
      </c>
      <c r="AV105" s="431">
        <v>58.880615379642592</v>
      </c>
      <c r="AW105" s="431">
        <v>-20.254518843273139</v>
      </c>
      <c r="AX105" s="431">
        <v>5.1043538166706366</v>
      </c>
      <c r="AY105" s="431">
        <v>148.46711957195433</v>
      </c>
      <c r="AZ105" s="431">
        <v>-118.74945696650954</v>
      </c>
      <c r="BA105" s="431">
        <v>2.7758019092514807</v>
      </c>
      <c r="BB105" s="431">
        <v>4.243005198355692</v>
      </c>
      <c r="BC105" s="431">
        <v>2.3500131018202395</v>
      </c>
      <c r="BD105" s="431">
        <v>99.244467015512598</v>
      </c>
      <c r="BE105" s="2355">
        <v>350265.44658976677</v>
      </c>
      <c r="BF105" s="2355">
        <v>8157.8792861177453</v>
      </c>
      <c r="BG105" s="2355">
        <v>-5569.359020539483</v>
      </c>
      <c r="BH105" s="2355">
        <v>562582.162614648</v>
      </c>
      <c r="BI105" s="2355">
        <v>542066.83683769731</v>
      </c>
      <c r="BJ105" s="2355">
        <v>-90085.53689311925</v>
      </c>
      <c r="BK105" s="2355">
        <v>528610.60602428915</v>
      </c>
      <c r="BL105" s="2355">
        <v>3264.5723761713475</v>
      </c>
      <c r="BM105" s="2355">
        <v>-542.53596650461941</v>
      </c>
      <c r="BN105" s="2355">
        <v>100.57603941182192</v>
      </c>
      <c r="BO105" s="2355">
        <v>2671.0137623220112</v>
      </c>
      <c r="BP105" s="2355">
        <v>-443.89306350377939</v>
      </c>
      <c r="BQ105" s="2355">
        <v>2385.0648638276421</v>
      </c>
      <c r="BR105" s="431">
        <v>1183.1579687429319</v>
      </c>
      <c r="BS105" s="431">
        <v>536.63355362854861</v>
      </c>
      <c r="BT105" s="431">
        <v>1205.3277162569384</v>
      </c>
      <c r="BU105" s="431">
        <v>47.897045368771771</v>
      </c>
      <c r="BV105" s="431">
        <v>1247.8608668687662</v>
      </c>
      <c r="BW105" s="431">
        <v>564.71594259245558</v>
      </c>
      <c r="BX105" s="431">
        <v>1299.8312299017655</v>
      </c>
      <c r="BY105" s="431">
        <v>959.8929745144352</v>
      </c>
      <c r="BZ105" s="431">
        <v>-58210.258711316463</v>
      </c>
      <c r="CA105" s="431">
        <v>0</v>
      </c>
      <c r="CB105" s="431">
        <v>0</v>
      </c>
      <c r="CC105" s="432"/>
      <c r="CD105" s="428">
        <v>41891.467038541668</v>
      </c>
      <c r="CE105" s="433">
        <v>0.23759628394566742</v>
      </c>
      <c r="CF105" s="433">
        <v>0.16769792432989633</v>
      </c>
      <c r="CG105" s="433">
        <v>0.13923731496982597</v>
      </c>
      <c r="CH105" s="433">
        <v>0.14097114871113556</v>
      </c>
      <c r="CI105" s="433">
        <v>0.12872803566339891</v>
      </c>
      <c r="CJ105" s="433">
        <v>0.20776980245257207</v>
      </c>
      <c r="CK105" s="433">
        <v>0.20005420011599015</v>
      </c>
      <c r="CL105" s="433">
        <v>0.2150045900352773</v>
      </c>
      <c r="CM105" s="433">
        <v>0.16831539661914319</v>
      </c>
      <c r="CN105" s="433">
        <v>0.15819847757401839</v>
      </c>
      <c r="CO105" s="433">
        <v>0.55351751631068857</v>
      </c>
      <c r="CP105" s="433">
        <v>0.54869968593943474</v>
      </c>
      <c r="CQ105" s="433">
        <v>0.65414862139188079</v>
      </c>
      <c r="CR105" s="433">
        <v>0.37402054072693969</v>
      </c>
      <c r="CS105" s="433">
        <v>0.37407164929552272</v>
      </c>
      <c r="CT105" s="433">
        <v>0.447221292916757</v>
      </c>
      <c r="CU105" s="433">
        <v>0.3622790598707698</v>
      </c>
      <c r="CV105" s="433">
        <v>0.47428587647615433</v>
      </c>
      <c r="CW105" s="433">
        <v>0.45146578363252743</v>
      </c>
      <c r="CX105" s="433">
        <v>0.38013063472405745</v>
      </c>
      <c r="CY105" s="433">
        <v>0.40611005021873081</v>
      </c>
      <c r="CZ105" s="433">
        <v>0.29816004259848461</v>
      </c>
      <c r="DA105" s="433">
        <v>0.25104840798869349</v>
      </c>
      <c r="DB105" s="433">
        <v>0.69049021146920753</v>
      </c>
      <c r="DC105" s="433">
        <v>0.29816004259848461</v>
      </c>
      <c r="DD105" s="433">
        <v>0.25104840798869349</v>
      </c>
      <c r="DE105" s="433">
        <v>0.28718003652181961</v>
      </c>
      <c r="DF105" s="433">
        <v>0.37270005324810579</v>
      </c>
      <c r="DG105" s="433">
        <v>0.32591341561187775</v>
      </c>
      <c r="DH105" s="433">
        <v>0.29089665540578735</v>
      </c>
      <c r="DI105" s="433">
        <v>0.33726210201612128</v>
      </c>
      <c r="DJ105" s="433">
        <v>0.30102696608500845</v>
      </c>
      <c r="DK105" s="433">
        <v>0.26323775876343969</v>
      </c>
      <c r="DL105" s="433">
        <v>0.22790901296842467</v>
      </c>
      <c r="DM105" s="433">
        <v>0.39133505591051104</v>
      </c>
      <c r="DN105" s="433">
        <v>0.31496538305707616</v>
      </c>
      <c r="DO105" s="433">
        <v>0</v>
      </c>
      <c r="DP105" s="433">
        <v>0</v>
      </c>
      <c r="DR105" s="409" t="s">
        <v>2542</v>
      </c>
      <c r="DS105" s="409" t="s">
        <v>2651</v>
      </c>
    </row>
    <row r="106" spans="2:123" s="1471" customFormat="1">
      <c r="B106" s="428">
        <v>41892.354567708331</v>
      </c>
      <c r="C106" s="429">
        <v>1.4370547490079906</v>
      </c>
      <c r="D106" s="429">
        <v>1.4287561212079298</v>
      </c>
      <c r="E106" s="429">
        <v>1.5302731551123137</v>
      </c>
      <c r="F106" s="429">
        <v>1.3985411399593721</v>
      </c>
      <c r="G106" s="429">
        <v>1.5320493175191081</v>
      </c>
      <c r="H106" s="429">
        <v>1.4413673592476242</v>
      </c>
      <c r="I106" s="429">
        <v>1.5532041994948174</v>
      </c>
      <c r="J106" s="429">
        <v>1.5578739260304477</v>
      </c>
      <c r="K106" s="429">
        <v>1.3848746164974686</v>
      </c>
      <c r="L106" s="429">
        <v>1.6257571342801338</v>
      </c>
      <c r="M106" s="429">
        <v>1.81009587645689</v>
      </c>
      <c r="N106" s="429">
        <v>1.7606708553449721</v>
      </c>
      <c r="O106" s="429">
        <v>1.4975723533048204</v>
      </c>
      <c r="P106" s="429">
        <v>1.4134637797243139</v>
      </c>
      <c r="Q106" s="429">
        <v>881.29002574107267</v>
      </c>
      <c r="R106" s="429">
        <v>-13.17717565570589</v>
      </c>
      <c r="S106" s="429">
        <v>64.721738538660887</v>
      </c>
      <c r="T106" s="429">
        <v>3443.9171172471742</v>
      </c>
      <c r="U106" s="429">
        <v>1668.5366127425182</v>
      </c>
      <c r="V106" s="429">
        <v>2134.907495928735</v>
      </c>
      <c r="W106" s="429">
        <v>1060.6574006340772</v>
      </c>
      <c r="X106" s="429">
        <v>51.418232635710872</v>
      </c>
      <c r="Y106" s="429">
        <v>54.225823000303919</v>
      </c>
      <c r="Z106" s="429">
        <v>52.544990204274406</v>
      </c>
      <c r="AA106" s="429">
        <v>45.403521262031404</v>
      </c>
      <c r="AB106" s="429">
        <v>47.700640651243909</v>
      </c>
      <c r="AC106" s="429">
        <v>48.486134257715129</v>
      </c>
      <c r="AD106" s="429">
        <v>8.312570119887484</v>
      </c>
      <c r="AE106" s="429">
        <v>8.4386354731509936</v>
      </c>
      <c r="AF106" s="429">
        <v>8.2804830691014413</v>
      </c>
      <c r="AG106" s="429">
        <v>8.8980724606489154</v>
      </c>
      <c r="AH106" s="429">
        <v>8.1253733285449421</v>
      </c>
      <c r="AI106" s="429">
        <v>8.1670929609389944</v>
      </c>
      <c r="AJ106" s="429">
        <v>8.2622883914285374</v>
      </c>
      <c r="AK106" s="429">
        <v>8.9729177903858375</v>
      </c>
      <c r="AL106" s="429">
        <v>1182.6432806803609</v>
      </c>
      <c r="AM106" s="429">
        <v>0</v>
      </c>
      <c r="AN106" s="429">
        <v>0</v>
      </c>
      <c r="AO106" s="432"/>
      <c r="AP106" s="428">
        <v>41892.354567708331</v>
      </c>
      <c r="AQ106" s="431">
        <v>129.46819294500037</v>
      </c>
      <c r="AR106" s="431">
        <v>171.4392526196076</v>
      </c>
      <c r="AS106" s="431">
        <v>73.302880811899229</v>
      </c>
      <c r="AT106" s="431">
        <v>51.988911806724531</v>
      </c>
      <c r="AU106" s="431">
        <v>46.466599733684411</v>
      </c>
      <c r="AV106" s="431">
        <v>58.880615379642592</v>
      </c>
      <c r="AW106" s="431">
        <v>-20.254518843273139</v>
      </c>
      <c r="AX106" s="431">
        <v>5.1043538166706366</v>
      </c>
      <c r="AY106" s="431">
        <v>148.46711957195433</v>
      </c>
      <c r="AZ106" s="431">
        <v>-118.74945696650954</v>
      </c>
      <c r="BA106" s="431">
        <v>2.7758019092514807</v>
      </c>
      <c r="BB106" s="431">
        <v>4.243005198355692</v>
      </c>
      <c r="BC106" s="431">
        <v>2.3500131018202395</v>
      </c>
      <c r="BD106" s="431">
        <v>98.160828750672081</v>
      </c>
      <c r="BE106" s="2355">
        <v>348018.68922276853</v>
      </c>
      <c r="BF106" s="2355">
        <v>2986.9198483139912</v>
      </c>
      <c r="BG106" s="2355">
        <v>-5569.359020539483</v>
      </c>
      <c r="BH106" s="2355">
        <v>545316.30710093875</v>
      </c>
      <c r="BI106" s="2355">
        <v>538589.78059099044</v>
      </c>
      <c r="BJ106" s="2355">
        <v>-90085.53689311925</v>
      </c>
      <c r="BK106" s="2355">
        <v>528392.17924275668</v>
      </c>
      <c r="BL106" s="2355">
        <v>3243.6319662403262</v>
      </c>
      <c r="BM106" s="2355">
        <v>-542.53596650461941</v>
      </c>
      <c r="BN106" s="2355">
        <v>100.57603941182192</v>
      </c>
      <c r="BO106" s="2355">
        <v>2653.8806996511753</v>
      </c>
      <c r="BP106" s="2355">
        <v>-443.89306350377939</v>
      </c>
      <c r="BQ106" s="2355">
        <v>2383.3515575605588</v>
      </c>
      <c r="BR106" s="431">
        <v>1175.6613664145605</v>
      </c>
      <c r="BS106" s="431">
        <v>536.63355362854861</v>
      </c>
      <c r="BT106" s="431">
        <v>1205.3277162569384</v>
      </c>
      <c r="BU106" s="431">
        <v>47.897045368771771</v>
      </c>
      <c r="BV106" s="431">
        <v>1239.9396411420644</v>
      </c>
      <c r="BW106" s="431">
        <v>564.71594259245558</v>
      </c>
      <c r="BX106" s="431">
        <v>1299.8312299017655</v>
      </c>
      <c r="BY106" s="431">
        <v>953.79972395543405</v>
      </c>
      <c r="BZ106" s="431">
        <v>-58210.258711316463</v>
      </c>
      <c r="CA106" s="431">
        <v>0</v>
      </c>
      <c r="CB106" s="431">
        <v>0</v>
      </c>
      <c r="CC106" s="432"/>
      <c r="CD106" s="428">
        <v>41892.354567708331</v>
      </c>
      <c r="CE106" s="433">
        <v>0.23759628394566742</v>
      </c>
      <c r="CF106" s="433">
        <v>0.16769792432989633</v>
      </c>
      <c r="CG106" s="433">
        <v>0.13923731496982597</v>
      </c>
      <c r="CH106" s="433">
        <v>0.14097114871113556</v>
      </c>
      <c r="CI106" s="433">
        <v>0.12872803566339891</v>
      </c>
      <c r="CJ106" s="433">
        <v>0.20776980245257207</v>
      </c>
      <c r="CK106" s="433">
        <v>0.20005420011599015</v>
      </c>
      <c r="CL106" s="433">
        <v>0.2150045900352773</v>
      </c>
      <c r="CM106" s="433">
        <v>0.16831539661914319</v>
      </c>
      <c r="CN106" s="433">
        <v>0.15819847757401839</v>
      </c>
      <c r="CO106" s="433">
        <v>0.55351751631068857</v>
      </c>
      <c r="CP106" s="433">
        <v>0.54869968593943474</v>
      </c>
      <c r="CQ106" s="433">
        <v>0.65414862139188079</v>
      </c>
      <c r="CR106" s="433">
        <v>0.37402054072693969</v>
      </c>
      <c r="CS106" s="433">
        <v>0.37407164929552272</v>
      </c>
      <c r="CT106" s="433">
        <v>0.447221292916757</v>
      </c>
      <c r="CU106" s="433">
        <v>0.3622790598707698</v>
      </c>
      <c r="CV106" s="433">
        <v>0.47428587647615433</v>
      </c>
      <c r="CW106" s="433">
        <v>0.45146578363252743</v>
      </c>
      <c r="CX106" s="433">
        <v>0.38013063472405745</v>
      </c>
      <c r="CY106" s="433">
        <v>0.40611005021873081</v>
      </c>
      <c r="CZ106" s="433">
        <v>0.29816004259848461</v>
      </c>
      <c r="DA106" s="433">
        <v>0.25104840798869349</v>
      </c>
      <c r="DB106" s="433">
        <v>0.69049021146920753</v>
      </c>
      <c r="DC106" s="433">
        <v>0.29816004259848461</v>
      </c>
      <c r="DD106" s="433">
        <v>0.25104840798869349</v>
      </c>
      <c r="DE106" s="433">
        <v>0.28718003652181961</v>
      </c>
      <c r="DF106" s="433">
        <v>0.37270005324810579</v>
      </c>
      <c r="DG106" s="433">
        <v>0.32591341561187775</v>
      </c>
      <c r="DH106" s="433">
        <v>0.29089665540578735</v>
      </c>
      <c r="DI106" s="433">
        <v>0.33726210201612128</v>
      </c>
      <c r="DJ106" s="433">
        <v>0.30102696608500845</v>
      </c>
      <c r="DK106" s="433">
        <v>0.26323775876343969</v>
      </c>
      <c r="DL106" s="433">
        <v>0.22790901296842467</v>
      </c>
      <c r="DM106" s="433">
        <v>0.39133505591051104</v>
      </c>
      <c r="DN106" s="433">
        <v>0.31496538305707616</v>
      </c>
      <c r="DO106" s="433">
        <v>0</v>
      </c>
      <c r="DP106" s="433">
        <v>0</v>
      </c>
      <c r="DR106" s="409" t="s">
        <v>2701</v>
      </c>
      <c r="DS106" s="409" t="s">
        <v>2702</v>
      </c>
    </row>
    <row r="107" spans="2:123" s="1471" customFormat="1">
      <c r="B107" s="428">
        <v>41892.480363078706</v>
      </c>
      <c r="C107" s="429">
        <v>1.470725339012354</v>
      </c>
      <c r="D107" s="429">
        <v>1.4854748199882093</v>
      </c>
      <c r="E107" s="429">
        <v>1.5566719070119084</v>
      </c>
      <c r="F107" s="429">
        <v>1.418776557846448</v>
      </c>
      <c r="G107" s="429">
        <v>1.5452128600065675</v>
      </c>
      <c r="H107" s="429">
        <v>1.4507320272048265</v>
      </c>
      <c r="I107" s="429">
        <v>1.5413603739899224</v>
      </c>
      <c r="J107" s="429">
        <v>1.5607106488889637</v>
      </c>
      <c r="K107" s="429">
        <v>1.3864546445612862</v>
      </c>
      <c r="L107" s="429">
        <v>1.6296539719899525</v>
      </c>
      <c r="M107" s="429">
        <v>1.8164116790263696</v>
      </c>
      <c r="N107" s="429">
        <v>1.7693777678709823</v>
      </c>
      <c r="O107" s="429">
        <v>1.5031614990571662</v>
      </c>
      <c r="P107" s="429">
        <v>1.4311277691880082</v>
      </c>
      <c r="Q107" s="429">
        <v>969.07697429578423</v>
      </c>
      <c r="R107" s="429">
        <v>56.70829724251977</v>
      </c>
      <c r="S107" s="429">
        <v>62.40879318816927</v>
      </c>
      <c r="T107" s="429">
        <v>3729.5721162109244</v>
      </c>
      <c r="U107" s="429">
        <v>1804.3946997505116</v>
      </c>
      <c r="V107" s="429">
        <v>2087.1206971330562</v>
      </c>
      <c r="W107" s="429">
        <v>1075.2454359084275</v>
      </c>
      <c r="X107" s="429">
        <v>52.236431661707684</v>
      </c>
      <c r="Y107" s="429">
        <v>53.938029221580763</v>
      </c>
      <c r="Z107" s="429">
        <v>52.784194889146562</v>
      </c>
      <c r="AA107" s="429">
        <v>46.07295682875607</v>
      </c>
      <c r="AB107" s="429">
        <v>47.465173014106767</v>
      </c>
      <c r="AC107" s="429">
        <v>48.579708377593732</v>
      </c>
      <c r="AD107" s="429">
        <v>8.6055674102599848</v>
      </c>
      <c r="AE107" s="429">
        <v>8.5201603875971159</v>
      </c>
      <c r="AF107" s="429">
        <v>8.2930962339881127</v>
      </c>
      <c r="AG107" s="429">
        <v>8.9214238843182443</v>
      </c>
      <c r="AH107" s="429">
        <v>8.4349530668691539</v>
      </c>
      <c r="AI107" s="429">
        <v>8.2532220810631216</v>
      </c>
      <c r="AJ107" s="429">
        <v>8.2759511224302926</v>
      </c>
      <c r="AK107" s="429">
        <v>9.2110560506352304</v>
      </c>
      <c r="AL107" s="429">
        <v>1151.765050757811</v>
      </c>
      <c r="AM107" s="429">
        <v>0</v>
      </c>
      <c r="AN107" s="429">
        <v>0</v>
      </c>
      <c r="AO107" s="432"/>
      <c r="AP107" s="428">
        <v>41892.480363078706</v>
      </c>
      <c r="AQ107" s="431">
        <v>130.30849928407619</v>
      </c>
      <c r="AR107" s="431">
        <v>173.36485076842851</v>
      </c>
      <c r="AS107" s="431">
        <v>73.70725642315162</v>
      </c>
      <c r="AT107" s="431">
        <v>52.393287417976921</v>
      </c>
      <c r="AU107" s="431">
        <v>46.870975344936802</v>
      </c>
      <c r="AV107" s="431">
        <v>58.880615379642592</v>
      </c>
      <c r="AW107" s="431">
        <v>-20.254518843273139</v>
      </c>
      <c r="AX107" s="431">
        <v>5.1043538166706366</v>
      </c>
      <c r="AY107" s="431">
        <v>148.46711957195433</v>
      </c>
      <c r="AZ107" s="431">
        <v>-118.74945696650954</v>
      </c>
      <c r="BA107" s="431">
        <v>2.7758019092514807</v>
      </c>
      <c r="BB107" s="431">
        <v>4.243005198355692</v>
      </c>
      <c r="BC107" s="431">
        <v>2.3500131018202395</v>
      </c>
      <c r="BD107" s="431">
        <v>99.25718830055304</v>
      </c>
      <c r="BE107" s="2355">
        <v>350298.61560125841</v>
      </c>
      <c r="BF107" s="2355">
        <v>8160.5219186429176</v>
      </c>
      <c r="BG107" s="2355">
        <v>-5569.359020539483</v>
      </c>
      <c r="BH107" s="2355">
        <v>562273.26292468584</v>
      </c>
      <c r="BI107" s="2355">
        <v>542118.16882409609</v>
      </c>
      <c r="BJ107" s="2355">
        <v>-90085.53689311925</v>
      </c>
      <c r="BK107" s="2355">
        <v>528613.83067174477</v>
      </c>
      <c r="BL107" s="2355">
        <v>3264.8815206779341</v>
      </c>
      <c r="BM107" s="2355">
        <v>-542.53596650461941</v>
      </c>
      <c r="BN107" s="2355">
        <v>100.57603941182192</v>
      </c>
      <c r="BO107" s="2355">
        <v>2671.266698736491</v>
      </c>
      <c r="BP107" s="2355">
        <v>-443.89306350377939</v>
      </c>
      <c r="BQ107" s="2355">
        <v>2385.0901574690902</v>
      </c>
      <c r="BR107" s="431">
        <v>1183.2686415251512</v>
      </c>
      <c r="BS107" s="431">
        <v>536.63355362854861</v>
      </c>
      <c r="BT107" s="431">
        <v>1205.3277162569384</v>
      </c>
      <c r="BU107" s="431">
        <v>47.897045368771771</v>
      </c>
      <c r="BV107" s="431">
        <v>1247.9778083912533</v>
      </c>
      <c r="BW107" s="431">
        <v>564.71594259245558</v>
      </c>
      <c r="BX107" s="431">
        <v>1299.8312299017655</v>
      </c>
      <c r="BY107" s="431">
        <v>959.98292953173348</v>
      </c>
      <c r="BZ107" s="431">
        <v>-58210.258711316463</v>
      </c>
      <c r="CA107" s="431">
        <v>0</v>
      </c>
      <c r="CB107" s="431">
        <v>0</v>
      </c>
      <c r="CC107" s="432"/>
      <c r="CD107" s="428">
        <v>41892.480363078706</v>
      </c>
      <c r="CE107" s="433">
        <v>0.23759628394566742</v>
      </c>
      <c r="CF107" s="433">
        <v>0.16769792432989633</v>
      </c>
      <c r="CG107" s="433">
        <v>0.13923731496982597</v>
      </c>
      <c r="CH107" s="433">
        <v>0.14097114871113556</v>
      </c>
      <c r="CI107" s="433">
        <v>0.12872803566339891</v>
      </c>
      <c r="CJ107" s="433">
        <v>0.20776980245257207</v>
      </c>
      <c r="CK107" s="433">
        <v>0.20005420011599015</v>
      </c>
      <c r="CL107" s="433">
        <v>0.2150045900352773</v>
      </c>
      <c r="CM107" s="433">
        <v>0.16831539661914319</v>
      </c>
      <c r="CN107" s="433">
        <v>0.15819847757401839</v>
      </c>
      <c r="CO107" s="433">
        <v>0.55351751631068857</v>
      </c>
      <c r="CP107" s="433">
        <v>0.54869968593943474</v>
      </c>
      <c r="CQ107" s="433">
        <v>0.65414862139188079</v>
      </c>
      <c r="CR107" s="433">
        <v>0.37402054072693969</v>
      </c>
      <c r="CS107" s="433">
        <v>0.37407164929552272</v>
      </c>
      <c r="CT107" s="433">
        <v>0.447221292916757</v>
      </c>
      <c r="CU107" s="433">
        <v>0.3622790598707698</v>
      </c>
      <c r="CV107" s="433">
        <v>0.47428587647615433</v>
      </c>
      <c r="CW107" s="433">
        <v>0.45146578363252743</v>
      </c>
      <c r="CX107" s="433">
        <v>0.38013063472405745</v>
      </c>
      <c r="CY107" s="433">
        <v>0.40611005021873081</v>
      </c>
      <c r="CZ107" s="433">
        <v>0.29816004259848461</v>
      </c>
      <c r="DA107" s="433">
        <v>0.25104840798869349</v>
      </c>
      <c r="DB107" s="433">
        <v>0.69049021146920753</v>
      </c>
      <c r="DC107" s="433">
        <v>0.29816004259848461</v>
      </c>
      <c r="DD107" s="433">
        <v>0.25104840798869349</v>
      </c>
      <c r="DE107" s="433">
        <v>0.28718003652181961</v>
      </c>
      <c r="DF107" s="433">
        <v>0.37270005324810579</v>
      </c>
      <c r="DG107" s="433">
        <v>0.32591341561187775</v>
      </c>
      <c r="DH107" s="433">
        <v>0.29089665540578735</v>
      </c>
      <c r="DI107" s="433">
        <v>0.33726210201612128</v>
      </c>
      <c r="DJ107" s="433">
        <v>0.30102696608500845</v>
      </c>
      <c r="DK107" s="433">
        <v>0.26323775876343969</v>
      </c>
      <c r="DL107" s="433">
        <v>0.22790901296842467</v>
      </c>
      <c r="DM107" s="433">
        <v>0.39133505591051104</v>
      </c>
      <c r="DN107" s="433">
        <v>0.31496538305707616</v>
      </c>
      <c r="DO107" s="433">
        <v>0</v>
      </c>
      <c r="DP107" s="433">
        <v>0</v>
      </c>
      <c r="DR107" s="409" t="s">
        <v>2704</v>
      </c>
      <c r="DS107" s="409" t="s">
        <v>2705</v>
      </c>
    </row>
    <row r="108" spans="2:123" s="1471" customFormat="1">
      <c r="B108" s="428">
        <v>41892.605923495372</v>
      </c>
      <c r="C108" s="429">
        <v>1.470725339012354</v>
      </c>
      <c r="D108" s="429">
        <v>1.4854748199882093</v>
      </c>
      <c r="E108" s="429">
        <v>1.5566719070119084</v>
      </c>
      <c r="F108" s="429">
        <v>1.418776557846448</v>
      </c>
      <c r="G108" s="429">
        <v>1.5452128600065675</v>
      </c>
      <c r="H108" s="429">
        <v>1.4507320272048265</v>
      </c>
      <c r="I108" s="429">
        <v>1.5413603739899224</v>
      </c>
      <c r="J108" s="429">
        <v>1.5607106488889637</v>
      </c>
      <c r="K108" s="429">
        <v>1.3864546445612862</v>
      </c>
      <c r="L108" s="429">
        <v>1.6296539719899525</v>
      </c>
      <c r="M108" s="429">
        <v>1.8164116790263696</v>
      </c>
      <c r="N108" s="429">
        <v>1.7693777678709823</v>
      </c>
      <c r="O108" s="429">
        <v>1.5031614990571662</v>
      </c>
      <c r="P108" s="429">
        <v>1.4311277691880082</v>
      </c>
      <c r="Q108" s="429">
        <v>969.07697429578423</v>
      </c>
      <c r="R108" s="429">
        <v>56.70829724251977</v>
      </c>
      <c r="S108" s="429">
        <v>62.40879318816927</v>
      </c>
      <c r="T108" s="429">
        <v>3729.5721162109244</v>
      </c>
      <c r="U108" s="429">
        <v>1804.3946997505116</v>
      </c>
      <c r="V108" s="429">
        <v>2087.1206971330562</v>
      </c>
      <c r="W108" s="429">
        <v>1075.2454359084275</v>
      </c>
      <c r="X108" s="429">
        <v>52.236431661707684</v>
      </c>
      <c r="Y108" s="429">
        <v>53.938029221580763</v>
      </c>
      <c r="Z108" s="429">
        <v>52.784194889146562</v>
      </c>
      <c r="AA108" s="429">
        <v>46.07295682875607</v>
      </c>
      <c r="AB108" s="429">
        <v>47.465173014106767</v>
      </c>
      <c r="AC108" s="429">
        <v>48.579708377593732</v>
      </c>
      <c r="AD108" s="429">
        <v>8.6055674102599848</v>
      </c>
      <c r="AE108" s="429">
        <v>8.5201603875971159</v>
      </c>
      <c r="AF108" s="429">
        <v>8.2930962339881127</v>
      </c>
      <c r="AG108" s="429">
        <v>8.9214238843182443</v>
      </c>
      <c r="AH108" s="429">
        <v>8.4349530668691539</v>
      </c>
      <c r="AI108" s="429">
        <v>8.2532220810631216</v>
      </c>
      <c r="AJ108" s="429">
        <v>8.2759511224302926</v>
      </c>
      <c r="AK108" s="429">
        <v>9.2110560506352304</v>
      </c>
      <c r="AL108" s="429">
        <v>1151.765050757811</v>
      </c>
      <c r="AM108" s="429">
        <v>2.0749934702262522</v>
      </c>
      <c r="AN108" s="429">
        <v>0</v>
      </c>
      <c r="AO108" s="432"/>
      <c r="AP108" s="428">
        <v>41892.605923495372</v>
      </c>
      <c r="AQ108" s="431">
        <v>130.30849928407619</v>
      </c>
      <c r="AR108" s="431">
        <v>173.36485076842851</v>
      </c>
      <c r="AS108" s="431">
        <v>73.70725642315162</v>
      </c>
      <c r="AT108" s="431">
        <v>52.393287417976921</v>
      </c>
      <c r="AU108" s="431">
        <v>46.870975344936802</v>
      </c>
      <c r="AV108" s="431">
        <v>58.880615379642592</v>
      </c>
      <c r="AW108" s="431">
        <v>-20.254518843273139</v>
      </c>
      <c r="AX108" s="431">
        <v>5.1043538166706366</v>
      </c>
      <c r="AY108" s="431">
        <v>148.46711957195433</v>
      </c>
      <c r="AZ108" s="431">
        <v>-118.74945696650954</v>
      </c>
      <c r="BA108" s="431">
        <v>2.7758019092514807</v>
      </c>
      <c r="BB108" s="431">
        <v>4.243005198355692</v>
      </c>
      <c r="BC108" s="431">
        <v>2.3500131018202395</v>
      </c>
      <c r="BD108" s="431">
        <v>99.25718830055304</v>
      </c>
      <c r="BE108" s="2355">
        <v>350298.61560125841</v>
      </c>
      <c r="BF108" s="2355">
        <v>8160.5219186429176</v>
      </c>
      <c r="BG108" s="2355">
        <v>-5569.359020539483</v>
      </c>
      <c r="BH108" s="2355">
        <v>562273.26292468584</v>
      </c>
      <c r="BI108" s="2355">
        <v>542118.16882409609</v>
      </c>
      <c r="BJ108" s="2355">
        <v>-90085.53689311925</v>
      </c>
      <c r="BK108" s="2355">
        <v>528613.83067174477</v>
      </c>
      <c r="BL108" s="2355">
        <v>3264.8815206779341</v>
      </c>
      <c r="BM108" s="2355">
        <v>-542.53596650461941</v>
      </c>
      <c r="BN108" s="2355">
        <v>100.57603941182192</v>
      </c>
      <c r="BO108" s="2355">
        <v>2671.266698736491</v>
      </c>
      <c r="BP108" s="2355">
        <v>-443.89306350377939</v>
      </c>
      <c r="BQ108" s="2355">
        <v>2385.0901574690902</v>
      </c>
      <c r="BR108" s="431">
        <v>1183.2686415251512</v>
      </c>
      <c r="BS108" s="431">
        <v>536.63355362854861</v>
      </c>
      <c r="BT108" s="431">
        <v>1205.3277162569384</v>
      </c>
      <c r="BU108" s="431">
        <v>47.897045368771771</v>
      </c>
      <c r="BV108" s="431">
        <v>1247.9778083912533</v>
      </c>
      <c r="BW108" s="431">
        <v>564.71594259245558</v>
      </c>
      <c r="BX108" s="431">
        <v>1299.8312299017655</v>
      </c>
      <c r="BY108" s="431">
        <v>959.98292953173348</v>
      </c>
      <c r="BZ108" s="431">
        <v>-58210.258711316463</v>
      </c>
      <c r="CA108" s="431">
        <v>7.4868508085085361</v>
      </c>
      <c r="CB108" s="431">
        <v>0</v>
      </c>
      <c r="CC108" s="432"/>
      <c r="CD108" s="428">
        <v>41892.605923495372</v>
      </c>
      <c r="CE108" s="433">
        <v>0.23759628394566742</v>
      </c>
      <c r="CF108" s="433">
        <v>0.16769792432989633</v>
      </c>
      <c r="CG108" s="433">
        <v>0.13923731496982597</v>
      </c>
      <c r="CH108" s="433">
        <v>0.14097114871113556</v>
      </c>
      <c r="CI108" s="433">
        <v>0.12872803566339891</v>
      </c>
      <c r="CJ108" s="433">
        <v>0.20776980245257207</v>
      </c>
      <c r="CK108" s="433">
        <v>0.20005420011599015</v>
      </c>
      <c r="CL108" s="433">
        <v>0.2150045900352773</v>
      </c>
      <c r="CM108" s="433">
        <v>0.16831539661914319</v>
      </c>
      <c r="CN108" s="433">
        <v>0.15819847757401839</v>
      </c>
      <c r="CO108" s="433">
        <v>0.55351751631068857</v>
      </c>
      <c r="CP108" s="433">
        <v>0.54869968593943474</v>
      </c>
      <c r="CQ108" s="433">
        <v>0.65414862139188079</v>
      </c>
      <c r="CR108" s="433">
        <v>0.37402054072693969</v>
      </c>
      <c r="CS108" s="433">
        <v>0.37407164929552272</v>
      </c>
      <c r="CT108" s="433">
        <v>0.447221292916757</v>
      </c>
      <c r="CU108" s="433">
        <v>0.3622790598707698</v>
      </c>
      <c r="CV108" s="433">
        <v>0.47428587647615433</v>
      </c>
      <c r="CW108" s="433">
        <v>0.45146578363252743</v>
      </c>
      <c r="CX108" s="433">
        <v>0.38013063472405745</v>
      </c>
      <c r="CY108" s="433">
        <v>0.40611005021873081</v>
      </c>
      <c r="CZ108" s="433">
        <v>0.29816004259848461</v>
      </c>
      <c r="DA108" s="433">
        <v>0.25104840798869349</v>
      </c>
      <c r="DB108" s="433">
        <v>0.69049021146920753</v>
      </c>
      <c r="DC108" s="433">
        <v>0.29816004259848461</v>
      </c>
      <c r="DD108" s="433">
        <v>0.25104840798869349</v>
      </c>
      <c r="DE108" s="433">
        <v>0.28718003652181961</v>
      </c>
      <c r="DF108" s="433">
        <v>0.37270005324810579</v>
      </c>
      <c r="DG108" s="433">
        <v>0.32591341561187775</v>
      </c>
      <c r="DH108" s="433">
        <v>0.29089665540578735</v>
      </c>
      <c r="DI108" s="433">
        <v>0.33726210201612128</v>
      </c>
      <c r="DJ108" s="433">
        <v>0.30102696608500845</v>
      </c>
      <c r="DK108" s="433">
        <v>0.26323775876343969</v>
      </c>
      <c r="DL108" s="433">
        <v>0.22790901296842467</v>
      </c>
      <c r="DM108" s="433">
        <v>0.39133505591051104</v>
      </c>
      <c r="DN108" s="433">
        <v>0.31496538305707616</v>
      </c>
      <c r="DO108" s="433">
        <v>0.3139907650936678</v>
      </c>
      <c r="DP108" s="433">
        <v>0</v>
      </c>
      <c r="DR108" s="409" t="s">
        <v>2542</v>
      </c>
      <c r="DS108" s="409" t="s">
        <v>2716</v>
      </c>
    </row>
    <row r="109" spans="2:123" s="1471" customFormat="1">
      <c r="B109" s="428"/>
      <c r="C109" s="429"/>
      <c r="D109" s="429"/>
      <c r="E109" s="429"/>
      <c r="F109" s="429"/>
      <c r="G109" s="429"/>
      <c r="H109" s="429"/>
      <c r="I109" s="429"/>
      <c r="J109" s="429"/>
      <c r="K109" s="429"/>
      <c r="L109" s="429"/>
      <c r="M109" s="429"/>
      <c r="N109" s="429"/>
      <c r="O109" s="429"/>
      <c r="P109" s="429"/>
      <c r="Q109" s="429"/>
      <c r="R109" s="429"/>
      <c r="S109" s="429"/>
      <c r="T109" s="429"/>
      <c r="U109" s="429"/>
      <c r="V109" s="429"/>
      <c r="W109" s="429"/>
      <c r="X109" s="429"/>
      <c r="Y109" s="429"/>
      <c r="Z109" s="429"/>
      <c r="AA109" s="429"/>
      <c r="AB109" s="429"/>
      <c r="AC109" s="429"/>
      <c r="AD109" s="429"/>
      <c r="AE109" s="429"/>
      <c r="AF109" s="429"/>
      <c r="AG109" s="429"/>
      <c r="AH109" s="429"/>
      <c r="AI109" s="429"/>
      <c r="AJ109" s="429"/>
      <c r="AK109" s="429"/>
      <c r="AL109" s="429"/>
      <c r="AM109" s="429"/>
      <c r="AN109" s="429"/>
      <c r="AO109" s="432"/>
      <c r="AP109" s="428"/>
      <c r="AQ109" s="431"/>
      <c r="AR109" s="431"/>
      <c r="AS109" s="431"/>
      <c r="AT109" s="431"/>
      <c r="AU109" s="431"/>
      <c r="AV109" s="431"/>
      <c r="AW109" s="431"/>
      <c r="AX109" s="431"/>
      <c r="AY109" s="431"/>
      <c r="AZ109" s="431"/>
      <c r="BA109" s="431"/>
      <c r="BB109" s="431"/>
      <c r="BC109" s="431"/>
      <c r="BD109" s="431"/>
      <c r="BE109" s="2355"/>
      <c r="BF109" s="2355"/>
      <c r="BG109" s="2355"/>
      <c r="BH109" s="2355"/>
      <c r="BI109" s="2355"/>
      <c r="BJ109" s="2355"/>
      <c r="BK109" s="2355"/>
      <c r="BL109" s="2355"/>
      <c r="BM109" s="2355"/>
      <c r="BN109" s="2355"/>
      <c r="BO109" s="2355"/>
      <c r="BP109" s="2355"/>
      <c r="BQ109" s="2355"/>
      <c r="BR109" s="431"/>
      <c r="BS109" s="431"/>
      <c r="BT109" s="431"/>
      <c r="BU109" s="431"/>
      <c r="BV109" s="431"/>
      <c r="BW109" s="431"/>
      <c r="BX109" s="431"/>
      <c r="BY109" s="431"/>
      <c r="BZ109" s="431"/>
      <c r="CA109" s="431"/>
      <c r="CB109" s="431"/>
      <c r="CC109" s="432"/>
      <c r="CD109" s="428"/>
      <c r="CE109" s="433"/>
      <c r="CF109" s="433"/>
      <c r="CG109" s="433"/>
      <c r="CH109" s="433"/>
      <c r="CI109" s="433"/>
      <c r="CJ109" s="433"/>
      <c r="CK109" s="433"/>
      <c r="CL109" s="433"/>
      <c r="CM109" s="433"/>
      <c r="CN109" s="433"/>
      <c r="CO109" s="433"/>
      <c r="CP109" s="433"/>
      <c r="CQ109" s="433"/>
      <c r="CR109" s="433"/>
      <c r="CS109" s="433"/>
      <c r="CT109" s="433"/>
      <c r="CU109" s="433"/>
      <c r="CV109" s="433"/>
      <c r="CW109" s="433"/>
      <c r="CX109" s="433"/>
      <c r="CY109" s="433"/>
      <c r="CZ109" s="433"/>
      <c r="DA109" s="433"/>
      <c r="DB109" s="433"/>
      <c r="DC109" s="433"/>
      <c r="DD109" s="433"/>
      <c r="DE109" s="433"/>
      <c r="DF109" s="433"/>
      <c r="DG109" s="433"/>
      <c r="DH109" s="433"/>
      <c r="DI109" s="433"/>
      <c r="DJ109" s="433"/>
      <c r="DK109" s="433"/>
      <c r="DL109" s="433"/>
      <c r="DM109" s="433"/>
      <c r="DN109" s="433"/>
      <c r="DO109" s="433"/>
      <c r="DP109" s="433"/>
      <c r="DR109" s="409"/>
      <c r="DS109" s="409"/>
    </row>
    <row r="110" spans="2:123" s="1471" customFormat="1">
      <c r="B110" s="428"/>
      <c r="C110" s="429"/>
      <c r="D110" s="429"/>
      <c r="E110" s="429"/>
      <c r="F110" s="429"/>
      <c r="G110" s="429"/>
      <c r="H110" s="429"/>
      <c r="I110" s="429"/>
      <c r="J110" s="429"/>
      <c r="K110" s="429"/>
      <c r="L110" s="429"/>
      <c r="M110" s="429"/>
      <c r="N110" s="429"/>
      <c r="O110" s="429"/>
      <c r="P110" s="429"/>
      <c r="Q110" s="429"/>
      <c r="R110" s="429"/>
      <c r="S110" s="429"/>
      <c r="T110" s="429"/>
      <c r="U110" s="429"/>
      <c r="V110" s="429"/>
      <c r="W110" s="429"/>
      <c r="X110" s="429"/>
      <c r="Y110" s="429"/>
      <c r="Z110" s="429"/>
      <c r="AA110" s="429"/>
      <c r="AB110" s="429"/>
      <c r="AC110" s="429"/>
      <c r="AD110" s="429"/>
      <c r="AE110" s="429"/>
      <c r="AF110" s="429"/>
      <c r="AG110" s="429"/>
      <c r="AH110" s="429"/>
      <c r="AI110" s="429"/>
      <c r="AJ110" s="429"/>
      <c r="AK110" s="429"/>
      <c r="AL110" s="429"/>
      <c r="AM110" s="429"/>
      <c r="AN110" s="429"/>
      <c r="AO110" s="432"/>
      <c r="AP110" s="428"/>
      <c r="AQ110" s="431"/>
      <c r="AR110" s="431"/>
      <c r="AS110" s="431"/>
      <c r="AT110" s="431"/>
      <c r="AU110" s="431"/>
      <c r="AV110" s="431"/>
      <c r="AW110" s="431"/>
      <c r="AX110" s="431"/>
      <c r="AY110" s="431"/>
      <c r="AZ110" s="431"/>
      <c r="BA110" s="431"/>
      <c r="BB110" s="431"/>
      <c r="BC110" s="431"/>
      <c r="BD110" s="431"/>
      <c r="BE110" s="2355"/>
      <c r="BF110" s="2355"/>
      <c r="BG110" s="2355"/>
      <c r="BH110" s="2355"/>
      <c r="BI110" s="2355"/>
      <c r="BJ110" s="2355"/>
      <c r="BK110" s="2355"/>
      <c r="BL110" s="2355"/>
      <c r="BM110" s="2355"/>
      <c r="BN110" s="2355"/>
      <c r="BO110" s="2355"/>
      <c r="BP110" s="2355"/>
      <c r="BQ110" s="2355"/>
      <c r="BR110" s="431"/>
      <c r="BS110" s="431"/>
      <c r="BT110" s="431"/>
      <c r="BU110" s="431"/>
      <c r="BV110" s="431"/>
      <c r="BW110" s="431"/>
      <c r="BX110" s="431"/>
      <c r="BY110" s="431"/>
      <c r="BZ110" s="431"/>
      <c r="CA110" s="431"/>
      <c r="CB110" s="431"/>
      <c r="CC110" s="432"/>
      <c r="CD110" s="428"/>
      <c r="CE110" s="433"/>
      <c r="CF110" s="433"/>
      <c r="CG110" s="433"/>
      <c r="CH110" s="433"/>
      <c r="CI110" s="433"/>
      <c r="CJ110" s="433"/>
      <c r="CK110" s="433"/>
      <c r="CL110" s="433"/>
      <c r="CM110" s="433"/>
      <c r="CN110" s="433"/>
      <c r="CO110" s="433"/>
      <c r="CP110" s="433"/>
      <c r="CQ110" s="433"/>
      <c r="CR110" s="433"/>
      <c r="CS110" s="433"/>
      <c r="CT110" s="433"/>
      <c r="CU110" s="433"/>
      <c r="CV110" s="433"/>
      <c r="CW110" s="433"/>
      <c r="CX110" s="433"/>
      <c r="CY110" s="433"/>
      <c r="CZ110" s="433"/>
      <c r="DA110" s="433"/>
      <c r="DB110" s="433"/>
      <c r="DC110" s="433"/>
      <c r="DD110" s="433"/>
      <c r="DE110" s="433"/>
      <c r="DF110" s="433"/>
      <c r="DG110" s="433"/>
      <c r="DH110" s="433"/>
      <c r="DI110" s="433"/>
      <c r="DJ110" s="433"/>
      <c r="DK110" s="433"/>
      <c r="DL110" s="433"/>
      <c r="DM110" s="433"/>
      <c r="DN110" s="433"/>
      <c r="DO110" s="433"/>
      <c r="DP110" s="433"/>
      <c r="DR110" s="409"/>
      <c r="DS110" s="409"/>
    </row>
    <row r="111" spans="2:123" s="1471" customFormat="1">
      <c r="B111" s="428"/>
      <c r="C111" s="429"/>
      <c r="D111" s="429"/>
      <c r="E111" s="429"/>
      <c r="F111" s="429"/>
      <c r="G111" s="429"/>
      <c r="H111" s="429"/>
      <c r="I111" s="429"/>
      <c r="J111" s="429"/>
      <c r="K111" s="429"/>
      <c r="L111" s="429"/>
      <c r="M111" s="429"/>
      <c r="N111" s="429"/>
      <c r="O111" s="429"/>
      <c r="P111" s="429"/>
      <c r="Q111" s="429"/>
      <c r="R111" s="429"/>
      <c r="S111" s="429"/>
      <c r="T111" s="429"/>
      <c r="U111" s="429"/>
      <c r="V111" s="429"/>
      <c r="W111" s="429"/>
      <c r="X111" s="429"/>
      <c r="Y111" s="429"/>
      <c r="Z111" s="429"/>
      <c r="AA111" s="429"/>
      <c r="AB111" s="429"/>
      <c r="AC111" s="429"/>
      <c r="AD111" s="429"/>
      <c r="AE111" s="429"/>
      <c r="AF111" s="429"/>
      <c r="AG111" s="429"/>
      <c r="AH111" s="429"/>
      <c r="AI111" s="429"/>
      <c r="AJ111" s="429"/>
      <c r="AK111" s="429"/>
      <c r="AL111" s="429"/>
      <c r="AM111" s="429"/>
      <c r="AN111" s="429"/>
      <c r="AO111" s="432"/>
      <c r="AP111" s="428"/>
      <c r="AQ111" s="431"/>
      <c r="AR111" s="431"/>
      <c r="AS111" s="431"/>
      <c r="AT111" s="431"/>
      <c r="AU111" s="431"/>
      <c r="AV111" s="431"/>
      <c r="AW111" s="431"/>
      <c r="AX111" s="431"/>
      <c r="AY111" s="431"/>
      <c r="AZ111" s="431"/>
      <c r="BA111" s="431"/>
      <c r="BB111" s="431"/>
      <c r="BC111" s="431"/>
      <c r="BD111" s="431"/>
      <c r="BE111" s="2355"/>
      <c r="BF111" s="2355"/>
      <c r="BG111" s="2355"/>
      <c r="BH111" s="2355"/>
      <c r="BI111" s="2355"/>
      <c r="BJ111" s="2355"/>
      <c r="BK111" s="2355"/>
      <c r="BL111" s="2355"/>
      <c r="BM111" s="2355"/>
      <c r="BN111" s="2355"/>
      <c r="BO111" s="2355"/>
      <c r="BP111" s="2355"/>
      <c r="BQ111" s="2355"/>
      <c r="BR111" s="431"/>
      <c r="BS111" s="431"/>
      <c r="BT111" s="431"/>
      <c r="BU111" s="431"/>
      <c r="BV111" s="431"/>
      <c r="BW111" s="431"/>
      <c r="BX111" s="431"/>
      <c r="BY111" s="431"/>
      <c r="BZ111" s="431"/>
      <c r="CA111" s="431"/>
      <c r="CB111" s="431"/>
      <c r="CC111" s="432"/>
      <c r="CD111" s="428"/>
      <c r="CE111" s="433"/>
      <c r="CF111" s="433"/>
      <c r="CG111" s="433"/>
      <c r="CH111" s="433"/>
      <c r="CI111" s="433"/>
      <c r="CJ111" s="433"/>
      <c r="CK111" s="433"/>
      <c r="CL111" s="433"/>
      <c r="CM111" s="433"/>
      <c r="CN111" s="433"/>
      <c r="CO111" s="433"/>
      <c r="CP111" s="433"/>
      <c r="CQ111" s="433"/>
      <c r="CR111" s="433"/>
      <c r="CS111" s="433"/>
      <c r="CT111" s="433"/>
      <c r="CU111" s="433"/>
      <c r="CV111" s="433"/>
      <c r="CW111" s="433"/>
      <c r="CX111" s="433"/>
      <c r="CY111" s="433"/>
      <c r="CZ111" s="433"/>
      <c r="DA111" s="433"/>
      <c r="DB111" s="433"/>
      <c r="DC111" s="433"/>
      <c r="DD111" s="433"/>
      <c r="DE111" s="433"/>
      <c r="DF111" s="433"/>
      <c r="DG111" s="433"/>
      <c r="DH111" s="433"/>
      <c r="DI111" s="433"/>
      <c r="DJ111" s="433"/>
      <c r="DK111" s="433"/>
      <c r="DL111" s="433"/>
      <c r="DM111" s="433"/>
      <c r="DN111" s="433"/>
      <c r="DO111" s="433"/>
      <c r="DP111" s="433"/>
      <c r="DR111" s="409"/>
      <c r="DS111" s="409"/>
    </row>
    <row r="112" spans="2:123" s="1471" customFormat="1">
      <c r="B112" s="428"/>
      <c r="C112" s="429"/>
      <c r="D112" s="429"/>
      <c r="E112" s="429"/>
      <c r="F112" s="429"/>
      <c r="G112" s="429"/>
      <c r="H112" s="429"/>
      <c r="I112" s="429"/>
      <c r="J112" s="429"/>
      <c r="K112" s="429"/>
      <c r="L112" s="429"/>
      <c r="M112" s="429"/>
      <c r="N112" s="429"/>
      <c r="O112" s="429"/>
      <c r="P112" s="429"/>
      <c r="Q112" s="429"/>
      <c r="R112" s="429"/>
      <c r="S112" s="429"/>
      <c r="T112" s="429"/>
      <c r="U112" s="429"/>
      <c r="V112" s="429"/>
      <c r="W112" s="429"/>
      <c r="X112" s="429"/>
      <c r="Y112" s="429"/>
      <c r="Z112" s="429"/>
      <c r="AA112" s="429"/>
      <c r="AB112" s="429"/>
      <c r="AC112" s="429"/>
      <c r="AD112" s="429"/>
      <c r="AE112" s="429"/>
      <c r="AF112" s="429"/>
      <c r="AG112" s="429"/>
      <c r="AH112" s="429"/>
      <c r="AI112" s="429"/>
      <c r="AJ112" s="429"/>
      <c r="AK112" s="429"/>
      <c r="AL112" s="429"/>
      <c r="AM112" s="429"/>
      <c r="AN112" s="429"/>
      <c r="AO112" s="432"/>
      <c r="AP112" s="428"/>
      <c r="AQ112" s="431"/>
      <c r="AR112" s="431"/>
      <c r="AS112" s="431"/>
      <c r="AT112" s="431"/>
      <c r="AU112" s="431"/>
      <c r="AV112" s="431"/>
      <c r="AW112" s="431"/>
      <c r="AX112" s="431"/>
      <c r="AY112" s="431"/>
      <c r="AZ112" s="431"/>
      <c r="BA112" s="431"/>
      <c r="BB112" s="431"/>
      <c r="BC112" s="431"/>
      <c r="BD112" s="431"/>
      <c r="BE112" s="2355"/>
      <c r="BF112" s="2355"/>
      <c r="BG112" s="2355"/>
      <c r="BH112" s="2355"/>
      <c r="BI112" s="2355"/>
      <c r="BJ112" s="2355"/>
      <c r="BK112" s="2355"/>
      <c r="BL112" s="2355"/>
      <c r="BM112" s="2355"/>
      <c r="BN112" s="2355"/>
      <c r="BO112" s="2355"/>
      <c r="BP112" s="2355"/>
      <c r="BQ112" s="2355"/>
      <c r="BR112" s="431"/>
      <c r="BS112" s="431"/>
      <c r="BT112" s="431"/>
      <c r="BU112" s="431"/>
      <c r="BV112" s="431"/>
      <c r="BW112" s="431"/>
      <c r="BX112" s="431"/>
      <c r="BY112" s="431"/>
      <c r="BZ112" s="431"/>
      <c r="CA112" s="431"/>
      <c r="CB112" s="431"/>
      <c r="CC112" s="432"/>
      <c r="CD112" s="428"/>
      <c r="CE112" s="433"/>
      <c r="CF112" s="433"/>
      <c r="CG112" s="433"/>
      <c r="CH112" s="433"/>
      <c r="CI112" s="433"/>
      <c r="CJ112" s="433"/>
      <c r="CK112" s="433"/>
      <c r="CL112" s="433"/>
      <c r="CM112" s="433"/>
      <c r="CN112" s="433"/>
      <c r="CO112" s="433"/>
      <c r="CP112" s="433"/>
      <c r="CQ112" s="433"/>
      <c r="CR112" s="433"/>
      <c r="CS112" s="433"/>
      <c r="CT112" s="433"/>
      <c r="CU112" s="433"/>
      <c r="CV112" s="433"/>
      <c r="CW112" s="433"/>
      <c r="CX112" s="433"/>
      <c r="CY112" s="433"/>
      <c r="CZ112" s="433"/>
      <c r="DA112" s="433"/>
      <c r="DB112" s="433"/>
      <c r="DC112" s="433"/>
      <c r="DD112" s="433"/>
      <c r="DE112" s="433"/>
      <c r="DF112" s="433"/>
      <c r="DG112" s="433"/>
      <c r="DH112" s="433"/>
      <c r="DI112" s="433"/>
      <c r="DJ112" s="433"/>
      <c r="DK112" s="433"/>
      <c r="DL112" s="433"/>
      <c r="DM112" s="433"/>
      <c r="DN112" s="433"/>
      <c r="DO112" s="433"/>
      <c r="DP112" s="433"/>
      <c r="DR112" s="409"/>
      <c r="DS112" s="409"/>
    </row>
    <row r="113" spans="2:123" s="1471" customFormat="1">
      <c r="B113" s="428"/>
      <c r="C113" s="429"/>
      <c r="D113" s="429"/>
      <c r="E113" s="429"/>
      <c r="F113" s="429"/>
      <c r="G113" s="429"/>
      <c r="H113" s="429"/>
      <c r="I113" s="429"/>
      <c r="J113" s="429"/>
      <c r="K113" s="429"/>
      <c r="L113" s="429"/>
      <c r="M113" s="429"/>
      <c r="N113" s="429"/>
      <c r="O113" s="429"/>
      <c r="P113" s="429"/>
      <c r="Q113" s="429"/>
      <c r="R113" s="429"/>
      <c r="S113" s="429"/>
      <c r="T113" s="429"/>
      <c r="U113" s="429"/>
      <c r="V113" s="429"/>
      <c r="W113" s="429"/>
      <c r="X113" s="429"/>
      <c r="Y113" s="429"/>
      <c r="Z113" s="429"/>
      <c r="AA113" s="429"/>
      <c r="AB113" s="429"/>
      <c r="AC113" s="429"/>
      <c r="AD113" s="429"/>
      <c r="AE113" s="429"/>
      <c r="AF113" s="429"/>
      <c r="AG113" s="429"/>
      <c r="AH113" s="429"/>
      <c r="AI113" s="429"/>
      <c r="AJ113" s="429"/>
      <c r="AK113" s="429"/>
      <c r="AL113" s="429"/>
      <c r="AM113" s="429"/>
      <c r="AN113" s="429"/>
      <c r="AO113" s="432"/>
      <c r="AP113" s="428"/>
      <c r="AQ113" s="431"/>
      <c r="AR113" s="431"/>
      <c r="AS113" s="431"/>
      <c r="AT113" s="431"/>
      <c r="AU113" s="431"/>
      <c r="AV113" s="431"/>
      <c r="AW113" s="431"/>
      <c r="AX113" s="431"/>
      <c r="AY113" s="431"/>
      <c r="AZ113" s="431"/>
      <c r="BA113" s="431"/>
      <c r="BB113" s="431"/>
      <c r="BC113" s="431"/>
      <c r="BD113" s="431"/>
      <c r="BE113" s="2355"/>
      <c r="BF113" s="2355"/>
      <c r="BG113" s="2355"/>
      <c r="BH113" s="2355"/>
      <c r="BI113" s="2355"/>
      <c r="BJ113" s="2355"/>
      <c r="BK113" s="2355"/>
      <c r="BL113" s="2355"/>
      <c r="BM113" s="2355"/>
      <c r="BN113" s="2355"/>
      <c r="BO113" s="2355"/>
      <c r="BP113" s="2355"/>
      <c r="BQ113" s="2355"/>
      <c r="BR113" s="431"/>
      <c r="BS113" s="431"/>
      <c r="BT113" s="431"/>
      <c r="BU113" s="431"/>
      <c r="BV113" s="431"/>
      <c r="BW113" s="431"/>
      <c r="BX113" s="431"/>
      <c r="BY113" s="431"/>
      <c r="BZ113" s="431"/>
      <c r="CA113" s="431"/>
      <c r="CB113" s="431"/>
      <c r="CC113" s="432"/>
      <c r="CD113" s="428"/>
      <c r="CE113" s="433"/>
      <c r="CF113" s="433"/>
      <c r="CG113" s="433"/>
      <c r="CH113" s="433"/>
      <c r="CI113" s="433"/>
      <c r="CJ113" s="433"/>
      <c r="CK113" s="433"/>
      <c r="CL113" s="433"/>
      <c r="CM113" s="433"/>
      <c r="CN113" s="433"/>
      <c r="CO113" s="433"/>
      <c r="CP113" s="433"/>
      <c r="CQ113" s="433"/>
      <c r="CR113" s="433"/>
      <c r="CS113" s="433"/>
      <c r="CT113" s="433"/>
      <c r="CU113" s="433"/>
      <c r="CV113" s="433"/>
      <c r="CW113" s="433"/>
      <c r="CX113" s="433"/>
      <c r="CY113" s="433"/>
      <c r="CZ113" s="433"/>
      <c r="DA113" s="433"/>
      <c r="DB113" s="433"/>
      <c r="DC113" s="433"/>
      <c r="DD113" s="433"/>
      <c r="DE113" s="433"/>
      <c r="DF113" s="433"/>
      <c r="DG113" s="433"/>
      <c r="DH113" s="433"/>
      <c r="DI113" s="433"/>
      <c r="DJ113" s="433"/>
      <c r="DK113" s="433"/>
      <c r="DL113" s="433"/>
      <c r="DM113" s="433"/>
      <c r="DN113" s="433"/>
      <c r="DO113" s="433"/>
      <c r="DP113" s="433"/>
      <c r="DR113" s="409"/>
      <c r="DS113" s="409"/>
    </row>
    <row r="114" spans="2:123" s="1471" customFormat="1">
      <c r="B114" s="428"/>
      <c r="C114" s="429"/>
      <c r="D114" s="429"/>
      <c r="E114" s="429"/>
      <c r="F114" s="429"/>
      <c r="G114" s="429"/>
      <c r="H114" s="429"/>
      <c r="I114" s="429"/>
      <c r="J114" s="429"/>
      <c r="K114" s="429"/>
      <c r="L114" s="429"/>
      <c r="M114" s="429"/>
      <c r="N114" s="429"/>
      <c r="O114" s="429"/>
      <c r="P114" s="429"/>
      <c r="Q114" s="429"/>
      <c r="R114" s="429"/>
      <c r="S114" s="429"/>
      <c r="T114" s="429"/>
      <c r="U114" s="429"/>
      <c r="V114" s="429"/>
      <c r="W114" s="429"/>
      <c r="X114" s="429"/>
      <c r="Y114" s="429"/>
      <c r="Z114" s="429"/>
      <c r="AA114" s="429"/>
      <c r="AB114" s="429"/>
      <c r="AC114" s="429"/>
      <c r="AD114" s="429"/>
      <c r="AE114" s="429"/>
      <c r="AF114" s="429"/>
      <c r="AG114" s="429"/>
      <c r="AH114" s="429"/>
      <c r="AI114" s="429"/>
      <c r="AJ114" s="429"/>
      <c r="AK114" s="429"/>
      <c r="AL114" s="429"/>
      <c r="AM114" s="429"/>
      <c r="AN114" s="429"/>
      <c r="AO114" s="432"/>
      <c r="AP114" s="428"/>
      <c r="AQ114" s="431"/>
      <c r="AR114" s="431"/>
      <c r="AS114" s="431"/>
      <c r="AT114" s="431"/>
      <c r="AU114" s="431"/>
      <c r="AV114" s="431"/>
      <c r="AW114" s="431"/>
      <c r="AX114" s="431"/>
      <c r="AY114" s="431"/>
      <c r="AZ114" s="431"/>
      <c r="BA114" s="431"/>
      <c r="BB114" s="431"/>
      <c r="BC114" s="431"/>
      <c r="BD114" s="431"/>
      <c r="BE114" s="2355"/>
      <c r="BF114" s="2355"/>
      <c r="BG114" s="2355"/>
      <c r="BH114" s="2355"/>
      <c r="BI114" s="2355"/>
      <c r="BJ114" s="2355"/>
      <c r="BK114" s="2355"/>
      <c r="BL114" s="2355"/>
      <c r="BM114" s="2355"/>
      <c r="BN114" s="2355"/>
      <c r="BO114" s="2355"/>
      <c r="BP114" s="2355"/>
      <c r="BQ114" s="2355"/>
      <c r="BR114" s="431"/>
      <c r="BS114" s="431"/>
      <c r="BT114" s="431"/>
      <c r="BU114" s="431"/>
      <c r="BV114" s="431"/>
      <c r="BW114" s="431"/>
      <c r="BX114" s="431"/>
      <c r="BY114" s="431"/>
      <c r="BZ114" s="431"/>
      <c r="CA114" s="431"/>
      <c r="CB114" s="431"/>
      <c r="CC114" s="432"/>
      <c r="CD114" s="428"/>
      <c r="CE114" s="433"/>
      <c r="CF114" s="433"/>
      <c r="CG114" s="433"/>
      <c r="CH114" s="433"/>
      <c r="CI114" s="433"/>
      <c r="CJ114" s="433"/>
      <c r="CK114" s="433"/>
      <c r="CL114" s="433"/>
      <c r="CM114" s="433"/>
      <c r="CN114" s="433"/>
      <c r="CO114" s="433"/>
      <c r="CP114" s="433"/>
      <c r="CQ114" s="433"/>
      <c r="CR114" s="433"/>
      <c r="CS114" s="433"/>
      <c r="CT114" s="433"/>
      <c r="CU114" s="433"/>
      <c r="CV114" s="433"/>
      <c r="CW114" s="433"/>
      <c r="CX114" s="433"/>
      <c r="CY114" s="433"/>
      <c r="CZ114" s="433"/>
      <c r="DA114" s="433"/>
      <c r="DB114" s="433"/>
      <c r="DC114" s="433"/>
      <c r="DD114" s="433"/>
      <c r="DE114" s="433"/>
      <c r="DF114" s="433"/>
      <c r="DG114" s="433"/>
      <c r="DH114" s="433"/>
      <c r="DI114" s="433"/>
      <c r="DJ114" s="433"/>
      <c r="DK114" s="433"/>
      <c r="DL114" s="433"/>
      <c r="DM114" s="433"/>
      <c r="DN114" s="433"/>
      <c r="DO114" s="433"/>
      <c r="DP114" s="433"/>
      <c r="DR114" s="409"/>
      <c r="DS114" s="409"/>
    </row>
    <row r="115" spans="2:123" s="1471" customFormat="1">
      <c r="B115" s="428"/>
      <c r="C115" s="429"/>
      <c r="D115" s="429"/>
      <c r="E115" s="429"/>
      <c r="F115" s="429"/>
      <c r="G115" s="429"/>
      <c r="H115" s="429"/>
      <c r="I115" s="429"/>
      <c r="J115" s="429"/>
      <c r="K115" s="429"/>
      <c r="L115" s="429"/>
      <c r="M115" s="429"/>
      <c r="N115" s="429"/>
      <c r="O115" s="429"/>
      <c r="P115" s="429"/>
      <c r="Q115" s="429"/>
      <c r="R115" s="429"/>
      <c r="S115" s="429"/>
      <c r="T115" s="429"/>
      <c r="U115" s="429"/>
      <c r="V115" s="429"/>
      <c r="W115" s="429"/>
      <c r="X115" s="429"/>
      <c r="Y115" s="429"/>
      <c r="Z115" s="429"/>
      <c r="AA115" s="429"/>
      <c r="AB115" s="429"/>
      <c r="AC115" s="429"/>
      <c r="AD115" s="429"/>
      <c r="AE115" s="429"/>
      <c r="AF115" s="429"/>
      <c r="AG115" s="429"/>
      <c r="AH115" s="429"/>
      <c r="AI115" s="429"/>
      <c r="AJ115" s="429"/>
      <c r="AK115" s="429"/>
      <c r="AL115" s="429"/>
      <c r="AM115" s="429"/>
      <c r="AN115" s="429"/>
      <c r="AO115" s="432"/>
      <c r="AP115" s="428"/>
      <c r="AQ115" s="431"/>
      <c r="AR115" s="431"/>
      <c r="AS115" s="431"/>
      <c r="AT115" s="431"/>
      <c r="AU115" s="431"/>
      <c r="AV115" s="431"/>
      <c r="AW115" s="431"/>
      <c r="AX115" s="431"/>
      <c r="AY115" s="431"/>
      <c r="AZ115" s="431"/>
      <c r="BA115" s="431"/>
      <c r="BB115" s="431"/>
      <c r="BC115" s="431"/>
      <c r="BD115" s="431"/>
      <c r="BE115" s="2355"/>
      <c r="BF115" s="2355"/>
      <c r="BG115" s="2355"/>
      <c r="BH115" s="2355"/>
      <c r="BI115" s="2355"/>
      <c r="BJ115" s="2355"/>
      <c r="BK115" s="2355"/>
      <c r="BL115" s="2355"/>
      <c r="BM115" s="2355"/>
      <c r="BN115" s="2355"/>
      <c r="BO115" s="2355"/>
      <c r="BP115" s="2355"/>
      <c r="BQ115" s="2355"/>
      <c r="BR115" s="431"/>
      <c r="BS115" s="431"/>
      <c r="BT115" s="431"/>
      <c r="BU115" s="431"/>
      <c r="BV115" s="431"/>
      <c r="BW115" s="431"/>
      <c r="BX115" s="431"/>
      <c r="BY115" s="431"/>
      <c r="BZ115" s="431"/>
      <c r="CA115" s="431"/>
      <c r="CB115" s="431"/>
      <c r="CC115" s="432"/>
      <c r="CD115" s="428"/>
      <c r="CE115" s="433"/>
      <c r="CF115" s="433"/>
      <c r="CG115" s="433"/>
      <c r="CH115" s="433"/>
      <c r="CI115" s="433"/>
      <c r="CJ115" s="433"/>
      <c r="CK115" s="433"/>
      <c r="CL115" s="433"/>
      <c r="CM115" s="433"/>
      <c r="CN115" s="433"/>
      <c r="CO115" s="433"/>
      <c r="CP115" s="433"/>
      <c r="CQ115" s="433"/>
      <c r="CR115" s="433"/>
      <c r="CS115" s="433"/>
      <c r="CT115" s="433"/>
      <c r="CU115" s="433"/>
      <c r="CV115" s="433"/>
      <c r="CW115" s="433"/>
      <c r="CX115" s="433"/>
      <c r="CY115" s="433"/>
      <c r="CZ115" s="433"/>
      <c r="DA115" s="433"/>
      <c r="DB115" s="433"/>
      <c r="DC115" s="433"/>
      <c r="DD115" s="433"/>
      <c r="DE115" s="433"/>
      <c r="DF115" s="433"/>
      <c r="DG115" s="433"/>
      <c r="DH115" s="433"/>
      <c r="DI115" s="433"/>
      <c r="DJ115" s="433"/>
      <c r="DK115" s="433"/>
      <c r="DL115" s="433"/>
      <c r="DM115" s="433"/>
      <c r="DN115" s="433"/>
      <c r="DO115" s="433"/>
      <c r="DP115" s="433"/>
      <c r="DR115" s="409"/>
      <c r="DS115" s="409"/>
    </row>
    <row r="116" spans="2:123" s="1471" customFormat="1">
      <c r="B116" s="428"/>
      <c r="C116" s="429"/>
      <c r="D116" s="429"/>
      <c r="E116" s="429"/>
      <c r="F116" s="429"/>
      <c r="G116" s="429"/>
      <c r="H116" s="429"/>
      <c r="I116" s="429"/>
      <c r="J116" s="429"/>
      <c r="K116" s="429"/>
      <c r="L116" s="429"/>
      <c r="M116" s="429"/>
      <c r="N116" s="429"/>
      <c r="O116" s="429"/>
      <c r="P116" s="429"/>
      <c r="Q116" s="429"/>
      <c r="R116" s="429"/>
      <c r="S116" s="429"/>
      <c r="T116" s="429"/>
      <c r="U116" s="429"/>
      <c r="V116" s="429"/>
      <c r="W116" s="429"/>
      <c r="X116" s="429"/>
      <c r="Y116" s="429"/>
      <c r="Z116" s="429"/>
      <c r="AA116" s="429"/>
      <c r="AB116" s="429"/>
      <c r="AC116" s="429"/>
      <c r="AD116" s="429"/>
      <c r="AE116" s="429"/>
      <c r="AF116" s="429"/>
      <c r="AG116" s="429"/>
      <c r="AH116" s="429"/>
      <c r="AI116" s="429"/>
      <c r="AJ116" s="429"/>
      <c r="AK116" s="429"/>
      <c r="AL116" s="429"/>
      <c r="AM116" s="429"/>
      <c r="AN116" s="429"/>
      <c r="AO116" s="432"/>
      <c r="AP116" s="428"/>
      <c r="AQ116" s="431"/>
      <c r="AR116" s="431"/>
      <c r="AS116" s="431"/>
      <c r="AT116" s="431"/>
      <c r="AU116" s="431"/>
      <c r="AV116" s="431"/>
      <c r="AW116" s="431"/>
      <c r="AX116" s="431"/>
      <c r="AY116" s="431"/>
      <c r="AZ116" s="431"/>
      <c r="BA116" s="431"/>
      <c r="BB116" s="431"/>
      <c r="BC116" s="431"/>
      <c r="BD116" s="431"/>
      <c r="BE116" s="2355"/>
      <c r="BF116" s="2355"/>
      <c r="BG116" s="2355"/>
      <c r="BH116" s="2355"/>
      <c r="BI116" s="2355"/>
      <c r="BJ116" s="2355"/>
      <c r="BK116" s="2355"/>
      <c r="BL116" s="2355"/>
      <c r="BM116" s="2355"/>
      <c r="BN116" s="2355"/>
      <c r="BO116" s="2355"/>
      <c r="BP116" s="2355"/>
      <c r="BQ116" s="2355"/>
      <c r="BR116" s="431"/>
      <c r="BS116" s="431"/>
      <c r="BT116" s="431"/>
      <c r="BU116" s="431"/>
      <c r="BV116" s="431"/>
      <c r="BW116" s="431"/>
      <c r="BX116" s="431"/>
      <c r="BY116" s="431"/>
      <c r="BZ116" s="431"/>
      <c r="CA116" s="431"/>
      <c r="CB116" s="431"/>
      <c r="CC116" s="432"/>
      <c r="CD116" s="428"/>
      <c r="CE116" s="433"/>
      <c r="CF116" s="433"/>
      <c r="CG116" s="433"/>
      <c r="CH116" s="433"/>
      <c r="CI116" s="433"/>
      <c r="CJ116" s="433"/>
      <c r="CK116" s="433"/>
      <c r="CL116" s="433"/>
      <c r="CM116" s="433"/>
      <c r="CN116" s="433"/>
      <c r="CO116" s="433"/>
      <c r="CP116" s="433"/>
      <c r="CQ116" s="433"/>
      <c r="CR116" s="433"/>
      <c r="CS116" s="433"/>
      <c r="CT116" s="433"/>
      <c r="CU116" s="433"/>
      <c r="CV116" s="433"/>
      <c r="CW116" s="433"/>
      <c r="CX116" s="433"/>
      <c r="CY116" s="433"/>
      <c r="CZ116" s="433"/>
      <c r="DA116" s="433"/>
      <c r="DB116" s="433"/>
      <c r="DC116" s="433"/>
      <c r="DD116" s="433"/>
      <c r="DE116" s="433"/>
      <c r="DF116" s="433"/>
      <c r="DG116" s="433"/>
      <c r="DH116" s="433"/>
      <c r="DI116" s="433"/>
      <c r="DJ116" s="433"/>
      <c r="DK116" s="433"/>
      <c r="DL116" s="433"/>
      <c r="DM116" s="433"/>
      <c r="DN116" s="433"/>
      <c r="DO116" s="433"/>
      <c r="DP116" s="433"/>
      <c r="DR116" s="409"/>
      <c r="DS116" s="409"/>
    </row>
    <row r="117" spans="2:123" s="1471" customFormat="1">
      <c r="B117" s="428"/>
      <c r="C117" s="429"/>
      <c r="D117" s="429"/>
      <c r="E117" s="429"/>
      <c r="F117" s="429"/>
      <c r="G117" s="429"/>
      <c r="H117" s="429"/>
      <c r="I117" s="429"/>
      <c r="J117" s="429"/>
      <c r="K117" s="429"/>
      <c r="L117" s="429"/>
      <c r="M117" s="429"/>
      <c r="N117" s="429"/>
      <c r="O117" s="429"/>
      <c r="P117" s="429"/>
      <c r="Q117" s="429"/>
      <c r="R117" s="429"/>
      <c r="S117" s="429"/>
      <c r="T117" s="429"/>
      <c r="U117" s="429"/>
      <c r="V117" s="429"/>
      <c r="W117" s="429"/>
      <c r="X117" s="429"/>
      <c r="Y117" s="429"/>
      <c r="Z117" s="429"/>
      <c r="AA117" s="429"/>
      <c r="AB117" s="429"/>
      <c r="AC117" s="429"/>
      <c r="AD117" s="429"/>
      <c r="AE117" s="429"/>
      <c r="AF117" s="429"/>
      <c r="AG117" s="429"/>
      <c r="AH117" s="429"/>
      <c r="AI117" s="429"/>
      <c r="AJ117" s="429"/>
      <c r="AK117" s="429"/>
      <c r="AL117" s="429"/>
      <c r="AM117" s="429"/>
      <c r="AN117" s="429"/>
      <c r="AO117" s="432"/>
      <c r="AP117" s="428"/>
      <c r="AQ117" s="431"/>
      <c r="AR117" s="431"/>
      <c r="AS117" s="431"/>
      <c r="AT117" s="431"/>
      <c r="AU117" s="431"/>
      <c r="AV117" s="431"/>
      <c r="AW117" s="431"/>
      <c r="AX117" s="431"/>
      <c r="AY117" s="431"/>
      <c r="AZ117" s="431"/>
      <c r="BA117" s="431"/>
      <c r="BB117" s="431"/>
      <c r="BC117" s="431"/>
      <c r="BD117" s="431"/>
      <c r="BE117" s="2355"/>
      <c r="BF117" s="2355"/>
      <c r="BG117" s="2355"/>
      <c r="BH117" s="2355"/>
      <c r="BI117" s="2355"/>
      <c r="BJ117" s="2355"/>
      <c r="BK117" s="2355"/>
      <c r="BL117" s="2355"/>
      <c r="BM117" s="2355"/>
      <c r="BN117" s="2355"/>
      <c r="BO117" s="2355"/>
      <c r="BP117" s="2355"/>
      <c r="BQ117" s="2355"/>
      <c r="BR117" s="431"/>
      <c r="BS117" s="431"/>
      <c r="BT117" s="431"/>
      <c r="BU117" s="431"/>
      <c r="BV117" s="431"/>
      <c r="BW117" s="431"/>
      <c r="BX117" s="431"/>
      <c r="BY117" s="431"/>
      <c r="BZ117" s="431"/>
      <c r="CA117" s="431"/>
      <c r="CB117" s="431"/>
      <c r="CC117" s="432"/>
      <c r="CD117" s="428"/>
      <c r="CE117" s="433"/>
      <c r="CF117" s="433"/>
      <c r="CG117" s="433"/>
      <c r="CH117" s="433"/>
      <c r="CI117" s="433"/>
      <c r="CJ117" s="433"/>
      <c r="CK117" s="433"/>
      <c r="CL117" s="433"/>
      <c r="CM117" s="433"/>
      <c r="CN117" s="433"/>
      <c r="CO117" s="433"/>
      <c r="CP117" s="433"/>
      <c r="CQ117" s="433"/>
      <c r="CR117" s="433"/>
      <c r="CS117" s="433"/>
      <c r="CT117" s="433"/>
      <c r="CU117" s="433"/>
      <c r="CV117" s="433"/>
      <c r="CW117" s="433"/>
      <c r="CX117" s="433"/>
      <c r="CY117" s="433"/>
      <c r="CZ117" s="433"/>
      <c r="DA117" s="433"/>
      <c r="DB117" s="433"/>
      <c r="DC117" s="433"/>
      <c r="DD117" s="433"/>
      <c r="DE117" s="433"/>
      <c r="DF117" s="433"/>
      <c r="DG117" s="433"/>
      <c r="DH117" s="433"/>
      <c r="DI117" s="433"/>
      <c r="DJ117" s="433"/>
      <c r="DK117" s="433"/>
      <c r="DL117" s="433"/>
      <c r="DM117" s="433"/>
      <c r="DN117" s="433"/>
      <c r="DO117" s="433"/>
      <c r="DP117" s="433"/>
      <c r="DR117" s="409"/>
      <c r="DS117" s="409"/>
    </row>
    <row r="118" spans="2:123" s="1471" customFormat="1">
      <c r="B118" s="428"/>
      <c r="C118" s="429"/>
      <c r="D118" s="429"/>
      <c r="E118" s="429"/>
      <c r="F118" s="429"/>
      <c r="G118" s="429"/>
      <c r="H118" s="429"/>
      <c r="I118" s="429"/>
      <c r="J118" s="429"/>
      <c r="K118" s="429"/>
      <c r="L118" s="429"/>
      <c r="M118" s="429"/>
      <c r="N118" s="429"/>
      <c r="O118" s="429"/>
      <c r="P118" s="429"/>
      <c r="Q118" s="429"/>
      <c r="R118" s="429"/>
      <c r="S118" s="429"/>
      <c r="T118" s="429"/>
      <c r="U118" s="429"/>
      <c r="V118" s="429"/>
      <c r="W118" s="429"/>
      <c r="X118" s="429"/>
      <c r="Y118" s="429"/>
      <c r="Z118" s="429"/>
      <c r="AA118" s="429"/>
      <c r="AB118" s="429"/>
      <c r="AC118" s="429"/>
      <c r="AD118" s="429"/>
      <c r="AE118" s="429"/>
      <c r="AF118" s="429"/>
      <c r="AG118" s="429"/>
      <c r="AH118" s="429"/>
      <c r="AI118" s="429"/>
      <c r="AJ118" s="429"/>
      <c r="AK118" s="429"/>
      <c r="AL118" s="429"/>
      <c r="AM118" s="429"/>
      <c r="AN118" s="429"/>
      <c r="AO118" s="432"/>
      <c r="AP118" s="428"/>
      <c r="AQ118" s="431"/>
      <c r="AR118" s="431"/>
      <c r="AS118" s="431"/>
      <c r="AT118" s="431"/>
      <c r="AU118" s="431"/>
      <c r="AV118" s="431"/>
      <c r="AW118" s="431"/>
      <c r="AX118" s="431"/>
      <c r="AY118" s="431"/>
      <c r="AZ118" s="431"/>
      <c r="BA118" s="431"/>
      <c r="BB118" s="431"/>
      <c r="BC118" s="431"/>
      <c r="BD118" s="431"/>
      <c r="BE118" s="2355"/>
      <c r="BF118" s="2355"/>
      <c r="BG118" s="2355"/>
      <c r="BH118" s="2355"/>
      <c r="BI118" s="2355"/>
      <c r="BJ118" s="2355"/>
      <c r="BK118" s="2355"/>
      <c r="BL118" s="2355"/>
      <c r="BM118" s="2355"/>
      <c r="BN118" s="2355"/>
      <c r="BO118" s="2355"/>
      <c r="BP118" s="2355"/>
      <c r="BQ118" s="2355"/>
      <c r="BR118" s="431"/>
      <c r="BS118" s="431"/>
      <c r="BT118" s="431"/>
      <c r="BU118" s="431"/>
      <c r="BV118" s="431"/>
      <c r="BW118" s="431"/>
      <c r="BX118" s="431"/>
      <c r="BY118" s="431"/>
      <c r="BZ118" s="431"/>
      <c r="CA118" s="431"/>
      <c r="CB118" s="431"/>
      <c r="CC118" s="432"/>
      <c r="CD118" s="428"/>
      <c r="CE118" s="433"/>
      <c r="CF118" s="433"/>
      <c r="CG118" s="433"/>
      <c r="CH118" s="433"/>
      <c r="CI118" s="433"/>
      <c r="CJ118" s="433"/>
      <c r="CK118" s="433"/>
      <c r="CL118" s="433"/>
      <c r="CM118" s="433"/>
      <c r="CN118" s="433"/>
      <c r="CO118" s="433"/>
      <c r="CP118" s="433"/>
      <c r="CQ118" s="433"/>
      <c r="CR118" s="433"/>
      <c r="CS118" s="433"/>
      <c r="CT118" s="433"/>
      <c r="CU118" s="433"/>
      <c r="CV118" s="433"/>
      <c r="CW118" s="433"/>
      <c r="CX118" s="433"/>
      <c r="CY118" s="433"/>
      <c r="CZ118" s="433"/>
      <c r="DA118" s="433"/>
      <c r="DB118" s="433"/>
      <c r="DC118" s="433"/>
      <c r="DD118" s="433"/>
      <c r="DE118" s="433"/>
      <c r="DF118" s="433"/>
      <c r="DG118" s="433"/>
      <c r="DH118" s="433"/>
      <c r="DI118" s="433"/>
      <c r="DJ118" s="433"/>
      <c r="DK118" s="433"/>
      <c r="DL118" s="433"/>
      <c r="DM118" s="433"/>
      <c r="DN118" s="433"/>
      <c r="DO118" s="433"/>
      <c r="DP118" s="433"/>
      <c r="DR118" s="409"/>
      <c r="DS118" s="409"/>
    </row>
    <row r="119" spans="2:123" s="1471" customFormat="1">
      <c r="B119" s="428"/>
      <c r="C119" s="429"/>
      <c r="D119" s="429"/>
      <c r="E119" s="429"/>
      <c r="F119" s="429"/>
      <c r="G119" s="429"/>
      <c r="H119" s="429"/>
      <c r="I119" s="429"/>
      <c r="J119" s="429"/>
      <c r="K119" s="429"/>
      <c r="L119" s="429"/>
      <c r="M119" s="429"/>
      <c r="N119" s="429"/>
      <c r="O119" s="429"/>
      <c r="P119" s="429"/>
      <c r="Q119" s="429"/>
      <c r="R119" s="429"/>
      <c r="S119" s="429"/>
      <c r="T119" s="429"/>
      <c r="U119" s="429"/>
      <c r="V119" s="429"/>
      <c r="W119" s="429"/>
      <c r="X119" s="429"/>
      <c r="Y119" s="429"/>
      <c r="Z119" s="429"/>
      <c r="AA119" s="429"/>
      <c r="AB119" s="429"/>
      <c r="AC119" s="429"/>
      <c r="AD119" s="429"/>
      <c r="AE119" s="429"/>
      <c r="AF119" s="429"/>
      <c r="AG119" s="429"/>
      <c r="AH119" s="429"/>
      <c r="AI119" s="429"/>
      <c r="AJ119" s="429"/>
      <c r="AK119" s="429"/>
      <c r="AL119" s="429"/>
      <c r="AM119" s="429"/>
      <c r="AN119" s="429"/>
      <c r="AO119" s="432"/>
      <c r="AP119" s="428"/>
      <c r="AQ119" s="431"/>
      <c r="AR119" s="431"/>
      <c r="AS119" s="431"/>
      <c r="AT119" s="431"/>
      <c r="AU119" s="431"/>
      <c r="AV119" s="431"/>
      <c r="AW119" s="431"/>
      <c r="AX119" s="431"/>
      <c r="AY119" s="431"/>
      <c r="AZ119" s="431"/>
      <c r="BA119" s="431"/>
      <c r="BB119" s="431"/>
      <c r="BC119" s="431"/>
      <c r="BD119" s="431"/>
      <c r="BE119" s="2355"/>
      <c r="BF119" s="2355"/>
      <c r="BG119" s="2355"/>
      <c r="BH119" s="2355"/>
      <c r="BI119" s="2355"/>
      <c r="BJ119" s="2355"/>
      <c r="BK119" s="2355"/>
      <c r="BL119" s="2355"/>
      <c r="BM119" s="2355"/>
      <c r="BN119" s="2355"/>
      <c r="BO119" s="2355"/>
      <c r="BP119" s="2355"/>
      <c r="BQ119" s="2355"/>
      <c r="BR119" s="431"/>
      <c r="BS119" s="431"/>
      <c r="BT119" s="431"/>
      <c r="BU119" s="431"/>
      <c r="BV119" s="431"/>
      <c r="BW119" s="431"/>
      <c r="BX119" s="431"/>
      <c r="BY119" s="431"/>
      <c r="BZ119" s="431"/>
      <c r="CA119" s="431"/>
      <c r="CB119" s="431"/>
      <c r="CC119" s="432"/>
      <c r="CD119" s="428"/>
      <c r="CE119" s="433"/>
      <c r="CF119" s="433"/>
      <c r="CG119" s="433"/>
      <c r="CH119" s="433"/>
      <c r="CI119" s="433"/>
      <c r="CJ119" s="433"/>
      <c r="CK119" s="433"/>
      <c r="CL119" s="433"/>
      <c r="CM119" s="433"/>
      <c r="CN119" s="433"/>
      <c r="CO119" s="433"/>
      <c r="CP119" s="433"/>
      <c r="CQ119" s="433"/>
      <c r="CR119" s="433"/>
      <c r="CS119" s="433"/>
      <c r="CT119" s="433"/>
      <c r="CU119" s="433"/>
      <c r="CV119" s="433"/>
      <c r="CW119" s="433"/>
      <c r="CX119" s="433"/>
      <c r="CY119" s="433"/>
      <c r="CZ119" s="433"/>
      <c r="DA119" s="433"/>
      <c r="DB119" s="433"/>
      <c r="DC119" s="433"/>
      <c r="DD119" s="433"/>
      <c r="DE119" s="433"/>
      <c r="DF119" s="433"/>
      <c r="DG119" s="433"/>
      <c r="DH119" s="433"/>
      <c r="DI119" s="433"/>
      <c r="DJ119" s="433"/>
      <c r="DK119" s="433"/>
      <c r="DL119" s="433"/>
      <c r="DM119" s="433"/>
      <c r="DN119" s="433"/>
      <c r="DO119" s="433"/>
      <c r="DP119" s="433"/>
      <c r="DR119" s="409"/>
      <c r="DS119" s="409"/>
    </row>
    <row r="120" spans="2:123" s="1471" customFormat="1">
      <c r="B120" s="428"/>
      <c r="C120" s="429"/>
      <c r="D120" s="429"/>
      <c r="E120" s="429"/>
      <c r="F120" s="429"/>
      <c r="G120" s="429"/>
      <c r="H120" s="429"/>
      <c r="I120" s="429"/>
      <c r="J120" s="429"/>
      <c r="K120" s="429"/>
      <c r="L120" s="429"/>
      <c r="M120" s="429"/>
      <c r="N120" s="429"/>
      <c r="O120" s="429"/>
      <c r="P120" s="429"/>
      <c r="Q120" s="429"/>
      <c r="R120" s="429"/>
      <c r="S120" s="429"/>
      <c r="T120" s="429"/>
      <c r="U120" s="429"/>
      <c r="V120" s="429"/>
      <c r="W120" s="429"/>
      <c r="X120" s="429"/>
      <c r="Y120" s="429"/>
      <c r="Z120" s="429"/>
      <c r="AA120" s="429"/>
      <c r="AB120" s="429"/>
      <c r="AC120" s="429"/>
      <c r="AD120" s="429"/>
      <c r="AE120" s="429"/>
      <c r="AF120" s="429"/>
      <c r="AG120" s="429"/>
      <c r="AH120" s="429"/>
      <c r="AI120" s="429"/>
      <c r="AJ120" s="429"/>
      <c r="AK120" s="429"/>
      <c r="AL120" s="429"/>
      <c r="AM120" s="429"/>
      <c r="AN120" s="429"/>
      <c r="AO120" s="432"/>
      <c r="AP120" s="428"/>
      <c r="AQ120" s="431"/>
      <c r="AR120" s="431"/>
      <c r="AS120" s="431"/>
      <c r="AT120" s="431"/>
      <c r="AU120" s="431"/>
      <c r="AV120" s="431"/>
      <c r="AW120" s="431"/>
      <c r="AX120" s="431"/>
      <c r="AY120" s="431"/>
      <c r="AZ120" s="431"/>
      <c r="BA120" s="431"/>
      <c r="BB120" s="431"/>
      <c r="BC120" s="431"/>
      <c r="BD120" s="431"/>
      <c r="BE120" s="2355"/>
      <c r="BF120" s="2355"/>
      <c r="BG120" s="2355"/>
      <c r="BH120" s="2355"/>
      <c r="BI120" s="2355"/>
      <c r="BJ120" s="2355"/>
      <c r="BK120" s="2355"/>
      <c r="BL120" s="2355"/>
      <c r="BM120" s="2355"/>
      <c r="BN120" s="2355"/>
      <c r="BO120" s="2355"/>
      <c r="BP120" s="2355"/>
      <c r="BQ120" s="2355"/>
      <c r="BR120" s="431"/>
      <c r="BS120" s="431"/>
      <c r="BT120" s="431"/>
      <c r="BU120" s="431"/>
      <c r="BV120" s="431"/>
      <c r="BW120" s="431"/>
      <c r="BX120" s="431"/>
      <c r="BY120" s="431"/>
      <c r="BZ120" s="431"/>
      <c r="CA120" s="431"/>
      <c r="CB120" s="431"/>
      <c r="CC120" s="432"/>
      <c r="CD120" s="428"/>
      <c r="CE120" s="433"/>
      <c r="CF120" s="433"/>
      <c r="CG120" s="433"/>
      <c r="CH120" s="433"/>
      <c r="CI120" s="433"/>
      <c r="CJ120" s="433"/>
      <c r="CK120" s="433"/>
      <c r="CL120" s="433"/>
      <c r="CM120" s="433"/>
      <c r="CN120" s="433"/>
      <c r="CO120" s="433"/>
      <c r="CP120" s="433"/>
      <c r="CQ120" s="433"/>
      <c r="CR120" s="433"/>
      <c r="CS120" s="433"/>
      <c r="CT120" s="433"/>
      <c r="CU120" s="433"/>
      <c r="CV120" s="433"/>
      <c r="CW120" s="433"/>
      <c r="CX120" s="433"/>
      <c r="CY120" s="433"/>
      <c r="CZ120" s="433"/>
      <c r="DA120" s="433"/>
      <c r="DB120" s="433"/>
      <c r="DC120" s="433"/>
      <c r="DD120" s="433"/>
      <c r="DE120" s="433"/>
      <c r="DF120" s="433"/>
      <c r="DG120" s="433"/>
      <c r="DH120" s="433"/>
      <c r="DI120" s="433"/>
      <c r="DJ120" s="433"/>
      <c r="DK120" s="433"/>
      <c r="DL120" s="433"/>
      <c r="DM120" s="433"/>
      <c r="DN120" s="433"/>
      <c r="DO120" s="433"/>
      <c r="DP120" s="433"/>
      <c r="DR120" s="409"/>
      <c r="DS120" s="409"/>
    </row>
    <row r="121" spans="2:123" s="1471" customFormat="1">
      <c r="B121" s="428"/>
      <c r="C121" s="429"/>
      <c r="D121" s="429"/>
      <c r="E121" s="429"/>
      <c r="F121" s="429"/>
      <c r="G121" s="429"/>
      <c r="H121" s="429"/>
      <c r="I121" s="429"/>
      <c r="J121" s="429"/>
      <c r="K121" s="429"/>
      <c r="L121" s="429"/>
      <c r="M121" s="429"/>
      <c r="N121" s="429"/>
      <c r="O121" s="429"/>
      <c r="P121" s="429"/>
      <c r="Q121" s="429"/>
      <c r="R121" s="429"/>
      <c r="S121" s="429"/>
      <c r="T121" s="429"/>
      <c r="U121" s="429"/>
      <c r="V121" s="429"/>
      <c r="W121" s="429"/>
      <c r="X121" s="429"/>
      <c r="Y121" s="429"/>
      <c r="Z121" s="429"/>
      <c r="AA121" s="429"/>
      <c r="AB121" s="429"/>
      <c r="AC121" s="429"/>
      <c r="AD121" s="429"/>
      <c r="AE121" s="429"/>
      <c r="AF121" s="429"/>
      <c r="AG121" s="429"/>
      <c r="AH121" s="429"/>
      <c r="AI121" s="429"/>
      <c r="AJ121" s="429"/>
      <c r="AK121" s="429"/>
      <c r="AL121" s="429"/>
      <c r="AM121" s="429"/>
      <c r="AN121" s="429"/>
      <c r="AO121" s="432"/>
      <c r="AP121" s="428"/>
      <c r="AQ121" s="431"/>
      <c r="AR121" s="431"/>
      <c r="AS121" s="431"/>
      <c r="AT121" s="431"/>
      <c r="AU121" s="431"/>
      <c r="AV121" s="431"/>
      <c r="AW121" s="431"/>
      <c r="AX121" s="431"/>
      <c r="AY121" s="431"/>
      <c r="AZ121" s="431"/>
      <c r="BA121" s="431"/>
      <c r="BB121" s="431"/>
      <c r="BC121" s="431"/>
      <c r="BD121" s="431"/>
      <c r="BE121" s="2355"/>
      <c r="BF121" s="2355"/>
      <c r="BG121" s="2355"/>
      <c r="BH121" s="2355"/>
      <c r="BI121" s="2355"/>
      <c r="BJ121" s="2355"/>
      <c r="BK121" s="2355"/>
      <c r="BL121" s="2355"/>
      <c r="BM121" s="2355"/>
      <c r="BN121" s="2355"/>
      <c r="BO121" s="2355"/>
      <c r="BP121" s="2355"/>
      <c r="BQ121" s="2355"/>
      <c r="BR121" s="431"/>
      <c r="BS121" s="431"/>
      <c r="BT121" s="431"/>
      <c r="BU121" s="431"/>
      <c r="BV121" s="431"/>
      <c r="BW121" s="431"/>
      <c r="BX121" s="431"/>
      <c r="BY121" s="431"/>
      <c r="BZ121" s="431"/>
      <c r="CA121" s="431"/>
      <c r="CB121" s="431"/>
      <c r="CC121" s="432"/>
      <c r="CD121" s="428"/>
      <c r="CE121" s="433"/>
      <c r="CF121" s="433"/>
      <c r="CG121" s="433"/>
      <c r="CH121" s="433"/>
      <c r="CI121" s="433"/>
      <c r="CJ121" s="433"/>
      <c r="CK121" s="433"/>
      <c r="CL121" s="433"/>
      <c r="CM121" s="433"/>
      <c r="CN121" s="433"/>
      <c r="CO121" s="433"/>
      <c r="CP121" s="433"/>
      <c r="CQ121" s="433"/>
      <c r="CR121" s="433"/>
      <c r="CS121" s="433"/>
      <c r="CT121" s="433"/>
      <c r="CU121" s="433"/>
      <c r="CV121" s="433"/>
      <c r="CW121" s="433"/>
      <c r="CX121" s="433"/>
      <c r="CY121" s="433"/>
      <c r="CZ121" s="433"/>
      <c r="DA121" s="433"/>
      <c r="DB121" s="433"/>
      <c r="DC121" s="433"/>
      <c r="DD121" s="433"/>
      <c r="DE121" s="433"/>
      <c r="DF121" s="433"/>
      <c r="DG121" s="433"/>
      <c r="DH121" s="433"/>
      <c r="DI121" s="433"/>
      <c r="DJ121" s="433"/>
      <c r="DK121" s="433"/>
      <c r="DL121" s="433"/>
      <c r="DM121" s="433"/>
      <c r="DN121" s="433"/>
      <c r="DO121" s="433"/>
      <c r="DP121" s="433"/>
      <c r="DR121" s="409"/>
      <c r="DS121" s="409"/>
    </row>
    <row r="122" spans="2:123" s="1471" customFormat="1">
      <c r="B122" s="428"/>
      <c r="C122" s="429"/>
      <c r="D122" s="429"/>
      <c r="E122" s="429"/>
      <c r="F122" s="429"/>
      <c r="G122" s="429"/>
      <c r="H122" s="429"/>
      <c r="I122" s="429"/>
      <c r="J122" s="429"/>
      <c r="K122" s="429"/>
      <c r="L122" s="429"/>
      <c r="M122" s="429"/>
      <c r="N122" s="429"/>
      <c r="O122" s="429"/>
      <c r="P122" s="429"/>
      <c r="Q122" s="429"/>
      <c r="R122" s="429"/>
      <c r="S122" s="429"/>
      <c r="T122" s="429"/>
      <c r="U122" s="429"/>
      <c r="V122" s="429"/>
      <c r="W122" s="429"/>
      <c r="X122" s="429"/>
      <c r="Y122" s="429"/>
      <c r="Z122" s="429"/>
      <c r="AA122" s="429"/>
      <c r="AB122" s="429"/>
      <c r="AC122" s="429"/>
      <c r="AD122" s="429"/>
      <c r="AE122" s="429"/>
      <c r="AF122" s="429"/>
      <c r="AG122" s="429"/>
      <c r="AH122" s="429"/>
      <c r="AI122" s="429"/>
      <c r="AJ122" s="429"/>
      <c r="AK122" s="429"/>
      <c r="AL122" s="429"/>
      <c r="AM122" s="429"/>
      <c r="AN122" s="429"/>
      <c r="AO122" s="432"/>
      <c r="AP122" s="428"/>
      <c r="AQ122" s="431"/>
      <c r="AR122" s="431"/>
      <c r="AS122" s="431"/>
      <c r="AT122" s="431"/>
      <c r="AU122" s="431"/>
      <c r="AV122" s="431"/>
      <c r="AW122" s="431"/>
      <c r="AX122" s="431"/>
      <c r="AY122" s="431"/>
      <c r="AZ122" s="431"/>
      <c r="BA122" s="431"/>
      <c r="BB122" s="431"/>
      <c r="BC122" s="431"/>
      <c r="BD122" s="431"/>
      <c r="BE122" s="2355"/>
      <c r="BF122" s="2355"/>
      <c r="BG122" s="2355"/>
      <c r="BH122" s="2355"/>
      <c r="BI122" s="2355"/>
      <c r="BJ122" s="2355"/>
      <c r="BK122" s="2355"/>
      <c r="BL122" s="2355"/>
      <c r="BM122" s="2355"/>
      <c r="BN122" s="2355"/>
      <c r="BO122" s="2355"/>
      <c r="BP122" s="2355"/>
      <c r="BQ122" s="2355"/>
      <c r="BR122" s="431"/>
      <c r="BS122" s="431"/>
      <c r="BT122" s="431"/>
      <c r="BU122" s="431"/>
      <c r="BV122" s="431"/>
      <c r="BW122" s="431"/>
      <c r="BX122" s="431"/>
      <c r="BY122" s="431"/>
      <c r="BZ122" s="431"/>
      <c r="CA122" s="431"/>
      <c r="CB122" s="431"/>
      <c r="CC122" s="432"/>
      <c r="CD122" s="428"/>
      <c r="CE122" s="433"/>
      <c r="CF122" s="433"/>
      <c r="CG122" s="433"/>
      <c r="CH122" s="433"/>
      <c r="CI122" s="433"/>
      <c r="CJ122" s="433"/>
      <c r="CK122" s="433"/>
      <c r="CL122" s="433"/>
      <c r="CM122" s="433"/>
      <c r="CN122" s="433"/>
      <c r="CO122" s="433"/>
      <c r="CP122" s="433"/>
      <c r="CQ122" s="433"/>
      <c r="CR122" s="433"/>
      <c r="CS122" s="433"/>
      <c r="CT122" s="433"/>
      <c r="CU122" s="433"/>
      <c r="CV122" s="433"/>
      <c r="CW122" s="433"/>
      <c r="CX122" s="433"/>
      <c r="CY122" s="433"/>
      <c r="CZ122" s="433"/>
      <c r="DA122" s="433"/>
      <c r="DB122" s="433"/>
      <c r="DC122" s="433"/>
      <c r="DD122" s="433"/>
      <c r="DE122" s="433"/>
      <c r="DF122" s="433"/>
      <c r="DG122" s="433"/>
      <c r="DH122" s="433"/>
      <c r="DI122" s="433"/>
      <c r="DJ122" s="433"/>
      <c r="DK122" s="433"/>
      <c r="DL122" s="433"/>
      <c r="DM122" s="433"/>
      <c r="DN122" s="433"/>
      <c r="DO122" s="433"/>
      <c r="DP122" s="433"/>
      <c r="DR122" s="409"/>
      <c r="DS122" s="409"/>
    </row>
    <row r="123" spans="2:123" s="1471" customFormat="1">
      <c r="B123" s="428"/>
      <c r="C123" s="429"/>
      <c r="D123" s="429"/>
      <c r="E123" s="429"/>
      <c r="F123" s="429"/>
      <c r="G123" s="429"/>
      <c r="H123" s="429"/>
      <c r="I123" s="429"/>
      <c r="J123" s="429"/>
      <c r="K123" s="429"/>
      <c r="L123" s="429"/>
      <c r="M123" s="429"/>
      <c r="N123" s="429"/>
      <c r="O123" s="429"/>
      <c r="P123" s="429"/>
      <c r="Q123" s="429"/>
      <c r="R123" s="429"/>
      <c r="S123" s="429"/>
      <c r="T123" s="429"/>
      <c r="U123" s="429"/>
      <c r="V123" s="429"/>
      <c r="W123" s="429"/>
      <c r="X123" s="429"/>
      <c r="Y123" s="429"/>
      <c r="Z123" s="429"/>
      <c r="AA123" s="429"/>
      <c r="AB123" s="429"/>
      <c r="AC123" s="429"/>
      <c r="AD123" s="429"/>
      <c r="AE123" s="429"/>
      <c r="AF123" s="429"/>
      <c r="AG123" s="429"/>
      <c r="AH123" s="429"/>
      <c r="AI123" s="429"/>
      <c r="AJ123" s="429"/>
      <c r="AK123" s="429"/>
      <c r="AL123" s="429"/>
      <c r="AM123" s="429"/>
      <c r="AN123" s="429"/>
      <c r="AO123" s="432"/>
      <c r="AP123" s="428"/>
      <c r="AQ123" s="431"/>
      <c r="AR123" s="431"/>
      <c r="AS123" s="431"/>
      <c r="AT123" s="431"/>
      <c r="AU123" s="431"/>
      <c r="AV123" s="431"/>
      <c r="AW123" s="431"/>
      <c r="AX123" s="431"/>
      <c r="AY123" s="431"/>
      <c r="AZ123" s="431"/>
      <c r="BA123" s="431"/>
      <c r="BB123" s="431"/>
      <c r="BC123" s="431"/>
      <c r="BD123" s="431"/>
      <c r="BE123" s="2355"/>
      <c r="BF123" s="2355"/>
      <c r="BG123" s="2355"/>
      <c r="BH123" s="2355"/>
      <c r="BI123" s="2355"/>
      <c r="BJ123" s="2355"/>
      <c r="BK123" s="2355"/>
      <c r="BL123" s="2355"/>
      <c r="BM123" s="2355"/>
      <c r="BN123" s="2355"/>
      <c r="BO123" s="2355"/>
      <c r="BP123" s="2355"/>
      <c r="BQ123" s="2355"/>
      <c r="BR123" s="431"/>
      <c r="BS123" s="431"/>
      <c r="BT123" s="431"/>
      <c r="BU123" s="431"/>
      <c r="BV123" s="431"/>
      <c r="BW123" s="431"/>
      <c r="BX123" s="431"/>
      <c r="BY123" s="431"/>
      <c r="BZ123" s="431"/>
      <c r="CA123" s="431"/>
      <c r="CB123" s="431"/>
      <c r="CC123" s="432"/>
      <c r="CD123" s="428"/>
      <c r="CE123" s="433"/>
      <c r="CF123" s="433"/>
      <c r="CG123" s="433"/>
      <c r="CH123" s="433"/>
      <c r="CI123" s="433"/>
      <c r="CJ123" s="433"/>
      <c r="CK123" s="433"/>
      <c r="CL123" s="433"/>
      <c r="CM123" s="433"/>
      <c r="CN123" s="433"/>
      <c r="CO123" s="433"/>
      <c r="CP123" s="433"/>
      <c r="CQ123" s="433"/>
      <c r="CR123" s="433"/>
      <c r="CS123" s="433"/>
      <c r="CT123" s="433"/>
      <c r="CU123" s="433"/>
      <c r="CV123" s="433"/>
      <c r="CW123" s="433"/>
      <c r="CX123" s="433"/>
      <c r="CY123" s="433"/>
      <c r="CZ123" s="433"/>
      <c r="DA123" s="433"/>
      <c r="DB123" s="433"/>
      <c r="DC123" s="433"/>
      <c r="DD123" s="433"/>
      <c r="DE123" s="433"/>
      <c r="DF123" s="433"/>
      <c r="DG123" s="433"/>
      <c r="DH123" s="433"/>
      <c r="DI123" s="433"/>
      <c r="DJ123" s="433"/>
      <c r="DK123" s="433"/>
      <c r="DL123" s="433"/>
      <c r="DM123" s="433"/>
      <c r="DN123" s="433"/>
      <c r="DO123" s="433"/>
      <c r="DP123" s="433"/>
      <c r="DR123" s="409"/>
      <c r="DS123" s="409"/>
    </row>
    <row r="124" spans="2:123" s="1471" customFormat="1">
      <c r="B124" s="428"/>
      <c r="C124" s="429"/>
      <c r="D124" s="429"/>
      <c r="E124" s="429"/>
      <c r="F124" s="429"/>
      <c r="G124" s="429"/>
      <c r="H124" s="429"/>
      <c r="I124" s="429"/>
      <c r="J124" s="429"/>
      <c r="K124" s="429"/>
      <c r="L124" s="429"/>
      <c r="M124" s="429"/>
      <c r="N124" s="429"/>
      <c r="O124" s="429"/>
      <c r="P124" s="429"/>
      <c r="Q124" s="429"/>
      <c r="R124" s="429"/>
      <c r="S124" s="429"/>
      <c r="T124" s="429"/>
      <c r="U124" s="429"/>
      <c r="V124" s="429"/>
      <c r="W124" s="429"/>
      <c r="X124" s="429"/>
      <c r="Y124" s="429"/>
      <c r="Z124" s="429"/>
      <c r="AA124" s="429"/>
      <c r="AB124" s="429"/>
      <c r="AC124" s="429"/>
      <c r="AD124" s="429"/>
      <c r="AE124" s="429"/>
      <c r="AF124" s="429"/>
      <c r="AG124" s="429"/>
      <c r="AH124" s="429"/>
      <c r="AI124" s="429"/>
      <c r="AJ124" s="429"/>
      <c r="AK124" s="429"/>
      <c r="AL124" s="429"/>
      <c r="AM124" s="429"/>
      <c r="AN124" s="429"/>
      <c r="AO124" s="432"/>
      <c r="AP124" s="428"/>
      <c r="AQ124" s="431"/>
      <c r="AR124" s="431"/>
      <c r="AS124" s="431"/>
      <c r="AT124" s="431"/>
      <c r="AU124" s="431"/>
      <c r="AV124" s="431"/>
      <c r="AW124" s="431"/>
      <c r="AX124" s="431"/>
      <c r="AY124" s="431"/>
      <c r="AZ124" s="431"/>
      <c r="BA124" s="431"/>
      <c r="BB124" s="431"/>
      <c r="BC124" s="431"/>
      <c r="BD124" s="431"/>
      <c r="BE124" s="2355"/>
      <c r="BF124" s="2355"/>
      <c r="BG124" s="2355"/>
      <c r="BH124" s="2355"/>
      <c r="BI124" s="2355"/>
      <c r="BJ124" s="2355"/>
      <c r="BK124" s="2355"/>
      <c r="BL124" s="2355"/>
      <c r="BM124" s="2355"/>
      <c r="BN124" s="2355"/>
      <c r="BO124" s="2355"/>
      <c r="BP124" s="2355"/>
      <c r="BQ124" s="2355"/>
      <c r="BR124" s="431"/>
      <c r="BS124" s="431"/>
      <c r="BT124" s="431"/>
      <c r="BU124" s="431"/>
      <c r="BV124" s="431"/>
      <c r="BW124" s="431"/>
      <c r="BX124" s="431"/>
      <c r="BY124" s="431"/>
      <c r="BZ124" s="431"/>
      <c r="CA124" s="431"/>
      <c r="CB124" s="431"/>
      <c r="CC124" s="432"/>
      <c r="CD124" s="428"/>
      <c r="CE124" s="433"/>
      <c r="CF124" s="433"/>
      <c r="CG124" s="433"/>
      <c r="CH124" s="433"/>
      <c r="CI124" s="433"/>
      <c r="CJ124" s="433"/>
      <c r="CK124" s="433"/>
      <c r="CL124" s="433"/>
      <c r="CM124" s="433"/>
      <c r="CN124" s="433"/>
      <c r="CO124" s="433"/>
      <c r="CP124" s="433"/>
      <c r="CQ124" s="433"/>
      <c r="CR124" s="433"/>
      <c r="CS124" s="433"/>
      <c r="CT124" s="433"/>
      <c r="CU124" s="433"/>
      <c r="CV124" s="433"/>
      <c r="CW124" s="433"/>
      <c r="CX124" s="433"/>
      <c r="CY124" s="433"/>
      <c r="CZ124" s="433"/>
      <c r="DA124" s="433"/>
      <c r="DB124" s="433"/>
      <c r="DC124" s="433"/>
      <c r="DD124" s="433"/>
      <c r="DE124" s="433"/>
      <c r="DF124" s="433"/>
      <c r="DG124" s="433"/>
      <c r="DH124" s="433"/>
      <c r="DI124" s="433"/>
      <c r="DJ124" s="433"/>
      <c r="DK124" s="433"/>
      <c r="DL124" s="433"/>
      <c r="DM124" s="433"/>
      <c r="DN124" s="433"/>
      <c r="DO124" s="433"/>
      <c r="DP124" s="433"/>
      <c r="DR124" s="409"/>
      <c r="DS124" s="409"/>
    </row>
    <row r="125" spans="2:123" s="1471" customFormat="1">
      <c r="B125" s="428"/>
      <c r="C125" s="429"/>
      <c r="D125" s="429"/>
      <c r="E125" s="429"/>
      <c r="F125" s="429"/>
      <c r="G125" s="429"/>
      <c r="H125" s="429"/>
      <c r="I125" s="429"/>
      <c r="J125" s="429"/>
      <c r="K125" s="429"/>
      <c r="L125" s="429"/>
      <c r="M125" s="429"/>
      <c r="N125" s="429"/>
      <c r="O125" s="429"/>
      <c r="P125" s="429"/>
      <c r="Q125" s="429"/>
      <c r="R125" s="429"/>
      <c r="S125" s="429"/>
      <c r="T125" s="429"/>
      <c r="U125" s="429"/>
      <c r="V125" s="429"/>
      <c r="W125" s="429"/>
      <c r="X125" s="429"/>
      <c r="Y125" s="429"/>
      <c r="Z125" s="429"/>
      <c r="AA125" s="429"/>
      <c r="AB125" s="429"/>
      <c r="AC125" s="429"/>
      <c r="AD125" s="429"/>
      <c r="AE125" s="429"/>
      <c r="AF125" s="429"/>
      <c r="AG125" s="429"/>
      <c r="AH125" s="429"/>
      <c r="AI125" s="429"/>
      <c r="AJ125" s="429"/>
      <c r="AK125" s="429"/>
      <c r="AL125" s="429"/>
      <c r="AM125" s="429"/>
      <c r="AN125" s="429"/>
      <c r="AO125" s="432"/>
      <c r="AP125" s="428"/>
      <c r="AQ125" s="431"/>
      <c r="AR125" s="431"/>
      <c r="AS125" s="431"/>
      <c r="AT125" s="431"/>
      <c r="AU125" s="431"/>
      <c r="AV125" s="431"/>
      <c r="AW125" s="431"/>
      <c r="AX125" s="431"/>
      <c r="AY125" s="431"/>
      <c r="AZ125" s="431"/>
      <c r="BA125" s="431"/>
      <c r="BB125" s="431"/>
      <c r="BC125" s="431"/>
      <c r="BD125" s="431"/>
      <c r="BE125" s="2355"/>
      <c r="BF125" s="2355"/>
      <c r="BG125" s="2355"/>
      <c r="BH125" s="2355"/>
      <c r="BI125" s="2355"/>
      <c r="BJ125" s="2355"/>
      <c r="BK125" s="2355"/>
      <c r="BL125" s="2355"/>
      <c r="BM125" s="2355"/>
      <c r="BN125" s="2355"/>
      <c r="BO125" s="2355"/>
      <c r="BP125" s="2355"/>
      <c r="BQ125" s="2355"/>
      <c r="BR125" s="431"/>
      <c r="BS125" s="431"/>
      <c r="BT125" s="431"/>
      <c r="BU125" s="431"/>
      <c r="BV125" s="431"/>
      <c r="BW125" s="431"/>
      <c r="BX125" s="431"/>
      <c r="BY125" s="431"/>
      <c r="BZ125" s="431"/>
      <c r="CA125" s="431"/>
      <c r="CB125" s="431"/>
      <c r="CC125" s="432"/>
      <c r="CD125" s="428"/>
      <c r="CE125" s="433"/>
      <c r="CF125" s="433"/>
      <c r="CG125" s="433"/>
      <c r="CH125" s="433"/>
      <c r="CI125" s="433"/>
      <c r="CJ125" s="433"/>
      <c r="CK125" s="433"/>
      <c r="CL125" s="433"/>
      <c r="CM125" s="433"/>
      <c r="CN125" s="433"/>
      <c r="CO125" s="433"/>
      <c r="CP125" s="433"/>
      <c r="CQ125" s="433"/>
      <c r="CR125" s="433"/>
      <c r="CS125" s="433"/>
      <c r="CT125" s="433"/>
      <c r="CU125" s="433"/>
      <c r="CV125" s="433"/>
      <c r="CW125" s="433"/>
      <c r="CX125" s="433"/>
      <c r="CY125" s="433"/>
      <c r="CZ125" s="433"/>
      <c r="DA125" s="433"/>
      <c r="DB125" s="433"/>
      <c r="DC125" s="433"/>
      <c r="DD125" s="433"/>
      <c r="DE125" s="433"/>
      <c r="DF125" s="433"/>
      <c r="DG125" s="433"/>
      <c r="DH125" s="433"/>
      <c r="DI125" s="433"/>
      <c r="DJ125" s="433"/>
      <c r="DK125" s="433"/>
      <c r="DL125" s="433"/>
      <c r="DM125" s="433"/>
      <c r="DN125" s="433"/>
      <c r="DO125" s="433"/>
      <c r="DP125" s="433"/>
      <c r="DR125" s="409"/>
      <c r="DS125" s="409"/>
    </row>
    <row r="126" spans="2:123" s="1471" customFormat="1">
      <c r="B126" s="428"/>
      <c r="C126" s="429"/>
      <c r="D126" s="429"/>
      <c r="E126" s="429"/>
      <c r="F126" s="429"/>
      <c r="G126" s="429"/>
      <c r="H126" s="429"/>
      <c r="I126" s="429"/>
      <c r="J126" s="429"/>
      <c r="K126" s="429"/>
      <c r="L126" s="429"/>
      <c r="M126" s="429"/>
      <c r="N126" s="429"/>
      <c r="O126" s="429"/>
      <c r="P126" s="429"/>
      <c r="Q126" s="429"/>
      <c r="R126" s="429"/>
      <c r="S126" s="429"/>
      <c r="T126" s="429"/>
      <c r="U126" s="429"/>
      <c r="V126" s="429"/>
      <c r="W126" s="429"/>
      <c r="X126" s="429"/>
      <c r="Y126" s="429"/>
      <c r="Z126" s="429"/>
      <c r="AA126" s="429"/>
      <c r="AB126" s="429"/>
      <c r="AC126" s="429"/>
      <c r="AD126" s="429"/>
      <c r="AE126" s="429"/>
      <c r="AF126" s="429"/>
      <c r="AG126" s="429"/>
      <c r="AH126" s="429"/>
      <c r="AI126" s="429"/>
      <c r="AJ126" s="429"/>
      <c r="AK126" s="429"/>
      <c r="AL126" s="429"/>
      <c r="AM126" s="429"/>
      <c r="AN126" s="429"/>
      <c r="AO126" s="432"/>
      <c r="AP126" s="428"/>
      <c r="AQ126" s="431"/>
      <c r="AR126" s="431"/>
      <c r="AS126" s="431"/>
      <c r="AT126" s="431"/>
      <c r="AU126" s="431"/>
      <c r="AV126" s="431"/>
      <c r="AW126" s="431"/>
      <c r="AX126" s="431"/>
      <c r="AY126" s="431"/>
      <c r="AZ126" s="431"/>
      <c r="BA126" s="431"/>
      <c r="BB126" s="431"/>
      <c r="BC126" s="431"/>
      <c r="BD126" s="431"/>
      <c r="BE126" s="2355"/>
      <c r="BF126" s="2355"/>
      <c r="BG126" s="2355"/>
      <c r="BH126" s="2355"/>
      <c r="BI126" s="2355"/>
      <c r="BJ126" s="2355"/>
      <c r="BK126" s="2355"/>
      <c r="BL126" s="2355"/>
      <c r="BM126" s="2355"/>
      <c r="BN126" s="2355"/>
      <c r="BO126" s="2355"/>
      <c r="BP126" s="2355"/>
      <c r="BQ126" s="2355"/>
      <c r="BR126" s="431"/>
      <c r="BS126" s="431"/>
      <c r="BT126" s="431"/>
      <c r="BU126" s="431"/>
      <c r="BV126" s="431"/>
      <c r="BW126" s="431"/>
      <c r="BX126" s="431"/>
      <c r="BY126" s="431"/>
      <c r="BZ126" s="431"/>
      <c r="CA126" s="431"/>
      <c r="CB126" s="431"/>
      <c r="CC126" s="432"/>
      <c r="CD126" s="428"/>
      <c r="CE126" s="433"/>
      <c r="CF126" s="433"/>
      <c r="CG126" s="433"/>
      <c r="CH126" s="433"/>
      <c r="CI126" s="433"/>
      <c r="CJ126" s="433"/>
      <c r="CK126" s="433"/>
      <c r="CL126" s="433"/>
      <c r="CM126" s="433"/>
      <c r="CN126" s="433"/>
      <c r="CO126" s="433"/>
      <c r="CP126" s="433"/>
      <c r="CQ126" s="433"/>
      <c r="CR126" s="433"/>
      <c r="CS126" s="433"/>
      <c r="CT126" s="433"/>
      <c r="CU126" s="433"/>
      <c r="CV126" s="433"/>
      <c r="CW126" s="433"/>
      <c r="CX126" s="433"/>
      <c r="CY126" s="433"/>
      <c r="CZ126" s="433"/>
      <c r="DA126" s="433"/>
      <c r="DB126" s="433"/>
      <c r="DC126" s="433"/>
      <c r="DD126" s="433"/>
      <c r="DE126" s="433"/>
      <c r="DF126" s="433"/>
      <c r="DG126" s="433"/>
      <c r="DH126" s="433"/>
      <c r="DI126" s="433"/>
      <c r="DJ126" s="433"/>
      <c r="DK126" s="433"/>
      <c r="DL126" s="433"/>
      <c r="DM126" s="433"/>
      <c r="DN126" s="433"/>
      <c r="DO126" s="433"/>
      <c r="DP126" s="433"/>
      <c r="DR126" s="409"/>
      <c r="DS126" s="409"/>
    </row>
    <row r="127" spans="2:123" s="1471" customFormat="1">
      <c r="B127" s="428"/>
      <c r="C127" s="429"/>
      <c r="D127" s="429"/>
      <c r="E127" s="429"/>
      <c r="F127" s="429"/>
      <c r="G127" s="429"/>
      <c r="H127" s="429"/>
      <c r="I127" s="429"/>
      <c r="J127" s="429"/>
      <c r="K127" s="429"/>
      <c r="L127" s="429"/>
      <c r="M127" s="429"/>
      <c r="N127" s="429"/>
      <c r="O127" s="429"/>
      <c r="P127" s="429"/>
      <c r="Q127" s="429"/>
      <c r="R127" s="429"/>
      <c r="S127" s="429"/>
      <c r="T127" s="429"/>
      <c r="U127" s="429"/>
      <c r="V127" s="429"/>
      <c r="W127" s="429"/>
      <c r="X127" s="429"/>
      <c r="Y127" s="429"/>
      <c r="Z127" s="429"/>
      <c r="AA127" s="429"/>
      <c r="AB127" s="429"/>
      <c r="AC127" s="429"/>
      <c r="AD127" s="429"/>
      <c r="AE127" s="429"/>
      <c r="AF127" s="429"/>
      <c r="AG127" s="429"/>
      <c r="AH127" s="429"/>
      <c r="AI127" s="429"/>
      <c r="AJ127" s="429"/>
      <c r="AK127" s="429"/>
      <c r="AL127" s="429"/>
      <c r="AM127" s="429"/>
      <c r="AN127" s="429"/>
      <c r="AO127" s="432"/>
      <c r="AP127" s="428"/>
      <c r="AQ127" s="431"/>
      <c r="AR127" s="431"/>
      <c r="AS127" s="431"/>
      <c r="AT127" s="431"/>
      <c r="AU127" s="431"/>
      <c r="AV127" s="431"/>
      <c r="AW127" s="431"/>
      <c r="AX127" s="431"/>
      <c r="AY127" s="431"/>
      <c r="AZ127" s="431"/>
      <c r="BA127" s="431"/>
      <c r="BB127" s="431"/>
      <c r="BC127" s="431"/>
      <c r="BD127" s="431"/>
      <c r="BE127" s="2355"/>
      <c r="BF127" s="2355"/>
      <c r="BG127" s="2355"/>
      <c r="BH127" s="2355"/>
      <c r="BI127" s="2355"/>
      <c r="BJ127" s="2355"/>
      <c r="BK127" s="2355"/>
      <c r="BL127" s="2355"/>
      <c r="BM127" s="2355"/>
      <c r="BN127" s="2355"/>
      <c r="BO127" s="2355"/>
      <c r="BP127" s="2355"/>
      <c r="BQ127" s="2355"/>
      <c r="BR127" s="431"/>
      <c r="BS127" s="431"/>
      <c r="BT127" s="431"/>
      <c r="BU127" s="431"/>
      <c r="BV127" s="431"/>
      <c r="BW127" s="431"/>
      <c r="BX127" s="431"/>
      <c r="BY127" s="431"/>
      <c r="BZ127" s="431"/>
      <c r="CA127" s="431"/>
      <c r="CB127" s="431"/>
      <c r="CC127" s="432"/>
      <c r="CD127" s="428"/>
      <c r="CE127" s="433"/>
      <c r="CF127" s="433"/>
      <c r="CG127" s="433"/>
      <c r="CH127" s="433"/>
      <c r="CI127" s="433"/>
      <c r="CJ127" s="433"/>
      <c r="CK127" s="433"/>
      <c r="CL127" s="433"/>
      <c r="CM127" s="433"/>
      <c r="CN127" s="433"/>
      <c r="CO127" s="433"/>
      <c r="CP127" s="433"/>
      <c r="CQ127" s="433"/>
      <c r="CR127" s="433"/>
      <c r="CS127" s="433"/>
      <c r="CT127" s="433"/>
      <c r="CU127" s="433"/>
      <c r="CV127" s="433"/>
      <c r="CW127" s="433"/>
      <c r="CX127" s="433"/>
      <c r="CY127" s="433"/>
      <c r="CZ127" s="433"/>
      <c r="DA127" s="433"/>
      <c r="DB127" s="433"/>
      <c r="DC127" s="433"/>
      <c r="DD127" s="433"/>
      <c r="DE127" s="433"/>
      <c r="DF127" s="433"/>
      <c r="DG127" s="433"/>
      <c r="DH127" s="433"/>
      <c r="DI127" s="433"/>
      <c r="DJ127" s="433"/>
      <c r="DK127" s="433"/>
      <c r="DL127" s="433"/>
      <c r="DM127" s="433"/>
      <c r="DN127" s="433"/>
      <c r="DO127" s="433"/>
      <c r="DP127" s="433"/>
      <c r="DR127" s="409"/>
      <c r="DS127" s="409"/>
    </row>
    <row r="128" spans="2:123" s="1471" customFormat="1">
      <c r="B128" s="428"/>
      <c r="C128" s="429"/>
      <c r="D128" s="429"/>
      <c r="E128" s="429"/>
      <c r="F128" s="429"/>
      <c r="G128" s="429"/>
      <c r="H128" s="429"/>
      <c r="I128" s="429"/>
      <c r="J128" s="429"/>
      <c r="K128" s="429"/>
      <c r="L128" s="429"/>
      <c r="M128" s="429"/>
      <c r="N128" s="429"/>
      <c r="O128" s="429"/>
      <c r="P128" s="429"/>
      <c r="Q128" s="429"/>
      <c r="R128" s="429"/>
      <c r="S128" s="429"/>
      <c r="T128" s="429"/>
      <c r="U128" s="429"/>
      <c r="V128" s="429"/>
      <c r="W128" s="429"/>
      <c r="X128" s="429"/>
      <c r="Y128" s="429"/>
      <c r="Z128" s="429"/>
      <c r="AA128" s="429"/>
      <c r="AB128" s="429"/>
      <c r="AC128" s="429"/>
      <c r="AD128" s="429"/>
      <c r="AE128" s="429"/>
      <c r="AF128" s="429"/>
      <c r="AG128" s="429"/>
      <c r="AH128" s="429"/>
      <c r="AI128" s="429"/>
      <c r="AJ128" s="429"/>
      <c r="AK128" s="429"/>
      <c r="AL128" s="429"/>
      <c r="AM128" s="429"/>
      <c r="AN128" s="429"/>
      <c r="AO128" s="432"/>
      <c r="AP128" s="428"/>
      <c r="AQ128" s="431"/>
      <c r="AR128" s="431"/>
      <c r="AS128" s="431"/>
      <c r="AT128" s="431"/>
      <c r="AU128" s="431"/>
      <c r="AV128" s="431"/>
      <c r="AW128" s="431"/>
      <c r="AX128" s="431"/>
      <c r="AY128" s="431"/>
      <c r="AZ128" s="431"/>
      <c r="BA128" s="431"/>
      <c r="BB128" s="431"/>
      <c r="BC128" s="431"/>
      <c r="BD128" s="431"/>
      <c r="BE128" s="2355"/>
      <c r="BF128" s="2355"/>
      <c r="BG128" s="2355"/>
      <c r="BH128" s="2355"/>
      <c r="BI128" s="2355"/>
      <c r="BJ128" s="2355"/>
      <c r="BK128" s="2355"/>
      <c r="BL128" s="2355"/>
      <c r="BM128" s="2355"/>
      <c r="BN128" s="2355"/>
      <c r="BO128" s="2355"/>
      <c r="BP128" s="2355"/>
      <c r="BQ128" s="2355"/>
      <c r="BR128" s="431"/>
      <c r="BS128" s="431"/>
      <c r="BT128" s="431"/>
      <c r="BU128" s="431"/>
      <c r="BV128" s="431"/>
      <c r="BW128" s="431"/>
      <c r="BX128" s="431"/>
      <c r="BY128" s="431"/>
      <c r="BZ128" s="431"/>
      <c r="CA128" s="431"/>
      <c r="CB128" s="431"/>
      <c r="CC128" s="432"/>
      <c r="CD128" s="428"/>
      <c r="CE128" s="433"/>
      <c r="CF128" s="433"/>
      <c r="CG128" s="433"/>
      <c r="CH128" s="433"/>
      <c r="CI128" s="433"/>
      <c r="CJ128" s="433"/>
      <c r="CK128" s="433"/>
      <c r="CL128" s="433"/>
      <c r="CM128" s="433"/>
      <c r="CN128" s="433"/>
      <c r="CO128" s="433"/>
      <c r="CP128" s="433"/>
      <c r="CQ128" s="433"/>
      <c r="CR128" s="433"/>
      <c r="CS128" s="433"/>
      <c r="CT128" s="433"/>
      <c r="CU128" s="433"/>
      <c r="CV128" s="433"/>
      <c r="CW128" s="433"/>
      <c r="CX128" s="433"/>
      <c r="CY128" s="433"/>
      <c r="CZ128" s="433"/>
      <c r="DA128" s="433"/>
      <c r="DB128" s="433"/>
      <c r="DC128" s="433"/>
      <c r="DD128" s="433"/>
      <c r="DE128" s="433"/>
      <c r="DF128" s="433"/>
      <c r="DG128" s="433"/>
      <c r="DH128" s="433"/>
      <c r="DI128" s="433"/>
      <c r="DJ128" s="433"/>
      <c r="DK128" s="433"/>
      <c r="DL128" s="433"/>
      <c r="DM128" s="433"/>
      <c r="DN128" s="433"/>
      <c r="DO128" s="433"/>
      <c r="DP128" s="433"/>
      <c r="DR128" s="409"/>
      <c r="DS128" s="409"/>
    </row>
    <row r="129" spans="2:123" s="1471" customFormat="1">
      <c r="B129" s="428"/>
      <c r="C129" s="429"/>
      <c r="D129" s="429"/>
      <c r="E129" s="429"/>
      <c r="F129" s="429"/>
      <c r="G129" s="429"/>
      <c r="H129" s="429"/>
      <c r="I129" s="429"/>
      <c r="J129" s="429"/>
      <c r="K129" s="429"/>
      <c r="L129" s="429"/>
      <c r="M129" s="429"/>
      <c r="N129" s="429"/>
      <c r="O129" s="429"/>
      <c r="P129" s="429"/>
      <c r="Q129" s="429"/>
      <c r="R129" s="429"/>
      <c r="S129" s="429"/>
      <c r="T129" s="429"/>
      <c r="U129" s="429"/>
      <c r="V129" s="429"/>
      <c r="W129" s="429"/>
      <c r="X129" s="429"/>
      <c r="Y129" s="429"/>
      <c r="Z129" s="429"/>
      <c r="AA129" s="429"/>
      <c r="AB129" s="429"/>
      <c r="AC129" s="429"/>
      <c r="AD129" s="429"/>
      <c r="AE129" s="429"/>
      <c r="AF129" s="429"/>
      <c r="AG129" s="429"/>
      <c r="AH129" s="429"/>
      <c r="AI129" s="429"/>
      <c r="AJ129" s="429"/>
      <c r="AK129" s="429"/>
      <c r="AL129" s="429"/>
      <c r="AM129" s="429"/>
      <c r="AN129" s="429"/>
      <c r="AO129" s="432"/>
      <c r="AP129" s="428"/>
      <c r="AQ129" s="431"/>
      <c r="AR129" s="431"/>
      <c r="AS129" s="431"/>
      <c r="AT129" s="431"/>
      <c r="AU129" s="431"/>
      <c r="AV129" s="431"/>
      <c r="AW129" s="431"/>
      <c r="AX129" s="431"/>
      <c r="AY129" s="431"/>
      <c r="AZ129" s="431"/>
      <c r="BA129" s="431"/>
      <c r="BB129" s="431"/>
      <c r="BC129" s="431"/>
      <c r="BD129" s="431"/>
      <c r="BE129" s="2355"/>
      <c r="BF129" s="2355"/>
      <c r="BG129" s="2355"/>
      <c r="BH129" s="2355"/>
      <c r="BI129" s="2355"/>
      <c r="BJ129" s="2355"/>
      <c r="BK129" s="2355"/>
      <c r="BL129" s="2355"/>
      <c r="BM129" s="2355"/>
      <c r="BN129" s="2355"/>
      <c r="BO129" s="2355"/>
      <c r="BP129" s="2355"/>
      <c r="BQ129" s="2355"/>
      <c r="BR129" s="431"/>
      <c r="BS129" s="431"/>
      <c r="BT129" s="431"/>
      <c r="BU129" s="431"/>
      <c r="BV129" s="431"/>
      <c r="BW129" s="431"/>
      <c r="BX129" s="431"/>
      <c r="BY129" s="431"/>
      <c r="BZ129" s="431"/>
      <c r="CA129" s="431"/>
      <c r="CB129" s="431"/>
      <c r="CC129" s="432"/>
      <c r="CD129" s="428"/>
      <c r="CE129" s="433"/>
      <c r="CF129" s="433"/>
      <c r="CG129" s="433"/>
      <c r="CH129" s="433"/>
      <c r="CI129" s="433"/>
      <c r="CJ129" s="433"/>
      <c r="CK129" s="433"/>
      <c r="CL129" s="433"/>
      <c r="CM129" s="433"/>
      <c r="CN129" s="433"/>
      <c r="CO129" s="433"/>
      <c r="CP129" s="433"/>
      <c r="CQ129" s="433"/>
      <c r="CR129" s="433"/>
      <c r="CS129" s="433"/>
      <c r="CT129" s="433"/>
      <c r="CU129" s="433"/>
      <c r="CV129" s="433"/>
      <c r="CW129" s="433"/>
      <c r="CX129" s="433"/>
      <c r="CY129" s="433"/>
      <c r="CZ129" s="433"/>
      <c r="DA129" s="433"/>
      <c r="DB129" s="433"/>
      <c r="DC129" s="433"/>
      <c r="DD129" s="433"/>
      <c r="DE129" s="433"/>
      <c r="DF129" s="433"/>
      <c r="DG129" s="433"/>
      <c r="DH129" s="433"/>
      <c r="DI129" s="433"/>
      <c r="DJ129" s="433"/>
      <c r="DK129" s="433"/>
      <c r="DL129" s="433"/>
      <c r="DM129" s="433"/>
      <c r="DN129" s="433"/>
      <c r="DO129" s="433"/>
      <c r="DP129" s="433"/>
      <c r="DR129" s="409"/>
      <c r="DS129" s="409"/>
    </row>
    <row r="130" spans="2:123" s="1471" customFormat="1">
      <c r="B130" s="428"/>
      <c r="C130" s="429"/>
      <c r="D130" s="429"/>
      <c r="E130" s="429"/>
      <c r="F130" s="429"/>
      <c r="G130" s="429"/>
      <c r="H130" s="429"/>
      <c r="I130" s="429"/>
      <c r="J130" s="429"/>
      <c r="K130" s="429"/>
      <c r="L130" s="429"/>
      <c r="M130" s="429"/>
      <c r="N130" s="429"/>
      <c r="O130" s="429"/>
      <c r="P130" s="429"/>
      <c r="Q130" s="429"/>
      <c r="R130" s="429"/>
      <c r="S130" s="429"/>
      <c r="T130" s="429"/>
      <c r="U130" s="429"/>
      <c r="V130" s="429"/>
      <c r="W130" s="429"/>
      <c r="X130" s="429"/>
      <c r="Y130" s="429"/>
      <c r="Z130" s="429"/>
      <c r="AA130" s="429"/>
      <c r="AB130" s="429"/>
      <c r="AC130" s="429"/>
      <c r="AD130" s="429"/>
      <c r="AE130" s="429"/>
      <c r="AF130" s="429"/>
      <c r="AG130" s="429"/>
      <c r="AH130" s="429"/>
      <c r="AI130" s="429"/>
      <c r="AJ130" s="429"/>
      <c r="AK130" s="429"/>
      <c r="AL130" s="429"/>
      <c r="AM130" s="429"/>
      <c r="AN130" s="429"/>
      <c r="AO130" s="432"/>
      <c r="AP130" s="428"/>
      <c r="AQ130" s="431"/>
      <c r="AR130" s="431"/>
      <c r="AS130" s="431"/>
      <c r="AT130" s="431"/>
      <c r="AU130" s="431"/>
      <c r="AV130" s="431"/>
      <c r="AW130" s="431"/>
      <c r="AX130" s="431"/>
      <c r="AY130" s="431"/>
      <c r="AZ130" s="431"/>
      <c r="BA130" s="431"/>
      <c r="BB130" s="431"/>
      <c r="BC130" s="431"/>
      <c r="BD130" s="431"/>
      <c r="BE130" s="2355"/>
      <c r="BF130" s="2355"/>
      <c r="BG130" s="2355"/>
      <c r="BH130" s="2355"/>
      <c r="BI130" s="2355"/>
      <c r="BJ130" s="2355"/>
      <c r="BK130" s="2355"/>
      <c r="BL130" s="2355"/>
      <c r="BM130" s="2355"/>
      <c r="BN130" s="2355"/>
      <c r="BO130" s="2355"/>
      <c r="BP130" s="2355"/>
      <c r="BQ130" s="2355"/>
      <c r="BR130" s="431"/>
      <c r="BS130" s="431"/>
      <c r="BT130" s="431"/>
      <c r="BU130" s="431"/>
      <c r="BV130" s="431"/>
      <c r="BW130" s="431"/>
      <c r="BX130" s="431"/>
      <c r="BY130" s="431"/>
      <c r="BZ130" s="431"/>
      <c r="CA130" s="431"/>
      <c r="CB130" s="431"/>
      <c r="CC130" s="432"/>
      <c r="CD130" s="428"/>
      <c r="CE130" s="433"/>
      <c r="CF130" s="433"/>
      <c r="CG130" s="433"/>
      <c r="CH130" s="433"/>
      <c r="CI130" s="433"/>
      <c r="CJ130" s="433"/>
      <c r="CK130" s="433"/>
      <c r="CL130" s="433"/>
      <c r="CM130" s="433"/>
      <c r="CN130" s="433"/>
      <c r="CO130" s="433"/>
      <c r="CP130" s="433"/>
      <c r="CQ130" s="433"/>
      <c r="CR130" s="433"/>
      <c r="CS130" s="433"/>
      <c r="CT130" s="433"/>
      <c r="CU130" s="433"/>
      <c r="CV130" s="433"/>
      <c r="CW130" s="433"/>
      <c r="CX130" s="433"/>
      <c r="CY130" s="433"/>
      <c r="CZ130" s="433"/>
      <c r="DA130" s="433"/>
      <c r="DB130" s="433"/>
      <c r="DC130" s="433"/>
      <c r="DD130" s="433"/>
      <c r="DE130" s="433"/>
      <c r="DF130" s="433"/>
      <c r="DG130" s="433"/>
      <c r="DH130" s="433"/>
      <c r="DI130" s="433"/>
      <c r="DJ130" s="433"/>
      <c r="DK130" s="433"/>
      <c r="DL130" s="433"/>
      <c r="DM130" s="433"/>
      <c r="DN130" s="433"/>
      <c r="DO130" s="433"/>
      <c r="DP130" s="433"/>
      <c r="DR130" s="409"/>
      <c r="DS130" s="409"/>
    </row>
  </sheetData>
  <conditionalFormatting sqref="C16:E16 T16:AN16 G16 I16:R16">
    <cfRule type="expression" dxfId="78" priority="31">
      <formula>IF(C16&lt;&gt;0,TRUE,FALSE)</formula>
    </cfRule>
  </conditionalFormatting>
  <conditionalFormatting sqref="CF16:CG16 CV16:DP16 CI16 CK16:CT16">
    <cfRule type="expression" dxfId="77" priority="26">
      <formula>IF(CF16&lt;&gt;0,TRUE,FALSE)</formula>
    </cfRule>
  </conditionalFormatting>
  <conditionalFormatting sqref="AQ16">
    <cfRule type="expression" dxfId="76" priority="17">
      <formula>IF(AQ16&lt;&gt;0,TRUE,FALSE)</formula>
    </cfRule>
  </conditionalFormatting>
  <conditionalFormatting sqref="AR16:AS16 BH16:CB16 AU16 AW16:BF16">
    <cfRule type="expression" dxfId="75" priority="16">
      <formula>IF(AR16&lt;&gt;0,TRUE,FALSE)</formula>
    </cfRule>
  </conditionalFormatting>
  <conditionalFormatting sqref="CE16:CG16 CV16:DP16 CI16 CK16:CT16">
    <cfRule type="expression" dxfId="74" priority="15">
      <formula>IF(CE16&lt;&gt;0,TRUE,FALSE)</formula>
    </cfRule>
  </conditionalFormatting>
  <conditionalFormatting sqref="S16">
    <cfRule type="expression" dxfId="73" priority="14">
      <formula>IF(S16&lt;&gt;0,TRUE,FALSE)</formula>
    </cfRule>
  </conditionalFormatting>
  <conditionalFormatting sqref="BG16">
    <cfRule type="expression" dxfId="72" priority="13">
      <formula>IF(BG16&lt;&gt;0,TRUE,FALSE)</formula>
    </cfRule>
  </conditionalFormatting>
  <conditionalFormatting sqref="CU16">
    <cfRule type="expression" dxfId="71" priority="12">
      <formula>IF(CU16&lt;&gt;0,TRUE,FALSE)</formula>
    </cfRule>
  </conditionalFormatting>
  <conditionalFormatting sqref="CU16">
    <cfRule type="expression" dxfId="70" priority="11">
      <formula>IF(CU16&lt;&gt;0,TRUE,FALSE)</formula>
    </cfRule>
  </conditionalFormatting>
  <conditionalFormatting sqref="F16">
    <cfRule type="expression" dxfId="69" priority="10">
      <formula>IF(F16&lt;&gt;0,TRUE,FALSE)</formula>
    </cfRule>
  </conditionalFormatting>
  <conditionalFormatting sqref="AT16">
    <cfRule type="expression" dxfId="68" priority="9">
      <formula>IF(AT16&lt;&gt;0,TRUE,FALSE)</formula>
    </cfRule>
  </conditionalFormatting>
  <conditionalFormatting sqref="CH16">
    <cfRule type="expression" dxfId="67" priority="8">
      <formula>IF(CH16&lt;&gt;0,TRUE,FALSE)</formula>
    </cfRule>
  </conditionalFormatting>
  <conditionalFormatting sqref="CH16">
    <cfRule type="expression" dxfId="66" priority="7">
      <formula>IF(CH16&lt;&gt;0,TRUE,FALSE)</formula>
    </cfRule>
  </conditionalFormatting>
  <conditionalFormatting sqref="H16">
    <cfRule type="expression" dxfId="65" priority="6">
      <formula>IF(H16&lt;&gt;0,TRUE,FALSE)</formula>
    </cfRule>
  </conditionalFormatting>
  <conditionalFormatting sqref="AV16">
    <cfRule type="expression" dxfId="64" priority="5">
      <formula>IF(AV16&lt;&gt;0,TRUE,FALSE)</formula>
    </cfRule>
  </conditionalFormatting>
  <conditionalFormatting sqref="CJ16">
    <cfRule type="expression" dxfId="63" priority="4">
      <formula>IF(CJ16&lt;&gt;0,TRUE,FALSE)</formula>
    </cfRule>
  </conditionalFormatting>
  <conditionalFormatting sqref="CJ16">
    <cfRule type="expression" dxfId="62" priority="3">
      <formula>IF(CJ16&lt;&gt;0,TRUE,FALSE)</formula>
    </cfRule>
  </conditionalFormatting>
  <conditionalFormatting sqref="C26:DP101">
    <cfRule type="expression" dxfId="61" priority="2">
      <formula>IF(C26&lt;&gt;C27,TRUE,FALSE)</formula>
    </cfRule>
  </conditionalFormatting>
  <conditionalFormatting sqref="B26:B101">
    <cfRule type="expression" dxfId="60" priority="1">
      <formula>IF(B26&lt;&gt;B27,TRUE,FALSE)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68993" r:id="rId3" name="Drop Down 1">
              <controlPr defaultSize="0" autoLine="0" autoPict="0">
                <anchor moveWithCells="1">
                  <from>
                    <xdr:col>16</xdr:col>
                    <xdr:colOff>352425</xdr:colOff>
                    <xdr:row>0</xdr:row>
                    <xdr:rowOff>38100</xdr:rowOff>
                  </from>
                  <to>
                    <xdr:col>18</xdr:col>
                    <xdr:colOff>457200</xdr:colOff>
                    <xdr:row>0</xdr:row>
                    <xdr:rowOff>238125</xdr:rowOff>
                  </to>
                </anchor>
              </controlPr>
            </control>
          </mc:Choice>
        </mc:AlternateContent>
        <mc:AlternateContent xmlns:mc="http://schemas.openxmlformats.org/markup-compatibility/2006">
          <mc:Choice Requires="x14">
            <control shapeId="468994" r:id="rId4" name="Button 2">
              <controlPr defaultSize="0" print="0" autoFill="0" autoPict="0" macro="[0]!LogResults">
                <anchor moveWithCells="1" sizeWithCells="1">
                  <from>
                    <xdr:col>6</xdr:col>
                    <xdr:colOff>95250</xdr:colOff>
                    <xdr:row>3</xdr:row>
                    <xdr:rowOff>0</xdr:rowOff>
                  </from>
                  <to>
                    <xdr:col>9</xdr:col>
                    <xdr:colOff>247650</xdr:colOff>
                    <xdr:row>5</xdr:row>
                    <xdr:rowOff>47625</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FFFF00"/>
  </sheetPr>
  <dimension ref="A1:DS130"/>
  <sheetViews>
    <sheetView topLeftCell="B87" zoomScale="80" zoomScaleNormal="80" workbookViewId="0">
      <selection activeCell="B115" sqref="B115:DS115"/>
    </sheetView>
  </sheetViews>
  <sheetFormatPr defaultRowHeight="12.75"/>
  <cols>
    <col min="1" max="1" width="2.7109375" style="70" customWidth="1"/>
    <col min="2" max="2" width="11.42578125" style="70" customWidth="1"/>
    <col min="3" max="3" width="10.7109375" style="70" bestFit="1" customWidth="1"/>
    <col min="4" max="4" width="12.42578125" style="70" customWidth="1"/>
    <col min="5" max="5" width="9.140625" style="70"/>
    <col min="6" max="6" width="9.140625" style="523"/>
    <col min="7" max="7" width="9.140625" style="70"/>
    <col min="8" max="8" width="9.140625" style="523"/>
    <col min="9" max="12" width="9.140625" style="70"/>
    <col min="13" max="13" width="9.140625" style="70" customWidth="1"/>
    <col min="14" max="14" width="10.5703125" style="70" customWidth="1"/>
    <col min="15" max="18" width="9.140625" style="70"/>
    <col min="19" max="19" width="9.140625" style="523"/>
    <col min="20" max="41" width="9.140625" style="70"/>
    <col min="42" max="42" width="11.42578125" style="70" customWidth="1"/>
    <col min="43" max="45" width="9.140625" style="70"/>
    <col min="46" max="46" width="9.140625" style="523"/>
    <col min="47" max="47" width="9.140625" style="70"/>
    <col min="48" max="48" width="9.140625" style="523"/>
    <col min="49" max="58" width="9.140625" style="70"/>
    <col min="59" max="59" width="9.140625" style="523"/>
    <col min="60" max="80" width="9.140625" style="70"/>
    <col min="81" max="81" width="2.5703125" style="70" customWidth="1"/>
    <col min="82" max="82" width="11.42578125" style="70" customWidth="1"/>
    <col min="83" max="83" width="10.7109375" style="70" customWidth="1"/>
    <col min="84" max="85" width="10" style="70" customWidth="1"/>
    <col min="86" max="86" width="10" style="523" customWidth="1"/>
    <col min="87" max="87" width="10" style="70" customWidth="1"/>
    <col min="88" max="88" width="10" style="523" customWidth="1"/>
    <col min="89" max="91" width="9.42578125" style="70" customWidth="1"/>
    <col min="92" max="92" width="10" style="70" customWidth="1"/>
    <col min="93" max="93" width="9.42578125" style="70" customWidth="1"/>
    <col min="94" max="94" width="10" style="70" customWidth="1"/>
    <col min="95" max="96" width="9.42578125" style="70" customWidth="1"/>
    <col min="97" max="97" width="10" style="70" customWidth="1"/>
    <col min="98" max="98" width="9.42578125" style="70" customWidth="1"/>
    <col min="99" max="99" width="9.42578125" style="523" customWidth="1"/>
    <col min="100" max="100" width="9.5703125" style="70" customWidth="1"/>
    <col min="101" max="108" width="9.42578125" style="70" customWidth="1"/>
    <col min="109" max="112" width="10" style="70" customWidth="1"/>
    <col min="113" max="113" width="11" style="70" customWidth="1"/>
    <col min="114" max="114" width="10" style="70" customWidth="1"/>
    <col min="115" max="117" width="11" style="70" customWidth="1"/>
    <col min="118" max="120" width="9.42578125" style="70" customWidth="1"/>
    <col min="121" max="121" width="2.5703125" style="70" customWidth="1"/>
    <col min="122" max="122" width="9.140625" style="70"/>
    <col min="123" max="123" width="100.7109375" style="70" customWidth="1"/>
    <col min="124" max="16384" width="9.140625" style="70"/>
  </cols>
  <sheetData>
    <row r="1" spans="1:123" s="465" customFormat="1" ht="21">
      <c r="A1" s="465" t="s">
        <v>697</v>
      </c>
      <c r="M1" s="2399">
        <f ca="1">CHOOSE(chosenYear,'Log2015'!$D$4,'Log2020'!$D$4,'Log2035'!$D$4,'Log2050'!$D$4)</f>
        <v>-8.0112614142160741</v>
      </c>
      <c r="N1" s="465">
        <f ca="1">CHOOSE(chosenYear,'Log2015'!$D$5,'Log2020'!$D$5,'Log2035'!$D$5,'Log2050'!$D$5)</f>
        <v>-160807.124977848</v>
      </c>
      <c r="T1" s="468"/>
      <c r="U1" s="2388"/>
      <c r="V1" s="2388"/>
      <c r="W1" s="2388"/>
      <c r="Y1" s="2389"/>
      <c r="AA1" s="2388"/>
      <c r="AC1" s="2389"/>
    </row>
    <row r="2" spans="1:123">
      <c r="A2" s="393" t="s">
        <v>703</v>
      </c>
      <c r="N2" s="70">
        <f ca="1">N1</f>
        <v>-160807.124977848</v>
      </c>
    </row>
    <row r="4" spans="1:123">
      <c r="B4" s="398" t="s">
        <v>705</v>
      </c>
      <c r="C4" s="289" t="s">
        <v>68</v>
      </c>
      <c r="D4" s="400">
        <f ca="1">SUM(C16:AN16)</f>
        <v>887.39832541829992</v>
      </c>
      <c r="K4" s="323"/>
      <c r="L4" s="323"/>
      <c r="M4" s="65"/>
      <c r="N4" s="65"/>
      <c r="O4" s="65"/>
      <c r="P4" s="65"/>
      <c r="Q4" s="65"/>
      <c r="R4" s="65"/>
      <c r="S4" s="455"/>
      <c r="T4" s="65"/>
      <c r="U4" s="65"/>
      <c r="V4" s="65"/>
      <c r="W4" s="65"/>
    </row>
    <row r="5" spans="1:123">
      <c r="B5" s="399" t="s">
        <v>705</v>
      </c>
      <c r="C5" s="290" t="s">
        <v>7</v>
      </c>
      <c r="D5" s="401">
        <f ca="1">SUM(AQ16:CB16)</f>
        <v>76164.650082822583</v>
      </c>
      <c r="K5" s="323"/>
      <c r="L5" s="323"/>
      <c r="M5" s="65"/>
      <c r="N5" s="65"/>
      <c r="O5" s="65"/>
      <c r="P5" s="65"/>
      <c r="Q5" s="65"/>
      <c r="R5" s="65"/>
      <c r="S5" s="455"/>
      <c r="T5" s="65"/>
      <c r="U5" s="65"/>
      <c r="V5" s="65"/>
      <c r="W5" s="65"/>
    </row>
    <row r="6" spans="1:123">
      <c r="B6" s="399" t="s">
        <v>705</v>
      </c>
      <c r="C6" s="290"/>
      <c r="D6" s="401">
        <f ca="1">D5+D4</f>
        <v>77052.04840824088</v>
      </c>
    </row>
    <row r="10" spans="1:123">
      <c r="B10" s="393"/>
    </row>
    <row r="12" spans="1:123">
      <c r="B12" s="87" t="s">
        <v>698</v>
      </c>
      <c r="AP12" s="87" t="s">
        <v>700</v>
      </c>
      <c r="CD12" s="234" t="s">
        <v>1657</v>
      </c>
    </row>
    <row r="13" spans="1:123" ht="62.25" customHeight="1">
      <c r="B13" s="392" t="s">
        <v>690</v>
      </c>
      <c r="C13" s="427" t="str">
        <f ca="1">OFFSET(Vehicles!$F$6,0,COLUMN()-COLUMN($C$13))</f>
        <v>Conv. diesel</v>
      </c>
      <c r="D13" s="427" t="str">
        <f ca="1">OFFSET(Vehicles!$F$6,0,COLUMN()-COLUMN($C$13))</f>
        <v>Conv. gasoline</v>
      </c>
      <c r="E13" s="427" t="str">
        <f ca="1">OFFSET(Vehicles!$F$6,0,COLUMN()-COLUMN($C$13))</f>
        <v>E85-1g</v>
      </c>
      <c r="F13" s="427" t="str">
        <f ca="1">OFFSET(Vehicles!$F$6,0,COLUMN()-COLUMN($C$13))</f>
        <v>E85-1g Sugarb.</v>
      </c>
      <c r="G13" s="427" t="str">
        <f ca="1">OFFSET(Vehicles!$F$6,0,COLUMN()-COLUMN($C$13))</f>
        <v>E85-2g</v>
      </c>
      <c r="H13" s="427" t="str">
        <f ca="1">OFFSET(Vehicles!$F$6,0,COLUMN()-COLUMN($C$13))</f>
        <v>Biodiesel-1g RME</v>
      </c>
      <c r="I13" s="427" t="str">
        <f ca="1">OFFSET(Vehicles!$F$6,0,COLUMN()-COLUMN($C$13))</f>
        <v>Biodiesel-2g</v>
      </c>
      <c r="J13" s="427" t="str">
        <f ca="1">OFFSET(Vehicles!$F$6,0,COLUMN()-COLUMN($C$13))</f>
        <v>DME</v>
      </c>
      <c r="K13" s="427" t="str">
        <f ca="1">OFFSET(Vehicles!$F$6,0,COLUMN()-COLUMN($C$13))</f>
        <v>B-Naturgas</v>
      </c>
      <c r="L13" s="427" t="str">
        <f ca="1">OFFSET(Vehicles!$F$6,0,COLUMN()-COLUMN($C$13))</f>
        <v>Biogas</v>
      </c>
      <c r="M13" s="427" t="str">
        <f ca="1">OFFSET(Vehicles!$F$6,0,COLUMN()-COLUMN($C$13))</f>
        <v>MeOH</v>
      </c>
      <c r="N13" s="427" t="str">
        <f ca="1">OFFSET(Vehicles!$F$6,0,COLUMN()-COLUMN($C$13))</f>
        <v>B-Brint</v>
      </c>
      <c r="O13" s="427" t="str">
        <f ca="1">OFFSET(Vehicles!$F$6,0,COLUMN()-COLUMN($C$13))</f>
        <v>Elbil</v>
      </c>
      <c r="P13" s="427" t="str">
        <f ca="1">OFFSET(Vehicles!$F$6,0,COLUMN()-COLUMN($C$13))</f>
        <v>Plugin Hybrid</v>
      </c>
      <c r="Q13" s="427" t="str">
        <f ca="1">OFFSET(Vehicles!$F$6,0,COLUMN()-COLUMN($C$13))</f>
        <v>Fast Ferry</v>
      </c>
      <c r="R13" s="427" t="str">
        <f ca="1">OFFSET(Vehicles!$F$6,0,COLUMN()-COLUMN($C$13))</f>
        <v>Aircraft Fossil</v>
      </c>
      <c r="S13" s="427" t="str">
        <f ca="1">OFFSET(Vehicles!$F$6,0,COLUMN()-COLUMN($C$13))</f>
        <v>Aircraft Biofuel</v>
      </c>
      <c r="T13" s="427" t="str">
        <f ca="1">OFFSET(Vehicles!$F$6,0,COLUMN()-COLUMN($C$13))</f>
        <v>9000TEU HFO</v>
      </c>
      <c r="U13" s="427" t="str">
        <f ca="1">OFFSET(Vehicles!$F$6,0,COLUMN()-COLUMN($C$13))</f>
        <v>9000TEU Diesel</v>
      </c>
      <c r="V13" s="427" t="str">
        <f ca="1">OFFSET(Vehicles!$F$6,0,COLUMN()-COLUMN($C$13))</f>
        <v>9000TEU BioDiesel</v>
      </c>
      <c r="W13" s="427" t="str">
        <f ca="1">OFFSET(Vehicles!$F$6,0,COLUMN()-COLUMN($C$13))</f>
        <v>9000TEU LNG</v>
      </c>
      <c r="X13" s="427" t="str">
        <f ca="1">OFFSET(Vehicles!$F$6,0,COLUMN()-COLUMN($C$13))</f>
        <v>IC Tog Diesel</v>
      </c>
      <c r="Y13" s="427" t="str">
        <f ca="1">OFFSET(Vehicles!$F$6,0,COLUMN()-COLUMN($C$13))</f>
        <v>IC Tog Biodiesel</v>
      </c>
      <c r="Z13" s="427" t="str">
        <f ca="1">OFFSET(Vehicles!$F$6,0,COLUMN()-COLUMN($C$13))</f>
        <v>IC Tog El</v>
      </c>
      <c r="AA13" s="427" t="str">
        <f ca="1">OFFSET(Vehicles!$F$6,0,COLUMN()-COLUMN($C$13))</f>
        <v>Lokaltog Diesel</v>
      </c>
      <c r="AB13" s="427" t="str">
        <f ca="1">OFFSET(Vehicles!$F$6,0,COLUMN()-COLUMN($C$13))</f>
        <v>Lokaltog biodiesel</v>
      </c>
      <c r="AC13" s="427" t="str">
        <f ca="1">OFFSET(Vehicles!$F$6,0,COLUMN()-COLUMN($C$13))</f>
        <v>Lokaltog Gas</v>
      </c>
      <c r="AD13" s="427" t="str">
        <f ca="1">OFFSET(Vehicles!$F$6,0,COLUMN()-COLUMN($C$13))</f>
        <v>L-Diesel</v>
      </c>
      <c r="AE13" s="427" t="str">
        <f ca="1">OFFSET(Vehicles!$F$6,0,COLUMN()-COLUMN($C$13))</f>
        <v>L-BioDiesel</v>
      </c>
      <c r="AF13" s="427" t="str">
        <f ca="1">OFFSET(Vehicles!$F$6,0,COLUMN()-COLUMN($C$13))</f>
        <v>L-CNG</v>
      </c>
      <c r="AG13" s="427" t="str">
        <f ca="1">OFFSET(Vehicles!$F$6,0,COLUMN()-COLUMN($C$13))</f>
        <v>L-DME</v>
      </c>
      <c r="AH13" s="427" t="str">
        <f ca="1">OFFSET(Vehicles!$F$6,0,COLUMN()-COLUMN($C$13))</f>
        <v>B-Diesel</v>
      </c>
      <c r="AI13" s="427" t="str">
        <f ca="1">OFFSET(Vehicles!$F$6,0,COLUMN()-COLUMN($C$13))</f>
        <v>B-Biodiesel</v>
      </c>
      <c r="AJ13" s="427" t="str">
        <f ca="1">OFFSET(Vehicles!$F$6,0,COLUMN()-COLUMN($C$13))</f>
        <v>B-CNG</v>
      </c>
      <c r="AK13" s="427" t="str">
        <f ca="1">OFFSET(Vehicles!$F$6,0,COLUMN()-COLUMN($C$13))</f>
        <v>B-Hybrid</v>
      </c>
      <c r="AL13" s="427" t="str">
        <f ca="1">OFFSET(Vehicles!$F$6,0,COLUMN()-COLUMN($C$13))</f>
        <v>Fast Ferry - Biodiesel</v>
      </c>
      <c r="AM13" s="427" t="str">
        <f ca="1">OFFSET(Vehicles!$F$6,0,COLUMN()-COLUMN($C$13))</f>
        <v>Ren brint</v>
      </c>
      <c r="AN13" s="427">
        <f ca="1">OFFSET(Vehicles!$F$6,0,COLUMN()-COLUMN($C$13))</f>
        <v>0</v>
      </c>
      <c r="AO13" s="391"/>
      <c r="AP13" s="392" t="s">
        <v>690</v>
      </c>
      <c r="AQ13" s="427" t="str">
        <f t="shared" ref="AQ13:CB13" ca="1" si="0">C13</f>
        <v>Conv. diesel</v>
      </c>
      <c r="AR13" s="427" t="str">
        <f t="shared" ca="1" si="0"/>
        <v>Conv. gasoline</v>
      </c>
      <c r="AS13" s="427" t="str">
        <f t="shared" ca="1" si="0"/>
        <v>E85-1g</v>
      </c>
      <c r="AT13" s="427" t="str">
        <f t="shared" ca="1" si="0"/>
        <v>E85-1g Sugarb.</v>
      </c>
      <c r="AU13" s="427" t="str">
        <f t="shared" ca="1" si="0"/>
        <v>E85-2g</v>
      </c>
      <c r="AV13" s="427" t="str">
        <f t="shared" ca="1" si="0"/>
        <v>Biodiesel-1g RME</v>
      </c>
      <c r="AW13" s="427" t="str">
        <f t="shared" ca="1" si="0"/>
        <v>Biodiesel-2g</v>
      </c>
      <c r="AX13" s="427" t="str">
        <f t="shared" ca="1" si="0"/>
        <v>DME</v>
      </c>
      <c r="AY13" s="427" t="str">
        <f t="shared" ca="1" si="0"/>
        <v>B-Naturgas</v>
      </c>
      <c r="AZ13" s="427" t="str">
        <f t="shared" ca="1" si="0"/>
        <v>Biogas</v>
      </c>
      <c r="BA13" s="427" t="str">
        <f t="shared" ca="1" si="0"/>
        <v>MeOH</v>
      </c>
      <c r="BB13" s="427" t="str">
        <f t="shared" ca="1" si="0"/>
        <v>B-Brint</v>
      </c>
      <c r="BC13" s="427" t="str">
        <f t="shared" ca="1" si="0"/>
        <v>Elbil</v>
      </c>
      <c r="BD13" s="427" t="str">
        <f t="shared" ca="1" si="0"/>
        <v>Plugin Hybrid</v>
      </c>
      <c r="BE13" s="427" t="str">
        <f t="shared" ca="1" si="0"/>
        <v>Fast Ferry</v>
      </c>
      <c r="BF13" s="427" t="str">
        <f t="shared" ca="1" si="0"/>
        <v>Aircraft Fossil</v>
      </c>
      <c r="BG13" s="427" t="str">
        <f t="shared" ca="1" si="0"/>
        <v>Aircraft Biofuel</v>
      </c>
      <c r="BH13" s="427" t="str">
        <f t="shared" ca="1" si="0"/>
        <v>9000TEU HFO</v>
      </c>
      <c r="BI13" s="427" t="str">
        <f t="shared" ca="1" si="0"/>
        <v>9000TEU Diesel</v>
      </c>
      <c r="BJ13" s="427" t="str">
        <f t="shared" ca="1" si="0"/>
        <v>9000TEU BioDiesel</v>
      </c>
      <c r="BK13" s="427" t="str">
        <f t="shared" ca="1" si="0"/>
        <v>9000TEU LNG</v>
      </c>
      <c r="BL13" s="427" t="str">
        <f t="shared" ca="1" si="0"/>
        <v>IC Tog Diesel</v>
      </c>
      <c r="BM13" s="427" t="str">
        <f t="shared" ca="1" si="0"/>
        <v>IC Tog Biodiesel</v>
      </c>
      <c r="BN13" s="427" t="str">
        <f t="shared" ca="1" si="0"/>
        <v>IC Tog El</v>
      </c>
      <c r="BO13" s="427" t="str">
        <f t="shared" ca="1" si="0"/>
        <v>Lokaltog Diesel</v>
      </c>
      <c r="BP13" s="427" t="str">
        <f t="shared" ca="1" si="0"/>
        <v>Lokaltog biodiesel</v>
      </c>
      <c r="BQ13" s="427" t="str">
        <f t="shared" ca="1" si="0"/>
        <v>Lokaltog Gas</v>
      </c>
      <c r="BR13" s="427" t="str">
        <f t="shared" ca="1" si="0"/>
        <v>L-Diesel</v>
      </c>
      <c r="BS13" s="427" t="str">
        <f t="shared" ca="1" si="0"/>
        <v>L-BioDiesel</v>
      </c>
      <c r="BT13" s="427" t="str">
        <f t="shared" ca="1" si="0"/>
        <v>L-CNG</v>
      </c>
      <c r="BU13" s="427" t="str">
        <f t="shared" ca="1" si="0"/>
        <v>L-DME</v>
      </c>
      <c r="BV13" s="427" t="str">
        <f t="shared" ca="1" si="0"/>
        <v>B-Diesel</v>
      </c>
      <c r="BW13" s="427" t="str">
        <f t="shared" ca="1" si="0"/>
        <v>B-Biodiesel</v>
      </c>
      <c r="BX13" s="427" t="str">
        <f t="shared" ca="1" si="0"/>
        <v>B-CNG</v>
      </c>
      <c r="BY13" s="427" t="str">
        <f t="shared" ca="1" si="0"/>
        <v>B-Hybrid</v>
      </c>
      <c r="BZ13" s="427" t="str">
        <f t="shared" ca="1" si="0"/>
        <v>Fast Ferry - Biodiesel</v>
      </c>
      <c r="CA13" s="427" t="str">
        <f t="shared" ca="1" si="0"/>
        <v>Ren brint</v>
      </c>
      <c r="CB13" s="427">
        <f t="shared" ca="1" si="0"/>
        <v>0</v>
      </c>
      <c r="CD13" s="392" t="s">
        <v>690</v>
      </c>
      <c r="CE13" s="427" t="str">
        <f t="shared" ref="CE13:DP13" ca="1" si="1">AQ13</f>
        <v>Conv. diesel</v>
      </c>
      <c r="CF13" s="427" t="str">
        <f t="shared" ca="1" si="1"/>
        <v>Conv. gasoline</v>
      </c>
      <c r="CG13" s="427" t="str">
        <f t="shared" ca="1" si="1"/>
        <v>E85-1g</v>
      </c>
      <c r="CH13" s="427" t="str">
        <f t="shared" ca="1" si="1"/>
        <v>E85-1g Sugarb.</v>
      </c>
      <c r="CI13" s="427" t="str">
        <f t="shared" ca="1" si="1"/>
        <v>E85-2g</v>
      </c>
      <c r="CJ13" s="427" t="str">
        <f t="shared" ca="1" si="1"/>
        <v>Biodiesel-1g RME</v>
      </c>
      <c r="CK13" s="427" t="str">
        <f t="shared" ca="1" si="1"/>
        <v>Biodiesel-2g</v>
      </c>
      <c r="CL13" s="427" t="str">
        <f t="shared" ca="1" si="1"/>
        <v>DME</v>
      </c>
      <c r="CM13" s="427" t="str">
        <f t="shared" ca="1" si="1"/>
        <v>B-Naturgas</v>
      </c>
      <c r="CN13" s="427" t="str">
        <f t="shared" ca="1" si="1"/>
        <v>Biogas</v>
      </c>
      <c r="CO13" s="427" t="str">
        <f t="shared" ca="1" si="1"/>
        <v>MeOH</v>
      </c>
      <c r="CP13" s="427" t="str">
        <f t="shared" ca="1" si="1"/>
        <v>B-Brint</v>
      </c>
      <c r="CQ13" s="427" t="str">
        <f t="shared" ca="1" si="1"/>
        <v>Elbil</v>
      </c>
      <c r="CR13" s="427" t="str">
        <f t="shared" ca="1" si="1"/>
        <v>Plugin Hybrid</v>
      </c>
      <c r="CS13" s="427" t="str">
        <f t="shared" ca="1" si="1"/>
        <v>Fast Ferry</v>
      </c>
      <c r="CT13" s="427" t="str">
        <f t="shared" ca="1" si="1"/>
        <v>Aircraft Fossil</v>
      </c>
      <c r="CU13" s="427" t="str">
        <f t="shared" ca="1" si="1"/>
        <v>Aircraft Biofuel</v>
      </c>
      <c r="CV13" s="427" t="str">
        <f t="shared" ca="1" si="1"/>
        <v>9000TEU HFO</v>
      </c>
      <c r="CW13" s="427" t="str">
        <f t="shared" ca="1" si="1"/>
        <v>9000TEU Diesel</v>
      </c>
      <c r="CX13" s="427" t="str">
        <f t="shared" ca="1" si="1"/>
        <v>9000TEU BioDiesel</v>
      </c>
      <c r="CY13" s="427" t="str">
        <f t="shared" ca="1" si="1"/>
        <v>9000TEU LNG</v>
      </c>
      <c r="CZ13" s="427" t="str">
        <f t="shared" ca="1" si="1"/>
        <v>IC Tog Diesel</v>
      </c>
      <c r="DA13" s="427" t="str">
        <f t="shared" ca="1" si="1"/>
        <v>IC Tog Biodiesel</v>
      </c>
      <c r="DB13" s="427" t="str">
        <f t="shared" ca="1" si="1"/>
        <v>IC Tog El</v>
      </c>
      <c r="DC13" s="427" t="str">
        <f t="shared" ca="1" si="1"/>
        <v>Lokaltog Diesel</v>
      </c>
      <c r="DD13" s="427" t="str">
        <f t="shared" ca="1" si="1"/>
        <v>Lokaltog biodiesel</v>
      </c>
      <c r="DE13" s="427" t="str">
        <f t="shared" ca="1" si="1"/>
        <v>Lokaltog Gas</v>
      </c>
      <c r="DF13" s="427" t="str">
        <f t="shared" ca="1" si="1"/>
        <v>L-Diesel</v>
      </c>
      <c r="DG13" s="427" t="str">
        <f t="shared" ca="1" si="1"/>
        <v>L-BioDiesel</v>
      </c>
      <c r="DH13" s="427" t="str">
        <f t="shared" ca="1" si="1"/>
        <v>L-CNG</v>
      </c>
      <c r="DI13" s="427" t="str">
        <f t="shared" ca="1" si="1"/>
        <v>L-DME</v>
      </c>
      <c r="DJ13" s="427" t="str">
        <f t="shared" ca="1" si="1"/>
        <v>B-Diesel</v>
      </c>
      <c r="DK13" s="427" t="str">
        <f t="shared" ca="1" si="1"/>
        <v>B-Biodiesel</v>
      </c>
      <c r="DL13" s="427" t="str">
        <f t="shared" ca="1" si="1"/>
        <v>B-CNG</v>
      </c>
      <c r="DM13" s="427" t="str">
        <f t="shared" ca="1" si="1"/>
        <v>B-Hybrid</v>
      </c>
      <c r="DN13" s="427" t="str">
        <f t="shared" ca="1" si="1"/>
        <v>Fast Ferry - Biodiesel</v>
      </c>
      <c r="DO13" s="427" t="str">
        <f t="shared" ca="1" si="1"/>
        <v>Ren brint</v>
      </c>
      <c r="DP13" s="427">
        <f t="shared" ca="1" si="1"/>
        <v>0</v>
      </c>
      <c r="DR13" s="392" t="s">
        <v>709</v>
      </c>
      <c r="DS13" s="404" t="s">
        <v>710</v>
      </c>
    </row>
    <row r="14" spans="1:123">
      <c r="B14" s="394">
        <f ca="1">NOW()</f>
        <v>41897.397369212966</v>
      </c>
      <c r="C14" s="434">
        <f ca="1">IF(C13=0,0,OFFSET(Vehicles!$F$24,0,COLUMN()-COLUMN($C$13)))</f>
        <v>1.470725339012354</v>
      </c>
      <c r="D14" s="434">
        <f ca="1">IF(D13=0,0,OFFSET(Vehicles!$F$24,0,COLUMN()-COLUMN($C$13)))</f>
        <v>1.4854748199882093</v>
      </c>
      <c r="E14" s="434">
        <f ca="1">IF(E13=0,0,OFFSET(Vehicles!$F$24,0,COLUMN()-COLUMN($C$13)))</f>
        <v>1.5857057027759596</v>
      </c>
      <c r="F14" s="434">
        <f ca="1">IF(F13=0,0,OFFSET(Vehicles!$F$24,0,COLUMN()-COLUMN($C$13)))</f>
        <v>1.4571230805536857</v>
      </c>
      <c r="G14" s="434">
        <f ca="1">IF(G13=0,0,OFFSET(Vehicles!$F$24,0,COLUMN()-COLUMN($C$13)))</f>
        <v>1.5444122668469531</v>
      </c>
      <c r="H14" s="434">
        <f ca="1">IF(H13=0,0,OFFSET(Vehicles!$F$24,0,COLUMN()-COLUMN($C$13)))</f>
        <v>1.4749866399349132</v>
      </c>
      <c r="I14" s="434">
        <f ca="1">IF(I13=0,0,OFFSET(Vehicles!$F$24,0,COLUMN()-COLUMN($C$13)))</f>
        <v>1.5401595887982942</v>
      </c>
      <c r="J14" s="434">
        <f ca="1">IF(J13=0,0,OFFSET(Vehicles!$F$24,0,COLUMN()-COLUMN($C$13)))</f>
        <v>1.5581135818536227</v>
      </c>
      <c r="K14" s="434">
        <f ca="1">IF(K13=0,0,OFFSET(Vehicles!$F$24,0,COLUMN()-COLUMN($C$13)))</f>
        <v>1.3864546445612862</v>
      </c>
      <c r="L14" s="434">
        <f ca="1">IF(L13=0,0,OFFSET(Vehicles!$F$24,0,COLUMN()-COLUMN($C$13)))</f>
        <v>1.6296539719899525</v>
      </c>
      <c r="M14" s="434">
        <f ca="1">IF(M13=0,0,OFFSET(Vehicles!$F$24,0,COLUMN()-COLUMN($C$13)))</f>
        <v>1.8158692777681844</v>
      </c>
      <c r="N14" s="434">
        <f ca="1">IF(N13=0,0,OFFSET(Vehicles!$F$24,0,COLUMN()-COLUMN($C$13)))</f>
        <v>1.7693777678709823</v>
      </c>
      <c r="O14" s="434">
        <f ca="1">IF(O13=0,0,OFFSET(Vehicles!$F$24,0,COLUMN()-COLUMN($C$13)))</f>
        <v>1.5031614990571662</v>
      </c>
      <c r="P14" s="434">
        <f ca="1">IF(P13=0,0,OFFSET(Vehicles!$F$24,0,COLUMN()-COLUMN($C$13)))</f>
        <v>1.4311277691880082</v>
      </c>
      <c r="Q14" s="434">
        <f ca="1">IF(Q13=0,0,OFFSET(Vehicles!$F$24,0,COLUMN()-COLUMN($C$13)))</f>
        <v>969.07697429578423</v>
      </c>
      <c r="R14" s="434">
        <f ca="1">IF(R13=0,0,OFFSET(Vehicles!$F$24,0,COLUMN()-COLUMN($C$13)))</f>
        <v>56.70829724251977</v>
      </c>
      <c r="S14" s="434">
        <f ca="1">IF(S13=0,0,OFFSET(Vehicles!$F$24,0,COLUMN()-COLUMN($C$13)))</f>
        <v>62.236896493288555</v>
      </c>
      <c r="T14" s="434">
        <f ca="1">IF(T13=0,0,OFFSET(Vehicles!$F$24,0,COLUMN()-COLUMN($C$13)))</f>
        <v>3729.5721162109244</v>
      </c>
      <c r="U14" s="434">
        <f ca="1">IF(U13=0,0,OFFSET(Vehicles!$F$24,0,COLUMN()-COLUMN($C$13)))</f>
        <v>1804.3946997505116</v>
      </c>
      <c r="V14" s="434">
        <f ca="1">IF(V13=0,0,OFFSET(Vehicles!$F$24,0,COLUMN()-COLUMN($C$13)))</f>
        <v>2082.0786831155383</v>
      </c>
      <c r="W14" s="434">
        <f ca="1">IF(W13=0,0,OFFSET(Vehicles!$F$24,0,COLUMN()-COLUMN($C$13)))</f>
        <v>1075.2454359084275</v>
      </c>
      <c r="X14" s="434">
        <f ca="1">IF(X13=0,0,OFFSET(Vehicles!$F$24,0,COLUMN()-COLUMN($C$13)))</f>
        <v>52.236431661707684</v>
      </c>
      <c r="Y14" s="434">
        <f ca="1">IF(Y13=0,0,OFFSET(Vehicles!$F$24,0,COLUMN()-COLUMN($C$13)))</f>
        <v>53.907663926079785</v>
      </c>
      <c r="Z14" s="434">
        <f ca="1">IF(Z13=0,0,OFFSET(Vehicles!$F$24,0,COLUMN()-COLUMN($C$13)))</f>
        <v>52.784194889146562</v>
      </c>
      <c r="AA14" s="434">
        <f ca="1">IF(AA13=0,0,OFFSET(Vehicles!$F$24,0,COLUMN()-COLUMN($C$13)))</f>
        <v>46.07295682875607</v>
      </c>
      <c r="AB14" s="434">
        <f ca="1">IF(AB13=0,0,OFFSET(Vehicles!$F$24,0,COLUMN()-COLUMN($C$13)))</f>
        <v>47.440328681424155</v>
      </c>
      <c r="AC14" s="434">
        <f ca="1">IF(AC13=0,0,OFFSET(Vehicles!$F$24,0,COLUMN()-COLUMN($C$13)))</f>
        <v>48.579708377593732</v>
      </c>
      <c r="AD14" s="434">
        <f ca="1">IF(AD13=0,0,OFFSET(Vehicles!$F$24,0,COLUMN()-COLUMN($C$13)))</f>
        <v>8.6055674102599848</v>
      </c>
      <c r="AE14" s="434">
        <f ca="1">IF(AE13=0,0,OFFSET(Vehicles!$F$24,0,COLUMN()-COLUMN($C$13)))</f>
        <v>8.7397368719796251</v>
      </c>
      <c r="AF14" s="434">
        <f ca="1">IF(AF13=0,0,OFFSET(Vehicles!$F$24,0,COLUMN()-COLUMN($C$13)))</f>
        <v>8.2930962339881127</v>
      </c>
      <c r="AG14" s="434">
        <f ca="1">IF(AG13=0,0,OFFSET(Vehicles!$F$24,0,COLUMN()-COLUMN($C$13)))</f>
        <v>8.8991791794710018</v>
      </c>
      <c r="AH14" s="434">
        <f ca="1">IF(AH13=0,0,OFFSET(Vehicles!$F$24,0,COLUMN()-COLUMN($C$13)))</f>
        <v>8.4349530668691539</v>
      </c>
      <c r="AI14" s="434">
        <f ca="1">IF(AI13=0,0,OFFSET(Vehicles!$F$24,0,COLUMN()-COLUMN($C$13)))</f>
        <v>8.4852358415485778</v>
      </c>
      <c r="AJ14" s="434">
        <f ca="1">IF(AJ13=0,0,OFFSET(Vehicles!$F$24,0,COLUMN()-COLUMN($C$13)))</f>
        <v>8.2759511224302926</v>
      </c>
      <c r="AK14" s="434">
        <f ca="1">IF(AK13=0,0,OFFSET(Vehicles!$F$24,0,COLUMN()-COLUMN($C$13)))</f>
        <v>9.2110560506352304</v>
      </c>
      <c r="AL14" s="434">
        <f ca="1">IF(AL13=0,0,OFFSET(Vehicles!$F$24,0,COLUMN()-COLUMN($C$13)))</f>
        <v>1148.5070700595998</v>
      </c>
      <c r="AM14" s="434">
        <f ca="1">IF(AM13=0,0,OFFSET(Vehicles!$F$24,0,COLUMN()-COLUMN($C$13)))</f>
        <v>2.0749934702262522</v>
      </c>
      <c r="AN14" s="434">
        <f ca="1">IF(AN13=0,0,OFFSET(Vehicles!$F$24,0,COLUMN()-COLUMN($C$13)))</f>
        <v>0</v>
      </c>
      <c r="AP14" s="394">
        <f ca="1">B14</f>
        <v>41897.397369212966</v>
      </c>
      <c r="AQ14" s="395">
        <f ca="1">IF(AQ13=0,0,OFFSET(Vehicles!$F$188,0,COLUMN()-COLUMN($AQ13)))</f>
        <v>130.30849928407619</v>
      </c>
      <c r="AR14" s="395">
        <f ca="1">IF(AR13=0,0,OFFSET(Vehicles!$F$188,0,COLUMN()-COLUMN($AQ13)))</f>
        <v>173.36485076842851</v>
      </c>
      <c r="AS14" s="395">
        <f ca="1">IF(AS13=0,0,OFFSET(Vehicles!$F$188,0,COLUMN()-COLUMN($AQ13)))</f>
        <v>656.49203682319421</v>
      </c>
      <c r="AT14" s="395">
        <f ca="1">IF(AT13=0,0,OFFSET(Vehicles!$F$188,0,COLUMN()-COLUMN($AQ13)))</f>
        <v>822.1090351161464</v>
      </c>
      <c r="AU14" s="395">
        <f ca="1">IF(AU13=0,0,OFFSET(Vehicles!$F$188,0,COLUMN()-COLUMN($AQ13)))</f>
        <v>30.800961196343653</v>
      </c>
      <c r="AV14" s="395">
        <f ca="1">IF(AV13=0,0,OFFSET(Vehicles!$F$188,0,COLUMN()-COLUMN($AQ13)))</f>
        <v>545.73459990388676</v>
      </c>
      <c r="AW14" s="395">
        <f ca="1">IF(AW13=0,0,OFFSET(Vehicles!$F$188,0,COLUMN()-COLUMN($AQ13)))</f>
        <v>-44.357441516486432</v>
      </c>
      <c r="AX14" s="395">
        <f ca="1">IF(AX13=0,0,OFFSET(Vehicles!$F$188,0,COLUMN()-COLUMN($AQ13)))</f>
        <v>-47.025624439545666</v>
      </c>
      <c r="AY14" s="395">
        <f ca="1">IF(AY13=0,0,OFFSET(Vehicles!$F$188,0,COLUMN()-COLUMN($AQ13)))</f>
        <v>148.46711957195433</v>
      </c>
      <c r="AZ14" s="395">
        <f ca="1">IF(AZ13=0,0,OFFSET(Vehicles!$F$188,0,COLUMN()-COLUMN($AQ13)))</f>
        <v>-118.74945696650954</v>
      </c>
      <c r="BA14" s="395">
        <f ca="1">IF(BA13=0,0,OFFSET(Vehicles!$F$188,0,COLUMN()-COLUMN($AQ13)))</f>
        <v>-8.1116204832290713</v>
      </c>
      <c r="BB14" s="395">
        <f ca="1">IF(BB13=0,0,OFFSET(Vehicles!$F$188,0,COLUMN()-COLUMN($AQ13)))</f>
        <v>4.243005198355692</v>
      </c>
      <c r="BC14" s="395">
        <f ca="1">IF(BC13=0,0,OFFSET(Vehicles!$F$188,0,COLUMN()-COLUMN($AQ13)))</f>
        <v>2.3500131018202395</v>
      </c>
      <c r="BD14" s="395">
        <f ca="1">IF(BD13=0,0,OFFSET(Vehicles!$F$188,0,COLUMN()-COLUMN($AQ13)))</f>
        <v>99.25718830055304</v>
      </c>
      <c r="BE14" s="395">
        <f ca="1">IF(BE13=0,0,OFFSET(Vehicles!$F$188,0,COLUMN()-COLUMN($AQ13)))</f>
        <v>350298.61560125841</v>
      </c>
      <c r="BF14" s="395">
        <f ca="1">IF(BF13=0,0,OFFSET(Vehicles!$F$188,0,COLUMN()-COLUMN($AQ13)))</f>
        <v>8160.5219186429176</v>
      </c>
      <c r="BG14" s="395">
        <f ca="1">IF(BG13=0,0,OFFSET(Vehicles!$F$188,0,COLUMN()-COLUMN($AQ13)))</f>
        <v>-9019.7786071368864</v>
      </c>
      <c r="BH14" s="395">
        <f ca="1">IF(BH13=0,0,OFFSET(Vehicles!$F$188,0,COLUMN()-COLUMN($AQ13)))</f>
        <v>562273.26292468584</v>
      </c>
      <c r="BI14" s="395">
        <f ca="1">IF(BI13=0,0,OFFSET(Vehicles!$F$188,0,COLUMN()-COLUMN($AQ13)))</f>
        <v>542118.16882409609</v>
      </c>
      <c r="BJ14" s="395">
        <f ca="1">IF(BJ13=0,0,OFFSET(Vehicles!$F$188,0,COLUMN()-COLUMN($AQ13)))</f>
        <v>-191292.0431264916</v>
      </c>
      <c r="BK14" s="395">
        <f ca="1">IF(BK13=0,0,OFFSET(Vehicles!$F$188,0,COLUMN()-COLUMN($AQ13)))</f>
        <v>528613.83067174477</v>
      </c>
      <c r="BL14" s="395">
        <f ca="1">IF(BL13=0,0,OFFSET(Vehicles!$F$188,0,COLUMN()-COLUMN($AQ13)))</f>
        <v>3264.8815206779341</v>
      </c>
      <c r="BM14" s="395">
        <f ca="1">IF(BM13=0,0,OFFSET(Vehicles!$F$188,0,COLUMN()-COLUMN($AQ13)))</f>
        <v>-1152.0474549139462</v>
      </c>
      <c r="BN14" s="395">
        <f ca="1">IF(BN13=0,0,OFFSET(Vehicles!$F$188,0,COLUMN()-COLUMN($AQ13)))</f>
        <v>100.57603941182192</v>
      </c>
      <c r="BO14" s="395">
        <f ca="1">IF(BO13=0,0,OFFSET(Vehicles!$F$188,0,COLUMN()-COLUMN($AQ13)))</f>
        <v>2671.266698736491</v>
      </c>
      <c r="BP14" s="395">
        <f ca="1">IF(BP13=0,0,OFFSET(Vehicles!$F$188,0,COLUMN()-COLUMN($AQ13)))</f>
        <v>-942.58428129322851</v>
      </c>
      <c r="BQ14" s="395">
        <f ca="1">IF(BQ13=0,0,OFFSET(Vehicles!$F$188,0,COLUMN()-COLUMN($AQ13)))</f>
        <v>2385.0901574690902</v>
      </c>
      <c r="BR14" s="395">
        <f ca="1">IF(BR13=0,0,OFFSET(Vehicles!$F$188,0,COLUMN()-COLUMN($AQ13)))</f>
        <v>1183.2686415251512</v>
      </c>
      <c r="BS14" s="395">
        <f ca="1">IF(BS13=0,0,OFFSET(Vehicles!$F$188,0,COLUMN()-COLUMN($AQ13)))</f>
        <v>4944.1121441584437</v>
      </c>
      <c r="BT14" s="395">
        <f ca="1">IF(BT13=0,0,OFFSET(Vehicles!$F$188,0,COLUMN()-COLUMN($AQ13)))</f>
        <v>1205.3277162569384</v>
      </c>
      <c r="BU14" s="395">
        <f ca="1">IF(BU13=0,0,OFFSET(Vehicles!$F$188,0,COLUMN()-COLUMN($AQ13)))</f>
        <v>-398.61279216049684</v>
      </c>
      <c r="BV14" s="395">
        <f ca="1">IF(BV13=0,0,OFFSET(Vehicles!$F$188,0,COLUMN()-COLUMN($AQ13)))</f>
        <v>1247.9778083912533</v>
      </c>
      <c r="BW14" s="395">
        <f ca="1">IF(BW13=0,0,OFFSET(Vehicles!$F$188,0,COLUMN()-COLUMN($AQ13)))</f>
        <v>5221.8434347449474</v>
      </c>
      <c r="BX14" s="395">
        <f ca="1">IF(BX13=0,0,OFFSET(Vehicles!$F$188,0,COLUMN()-COLUMN($AQ13)))</f>
        <v>1299.8312299017655</v>
      </c>
      <c r="BY14" s="395">
        <f ca="1">IF(BY13=0,0,OFFSET(Vehicles!$F$188,0,COLUMN()-COLUMN($AQ13)))</f>
        <v>959.98292953173348</v>
      </c>
      <c r="BZ14" s="395">
        <f ca="1">IF(BZ13=0,0,OFFSET(Vehicles!$F$188,0,COLUMN()-COLUMN($AQ13)))</f>
        <v>-123606.51558330099</v>
      </c>
      <c r="CA14" s="395">
        <f ca="1">IF(CA13=0,0,OFFSET(Vehicles!$F$188,0,COLUMN()-COLUMN($AQ13)))</f>
        <v>7.4868508085085361</v>
      </c>
      <c r="CB14" s="395">
        <f ca="1">IF(CB13=0,0,OFFSET(Vehicles!$F$188,0,COLUMN()-COLUMN($AQ13)))</f>
        <v>0</v>
      </c>
      <c r="CD14" s="394">
        <f ca="1">B14</f>
        <v>41897.397369212966</v>
      </c>
      <c r="CE14" s="395">
        <f ca="1">IF(CE13=0,0,OFFSET(Vehicles!$F$63,0,COLUMN()-COLUMN($CE13)))</f>
        <v>0.23759628394566742</v>
      </c>
      <c r="CF14" s="395">
        <f ca="1">IF(CF13=0,0,OFFSET(Vehicles!$F$63,0,COLUMN()-COLUMN($CE13)))</f>
        <v>0.16769792432989633</v>
      </c>
      <c r="CG14" s="395">
        <f ca="1">IF(CG13=0,0,OFFSET(Vehicles!$F$63,0,COLUMN()-COLUMN($CE13)))</f>
        <v>0.13923731496982597</v>
      </c>
      <c r="CH14" s="395">
        <f ca="1">IF(CH13=0,0,OFFSET(Vehicles!$F$63,0,COLUMN()-COLUMN($CE13)))</f>
        <v>0.14097114871113556</v>
      </c>
      <c r="CI14" s="395">
        <f ca="1">IF(CI13=0,0,OFFSET(Vehicles!$F$63,0,COLUMN()-COLUMN($CE13)))</f>
        <v>0.12872803566339891</v>
      </c>
      <c r="CJ14" s="395">
        <f ca="1">IF(CJ13=0,0,OFFSET(Vehicles!$F$63,0,COLUMN()-COLUMN($CE13)))</f>
        <v>0.20776980245257207</v>
      </c>
      <c r="CK14" s="395">
        <f ca="1">IF(CK13=0,0,OFFSET(Vehicles!$F$63,0,COLUMN()-COLUMN($CE13)))</f>
        <v>0.20005420011599015</v>
      </c>
      <c r="CL14" s="395">
        <f ca="1">IF(CL13=0,0,OFFSET(Vehicles!$F$63,0,COLUMN()-COLUMN($CE13)))</f>
        <v>0.2150045900352773</v>
      </c>
      <c r="CM14" s="395">
        <f ca="1">IF(CM13=0,0,OFFSET(Vehicles!$F$63,0,COLUMN()-COLUMN($CE13)))</f>
        <v>0.16831539661914319</v>
      </c>
      <c r="CN14" s="395">
        <f ca="1">IF(CN13=0,0,OFFSET(Vehicles!$F$63,0,COLUMN()-COLUMN($CE13)))</f>
        <v>0.15819847757401839</v>
      </c>
      <c r="CO14" s="395">
        <f ca="1">IF(CO13=0,0,OFFSET(Vehicles!$F$63,0,COLUMN()-COLUMN($CE13)))</f>
        <v>0.55351751631068857</v>
      </c>
      <c r="CP14" s="395">
        <f ca="1">IF(CP13=0,0,OFFSET(Vehicles!$F$63,0,COLUMN()-COLUMN($CE13)))</f>
        <v>0.54869968593943474</v>
      </c>
      <c r="CQ14" s="395">
        <f ca="1">IF(CQ13=0,0,OFFSET(Vehicles!$F$63,0,COLUMN()-COLUMN($CE13)))</f>
        <v>0.65414862139188079</v>
      </c>
      <c r="CR14" s="395">
        <f ca="1">IF(CR13=0,0,OFFSET(Vehicles!$F$63,0,COLUMN()-COLUMN($CE13)))</f>
        <v>0.37402054072693969</v>
      </c>
      <c r="CS14" s="395">
        <f ca="1">IF(CS13=0,0,OFFSET(Vehicles!$F$63,0,COLUMN()-COLUMN($CE13)))</f>
        <v>0.37407164929552272</v>
      </c>
      <c r="CT14" s="395">
        <f ca="1">IF(CT13=0,0,OFFSET(Vehicles!$F$63,0,COLUMN()-COLUMN($CE13)))</f>
        <v>0.447221292916757</v>
      </c>
      <c r="CU14" s="395">
        <f ca="1">IF(CU13=0,0,OFFSET(Vehicles!$F$63,0,COLUMN()-COLUMN($CE13)))</f>
        <v>0.3622790598707698</v>
      </c>
      <c r="CV14" s="395">
        <f ca="1">IF(CV13=0,0,OFFSET(Vehicles!$F$63,0,COLUMN()-COLUMN($CE13)))</f>
        <v>0.47428587647615433</v>
      </c>
      <c r="CW14" s="395">
        <f ca="1">IF(CW13=0,0,OFFSET(Vehicles!$F$63,0,COLUMN()-COLUMN($CE13)))</f>
        <v>0.45146578363252743</v>
      </c>
      <c r="CX14" s="395">
        <f ca="1">IF(CX13=0,0,OFFSET(Vehicles!$F$63,0,COLUMN()-COLUMN($CE13)))</f>
        <v>0.38013063472405745</v>
      </c>
      <c r="CY14" s="395">
        <f ca="1">IF(CY13=0,0,OFFSET(Vehicles!$F$63,0,COLUMN()-COLUMN($CE13)))</f>
        <v>0.40611005021873081</v>
      </c>
      <c r="CZ14" s="395">
        <f ca="1">IF(CZ13=0,0,OFFSET(Vehicles!$F$63,0,COLUMN()-COLUMN($CE13)))</f>
        <v>0.29816004259848461</v>
      </c>
      <c r="DA14" s="395">
        <f ca="1">IF(DA13=0,0,OFFSET(Vehicles!$F$63,0,COLUMN()-COLUMN($CE13)))</f>
        <v>0.25104840798869349</v>
      </c>
      <c r="DB14" s="395">
        <f ca="1">IF(DB13=0,0,OFFSET(Vehicles!$F$63,0,COLUMN()-COLUMN($CE13)))</f>
        <v>0.69049021146920753</v>
      </c>
      <c r="DC14" s="395">
        <f ca="1">IF(DC13=0,0,OFFSET(Vehicles!$F$63,0,COLUMN()-COLUMN($CE13)))</f>
        <v>0.29816004259848461</v>
      </c>
      <c r="DD14" s="395">
        <f ca="1">IF(DD13=0,0,OFFSET(Vehicles!$F$63,0,COLUMN()-COLUMN($CE13)))</f>
        <v>0.25104840798869349</v>
      </c>
      <c r="DE14" s="395">
        <f ca="1">IF(DE13=0,0,OFFSET(Vehicles!$F$63,0,COLUMN()-COLUMN($CE13)))</f>
        <v>0.28718003652181961</v>
      </c>
      <c r="DF14" s="395">
        <f ca="1">IF(DF13=0,0,OFFSET(Vehicles!$F$63,0,COLUMN()-COLUMN($CE13)))</f>
        <v>0.37270005324810579</v>
      </c>
      <c r="DG14" s="395">
        <f ca="1">IF(DG13=0,0,OFFSET(Vehicles!$F$63,0,COLUMN()-COLUMN($CE13)))</f>
        <v>0.32591341561187775</v>
      </c>
      <c r="DH14" s="395">
        <f ca="1">IF(DH13=0,0,OFFSET(Vehicles!$F$63,0,COLUMN()-COLUMN($CE13)))</f>
        <v>0.29089665540578735</v>
      </c>
      <c r="DI14" s="395">
        <f ca="1">IF(DI13=0,0,OFFSET(Vehicles!$F$63,0,COLUMN()-COLUMN($CE13)))</f>
        <v>0.33726210201612128</v>
      </c>
      <c r="DJ14" s="395">
        <f ca="1">IF(DJ13=0,0,OFFSET(Vehicles!$F$63,0,COLUMN()-COLUMN($CE13)))</f>
        <v>0.30102696608500845</v>
      </c>
      <c r="DK14" s="395">
        <f ca="1">IF(DK13=0,0,OFFSET(Vehicles!$F$63,0,COLUMN()-COLUMN($CE13)))</f>
        <v>0.26323775876343969</v>
      </c>
      <c r="DL14" s="395">
        <f ca="1">IF(DL13=0,0,OFFSET(Vehicles!$F$63,0,COLUMN()-COLUMN($CE13)))</f>
        <v>0.22790901296842467</v>
      </c>
      <c r="DM14" s="395">
        <f ca="1">IF(DM13=0,0,OFFSET(Vehicles!$F$63,0,COLUMN()-COLUMN($CE13)))</f>
        <v>0.39133505591051104</v>
      </c>
      <c r="DN14" s="395">
        <f ca="1">IF(DN13=0,0,OFFSET(Vehicles!$F$63,0,COLUMN()-COLUMN($CE13)))</f>
        <v>0.31496538305707616</v>
      </c>
      <c r="DO14" s="395">
        <f ca="1">IF(DO13=0,0,OFFSET(Vehicles!$F$63,0,COLUMN()-COLUMN($CE13)))</f>
        <v>0.3139907650936678</v>
      </c>
      <c r="DP14" s="395">
        <f ca="1">IF(DP13=0,0,OFFSET(Vehicles!$F$63,0,COLUMN()-COLUMN($CE13)))</f>
        <v>0</v>
      </c>
      <c r="DR14" s="207">
        <f>'Log2015'!L4</f>
        <v>0</v>
      </c>
      <c r="DS14" s="207">
        <f>'Log2015'!L5</f>
        <v>0</v>
      </c>
    </row>
    <row r="15" spans="1:123" s="523" customFormat="1">
      <c r="B15" s="838">
        <f ca="1">OFFSET(B25,$C$19,0)</f>
        <v>41892.605928472221</v>
      </c>
      <c r="C15" s="839">
        <f ca="1">OFFSET(C25,$C$19,0)</f>
        <v>1.4111232005067906</v>
      </c>
      <c r="D15" s="839">
        <f t="shared" ref="D15:AN15" ca="1" si="2">OFFSET(D25,$C$19,0)</f>
        <v>1.4065396343457719</v>
      </c>
      <c r="E15" s="839">
        <f t="shared" ca="1" si="2"/>
        <v>1.4456019106643676</v>
      </c>
      <c r="F15" s="839">
        <f ca="1">OFFSET(F25,$C$19,0)</f>
        <v>1.345332552082944</v>
      </c>
      <c r="G15" s="839">
        <f t="shared" ca="1" si="2"/>
        <v>1.4417002383048159</v>
      </c>
      <c r="H15" s="839">
        <f ca="1">OFFSET(H25,$C$19,0)</f>
        <v>1.387197463148464</v>
      </c>
      <c r="I15" s="839">
        <f t="shared" ca="1" si="2"/>
        <v>1.4466786873557231</v>
      </c>
      <c r="J15" s="839">
        <f t="shared" ca="1" si="2"/>
        <v>1.4927797979878341</v>
      </c>
      <c r="K15" s="839">
        <f t="shared" ca="1" si="2"/>
        <v>1.3506642766906733</v>
      </c>
      <c r="L15" s="839">
        <f t="shared" ca="1" si="2"/>
        <v>1.4894176429468535</v>
      </c>
      <c r="M15" s="839">
        <f t="shared" ca="1" si="2"/>
        <v>1.3461050587895023</v>
      </c>
      <c r="N15" s="839">
        <f t="shared" ca="1" si="2"/>
        <v>1.3473551458480095</v>
      </c>
      <c r="O15" s="839">
        <f t="shared" ca="1" si="2"/>
        <v>1.1416394077937069</v>
      </c>
      <c r="P15" s="839">
        <f t="shared" ca="1" si="2"/>
        <v>1.2210408034920568</v>
      </c>
      <c r="Q15" s="839">
        <f t="shared" ca="1" si="2"/>
        <v>1025.7920934702042</v>
      </c>
      <c r="R15" s="839">
        <f t="shared" ca="1" si="2"/>
        <v>58.04129247681341</v>
      </c>
      <c r="S15" s="839">
        <f ca="1">OFFSET(S25,$C$19,0)</f>
        <v>62.35765064114478</v>
      </c>
      <c r="T15" s="839">
        <f t="shared" ca="1" si="2"/>
        <v>3234.1642897710803</v>
      </c>
      <c r="U15" s="839">
        <f t="shared" ca="1" si="2"/>
        <v>1646.8571434201594</v>
      </c>
      <c r="V15" s="839">
        <f t="shared" ca="1" si="2"/>
        <v>1808.6996140827482</v>
      </c>
      <c r="W15" s="839">
        <f t="shared" ca="1" si="2"/>
        <v>1051.099336817043</v>
      </c>
      <c r="X15" s="839">
        <f t="shared" ca="1" si="2"/>
        <v>52.111602953964919</v>
      </c>
      <c r="Y15" s="839">
        <f t="shared" ca="1" si="2"/>
        <v>53.307779342452726</v>
      </c>
      <c r="Z15" s="839">
        <f t="shared" ca="1" si="2"/>
        <v>53.267056073548623</v>
      </c>
      <c r="AA15" s="839">
        <f t="shared" ca="1" si="2"/>
        <v>48.676663573585785</v>
      </c>
      <c r="AB15" s="839">
        <f t="shared" ca="1" si="2"/>
        <v>49.655353345984899</v>
      </c>
      <c r="AC15" s="839">
        <f t="shared" ca="1" si="2"/>
        <v>50.549280458661443</v>
      </c>
      <c r="AD15" s="839">
        <f t="shared" ca="1" si="2"/>
        <v>8.443176308726148</v>
      </c>
      <c r="AE15" s="839">
        <f t="shared" ca="1" si="2"/>
        <v>8.2154096605906197</v>
      </c>
      <c r="AF15" s="839">
        <f t="shared" ca="1" si="2"/>
        <v>8.0711571561479207</v>
      </c>
      <c r="AG15" s="839">
        <f t="shared" ca="1" si="2"/>
        <v>8.6479288721133845</v>
      </c>
      <c r="AH15" s="839">
        <f t="shared" ca="1" si="2"/>
        <v>8.2125447893475325</v>
      </c>
      <c r="AI15" s="839">
        <f t="shared" ca="1" si="2"/>
        <v>7.9260394141204848</v>
      </c>
      <c r="AJ15" s="839">
        <f t="shared" ca="1" si="2"/>
        <v>7.9467516618511747</v>
      </c>
      <c r="AK15" s="839">
        <f t="shared" ca="1" si="2"/>
        <v>9.0399727602339865</v>
      </c>
      <c r="AL15" s="839">
        <f t="shared" ca="1" si="2"/>
        <v>1152.3553967989742</v>
      </c>
      <c r="AM15" s="839">
        <f t="shared" ca="1" si="2"/>
        <v>1.4045375511551084</v>
      </c>
      <c r="AN15" s="839">
        <f t="shared" ca="1" si="2"/>
        <v>0</v>
      </c>
      <c r="AP15" s="838">
        <f ca="1">B15</f>
        <v>41892.605928472221</v>
      </c>
      <c r="AQ15" s="450">
        <f ca="1">OFFSET(AQ25,$C$19,0)</f>
        <v>99.701198460902305</v>
      </c>
      <c r="AR15" s="450">
        <f t="shared" ref="AR15:CB15" ca="1" si="3">OFFSET(AR25,$C$19,0)</f>
        <v>123.43806342019201</v>
      </c>
      <c r="AS15" s="450">
        <f t="shared" ca="1" si="3"/>
        <v>52.177496591868461</v>
      </c>
      <c r="AT15" s="450">
        <f ca="1">OFFSET(AT25,$C$19,0)</f>
        <v>37.54980431803029</v>
      </c>
      <c r="AU15" s="450">
        <f t="shared" ca="1" si="3"/>
        <v>34.331630889103536</v>
      </c>
      <c r="AV15" s="450">
        <f ca="1">OFFSET(AV25,$C$19,0)</f>
        <v>45.694059097942542</v>
      </c>
      <c r="AW15" s="450">
        <f t="shared" ca="1" si="3"/>
        <v>-10.178567373672415</v>
      </c>
      <c r="AX15" s="450">
        <f t="shared" ca="1" si="3"/>
        <v>6.0981019583965796</v>
      </c>
      <c r="AY15" s="450">
        <f t="shared" ca="1" si="3"/>
        <v>116.36107115902827</v>
      </c>
      <c r="AZ15" s="450">
        <f t="shared" ca="1" si="3"/>
        <v>-91.800943778763894</v>
      </c>
      <c r="BA15" s="450">
        <f t="shared" ca="1" si="3"/>
        <v>2.0985383444854686</v>
      </c>
      <c r="BB15" s="450">
        <f t="shared" ca="1" si="3"/>
        <v>2.5329299146169211</v>
      </c>
      <c r="BC15" s="450">
        <f t="shared" ca="1" si="3"/>
        <v>1.6018704942876465</v>
      </c>
      <c r="BD15" s="450">
        <f t="shared" ca="1" si="3"/>
        <v>79.875026569726074</v>
      </c>
      <c r="BE15" s="450">
        <f t="shared" ca="1" si="3"/>
        <v>350382.78401405021</v>
      </c>
      <c r="BF15" s="450">
        <f t="shared" ca="1" si="3"/>
        <v>8157.1103205018071</v>
      </c>
      <c r="BG15" s="450">
        <f ca="1">OFFSET(BG25,$C$19,0)</f>
        <v>-4628.2170536163185</v>
      </c>
      <c r="BH15" s="450">
        <f t="shared" ca="1" si="3"/>
        <v>465120.11859830568</v>
      </c>
      <c r="BI15" s="450">
        <f t="shared" ca="1" si="3"/>
        <v>448051.00650039566</v>
      </c>
      <c r="BJ15" s="450">
        <f t="shared" ca="1" si="3"/>
        <v>-57066.649569985879</v>
      </c>
      <c r="BK15" s="450">
        <f t="shared" ca="1" si="3"/>
        <v>436019.78009934188</v>
      </c>
      <c r="BL15" s="450">
        <f t="shared" ca="1" si="3"/>
        <v>3314.6509838429301</v>
      </c>
      <c r="BM15" s="450">
        <f t="shared" ca="1" si="3"/>
        <v>-422.17520638826284</v>
      </c>
      <c r="BN15" s="450">
        <f t="shared" ca="1" si="3"/>
        <v>85.058281899025204</v>
      </c>
      <c r="BO15" s="450">
        <f t="shared" ca="1" si="3"/>
        <v>2711.9871685987609</v>
      </c>
      <c r="BP15" s="450">
        <f t="shared" ca="1" si="3"/>
        <v>-345.41607795403326</v>
      </c>
      <c r="BQ15" s="450">
        <f t="shared" ca="1" si="3"/>
        <v>1927.3974477936001</v>
      </c>
      <c r="BR15" s="450">
        <f t="shared" ca="1" si="3"/>
        <v>1127.0531148584646</v>
      </c>
      <c r="BS15" s="450">
        <f t="shared" ca="1" si="3"/>
        <v>510.08843786333597</v>
      </c>
      <c r="BT15" s="450">
        <f t="shared" ca="1" si="3"/>
        <v>1089.197874139144</v>
      </c>
      <c r="BU15" s="450">
        <f t="shared" ca="1" si="3"/>
        <v>54.794512480750036</v>
      </c>
      <c r="BV15" s="450">
        <f t="shared" ca="1" si="3"/>
        <v>1190.0073475608103</v>
      </c>
      <c r="BW15" s="450">
        <f t="shared" ca="1" si="3"/>
        <v>539.57139888719689</v>
      </c>
      <c r="BX15" s="450">
        <f t="shared" ca="1" si="3"/>
        <v>1164.6808022188161</v>
      </c>
      <c r="BY15" s="450">
        <f t="shared" ca="1" si="3"/>
        <v>915.39026735446942</v>
      </c>
      <c r="BZ15" s="450">
        <f t="shared" ca="1" si="3"/>
        <v>-44626.998401058612</v>
      </c>
      <c r="CA15" s="450">
        <f t="shared" ca="1" si="3"/>
        <v>3.9952086258341941</v>
      </c>
      <c r="CB15" s="450">
        <f t="shared" ca="1" si="3"/>
        <v>0</v>
      </c>
      <c r="CD15" s="838">
        <f ca="1">B15</f>
        <v>41892.605928472221</v>
      </c>
      <c r="CE15" s="450">
        <f ca="1">OFFSET(CE25,$C$19,0)</f>
        <v>0.28867948499398594</v>
      </c>
      <c r="CF15" s="450">
        <f t="shared" ref="CF15:DP15" ca="1" si="4">OFFSET(CF25,$C$19,0)</f>
        <v>0.21647902720720727</v>
      </c>
      <c r="CG15" s="450">
        <f t="shared" ca="1" si="4"/>
        <v>0.17973960391015936</v>
      </c>
      <c r="CH15" s="450">
        <f ca="1">OFFSET(CH25,$C$19,0)</f>
        <v>0.18197778689994615</v>
      </c>
      <c r="CI15" s="450">
        <f t="shared" ca="1" si="4"/>
        <v>0.16617331458371132</v>
      </c>
      <c r="CJ15" s="450">
        <f ca="1">OFFSET(CJ25,$C$19,0)</f>
        <v>0.25244030997987504</v>
      </c>
      <c r="CK15" s="450">
        <f t="shared" ca="1" si="4"/>
        <v>0.24306585314092802</v>
      </c>
      <c r="CL15" s="450">
        <f t="shared" ca="1" si="4"/>
        <v>0.26123057689286194</v>
      </c>
      <c r="CM15" s="450">
        <f t="shared" ca="1" si="4"/>
        <v>0.19945374499368468</v>
      </c>
      <c r="CN15" s="450">
        <f t="shared" ca="1" si="4"/>
        <v>0.1874651959252118</v>
      </c>
      <c r="CO15" s="450">
        <f t="shared" ca="1" si="4"/>
        <v>0.6079976020925798</v>
      </c>
      <c r="CP15" s="450">
        <f t="shared" ca="1" si="4"/>
        <v>0.6236009607312033</v>
      </c>
      <c r="CQ15" s="450">
        <f t="shared" ca="1" si="4"/>
        <v>0.70349513193076929</v>
      </c>
      <c r="CR15" s="450">
        <f t="shared" ca="1" si="4"/>
        <v>0.39067782389425465</v>
      </c>
      <c r="CS15" s="450">
        <f t="shared" ca="1" si="4"/>
        <v>0.37407164929552272</v>
      </c>
      <c r="CT15" s="450">
        <f t="shared" ca="1" si="4"/>
        <v>0.447221292916757</v>
      </c>
      <c r="CU15" s="450">
        <f ca="1">OFFSET(CU25,$C$19,0)</f>
        <v>0.3622790598707698</v>
      </c>
      <c r="CV15" s="450">
        <f t="shared" ca="1" si="4"/>
        <v>0.47428587647615433</v>
      </c>
      <c r="CW15" s="450">
        <f t="shared" ca="1" si="4"/>
        <v>0.45146578363252743</v>
      </c>
      <c r="CX15" s="450">
        <f t="shared" ca="1" si="4"/>
        <v>0.38013063472405745</v>
      </c>
      <c r="CY15" s="450">
        <f t="shared" ca="1" si="4"/>
        <v>0.40611005021873081</v>
      </c>
      <c r="CZ15" s="450">
        <f t="shared" ca="1" si="4"/>
        <v>0.29816004259848461</v>
      </c>
      <c r="DA15" s="450">
        <f t="shared" ca="1" si="4"/>
        <v>0.25104840798869349</v>
      </c>
      <c r="DB15" s="450">
        <f t="shared" ca="1" si="4"/>
        <v>0.742578194815812</v>
      </c>
      <c r="DC15" s="450">
        <f t="shared" ca="1" si="4"/>
        <v>0.29816004259848461</v>
      </c>
      <c r="DD15" s="450">
        <f t="shared" ca="1" si="4"/>
        <v>0.25104840798869349</v>
      </c>
      <c r="DE15" s="450">
        <f t="shared" ca="1" si="4"/>
        <v>0.35538529519575174</v>
      </c>
      <c r="DF15" s="450">
        <f t="shared" ca="1" si="4"/>
        <v>0.39133505591051104</v>
      </c>
      <c r="DG15" s="450">
        <f t="shared" ca="1" si="4"/>
        <v>0.34220908639247161</v>
      </c>
      <c r="DH15" s="450">
        <f t="shared" ca="1" si="4"/>
        <v>0.31600438762042726</v>
      </c>
      <c r="DI15" s="450">
        <f t="shared" ca="1" si="4"/>
        <v>0.3541252071169273</v>
      </c>
      <c r="DJ15" s="450">
        <f t="shared" ca="1" si="4"/>
        <v>0.31679504526088992</v>
      </c>
      <c r="DK15" s="450">
        <f t="shared" ca="1" si="4"/>
        <v>0.27702640327009609</v>
      </c>
      <c r="DL15" s="450">
        <f t="shared" ca="1" si="4"/>
        <v>0.25178639558339838</v>
      </c>
      <c r="DM15" s="450">
        <f t="shared" ca="1" si="4"/>
        <v>0.40065255724171372</v>
      </c>
      <c r="DN15" s="450">
        <f t="shared" ca="1" si="4"/>
        <v>0.31496538305707616</v>
      </c>
      <c r="DO15" s="450">
        <f t="shared" ca="1" si="4"/>
        <v>0.42781370636549465</v>
      </c>
      <c r="DP15" s="450">
        <f t="shared" ca="1" si="4"/>
        <v>0</v>
      </c>
      <c r="DR15" s="455"/>
      <c r="DS15" s="455"/>
    </row>
    <row r="16" spans="1:123">
      <c r="B16" s="396" t="s">
        <v>701</v>
      </c>
      <c r="C16" s="397">
        <f ca="1">C14-C15</f>
        <v>5.9602138505563396E-2</v>
      </c>
      <c r="D16" s="397">
        <f t="shared" ref="D16:AN16" ca="1" si="5">D14-D15</f>
        <v>7.89351856424374E-2</v>
      </c>
      <c r="E16" s="397">
        <f t="shared" ca="1" si="5"/>
        <v>0.14010379211159196</v>
      </c>
      <c r="F16" s="397">
        <f ca="1">F14-F15</f>
        <v>0.11179052847074167</v>
      </c>
      <c r="G16" s="397">
        <f t="shared" ca="1" si="5"/>
        <v>0.10271202854213723</v>
      </c>
      <c r="H16" s="397">
        <f ca="1">H14-H15</f>
        <v>8.7789176786449152E-2</v>
      </c>
      <c r="I16" s="397">
        <f t="shared" ca="1" si="5"/>
        <v>9.3480901442571041E-2</v>
      </c>
      <c r="J16" s="397">
        <f t="shared" ca="1" si="5"/>
        <v>6.5333783865788586E-2</v>
      </c>
      <c r="K16" s="397">
        <f t="shared" ca="1" si="5"/>
        <v>3.5790367870612849E-2</v>
      </c>
      <c r="L16" s="397">
        <f t="shared" ca="1" si="5"/>
        <v>0.14023632904309902</v>
      </c>
      <c r="M16" s="397">
        <f t="shared" ca="1" si="5"/>
        <v>0.46976421897868215</v>
      </c>
      <c r="N16" s="397">
        <f t="shared" ca="1" si="5"/>
        <v>0.4220226220229728</v>
      </c>
      <c r="O16" s="397">
        <f t="shared" ca="1" si="5"/>
        <v>0.36152209126345936</v>
      </c>
      <c r="P16" s="397">
        <f t="shared" ca="1" si="5"/>
        <v>0.21008696569595142</v>
      </c>
      <c r="Q16" s="397">
        <f t="shared" ca="1" si="5"/>
        <v>-56.71511917442001</v>
      </c>
      <c r="R16" s="397">
        <f t="shared" ca="1" si="5"/>
        <v>-1.3329952342936409</v>
      </c>
      <c r="S16" s="397">
        <f ca="1">S14-S15</f>
        <v>-0.12075414785622485</v>
      </c>
      <c r="T16" s="397">
        <f t="shared" ca="1" si="5"/>
        <v>495.40782643984403</v>
      </c>
      <c r="U16" s="397">
        <f t="shared" ca="1" si="5"/>
        <v>157.53755633035212</v>
      </c>
      <c r="V16" s="397">
        <f t="shared" ca="1" si="5"/>
        <v>273.37906903279008</v>
      </c>
      <c r="W16" s="397">
        <f t="shared" ca="1" si="5"/>
        <v>24.146099091384485</v>
      </c>
      <c r="X16" s="397">
        <f t="shared" ca="1" si="5"/>
        <v>0.12482870774276478</v>
      </c>
      <c r="Y16" s="397">
        <f t="shared" ca="1" si="5"/>
        <v>0.59988458362705899</v>
      </c>
      <c r="Z16" s="397">
        <f t="shared" ca="1" si="5"/>
        <v>-0.48286118440206138</v>
      </c>
      <c r="AA16" s="397">
        <f t="shared" ca="1" si="5"/>
        <v>-2.6037067448297151</v>
      </c>
      <c r="AB16" s="397">
        <f t="shared" ca="1" si="5"/>
        <v>-2.2150246645607439</v>
      </c>
      <c r="AC16" s="397">
        <f t="shared" ca="1" si="5"/>
        <v>-1.9695720810677102</v>
      </c>
      <c r="AD16" s="397">
        <f t="shared" ca="1" si="5"/>
        <v>0.16239110153383685</v>
      </c>
      <c r="AE16" s="397">
        <f t="shared" ca="1" si="5"/>
        <v>0.5243272113890054</v>
      </c>
      <c r="AF16" s="397">
        <f t="shared" ca="1" si="5"/>
        <v>0.22193907784019196</v>
      </c>
      <c r="AG16" s="397">
        <f t="shared" ca="1" si="5"/>
        <v>0.25125030735761733</v>
      </c>
      <c r="AH16" s="397">
        <f t="shared" ca="1" si="5"/>
        <v>0.2224082775216214</v>
      </c>
      <c r="AI16" s="397">
        <f t="shared" ca="1" si="5"/>
        <v>0.55919642742809295</v>
      </c>
      <c r="AJ16" s="397">
        <f t="shared" ca="1" si="5"/>
        <v>0.32919946057911798</v>
      </c>
      <c r="AK16" s="397">
        <f t="shared" ca="1" si="5"/>
        <v>0.17108329040124381</v>
      </c>
      <c r="AL16" s="397">
        <f t="shared" ca="1" si="5"/>
        <v>-3.8483267393744427</v>
      </c>
      <c r="AM16" s="397">
        <f t="shared" ca="1" si="5"/>
        <v>0.67045591907114388</v>
      </c>
      <c r="AN16" s="397">
        <f t="shared" ca="1" si="5"/>
        <v>0</v>
      </c>
      <c r="AP16" s="396" t="s">
        <v>701</v>
      </c>
      <c r="AQ16" s="397">
        <f ca="1">AQ14-AQ15</f>
        <v>30.607300823173887</v>
      </c>
      <c r="AR16" s="397">
        <f t="shared" ref="AR16:CB16" ca="1" si="6">AR14-AR15</f>
        <v>49.926787348236502</v>
      </c>
      <c r="AS16" s="397">
        <f t="shared" ca="1" si="6"/>
        <v>604.31454023132574</v>
      </c>
      <c r="AT16" s="397">
        <f ca="1">AT14-AT15</f>
        <v>784.55923079811612</v>
      </c>
      <c r="AU16" s="397">
        <f t="shared" ca="1" si="6"/>
        <v>-3.5306696927598828</v>
      </c>
      <c r="AV16" s="397">
        <f ca="1">AV14-AV15</f>
        <v>500.0405408059442</v>
      </c>
      <c r="AW16" s="397">
        <f t="shared" ca="1" si="6"/>
        <v>-34.178874142814017</v>
      </c>
      <c r="AX16" s="397">
        <f t="shared" ca="1" si="6"/>
        <v>-53.123726397942249</v>
      </c>
      <c r="AY16" s="397">
        <f t="shared" ca="1" si="6"/>
        <v>32.106048412926057</v>
      </c>
      <c r="AZ16" s="397">
        <f t="shared" ca="1" si="6"/>
        <v>-26.948513187745647</v>
      </c>
      <c r="BA16" s="397">
        <f t="shared" ca="1" si="6"/>
        <v>-10.21015882771454</v>
      </c>
      <c r="BB16" s="397">
        <f t="shared" ca="1" si="6"/>
        <v>1.7100752837387709</v>
      </c>
      <c r="BC16" s="397">
        <f t="shared" ca="1" si="6"/>
        <v>0.74814260753259298</v>
      </c>
      <c r="BD16" s="397">
        <f t="shared" ca="1" si="6"/>
        <v>19.382161730826965</v>
      </c>
      <c r="BE16" s="397">
        <f t="shared" ca="1" si="6"/>
        <v>-84.168412791797891</v>
      </c>
      <c r="BF16" s="397">
        <f t="shared" ca="1" si="6"/>
        <v>3.4115981411105167</v>
      </c>
      <c r="BG16" s="397">
        <f ca="1">BG14-BG15</f>
        <v>-4391.5615535205679</v>
      </c>
      <c r="BH16" s="397">
        <f t="shared" ca="1" si="6"/>
        <v>97153.144326380163</v>
      </c>
      <c r="BI16" s="397">
        <f t="shared" ca="1" si="6"/>
        <v>94067.162323700439</v>
      </c>
      <c r="BJ16" s="397">
        <f t="shared" ca="1" si="6"/>
        <v>-134225.39355650573</v>
      </c>
      <c r="BK16" s="397">
        <f t="shared" ca="1" si="6"/>
        <v>92594.050572402892</v>
      </c>
      <c r="BL16" s="397">
        <f t="shared" ca="1" si="6"/>
        <v>-49.769463164996068</v>
      </c>
      <c r="BM16" s="397">
        <f t="shared" ca="1" si="6"/>
        <v>-729.8722485256834</v>
      </c>
      <c r="BN16" s="397">
        <f t="shared" ca="1" si="6"/>
        <v>15.51775751279672</v>
      </c>
      <c r="BO16" s="397">
        <f t="shared" ca="1" si="6"/>
        <v>-40.720469862269965</v>
      </c>
      <c r="BP16" s="397">
        <f t="shared" ca="1" si="6"/>
        <v>-597.16820333919532</v>
      </c>
      <c r="BQ16" s="397">
        <f t="shared" ca="1" si="6"/>
        <v>457.69270967549005</v>
      </c>
      <c r="BR16" s="397">
        <f t="shared" ca="1" si="6"/>
        <v>56.215526666686628</v>
      </c>
      <c r="BS16" s="397">
        <f t="shared" ca="1" si="6"/>
        <v>4434.0237062951073</v>
      </c>
      <c r="BT16" s="397">
        <f t="shared" ca="1" si="6"/>
        <v>116.1298421177944</v>
      </c>
      <c r="BU16" s="397">
        <f t="shared" ca="1" si="6"/>
        <v>-453.40730464124687</v>
      </c>
      <c r="BV16" s="397">
        <f t="shared" ca="1" si="6"/>
        <v>57.970460830443017</v>
      </c>
      <c r="BW16" s="397">
        <f t="shared" ca="1" si="6"/>
        <v>4682.2720358577508</v>
      </c>
      <c r="BX16" s="397">
        <f t="shared" ca="1" si="6"/>
        <v>135.15042768294938</v>
      </c>
      <c r="BY16" s="397">
        <f t="shared" ca="1" si="6"/>
        <v>44.59266217726406</v>
      </c>
      <c r="BZ16" s="397">
        <f t="shared" ca="1" si="6"/>
        <v>-78979.517182242387</v>
      </c>
      <c r="CA16" s="397">
        <f t="shared" ca="1" si="6"/>
        <v>3.491642182674342</v>
      </c>
      <c r="CB16" s="397">
        <f t="shared" ca="1" si="6"/>
        <v>0</v>
      </c>
      <c r="CD16" s="396" t="s">
        <v>701</v>
      </c>
      <c r="CE16" s="397">
        <f ca="1">CE14-CE15</f>
        <v>-5.1083201048318511E-2</v>
      </c>
      <c r="CF16" s="397">
        <f t="shared" ref="CF16:DP16" ca="1" si="7">CF14-CF15</f>
        <v>-4.8781102877310939E-2</v>
      </c>
      <c r="CG16" s="397">
        <f t="shared" ca="1" si="7"/>
        <v>-4.0502288940333392E-2</v>
      </c>
      <c r="CH16" s="397">
        <f ca="1">CH14-CH15</f>
        <v>-4.100663818881059E-2</v>
      </c>
      <c r="CI16" s="397">
        <f t="shared" ca="1" si="7"/>
        <v>-3.7445278920312408E-2</v>
      </c>
      <c r="CJ16" s="397">
        <f ca="1">CJ14-CJ15</f>
        <v>-4.4670507527302977E-2</v>
      </c>
      <c r="CK16" s="397">
        <f t="shared" ca="1" si="7"/>
        <v>-4.3011653024937868E-2</v>
      </c>
      <c r="CL16" s="397">
        <f t="shared" ca="1" si="7"/>
        <v>-4.6225986857584639E-2</v>
      </c>
      <c r="CM16" s="397">
        <f t="shared" ca="1" si="7"/>
        <v>-3.1138348374541491E-2</v>
      </c>
      <c r="CN16" s="397">
        <f t="shared" ca="1" si="7"/>
        <v>-2.9266718351193405E-2</v>
      </c>
      <c r="CO16" s="397">
        <f t="shared" ca="1" si="7"/>
        <v>-5.448008578189123E-2</v>
      </c>
      <c r="CP16" s="397">
        <f t="shared" ca="1" si="7"/>
        <v>-7.4901274791768557E-2</v>
      </c>
      <c r="CQ16" s="397">
        <f t="shared" ca="1" si="7"/>
        <v>-4.9346510538888499E-2</v>
      </c>
      <c r="CR16" s="397">
        <f t="shared" ca="1" si="7"/>
        <v>-1.6657283167314962E-2</v>
      </c>
      <c r="CS16" s="397">
        <f t="shared" ca="1" si="7"/>
        <v>0</v>
      </c>
      <c r="CT16" s="397">
        <f t="shared" ca="1" si="7"/>
        <v>0</v>
      </c>
      <c r="CU16" s="397">
        <f ca="1">CU14-CU15</f>
        <v>0</v>
      </c>
      <c r="CV16" s="397">
        <f t="shared" ca="1" si="7"/>
        <v>0</v>
      </c>
      <c r="CW16" s="397">
        <f t="shared" ca="1" si="7"/>
        <v>0</v>
      </c>
      <c r="CX16" s="397">
        <f t="shared" ca="1" si="7"/>
        <v>0</v>
      </c>
      <c r="CY16" s="397">
        <f t="shared" ca="1" si="7"/>
        <v>0</v>
      </c>
      <c r="CZ16" s="397">
        <f t="shared" ca="1" si="7"/>
        <v>0</v>
      </c>
      <c r="DA16" s="397">
        <f t="shared" ca="1" si="7"/>
        <v>0</v>
      </c>
      <c r="DB16" s="397">
        <f t="shared" ca="1" si="7"/>
        <v>-5.2087983346604472E-2</v>
      </c>
      <c r="DC16" s="397">
        <f t="shared" ca="1" si="7"/>
        <v>0</v>
      </c>
      <c r="DD16" s="397">
        <f t="shared" ca="1" si="7"/>
        <v>0</v>
      </c>
      <c r="DE16" s="397">
        <f t="shared" ca="1" si="7"/>
        <v>-6.8205258673932123E-2</v>
      </c>
      <c r="DF16" s="397">
        <f t="shared" ca="1" si="7"/>
        <v>-1.8635002662405253E-2</v>
      </c>
      <c r="DG16" s="397">
        <f t="shared" ca="1" si="7"/>
        <v>-1.6295670780593852E-2</v>
      </c>
      <c r="DH16" s="397">
        <f t="shared" ca="1" si="7"/>
        <v>-2.5107732214639911E-2</v>
      </c>
      <c r="DI16" s="397">
        <f t="shared" ca="1" si="7"/>
        <v>-1.686310510080602E-2</v>
      </c>
      <c r="DJ16" s="397">
        <f t="shared" ca="1" si="7"/>
        <v>-1.5768079175881466E-2</v>
      </c>
      <c r="DK16" s="397">
        <f t="shared" ca="1" si="7"/>
        <v>-1.37886445066564E-2</v>
      </c>
      <c r="DL16" s="397">
        <f t="shared" ca="1" si="7"/>
        <v>-2.3877382614973713E-2</v>
      </c>
      <c r="DM16" s="397">
        <f t="shared" ca="1" si="7"/>
        <v>-9.3175013312026822E-3</v>
      </c>
      <c r="DN16" s="397">
        <f t="shared" ca="1" si="7"/>
        <v>0</v>
      </c>
      <c r="DO16" s="397">
        <f t="shared" ca="1" si="7"/>
        <v>-0.11382294127182685</v>
      </c>
      <c r="DP16" s="397">
        <f t="shared" ca="1" si="7"/>
        <v>0</v>
      </c>
    </row>
    <row r="19" spans="2:123">
      <c r="B19" s="410" t="s">
        <v>702</v>
      </c>
      <c r="C19" s="1240">
        <f>COUNT($B$26:$B$130)</f>
        <v>90</v>
      </c>
      <c r="D19" s="412"/>
      <c r="E19" s="412"/>
      <c r="F19" s="412"/>
      <c r="G19" s="412"/>
      <c r="H19" s="412"/>
      <c r="I19" s="412"/>
      <c r="J19" s="412"/>
      <c r="K19" s="412"/>
      <c r="L19" s="412"/>
      <c r="M19" s="412"/>
      <c r="N19" s="412"/>
      <c r="O19" s="412"/>
      <c r="P19" s="412"/>
      <c r="Q19" s="412"/>
      <c r="R19" s="412"/>
      <c r="S19" s="412"/>
      <c r="T19" s="412"/>
      <c r="U19" s="412"/>
      <c r="V19" s="412"/>
      <c r="W19" s="412"/>
      <c r="X19" s="412"/>
      <c r="Y19" s="412"/>
      <c r="Z19" s="412"/>
      <c r="AA19" s="412"/>
      <c r="AB19" s="412"/>
      <c r="AC19" s="412"/>
      <c r="AD19" s="412"/>
      <c r="AE19" s="412"/>
      <c r="AF19" s="412"/>
      <c r="AG19" s="412"/>
      <c r="AH19" s="412"/>
      <c r="AI19" s="412"/>
      <c r="AJ19" s="412"/>
      <c r="AK19" s="412"/>
      <c r="AL19" s="412"/>
      <c r="AM19" s="412"/>
      <c r="AN19" s="412"/>
      <c r="AP19" s="410"/>
      <c r="AQ19" s="412"/>
      <c r="AR19" s="412"/>
      <c r="AS19" s="412"/>
      <c r="AT19" s="412"/>
      <c r="AU19" s="412"/>
      <c r="AV19" s="412"/>
      <c r="AW19" s="412"/>
      <c r="AX19" s="412"/>
      <c r="AY19" s="412"/>
      <c r="AZ19" s="412"/>
      <c r="BA19" s="412"/>
      <c r="BB19" s="412"/>
      <c r="BC19" s="412"/>
      <c r="BD19" s="412"/>
      <c r="BE19" s="412"/>
      <c r="BF19" s="412"/>
      <c r="BG19" s="412"/>
      <c r="BH19" s="412"/>
      <c r="BI19" s="412"/>
      <c r="BJ19" s="412"/>
      <c r="BK19" s="412"/>
      <c r="BL19" s="412"/>
      <c r="BM19" s="412"/>
      <c r="BN19" s="412"/>
      <c r="BO19" s="412"/>
      <c r="BP19" s="412"/>
      <c r="BQ19" s="412"/>
      <c r="BR19" s="412"/>
      <c r="BS19" s="412"/>
      <c r="BT19" s="412"/>
      <c r="BU19" s="412"/>
      <c r="BV19" s="412"/>
      <c r="BW19" s="412"/>
      <c r="BX19" s="412"/>
      <c r="BY19" s="412"/>
      <c r="BZ19" s="412"/>
      <c r="CA19" s="412"/>
      <c r="CB19" s="412"/>
      <c r="CD19" s="410"/>
      <c r="CE19" s="415"/>
      <c r="CF19" s="415"/>
      <c r="CG19" s="415"/>
      <c r="CH19" s="415"/>
      <c r="CI19" s="415"/>
      <c r="CJ19" s="415"/>
      <c r="CK19" s="415"/>
      <c r="CL19" s="415"/>
      <c r="CM19" s="415"/>
      <c r="CN19" s="415"/>
      <c r="CO19" s="415"/>
      <c r="CP19" s="415"/>
      <c r="CQ19" s="415"/>
      <c r="CR19" s="415"/>
      <c r="CS19" s="415"/>
      <c r="CT19" s="415"/>
      <c r="CU19" s="415"/>
      <c r="CV19" s="415"/>
      <c r="CW19" s="415"/>
      <c r="CX19" s="415"/>
      <c r="CY19" s="415"/>
      <c r="CZ19" s="415"/>
      <c r="DA19" s="415"/>
      <c r="DB19" s="415"/>
      <c r="DC19" s="415"/>
      <c r="DD19" s="415"/>
      <c r="DE19" s="415"/>
      <c r="DF19" s="415"/>
      <c r="DG19" s="415"/>
      <c r="DH19" s="415"/>
      <c r="DI19" s="415"/>
      <c r="DJ19" s="415"/>
      <c r="DK19" s="415"/>
      <c r="DL19" s="415"/>
      <c r="DM19" s="415"/>
      <c r="DN19" s="415"/>
      <c r="DO19" s="415"/>
      <c r="DP19" s="415"/>
    </row>
    <row r="20" spans="2:123">
      <c r="AQ20" s="296"/>
      <c r="AR20" s="296"/>
      <c r="AS20" s="296"/>
      <c r="AT20" s="296"/>
      <c r="AU20" s="296"/>
      <c r="AV20" s="296"/>
      <c r="AW20" s="296"/>
      <c r="AX20" s="296"/>
      <c r="AY20" s="296"/>
      <c r="AZ20" s="296"/>
      <c r="BA20" s="296"/>
      <c r="BB20" s="296"/>
      <c r="BC20" s="296"/>
      <c r="BD20" s="296"/>
      <c r="BE20" s="296"/>
      <c r="BF20" s="296"/>
      <c r="BG20" s="296"/>
      <c r="BH20" s="296"/>
      <c r="BI20" s="296"/>
      <c r="BJ20" s="296"/>
      <c r="BK20" s="296"/>
      <c r="BL20" s="296"/>
      <c r="BM20" s="296"/>
      <c r="BN20" s="296"/>
      <c r="BO20" s="296"/>
      <c r="BP20" s="296"/>
      <c r="BQ20" s="296"/>
      <c r="BR20" s="296"/>
      <c r="BS20" s="296"/>
      <c r="BT20" s="296"/>
      <c r="BU20" s="296"/>
      <c r="BV20" s="296"/>
      <c r="BW20" s="296"/>
      <c r="BX20" s="296"/>
      <c r="BY20" s="296"/>
      <c r="BZ20" s="296"/>
      <c r="CA20" s="296"/>
      <c r="CB20" s="296"/>
      <c r="CE20" s="296"/>
      <c r="CF20" s="296"/>
      <c r="CG20" s="296"/>
      <c r="CH20" s="296"/>
      <c r="CI20" s="296"/>
      <c r="CJ20" s="296"/>
      <c r="CK20" s="296"/>
      <c r="CL20" s="296"/>
      <c r="CM20" s="296"/>
      <c r="CN20" s="296"/>
      <c r="CO20" s="296"/>
      <c r="CP20" s="296"/>
      <c r="CQ20" s="296"/>
      <c r="CR20" s="296"/>
      <c r="CS20" s="296"/>
      <c r="CT20" s="296"/>
      <c r="CU20" s="296"/>
      <c r="CV20" s="296"/>
      <c r="CW20" s="296"/>
      <c r="CX20" s="296"/>
      <c r="CY20" s="296"/>
      <c r="CZ20" s="296"/>
      <c r="DA20" s="296"/>
      <c r="DB20" s="296"/>
      <c r="DC20" s="296"/>
      <c r="DD20" s="296"/>
      <c r="DE20" s="296"/>
      <c r="DF20" s="296"/>
      <c r="DG20" s="296"/>
      <c r="DH20" s="296"/>
      <c r="DI20" s="296"/>
      <c r="DJ20" s="296"/>
      <c r="DK20" s="296"/>
      <c r="DL20" s="296"/>
      <c r="DM20" s="296"/>
      <c r="DN20" s="296"/>
      <c r="DO20" s="296"/>
      <c r="DP20" s="296"/>
    </row>
    <row r="21" spans="2:123">
      <c r="AQ21" s="411"/>
      <c r="AR21" s="411"/>
      <c r="AS21" s="411"/>
      <c r="AT21" s="411"/>
      <c r="AU21" s="411"/>
      <c r="AV21" s="411"/>
      <c r="AW21" s="411"/>
      <c r="AX21" s="411"/>
      <c r="AY21" s="411"/>
      <c r="AZ21" s="411"/>
      <c r="BA21" s="411"/>
      <c r="BB21" s="411"/>
      <c r="BC21" s="411"/>
      <c r="BD21" s="411"/>
      <c r="BE21" s="411"/>
      <c r="BF21" s="411"/>
      <c r="BG21" s="411"/>
      <c r="BH21" s="411"/>
      <c r="BI21" s="411"/>
      <c r="BJ21" s="411"/>
      <c r="BK21" s="411"/>
      <c r="BL21" s="411"/>
      <c r="BM21" s="411"/>
      <c r="BN21" s="411"/>
      <c r="BO21" s="411"/>
      <c r="BP21" s="411"/>
      <c r="BQ21" s="411"/>
      <c r="BR21" s="411"/>
      <c r="BS21" s="411"/>
      <c r="BT21" s="411"/>
      <c r="BU21" s="411"/>
      <c r="BV21" s="411"/>
      <c r="BW21" s="411"/>
      <c r="BX21" s="411"/>
      <c r="BY21" s="411"/>
      <c r="BZ21" s="411"/>
      <c r="CA21" s="411"/>
      <c r="CB21" s="411"/>
      <c r="CE21" s="411"/>
      <c r="CF21" s="411"/>
      <c r="CG21" s="411"/>
      <c r="CH21" s="411"/>
      <c r="CI21" s="411"/>
      <c r="CJ21" s="411"/>
      <c r="CK21" s="411"/>
      <c r="CL21" s="411"/>
      <c r="CM21" s="411"/>
      <c r="CN21" s="411"/>
      <c r="CO21" s="411"/>
      <c r="CP21" s="411"/>
      <c r="CQ21" s="411"/>
      <c r="CR21" s="411"/>
      <c r="CS21" s="411"/>
      <c r="CT21" s="411"/>
      <c r="CU21" s="411"/>
      <c r="CV21" s="411"/>
      <c r="CW21" s="411"/>
      <c r="CX21" s="411"/>
      <c r="CY21" s="411"/>
      <c r="CZ21" s="411"/>
      <c r="DA21" s="411"/>
      <c r="DB21" s="411"/>
      <c r="DC21" s="411"/>
      <c r="DD21" s="411"/>
      <c r="DE21" s="411"/>
      <c r="DF21" s="411"/>
      <c r="DG21" s="411"/>
      <c r="DH21" s="411"/>
      <c r="DI21" s="411"/>
      <c r="DJ21" s="411"/>
      <c r="DK21" s="411"/>
      <c r="DL21" s="411"/>
      <c r="DM21" s="411"/>
      <c r="DN21" s="411"/>
      <c r="DO21" s="411"/>
      <c r="DP21" s="411"/>
    </row>
    <row r="22" spans="2:123">
      <c r="AQ22" s="302"/>
      <c r="AR22" s="302"/>
      <c r="AS22" s="302"/>
      <c r="AT22" s="302"/>
      <c r="AU22" s="302"/>
      <c r="AV22" s="302"/>
      <c r="AW22" s="302"/>
      <c r="AX22" s="302"/>
      <c r="AY22" s="302"/>
      <c r="AZ22" s="302"/>
      <c r="BA22" s="302"/>
      <c r="BB22" s="302"/>
      <c r="BC22" s="302"/>
      <c r="BD22" s="302"/>
      <c r="BE22" s="302"/>
      <c r="BF22" s="302"/>
      <c r="BG22" s="302"/>
      <c r="BH22" s="302"/>
      <c r="BI22" s="302"/>
      <c r="BJ22" s="302"/>
      <c r="BK22" s="302"/>
      <c r="BL22" s="302"/>
      <c r="BM22" s="302"/>
      <c r="BN22" s="302"/>
      <c r="BO22" s="302"/>
      <c r="BP22" s="302"/>
      <c r="BQ22" s="302"/>
      <c r="BR22" s="302"/>
      <c r="BS22" s="302"/>
      <c r="BT22" s="302"/>
      <c r="BU22" s="302"/>
      <c r="BV22" s="302"/>
      <c r="BW22" s="302"/>
      <c r="BX22" s="302"/>
      <c r="BY22" s="302"/>
      <c r="CE22" s="302"/>
      <c r="CF22" s="302"/>
      <c r="CG22" s="302"/>
      <c r="CH22" s="302"/>
      <c r="CI22" s="302"/>
      <c r="CJ22" s="302"/>
      <c r="CK22" s="302"/>
      <c r="CL22" s="302"/>
      <c r="CM22" s="302"/>
      <c r="CN22" s="302"/>
      <c r="CO22" s="302"/>
      <c r="CP22" s="302"/>
      <c r="CQ22" s="302"/>
      <c r="CR22" s="302"/>
      <c r="CS22" s="302"/>
      <c r="CT22" s="302"/>
      <c r="CU22" s="302"/>
      <c r="CV22" s="302"/>
      <c r="CW22" s="302"/>
      <c r="CX22" s="302"/>
      <c r="CY22" s="302"/>
      <c r="CZ22" s="302"/>
      <c r="DA22" s="302"/>
      <c r="DB22" s="302"/>
      <c r="DC22" s="302"/>
      <c r="DD22" s="302"/>
      <c r="DE22" s="302"/>
      <c r="DF22" s="302"/>
      <c r="DG22" s="302"/>
      <c r="DH22" s="302"/>
      <c r="DI22" s="302"/>
      <c r="DJ22" s="302"/>
      <c r="DK22" s="302"/>
      <c r="DL22" s="302"/>
      <c r="DM22" s="302"/>
    </row>
    <row r="24" spans="2:123">
      <c r="B24" s="87" t="s">
        <v>699</v>
      </c>
      <c r="J24" s="393"/>
      <c r="AP24" s="87" t="s">
        <v>700</v>
      </c>
      <c r="CD24" s="234" t="s">
        <v>1657</v>
      </c>
    </row>
    <row r="25" spans="2:123" ht="37.5" customHeight="1">
      <c r="B25" s="427" t="s">
        <v>690</v>
      </c>
      <c r="C25" s="427" t="str">
        <f ca="1">C13</f>
        <v>Conv. diesel</v>
      </c>
      <c r="D25" s="427" t="str">
        <f t="shared" ref="D25:BU25" ca="1" si="8">D13</f>
        <v>Conv. gasoline</v>
      </c>
      <c r="E25" s="427" t="str">
        <f t="shared" ca="1" si="8"/>
        <v>E85-1g</v>
      </c>
      <c r="F25" s="427" t="str">
        <f ca="1">F13</f>
        <v>E85-1g Sugarb.</v>
      </c>
      <c r="G25" s="427" t="str">
        <f t="shared" ca="1" si="8"/>
        <v>E85-2g</v>
      </c>
      <c r="H25" s="427" t="str">
        <f ca="1">H13</f>
        <v>Biodiesel-1g RME</v>
      </c>
      <c r="I25" s="427" t="str">
        <f t="shared" ca="1" si="8"/>
        <v>Biodiesel-2g</v>
      </c>
      <c r="J25" s="427" t="str">
        <f t="shared" ca="1" si="8"/>
        <v>DME</v>
      </c>
      <c r="K25" s="427" t="str">
        <f t="shared" ca="1" si="8"/>
        <v>B-Naturgas</v>
      </c>
      <c r="L25" s="427" t="str">
        <f t="shared" ca="1" si="8"/>
        <v>Biogas</v>
      </c>
      <c r="M25" s="427" t="str">
        <f t="shared" ca="1" si="8"/>
        <v>MeOH</v>
      </c>
      <c r="N25" s="427" t="str">
        <f t="shared" ca="1" si="8"/>
        <v>B-Brint</v>
      </c>
      <c r="O25" s="427" t="str">
        <f t="shared" ca="1" si="8"/>
        <v>Elbil</v>
      </c>
      <c r="P25" s="427" t="str">
        <f t="shared" ca="1" si="8"/>
        <v>Plugin Hybrid</v>
      </c>
      <c r="Q25" s="427" t="str">
        <f t="shared" ca="1" si="8"/>
        <v>Fast Ferry</v>
      </c>
      <c r="R25" s="427" t="str">
        <f t="shared" ca="1" si="8"/>
        <v>Aircraft Fossil</v>
      </c>
      <c r="S25" s="427" t="str">
        <f ca="1">S13</f>
        <v>Aircraft Biofuel</v>
      </c>
      <c r="T25" s="427" t="str">
        <f t="shared" ca="1" si="8"/>
        <v>9000TEU HFO</v>
      </c>
      <c r="U25" s="427" t="str">
        <f t="shared" ca="1" si="8"/>
        <v>9000TEU Diesel</v>
      </c>
      <c r="V25" s="427" t="str">
        <f t="shared" ca="1" si="8"/>
        <v>9000TEU BioDiesel</v>
      </c>
      <c r="W25" s="427" t="str">
        <f t="shared" ca="1" si="8"/>
        <v>9000TEU LNG</v>
      </c>
      <c r="X25" s="427" t="str">
        <f t="shared" ca="1" si="8"/>
        <v>IC Tog Diesel</v>
      </c>
      <c r="Y25" s="427" t="str">
        <f t="shared" ca="1" si="8"/>
        <v>IC Tog Biodiesel</v>
      </c>
      <c r="Z25" s="427" t="str">
        <f t="shared" ca="1" si="8"/>
        <v>IC Tog El</v>
      </c>
      <c r="AA25" s="427" t="str">
        <f t="shared" ca="1" si="8"/>
        <v>Lokaltog Diesel</v>
      </c>
      <c r="AB25" s="427" t="str">
        <f t="shared" ca="1" si="8"/>
        <v>Lokaltog biodiesel</v>
      </c>
      <c r="AC25" s="427" t="str">
        <f t="shared" ca="1" si="8"/>
        <v>Lokaltog Gas</v>
      </c>
      <c r="AD25" s="427" t="str">
        <f t="shared" ca="1" si="8"/>
        <v>L-Diesel</v>
      </c>
      <c r="AE25" s="427" t="str">
        <f t="shared" ca="1" si="8"/>
        <v>L-BioDiesel</v>
      </c>
      <c r="AF25" s="427" t="str">
        <f t="shared" ca="1" si="8"/>
        <v>L-CNG</v>
      </c>
      <c r="AG25" s="427" t="str">
        <f t="shared" ca="1" si="8"/>
        <v>L-DME</v>
      </c>
      <c r="AH25" s="427" t="str">
        <f t="shared" ca="1" si="8"/>
        <v>B-Diesel</v>
      </c>
      <c r="AI25" s="427" t="str">
        <f t="shared" ca="1" si="8"/>
        <v>B-Biodiesel</v>
      </c>
      <c r="AJ25" s="427" t="str">
        <f t="shared" ca="1" si="8"/>
        <v>B-CNG</v>
      </c>
      <c r="AK25" s="427" t="str">
        <f t="shared" ca="1" si="8"/>
        <v>B-Hybrid</v>
      </c>
      <c r="AL25" s="427" t="str">
        <f t="shared" ca="1" si="8"/>
        <v>Fast Ferry - Biodiesel</v>
      </c>
      <c r="AM25" s="427" t="str">
        <f t="shared" ca="1" si="8"/>
        <v>Ren brint</v>
      </c>
      <c r="AN25" s="427">
        <f t="shared" ca="1" si="8"/>
        <v>0</v>
      </c>
      <c r="AO25" s="427">
        <f t="shared" si="8"/>
        <v>0</v>
      </c>
      <c r="AP25" s="427" t="str">
        <f t="shared" si="8"/>
        <v>Dato</v>
      </c>
      <c r="AQ25" s="427" t="str">
        <f t="shared" ca="1" si="8"/>
        <v>Conv. diesel</v>
      </c>
      <c r="AR25" s="427" t="str">
        <f t="shared" ca="1" si="8"/>
        <v>Conv. gasoline</v>
      </c>
      <c r="AS25" s="427" t="str">
        <f t="shared" ca="1" si="8"/>
        <v>E85-1g</v>
      </c>
      <c r="AT25" s="427" t="str">
        <f ca="1">AT13</f>
        <v>E85-1g Sugarb.</v>
      </c>
      <c r="AU25" s="427" t="str">
        <f t="shared" ca="1" si="8"/>
        <v>E85-2g</v>
      </c>
      <c r="AV25" s="427" t="str">
        <f ca="1">AV13</f>
        <v>Biodiesel-1g RME</v>
      </c>
      <c r="AW25" s="427" t="str">
        <f t="shared" ca="1" si="8"/>
        <v>Biodiesel-2g</v>
      </c>
      <c r="AX25" s="427" t="str">
        <f t="shared" ca="1" si="8"/>
        <v>DME</v>
      </c>
      <c r="AY25" s="427" t="str">
        <f t="shared" ca="1" si="8"/>
        <v>B-Naturgas</v>
      </c>
      <c r="AZ25" s="427" t="str">
        <f t="shared" ca="1" si="8"/>
        <v>Biogas</v>
      </c>
      <c r="BA25" s="427" t="str">
        <f t="shared" ca="1" si="8"/>
        <v>MeOH</v>
      </c>
      <c r="BB25" s="427" t="str">
        <f t="shared" ca="1" si="8"/>
        <v>B-Brint</v>
      </c>
      <c r="BC25" s="427" t="str">
        <f t="shared" ca="1" si="8"/>
        <v>Elbil</v>
      </c>
      <c r="BD25" s="427" t="str">
        <f t="shared" ca="1" si="8"/>
        <v>Plugin Hybrid</v>
      </c>
      <c r="BE25" s="427" t="str">
        <f t="shared" ca="1" si="8"/>
        <v>Fast Ferry</v>
      </c>
      <c r="BF25" s="427" t="str">
        <f t="shared" ca="1" si="8"/>
        <v>Aircraft Fossil</v>
      </c>
      <c r="BG25" s="427" t="str">
        <f ca="1">BG13</f>
        <v>Aircraft Biofuel</v>
      </c>
      <c r="BH25" s="427" t="str">
        <f t="shared" ca="1" si="8"/>
        <v>9000TEU HFO</v>
      </c>
      <c r="BI25" s="427" t="str">
        <f t="shared" ca="1" si="8"/>
        <v>9000TEU Diesel</v>
      </c>
      <c r="BJ25" s="427" t="str">
        <f t="shared" ca="1" si="8"/>
        <v>9000TEU BioDiesel</v>
      </c>
      <c r="BK25" s="427" t="str">
        <f t="shared" ca="1" si="8"/>
        <v>9000TEU LNG</v>
      </c>
      <c r="BL25" s="427" t="str">
        <f t="shared" ca="1" si="8"/>
        <v>IC Tog Diesel</v>
      </c>
      <c r="BM25" s="427" t="str">
        <f t="shared" ca="1" si="8"/>
        <v>IC Tog Biodiesel</v>
      </c>
      <c r="BN25" s="427" t="str">
        <f t="shared" ca="1" si="8"/>
        <v>IC Tog El</v>
      </c>
      <c r="BO25" s="427" t="str">
        <f t="shared" ca="1" si="8"/>
        <v>Lokaltog Diesel</v>
      </c>
      <c r="BP25" s="427" t="str">
        <f t="shared" ca="1" si="8"/>
        <v>Lokaltog biodiesel</v>
      </c>
      <c r="BQ25" s="427" t="str">
        <f t="shared" ca="1" si="8"/>
        <v>Lokaltog Gas</v>
      </c>
      <c r="BR25" s="427" t="str">
        <f t="shared" ca="1" si="8"/>
        <v>L-Diesel</v>
      </c>
      <c r="BS25" s="427" t="str">
        <f t="shared" ca="1" si="8"/>
        <v>L-BioDiesel</v>
      </c>
      <c r="BT25" s="427" t="str">
        <f t="shared" ca="1" si="8"/>
        <v>L-CNG</v>
      </c>
      <c r="BU25" s="427" t="str">
        <f t="shared" ca="1" si="8"/>
        <v>L-DME</v>
      </c>
      <c r="BV25" s="427" t="str">
        <f t="shared" ref="BV25:DP25" ca="1" si="9">BV13</f>
        <v>B-Diesel</v>
      </c>
      <c r="BW25" s="427" t="str">
        <f t="shared" ca="1" si="9"/>
        <v>B-Biodiesel</v>
      </c>
      <c r="BX25" s="427" t="str">
        <f t="shared" ca="1" si="9"/>
        <v>B-CNG</v>
      </c>
      <c r="BY25" s="427" t="str">
        <f t="shared" ca="1" si="9"/>
        <v>B-Hybrid</v>
      </c>
      <c r="BZ25" s="427" t="str">
        <f t="shared" ca="1" si="9"/>
        <v>Fast Ferry - Biodiesel</v>
      </c>
      <c r="CA25" s="427" t="str">
        <f t="shared" ca="1" si="9"/>
        <v>Ren brint</v>
      </c>
      <c r="CB25" s="427">
        <f t="shared" ca="1" si="9"/>
        <v>0</v>
      </c>
      <c r="CC25" s="427">
        <f t="shared" si="9"/>
        <v>0</v>
      </c>
      <c r="CD25" s="427" t="str">
        <f t="shared" si="9"/>
        <v>Dato</v>
      </c>
      <c r="CE25" s="427" t="str">
        <f t="shared" ca="1" si="9"/>
        <v>Conv. diesel</v>
      </c>
      <c r="CF25" s="427" t="str">
        <f t="shared" ca="1" si="9"/>
        <v>Conv. gasoline</v>
      </c>
      <c r="CG25" s="427" t="str">
        <f t="shared" ca="1" si="9"/>
        <v>E85-1g</v>
      </c>
      <c r="CH25" s="427" t="str">
        <f ca="1">CH13</f>
        <v>E85-1g Sugarb.</v>
      </c>
      <c r="CI25" s="427" t="str">
        <f t="shared" ca="1" si="9"/>
        <v>E85-2g</v>
      </c>
      <c r="CJ25" s="427" t="str">
        <f ca="1">CJ13</f>
        <v>Biodiesel-1g RME</v>
      </c>
      <c r="CK25" s="427" t="str">
        <f t="shared" ca="1" si="9"/>
        <v>Biodiesel-2g</v>
      </c>
      <c r="CL25" s="427" t="str">
        <f t="shared" ca="1" si="9"/>
        <v>DME</v>
      </c>
      <c r="CM25" s="427" t="str">
        <f t="shared" ca="1" si="9"/>
        <v>B-Naturgas</v>
      </c>
      <c r="CN25" s="427" t="str">
        <f t="shared" ca="1" si="9"/>
        <v>Biogas</v>
      </c>
      <c r="CO25" s="427" t="str">
        <f t="shared" ca="1" si="9"/>
        <v>MeOH</v>
      </c>
      <c r="CP25" s="427" t="str">
        <f t="shared" ca="1" si="9"/>
        <v>B-Brint</v>
      </c>
      <c r="CQ25" s="427" t="str">
        <f t="shared" ca="1" si="9"/>
        <v>Elbil</v>
      </c>
      <c r="CR25" s="427" t="str">
        <f t="shared" ca="1" si="9"/>
        <v>Plugin Hybrid</v>
      </c>
      <c r="CS25" s="427" t="str">
        <f t="shared" ca="1" si="9"/>
        <v>Fast Ferry</v>
      </c>
      <c r="CT25" s="427" t="str">
        <f t="shared" ca="1" si="9"/>
        <v>Aircraft Fossil</v>
      </c>
      <c r="CU25" s="427" t="str">
        <f ca="1">CU13</f>
        <v>Aircraft Biofuel</v>
      </c>
      <c r="CV25" s="427" t="str">
        <f t="shared" ca="1" si="9"/>
        <v>9000TEU HFO</v>
      </c>
      <c r="CW25" s="427" t="str">
        <f t="shared" ca="1" si="9"/>
        <v>9000TEU Diesel</v>
      </c>
      <c r="CX25" s="427" t="str">
        <f t="shared" ca="1" si="9"/>
        <v>9000TEU BioDiesel</v>
      </c>
      <c r="CY25" s="427" t="str">
        <f t="shared" ca="1" si="9"/>
        <v>9000TEU LNG</v>
      </c>
      <c r="CZ25" s="427" t="str">
        <f t="shared" ca="1" si="9"/>
        <v>IC Tog Diesel</v>
      </c>
      <c r="DA25" s="427" t="str">
        <f t="shared" ca="1" si="9"/>
        <v>IC Tog Biodiesel</v>
      </c>
      <c r="DB25" s="427" t="str">
        <f t="shared" ca="1" si="9"/>
        <v>IC Tog El</v>
      </c>
      <c r="DC25" s="427" t="str">
        <f t="shared" ca="1" si="9"/>
        <v>Lokaltog Diesel</v>
      </c>
      <c r="DD25" s="427" t="str">
        <f t="shared" ca="1" si="9"/>
        <v>Lokaltog biodiesel</v>
      </c>
      <c r="DE25" s="427" t="str">
        <f t="shared" ca="1" si="9"/>
        <v>Lokaltog Gas</v>
      </c>
      <c r="DF25" s="427" t="str">
        <f t="shared" ca="1" si="9"/>
        <v>L-Diesel</v>
      </c>
      <c r="DG25" s="427" t="str">
        <f t="shared" ca="1" si="9"/>
        <v>L-BioDiesel</v>
      </c>
      <c r="DH25" s="427" t="str">
        <f t="shared" ca="1" si="9"/>
        <v>L-CNG</v>
      </c>
      <c r="DI25" s="427" t="str">
        <f t="shared" ca="1" si="9"/>
        <v>L-DME</v>
      </c>
      <c r="DJ25" s="427" t="str">
        <f t="shared" ca="1" si="9"/>
        <v>B-Diesel</v>
      </c>
      <c r="DK25" s="427" t="str">
        <f t="shared" ca="1" si="9"/>
        <v>B-Biodiesel</v>
      </c>
      <c r="DL25" s="427" t="str">
        <f t="shared" ca="1" si="9"/>
        <v>B-CNG</v>
      </c>
      <c r="DM25" s="427" t="str">
        <f t="shared" ca="1" si="9"/>
        <v>B-Hybrid</v>
      </c>
      <c r="DN25" s="427" t="str">
        <f t="shared" ca="1" si="9"/>
        <v>Fast Ferry - Biodiesel</v>
      </c>
      <c r="DO25" s="427" t="str">
        <f t="shared" ca="1" si="9"/>
        <v>Ren brint</v>
      </c>
      <c r="DP25" s="427">
        <f t="shared" ca="1" si="9"/>
        <v>0</v>
      </c>
      <c r="DR25" s="427"/>
      <c r="DS25" s="427"/>
    </row>
    <row r="26" spans="2:123" s="65" customFormat="1">
      <c r="B26" s="428">
        <v>41652.686025810188</v>
      </c>
      <c r="C26" s="429">
        <v>1.4020547836023391</v>
      </c>
      <c r="D26" s="429">
        <v>1.3909374211598799</v>
      </c>
      <c r="E26" s="429">
        <v>1.4843629270299499</v>
      </c>
      <c r="F26" s="429"/>
      <c r="G26" s="429">
        <v>1.4167181952941981</v>
      </c>
      <c r="H26" s="429"/>
      <c r="I26" s="429">
        <v>1.3749410167376392</v>
      </c>
      <c r="J26" s="429">
        <v>1.5732302645884362</v>
      </c>
      <c r="K26" s="429">
        <v>1.3756158389508544</v>
      </c>
      <c r="L26" s="429">
        <v>1.4827273716147442</v>
      </c>
      <c r="M26" s="429">
        <v>1.4291083026663716</v>
      </c>
      <c r="N26" s="429">
        <v>1.5178191710240203</v>
      </c>
      <c r="O26" s="429">
        <v>1.3367058814498241</v>
      </c>
      <c r="P26" s="429">
        <v>1.2566874554398433</v>
      </c>
      <c r="Q26" s="429"/>
      <c r="R26" s="429">
        <v>-144.38980632035634</v>
      </c>
      <c r="S26" s="429"/>
      <c r="T26" s="429">
        <v>68.737360396566615</v>
      </c>
      <c r="U26" s="429">
        <v>68.932313792719711</v>
      </c>
      <c r="V26" s="429">
        <v>68.782461861201142</v>
      </c>
      <c r="W26" s="429"/>
      <c r="X26" s="429">
        <v>0</v>
      </c>
      <c r="Y26" s="429">
        <v>0</v>
      </c>
      <c r="Z26" s="429">
        <v>0</v>
      </c>
      <c r="AA26" s="429">
        <v>0</v>
      </c>
      <c r="AB26" s="429">
        <v>0</v>
      </c>
      <c r="AC26" s="429">
        <v>0</v>
      </c>
      <c r="AD26" s="429">
        <v>3.2160240750846016</v>
      </c>
      <c r="AE26" s="429">
        <v>0</v>
      </c>
      <c r="AF26" s="429">
        <v>0</v>
      </c>
      <c r="AG26" s="429">
        <v>0</v>
      </c>
      <c r="AH26" s="429">
        <v>3.099112690586459</v>
      </c>
      <c r="AI26" s="429">
        <v>6.2859717710951166</v>
      </c>
      <c r="AJ26" s="429">
        <v>6.3855308270732358</v>
      </c>
      <c r="AK26" s="429">
        <v>6.9304236800669852</v>
      </c>
      <c r="AL26" s="429">
        <v>0</v>
      </c>
      <c r="AM26" s="429">
        <v>0</v>
      </c>
      <c r="AN26" s="429">
        <v>0</v>
      </c>
      <c r="AO26" s="430"/>
      <c r="AP26" s="428">
        <v>41652.686025810188</v>
      </c>
      <c r="AQ26" s="431">
        <v>103.80704690758347</v>
      </c>
      <c r="AR26" s="431">
        <v>129.06987395699642</v>
      </c>
      <c r="AS26" s="431">
        <v>265.37071909136131</v>
      </c>
      <c r="AT26" s="431"/>
      <c r="AU26" s="431">
        <v>21.606374397731859</v>
      </c>
      <c r="AV26" s="431"/>
      <c r="AW26" s="431">
        <v>101.36615340318278</v>
      </c>
      <c r="AX26" s="431">
        <v>-20.817745006463614</v>
      </c>
      <c r="AY26" s="431">
        <v>125.62168597856154</v>
      </c>
      <c r="AZ26" s="431">
        <v>-46.83613933423311</v>
      </c>
      <c r="BA26" s="431">
        <v>-5.7466337352577357</v>
      </c>
      <c r="BB26" s="431">
        <v>119.59652946396282</v>
      </c>
      <c r="BC26" s="431">
        <v>92.066898271841353</v>
      </c>
      <c r="BD26" s="431">
        <v>158.82490637735594</v>
      </c>
      <c r="BE26" s="431"/>
      <c r="BF26" s="431">
        <v>-134092.07850442341</v>
      </c>
      <c r="BG26" s="431"/>
      <c r="BH26" s="431">
        <v>608.96597813303686</v>
      </c>
      <c r="BI26" s="431">
        <v>572.16641779481949</v>
      </c>
      <c r="BJ26" s="431">
        <v>558.69024546843048</v>
      </c>
      <c r="BK26" s="431">
        <v>0</v>
      </c>
      <c r="BL26" s="431">
        <v>0</v>
      </c>
      <c r="BM26" s="431">
        <v>0</v>
      </c>
      <c r="BN26" s="431">
        <v>0</v>
      </c>
      <c r="BO26" s="431">
        <v>0</v>
      </c>
      <c r="BP26" s="431">
        <v>0</v>
      </c>
      <c r="BQ26" s="431">
        <v>896.62558684732312</v>
      </c>
      <c r="BR26" s="431">
        <v>0</v>
      </c>
      <c r="BS26" s="431">
        <v>0</v>
      </c>
      <c r="BT26" s="431">
        <v>0</v>
      </c>
      <c r="BU26" s="431">
        <v>0</v>
      </c>
      <c r="BV26" s="431">
        <v>823.45334739082728</v>
      </c>
      <c r="BW26" s="431">
        <v>1389.5648065447981</v>
      </c>
      <c r="BX26" s="431">
        <v>1272.1595221911132</v>
      </c>
      <c r="BY26" s="431">
        <v>1068.8960050344599</v>
      </c>
      <c r="BZ26" s="431">
        <v>0</v>
      </c>
      <c r="CA26" s="431">
        <v>0</v>
      </c>
      <c r="CB26" s="431">
        <v>0</v>
      </c>
      <c r="CC26" s="432"/>
      <c r="CD26" s="428">
        <v>41652.686025810188</v>
      </c>
      <c r="CE26" s="433">
        <v>0.28748714971565115</v>
      </c>
      <c r="CF26" s="433">
        <v>0.21550400071888687</v>
      </c>
      <c r="CG26" s="433">
        <v>0.16937758837595043</v>
      </c>
      <c r="CH26" s="433"/>
      <c r="CI26" s="433">
        <v>0.15226526828821862</v>
      </c>
      <c r="CJ26" s="433"/>
      <c r="CK26" s="433">
        <v>0.24206191622568624</v>
      </c>
      <c r="CL26" s="433">
        <v>0.25842079307449622</v>
      </c>
      <c r="CM26" s="433">
        <v>0.19899802432728639</v>
      </c>
      <c r="CN26" s="433">
        <v>0.18694992789465956</v>
      </c>
      <c r="CO26" s="433">
        <v>0.12146118479802823</v>
      </c>
      <c r="CP26" s="433">
        <v>0.60559402133974971</v>
      </c>
      <c r="CQ26" s="433">
        <v>0.67663897658204775</v>
      </c>
      <c r="CR26" s="433">
        <v>0.47764154429191014</v>
      </c>
      <c r="CS26" s="433"/>
      <c r="CT26" s="433">
        <v>0.44773699730205757</v>
      </c>
      <c r="CU26" s="433"/>
      <c r="CV26" s="433">
        <v>0.47651872850367988</v>
      </c>
      <c r="CW26" s="433">
        <v>0.47402386605078101</v>
      </c>
      <c r="CX26" s="433">
        <v>0.39912436248524713</v>
      </c>
      <c r="CY26" s="433">
        <v>0</v>
      </c>
      <c r="CZ26" s="433">
        <v>0</v>
      </c>
      <c r="DA26" s="433">
        <v>0</v>
      </c>
      <c r="DB26" s="433">
        <v>0</v>
      </c>
      <c r="DC26" s="433">
        <v>0</v>
      </c>
      <c r="DD26" s="433">
        <v>0</v>
      </c>
      <c r="DE26" s="433">
        <v>0.38971872147364955</v>
      </c>
      <c r="DF26" s="433">
        <v>0</v>
      </c>
      <c r="DG26" s="433">
        <v>0</v>
      </c>
      <c r="DH26" s="433">
        <v>0</v>
      </c>
      <c r="DI26" s="433">
        <v>0</v>
      </c>
      <c r="DJ26" s="433">
        <v>0.34415915689920179</v>
      </c>
      <c r="DK26" s="433">
        <v>0.31548658405009733</v>
      </c>
      <c r="DL26" s="433">
        <v>0.2786050317755443</v>
      </c>
      <c r="DM26" s="433">
        <v>0.3989977386515936</v>
      </c>
      <c r="DN26" s="433">
        <v>0</v>
      </c>
      <c r="DO26" s="433">
        <v>0</v>
      </c>
      <c r="DP26" s="433">
        <v>0</v>
      </c>
      <c r="DR26" s="409" t="s">
        <v>855</v>
      </c>
      <c r="DS26" s="409" t="s">
        <v>2654</v>
      </c>
    </row>
    <row r="27" spans="2:123" s="1471" customFormat="1">
      <c r="B27" s="428">
        <v>41655.644026967595</v>
      </c>
      <c r="C27" s="429">
        <v>1.4020547836023391</v>
      </c>
      <c r="D27" s="429">
        <v>1.3909374211598799</v>
      </c>
      <c r="E27" s="429">
        <v>1.4843629270299499</v>
      </c>
      <c r="F27" s="429"/>
      <c r="G27" s="429">
        <v>1.4167181952941981</v>
      </c>
      <c r="H27" s="429"/>
      <c r="I27" s="429">
        <v>1.3749410167376392</v>
      </c>
      <c r="J27" s="429">
        <v>1.5732302645884362</v>
      </c>
      <c r="K27" s="429">
        <v>1.3756158389508544</v>
      </c>
      <c r="L27" s="429">
        <v>1.4827273716147442</v>
      </c>
      <c r="M27" s="429">
        <v>1.4291083026663716</v>
      </c>
      <c r="N27" s="429">
        <v>1.5178191710240203</v>
      </c>
      <c r="O27" s="429">
        <v>1.3367058814498241</v>
      </c>
      <c r="P27" s="429">
        <v>1.2566874554398433</v>
      </c>
      <c r="Q27" s="429"/>
      <c r="R27" s="429">
        <v>-144.38980632035634</v>
      </c>
      <c r="S27" s="429"/>
      <c r="T27" s="429">
        <v>4527.7610291580959</v>
      </c>
      <c r="U27" s="429">
        <v>4722.7144253111901</v>
      </c>
      <c r="V27" s="429">
        <v>4572.8624937926224</v>
      </c>
      <c r="W27" s="429"/>
      <c r="X27" s="429">
        <v>0</v>
      </c>
      <c r="Y27" s="429">
        <v>0</v>
      </c>
      <c r="Z27" s="429">
        <v>0</v>
      </c>
      <c r="AA27" s="429">
        <v>0</v>
      </c>
      <c r="AB27" s="429">
        <v>0</v>
      </c>
      <c r="AC27" s="429">
        <v>0</v>
      </c>
      <c r="AD27" s="429">
        <v>3.2160240750846016</v>
      </c>
      <c r="AE27" s="429">
        <v>0</v>
      </c>
      <c r="AF27" s="429">
        <v>0</v>
      </c>
      <c r="AG27" s="429">
        <v>0</v>
      </c>
      <c r="AH27" s="429">
        <v>3.099112690586459</v>
      </c>
      <c r="AI27" s="429">
        <v>6.2859717710951166</v>
      </c>
      <c r="AJ27" s="429">
        <v>6.3855308270732358</v>
      </c>
      <c r="AK27" s="429">
        <v>6.9304236800669852</v>
      </c>
      <c r="AL27" s="429">
        <v>0</v>
      </c>
      <c r="AM27" s="429">
        <v>0</v>
      </c>
      <c r="AN27" s="429">
        <v>0</v>
      </c>
      <c r="AO27" s="432"/>
      <c r="AP27" s="428">
        <v>41655.644026967595</v>
      </c>
      <c r="AQ27" s="431">
        <v>103.80704690758347</v>
      </c>
      <c r="AR27" s="431">
        <v>129.06987395699642</v>
      </c>
      <c r="AS27" s="431">
        <v>265.37071909136131</v>
      </c>
      <c r="AT27" s="431"/>
      <c r="AU27" s="431">
        <v>21.606374397731859</v>
      </c>
      <c r="AV27" s="431"/>
      <c r="AW27" s="431">
        <v>101.36615340318278</v>
      </c>
      <c r="AX27" s="431">
        <v>-20.817745006463614</v>
      </c>
      <c r="AY27" s="431">
        <v>125.62168597856154</v>
      </c>
      <c r="AZ27" s="431">
        <v>-46.83613933423311</v>
      </c>
      <c r="BA27" s="431">
        <v>-5.7466337352577357</v>
      </c>
      <c r="BB27" s="431">
        <v>119.59652946396282</v>
      </c>
      <c r="BC27" s="431">
        <v>92.066898271841353</v>
      </c>
      <c r="BD27" s="431">
        <v>158.82490637735594</v>
      </c>
      <c r="BE27" s="431"/>
      <c r="BF27" s="431">
        <v>-134092.07850442341</v>
      </c>
      <c r="BG27" s="431"/>
      <c r="BH27" s="431">
        <v>597482.14233995334</v>
      </c>
      <c r="BI27" s="431">
        <v>560682.58200173592</v>
      </c>
      <c r="BJ27" s="431">
        <v>547206.40967534692</v>
      </c>
      <c r="BK27" s="431">
        <v>0</v>
      </c>
      <c r="BL27" s="431">
        <v>0</v>
      </c>
      <c r="BM27" s="431">
        <v>0</v>
      </c>
      <c r="BN27" s="431">
        <v>0</v>
      </c>
      <c r="BO27" s="431">
        <v>0</v>
      </c>
      <c r="BP27" s="431">
        <v>0</v>
      </c>
      <c r="BQ27" s="431">
        <v>896.62558684732312</v>
      </c>
      <c r="BR27" s="431">
        <v>0</v>
      </c>
      <c r="BS27" s="431">
        <v>0</v>
      </c>
      <c r="BT27" s="431">
        <v>0</v>
      </c>
      <c r="BU27" s="431">
        <v>0</v>
      </c>
      <c r="BV27" s="431">
        <v>823.45334739082728</v>
      </c>
      <c r="BW27" s="431">
        <v>1389.5648065447981</v>
      </c>
      <c r="BX27" s="431">
        <v>1272.1595221911132</v>
      </c>
      <c r="BY27" s="431">
        <v>1068.8960050344599</v>
      </c>
      <c r="BZ27" s="431">
        <v>0</v>
      </c>
      <c r="CA27" s="431">
        <v>0</v>
      </c>
      <c r="CB27" s="431">
        <v>0</v>
      </c>
      <c r="CC27" s="432"/>
      <c r="CD27" s="428">
        <v>41655.644026967595</v>
      </c>
      <c r="CE27" s="433">
        <v>0.28748714971565115</v>
      </c>
      <c r="CF27" s="433">
        <v>0.21550400071888687</v>
      </c>
      <c r="CG27" s="433">
        <v>0.16937758837595043</v>
      </c>
      <c r="CH27" s="433"/>
      <c r="CI27" s="433">
        <v>0.15226526828821862</v>
      </c>
      <c r="CJ27" s="433"/>
      <c r="CK27" s="433">
        <v>0.24206191622568624</v>
      </c>
      <c r="CL27" s="433">
        <v>0.25842079307449622</v>
      </c>
      <c r="CM27" s="433">
        <v>0.19899802432728639</v>
      </c>
      <c r="CN27" s="433">
        <v>0.18694992789465956</v>
      </c>
      <c r="CO27" s="433">
        <v>0.12146118479802823</v>
      </c>
      <c r="CP27" s="433">
        <v>0.60559402133974971</v>
      </c>
      <c r="CQ27" s="433">
        <v>0.67663897658204775</v>
      </c>
      <c r="CR27" s="433">
        <v>0.47764154429191014</v>
      </c>
      <c r="CS27" s="433"/>
      <c r="CT27" s="433">
        <v>0.44773699730205757</v>
      </c>
      <c r="CU27" s="433"/>
      <c r="CV27" s="433">
        <v>0.47651872850367988</v>
      </c>
      <c r="CW27" s="433">
        <v>0.47402386605078101</v>
      </c>
      <c r="CX27" s="433">
        <v>0.39912436248524713</v>
      </c>
      <c r="CY27" s="433">
        <v>0</v>
      </c>
      <c r="CZ27" s="433">
        <v>0</v>
      </c>
      <c r="DA27" s="433">
        <v>0</v>
      </c>
      <c r="DB27" s="433">
        <v>0</v>
      </c>
      <c r="DC27" s="433">
        <v>0</v>
      </c>
      <c r="DD27" s="433">
        <v>0</v>
      </c>
      <c r="DE27" s="433">
        <v>0.38971872147364955</v>
      </c>
      <c r="DF27" s="433">
        <v>0</v>
      </c>
      <c r="DG27" s="433">
        <v>0</v>
      </c>
      <c r="DH27" s="433">
        <v>0</v>
      </c>
      <c r="DI27" s="433">
        <v>0</v>
      </c>
      <c r="DJ27" s="433">
        <v>0.34415915689920179</v>
      </c>
      <c r="DK27" s="433">
        <v>0.31548658405009733</v>
      </c>
      <c r="DL27" s="433">
        <v>0.2786050317755443</v>
      </c>
      <c r="DM27" s="433">
        <v>0.3989977386515936</v>
      </c>
      <c r="DN27" s="433">
        <v>0</v>
      </c>
      <c r="DO27" s="433">
        <v>0</v>
      </c>
      <c r="DP27" s="433">
        <v>0</v>
      </c>
      <c r="DR27" s="409" t="s">
        <v>855</v>
      </c>
      <c r="DS27" s="409" t="s">
        <v>1662</v>
      </c>
    </row>
    <row r="28" spans="2:123" s="1471" customFormat="1">
      <c r="B28" s="428">
        <v>41662.542650347219</v>
      </c>
      <c r="C28" s="429">
        <v>1.4020547836023391</v>
      </c>
      <c r="D28" s="429">
        <v>1.3909374211598799</v>
      </c>
      <c r="E28" s="429">
        <v>1.4843629270299499</v>
      </c>
      <c r="F28" s="429"/>
      <c r="G28" s="429">
        <v>1.4167181952941981</v>
      </c>
      <c r="H28" s="429"/>
      <c r="I28" s="429">
        <v>1.3749410167376392</v>
      </c>
      <c r="J28" s="429">
        <v>1.5732302645884362</v>
      </c>
      <c r="K28" s="429">
        <v>1.3756158389508544</v>
      </c>
      <c r="L28" s="429">
        <v>1.4827273716147442</v>
      </c>
      <c r="M28" s="429">
        <v>1.4291083026663716</v>
      </c>
      <c r="N28" s="429">
        <v>1.5178191710240203</v>
      </c>
      <c r="O28" s="429">
        <v>1.3367058814498241</v>
      </c>
      <c r="P28" s="429">
        <v>1.2566874554398433</v>
      </c>
      <c r="Q28" s="429"/>
      <c r="R28" s="429">
        <v>-144.38980632035634</v>
      </c>
      <c r="S28" s="429"/>
      <c r="T28" s="429">
        <v>4527.7610291580959</v>
      </c>
      <c r="U28" s="429">
        <v>4722.7144253111901</v>
      </c>
      <c r="V28" s="429">
        <v>4572.8624937926224</v>
      </c>
      <c r="W28" s="429"/>
      <c r="X28" s="429">
        <v>0</v>
      </c>
      <c r="Y28" s="429">
        <v>0</v>
      </c>
      <c r="Z28" s="429">
        <v>0</v>
      </c>
      <c r="AA28" s="429">
        <v>0</v>
      </c>
      <c r="AB28" s="429">
        <v>0</v>
      </c>
      <c r="AC28" s="429">
        <v>0</v>
      </c>
      <c r="AD28" s="429">
        <v>3.2160240750846016</v>
      </c>
      <c r="AE28" s="429">
        <v>0</v>
      </c>
      <c r="AF28" s="429">
        <v>0</v>
      </c>
      <c r="AG28" s="429">
        <v>0</v>
      </c>
      <c r="AH28" s="429">
        <v>3.099112690586459</v>
      </c>
      <c r="AI28" s="429">
        <v>6.2859717710951166</v>
      </c>
      <c r="AJ28" s="429">
        <v>6.3855308270732358</v>
      </c>
      <c r="AK28" s="429">
        <v>6.9304236800669852</v>
      </c>
      <c r="AL28" s="429">
        <v>0</v>
      </c>
      <c r="AM28" s="429">
        <v>0</v>
      </c>
      <c r="AN28" s="429">
        <v>0</v>
      </c>
      <c r="AO28" s="432"/>
      <c r="AP28" s="428">
        <v>41662.542650347219</v>
      </c>
      <c r="AQ28" s="431">
        <v>103.80704690758347</v>
      </c>
      <c r="AR28" s="431">
        <v>129.06987395699642</v>
      </c>
      <c r="AS28" s="431">
        <v>265.37071909136131</v>
      </c>
      <c r="AT28" s="431"/>
      <c r="AU28" s="431">
        <v>21.606374397731859</v>
      </c>
      <c r="AV28" s="431"/>
      <c r="AW28" s="431">
        <v>101.36615340318278</v>
      </c>
      <c r="AX28" s="431">
        <v>-20.817745006463614</v>
      </c>
      <c r="AY28" s="431">
        <v>125.62168597856154</v>
      </c>
      <c r="AZ28" s="431">
        <v>-46.83613933423311</v>
      </c>
      <c r="BA28" s="431">
        <v>-5.7466337352577357</v>
      </c>
      <c r="BB28" s="431">
        <v>119.59652946396282</v>
      </c>
      <c r="BC28" s="431">
        <v>92.066898271841353</v>
      </c>
      <c r="BD28" s="431">
        <v>158.82490637735594</v>
      </c>
      <c r="BE28" s="431"/>
      <c r="BF28" s="431">
        <v>-134092.07850442341</v>
      </c>
      <c r="BG28" s="431"/>
      <c r="BH28" s="431">
        <v>597482.14233995334</v>
      </c>
      <c r="BI28" s="431">
        <v>560682.58200173592</v>
      </c>
      <c r="BJ28" s="431">
        <v>547206.40967534692</v>
      </c>
      <c r="BK28" s="431">
        <v>0</v>
      </c>
      <c r="BL28" s="431">
        <v>0</v>
      </c>
      <c r="BM28" s="431">
        <v>0</v>
      </c>
      <c r="BN28" s="431">
        <v>0</v>
      </c>
      <c r="BO28" s="431">
        <v>0</v>
      </c>
      <c r="BP28" s="431">
        <v>0</v>
      </c>
      <c r="BQ28" s="431">
        <v>896.62558684732312</v>
      </c>
      <c r="BR28" s="431">
        <v>0</v>
      </c>
      <c r="BS28" s="431">
        <v>0</v>
      </c>
      <c r="BT28" s="431">
        <v>0</v>
      </c>
      <c r="BU28" s="431">
        <v>0</v>
      </c>
      <c r="BV28" s="431">
        <v>823.45334739082728</v>
      </c>
      <c r="BW28" s="431">
        <v>1389.5648065447981</v>
      </c>
      <c r="BX28" s="431">
        <v>1272.1595221911132</v>
      </c>
      <c r="BY28" s="431">
        <v>1068.8960050344599</v>
      </c>
      <c r="BZ28" s="431">
        <v>0</v>
      </c>
      <c r="CA28" s="431">
        <v>0</v>
      </c>
      <c r="CB28" s="431">
        <v>0</v>
      </c>
      <c r="CC28" s="432"/>
      <c r="CD28" s="428">
        <v>41662.542650347219</v>
      </c>
      <c r="CE28" s="433">
        <v>0.28748714971565115</v>
      </c>
      <c r="CF28" s="433">
        <v>0.21550400071888687</v>
      </c>
      <c r="CG28" s="433">
        <v>0.16937758837595043</v>
      </c>
      <c r="CH28" s="433"/>
      <c r="CI28" s="433">
        <v>0.15226526828821862</v>
      </c>
      <c r="CJ28" s="433"/>
      <c r="CK28" s="433">
        <v>0.24206191622568624</v>
      </c>
      <c r="CL28" s="433">
        <v>0.25842079307449622</v>
      </c>
      <c r="CM28" s="433">
        <v>0.19899802432728639</v>
      </c>
      <c r="CN28" s="433">
        <v>0.18694992789465956</v>
      </c>
      <c r="CO28" s="433">
        <v>0.12146118479802823</v>
      </c>
      <c r="CP28" s="433">
        <v>0.60559402133974971</v>
      </c>
      <c r="CQ28" s="433">
        <v>0.67663897658204775</v>
      </c>
      <c r="CR28" s="433">
        <v>0.47764154429191014</v>
      </c>
      <c r="CS28" s="433"/>
      <c r="CT28" s="433">
        <v>0.44773699730205757</v>
      </c>
      <c r="CU28" s="433"/>
      <c r="CV28" s="433">
        <v>0.47651872850367988</v>
      </c>
      <c r="CW28" s="433">
        <v>0.47402386605078101</v>
      </c>
      <c r="CX28" s="433">
        <v>0.39912436248524713</v>
      </c>
      <c r="CY28" s="433">
        <v>0</v>
      </c>
      <c r="CZ28" s="433">
        <v>0</v>
      </c>
      <c r="DA28" s="433">
        <v>0</v>
      </c>
      <c r="DB28" s="433">
        <v>0</v>
      </c>
      <c r="DC28" s="433">
        <v>0</v>
      </c>
      <c r="DD28" s="433">
        <v>0</v>
      </c>
      <c r="DE28" s="433">
        <v>0.38971872147364955</v>
      </c>
      <c r="DF28" s="433">
        <v>0</v>
      </c>
      <c r="DG28" s="433">
        <v>0</v>
      </c>
      <c r="DH28" s="433">
        <v>0</v>
      </c>
      <c r="DI28" s="433">
        <v>0</v>
      </c>
      <c r="DJ28" s="433">
        <v>0.34415915689920179</v>
      </c>
      <c r="DK28" s="433">
        <v>0.31548658405009733</v>
      </c>
      <c r="DL28" s="433">
        <v>0.2786050317755443</v>
      </c>
      <c r="DM28" s="433">
        <v>0.3989977386515936</v>
      </c>
      <c r="DN28" s="433">
        <v>0</v>
      </c>
      <c r="DO28" s="433">
        <v>0</v>
      </c>
      <c r="DP28" s="433">
        <v>0</v>
      </c>
      <c r="DR28" s="409" t="s">
        <v>711</v>
      </c>
      <c r="DS28" s="409" t="s">
        <v>1709</v>
      </c>
    </row>
    <row r="29" spans="2:123" s="1471" customFormat="1">
      <c r="B29" s="428">
        <v>41667.543183333335</v>
      </c>
      <c r="C29" s="429">
        <v>1.4020547836023391</v>
      </c>
      <c r="D29" s="429">
        <v>1.3909374211598799</v>
      </c>
      <c r="E29" s="429">
        <v>1.4843629270299499</v>
      </c>
      <c r="F29" s="429"/>
      <c r="G29" s="429">
        <v>1.4167181952941981</v>
      </c>
      <c r="H29" s="429"/>
      <c r="I29" s="429">
        <v>1.3749410167376392</v>
      </c>
      <c r="J29" s="429">
        <v>1.5732302645884362</v>
      </c>
      <c r="K29" s="429">
        <v>1.3756158389508544</v>
      </c>
      <c r="L29" s="429">
        <v>1.4820542657335805</v>
      </c>
      <c r="M29" s="429">
        <v>1.4291083026663716</v>
      </c>
      <c r="N29" s="429">
        <v>1.5178191710240203</v>
      </c>
      <c r="O29" s="429">
        <v>1.3367058814498241</v>
      </c>
      <c r="P29" s="429">
        <v>1.2566874554398433</v>
      </c>
      <c r="Q29" s="429"/>
      <c r="R29" s="429">
        <v>-144.38980632035634</v>
      </c>
      <c r="S29" s="429"/>
      <c r="T29" s="429">
        <v>4527.7610291580959</v>
      </c>
      <c r="U29" s="429">
        <v>4722.7144253111901</v>
      </c>
      <c r="V29" s="429">
        <v>4572.8624937926224</v>
      </c>
      <c r="W29" s="429"/>
      <c r="X29" s="429">
        <v>0</v>
      </c>
      <c r="Y29" s="429">
        <v>0</v>
      </c>
      <c r="Z29" s="429">
        <v>0</v>
      </c>
      <c r="AA29" s="429">
        <v>0</v>
      </c>
      <c r="AB29" s="429">
        <v>0</v>
      </c>
      <c r="AC29" s="429">
        <v>0</v>
      </c>
      <c r="AD29" s="429">
        <v>3.2160240750846016</v>
      </c>
      <c r="AE29" s="429">
        <v>0</v>
      </c>
      <c r="AF29" s="429">
        <v>0</v>
      </c>
      <c r="AG29" s="429">
        <v>0</v>
      </c>
      <c r="AH29" s="429">
        <v>3.099112690586459</v>
      </c>
      <c r="AI29" s="429">
        <v>6.2859717710951166</v>
      </c>
      <c r="AJ29" s="429">
        <v>6.3855308270732358</v>
      </c>
      <c r="AK29" s="429">
        <v>6.9304236800669852</v>
      </c>
      <c r="AL29" s="429">
        <v>0</v>
      </c>
      <c r="AM29" s="429">
        <v>0</v>
      </c>
      <c r="AN29" s="429">
        <v>0</v>
      </c>
      <c r="AO29" s="432"/>
      <c r="AP29" s="428">
        <v>41667.543183333335</v>
      </c>
      <c r="AQ29" s="431">
        <v>103.80704690758347</v>
      </c>
      <c r="AR29" s="431">
        <v>129.06987395699642</v>
      </c>
      <c r="AS29" s="431">
        <v>265.37071909136131</v>
      </c>
      <c r="AT29" s="431"/>
      <c r="AU29" s="431">
        <v>21.606374397731859</v>
      </c>
      <c r="AV29" s="431"/>
      <c r="AW29" s="431">
        <v>101.36615340318278</v>
      </c>
      <c r="AX29" s="431">
        <v>-20.817745006463614</v>
      </c>
      <c r="AY29" s="431">
        <v>125.62168597856154</v>
      </c>
      <c r="AZ29" s="431">
        <v>-50.984696947061749</v>
      </c>
      <c r="BA29" s="431">
        <v>-5.7466337352577357</v>
      </c>
      <c r="BB29" s="431">
        <v>119.59652946396282</v>
      </c>
      <c r="BC29" s="431">
        <v>92.066898271841353</v>
      </c>
      <c r="BD29" s="431">
        <v>158.82490637735594</v>
      </c>
      <c r="BE29" s="431"/>
      <c r="BF29" s="431">
        <v>-134092.07850442341</v>
      </c>
      <c r="BG29" s="431"/>
      <c r="BH29" s="431">
        <v>597482.14233995334</v>
      </c>
      <c r="BI29" s="431">
        <v>560682.58200173592</v>
      </c>
      <c r="BJ29" s="431">
        <v>547206.40967534692</v>
      </c>
      <c r="BK29" s="431">
        <v>0</v>
      </c>
      <c r="BL29" s="431">
        <v>0</v>
      </c>
      <c r="BM29" s="431">
        <v>0</v>
      </c>
      <c r="BN29" s="431">
        <v>0</v>
      </c>
      <c r="BO29" s="431">
        <v>0</v>
      </c>
      <c r="BP29" s="431">
        <v>0</v>
      </c>
      <c r="BQ29" s="431">
        <v>896.62558684732312</v>
      </c>
      <c r="BR29" s="431">
        <v>0</v>
      </c>
      <c r="BS29" s="431">
        <v>0</v>
      </c>
      <c r="BT29" s="431">
        <v>0</v>
      </c>
      <c r="BU29" s="431">
        <v>0</v>
      </c>
      <c r="BV29" s="431">
        <v>823.45334739082728</v>
      </c>
      <c r="BW29" s="431">
        <v>1389.5648065447981</v>
      </c>
      <c r="BX29" s="431">
        <v>1272.1595221911132</v>
      </c>
      <c r="BY29" s="431">
        <v>1068.8960050344599</v>
      </c>
      <c r="BZ29" s="431">
        <v>0</v>
      </c>
      <c r="CA29" s="431">
        <v>0</v>
      </c>
      <c r="CB29" s="431">
        <v>0</v>
      </c>
      <c r="CC29" s="432"/>
      <c r="CD29" s="428">
        <v>41667.543183333335</v>
      </c>
      <c r="CE29" s="433">
        <v>0.28748714971565115</v>
      </c>
      <c r="CF29" s="433">
        <v>0.21550400071888687</v>
      </c>
      <c r="CG29" s="433">
        <v>0.16937758837595043</v>
      </c>
      <c r="CH29" s="433"/>
      <c r="CI29" s="433">
        <v>0.15226526828821862</v>
      </c>
      <c r="CJ29" s="433"/>
      <c r="CK29" s="433">
        <v>0.24206191622568624</v>
      </c>
      <c r="CL29" s="433">
        <v>0.25842079307449622</v>
      </c>
      <c r="CM29" s="433">
        <v>0.19899802432728639</v>
      </c>
      <c r="CN29" s="433">
        <v>0.18703686722165089</v>
      </c>
      <c r="CO29" s="433">
        <v>0.12146118479802823</v>
      </c>
      <c r="CP29" s="433">
        <v>0.60559402133974971</v>
      </c>
      <c r="CQ29" s="433">
        <v>0.67663897658204775</v>
      </c>
      <c r="CR29" s="433">
        <v>0.47764154429191014</v>
      </c>
      <c r="CS29" s="433"/>
      <c r="CT29" s="433">
        <v>0.44773699730205757</v>
      </c>
      <c r="CU29" s="433"/>
      <c r="CV29" s="433">
        <v>0.47651872850367988</v>
      </c>
      <c r="CW29" s="433">
        <v>0.47402386605078101</v>
      </c>
      <c r="CX29" s="433">
        <v>0.39912436248524713</v>
      </c>
      <c r="CY29" s="433">
        <v>0</v>
      </c>
      <c r="CZ29" s="433">
        <v>0</v>
      </c>
      <c r="DA29" s="433">
        <v>0</v>
      </c>
      <c r="DB29" s="433">
        <v>0</v>
      </c>
      <c r="DC29" s="433">
        <v>0</v>
      </c>
      <c r="DD29" s="433">
        <v>0</v>
      </c>
      <c r="DE29" s="433">
        <v>0.38971872147364955</v>
      </c>
      <c r="DF29" s="433">
        <v>0</v>
      </c>
      <c r="DG29" s="433">
        <v>0</v>
      </c>
      <c r="DH29" s="433">
        <v>0</v>
      </c>
      <c r="DI29" s="433">
        <v>0</v>
      </c>
      <c r="DJ29" s="433">
        <v>0.34415915689920179</v>
      </c>
      <c r="DK29" s="433">
        <v>0.31548658405009733</v>
      </c>
      <c r="DL29" s="433">
        <v>0.2786050317755443</v>
      </c>
      <c r="DM29" s="433">
        <v>0.3989977386515936</v>
      </c>
      <c r="DN29" s="433">
        <v>0</v>
      </c>
      <c r="DO29" s="433">
        <v>0</v>
      </c>
      <c r="DP29" s="433">
        <v>0</v>
      </c>
      <c r="DR29" s="409" t="s">
        <v>1776</v>
      </c>
      <c r="DS29" s="409" t="s">
        <v>1777</v>
      </c>
    </row>
    <row r="30" spans="2:123" s="1471" customFormat="1">
      <c r="B30" s="428">
        <v>41669.686962731481</v>
      </c>
      <c r="C30" s="429">
        <v>1.4020547836023391</v>
      </c>
      <c r="D30" s="429">
        <v>1.3909374211598799</v>
      </c>
      <c r="E30" s="429">
        <v>1.4843629270299499</v>
      </c>
      <c r="F30" s="429"/>
      <c r="G30" s="429">
        <v>1.4167181952941981</v>
      </c>
      <c r="H30" s="429"/>
      <c r="I30" s="429">
        <v>1.3749410167376392</v>
      </c>
      <c r="J30" s="429">
        <v>1.5732302645884362</v>
      </c>
      <c r="K30" s="429">
        <v>1.3756158389508544</v>
      </c>
      <c r="L30" s="429">
        <v>1.4820542657335805</v>
      </c>
      <c r="M30" s="429">
        <v>1.4291083026663716</v>
      </c>
      <c r="N30" s="429">
        <v>1.5178191710240203</v>
      </c>
      <c r="O30" s="429">
        <v>1.3367058814498241</v>
      </c>
      <c r="P30" s="429">
        <v>1.2566874554398433</v>
      </c>
      <c r="Q30" s="429"/>
      <c r="R30" s="429">
        <v>-144.38980632035634</v>
      </c>
      <c r="S30" s="429"/>
      <c r="T30" s="429">
        <v>3745.469066583606</v>
      </c>
      <c r="U30" s="429">
        <v>3908.6411460798095</v>
      </c>
      <c r="V30" s="429">
        <v>3784.8209459438622</v>
      </c>
      <c r="W30" s="429"/>
      <c r="X30" s="429">
        <v>0</v>
      </c>
      <c r="Y30" s="429">
        <v>0</v>
      </c>
      <c r="Z30" s="429">
        <v>0</v>
      </c>
      <c r="AA30" s="429">
        <v>0</v>
      </c>
      <c r="AB30" s="429">
        <v>0</v>
      </c>
      <c r="AC30" s="429">
        <v>0</v>
      </c>
      <c r="AD30" s="429">
        <v>3.2160240750846016</v>
      </c>
      <c r="AE30" s="429">
        <v>0</v>
      </c>
      <c r="AF30" s="429">
        <v>0</v>
      </c>
      <c r="AG30" s="429">
        <v>0</v>
      </c>
      <c r="AH30" s="429">
        <v>3.099112690586459</v>
      </c>
      <c r="AI30" s="429">
        <v>6.2859717710951166</v>
      </c>
      <c r="AJ30" s="429">
        <v>6.3855308270732358</v>
      </c>
      <c r="AK30" s="429">
        <v>6.9304236800669852</v>
      </c>
      <c r="AL30" s="429">
        <v>0</v>
      </c>
      <c r="AM30" s="429">
        <v>0</v>
      </c>
      <c r="AN30" s="429">
        <v>0</v>
      </c>
      <c r="AO30" s="432"/>
      <c r="AP30" s="428">
        <v>41669.686962731481</v>
      </c>
      <c r="AQ30" s="431">
        <v>103.80704690758347</v>
      </c>
      <c r="AR30" s="431">
        <v>129.06987395699642</v>
      </c>
      <c r="AS30" s="431">
        <v>265.37071909136131</v>
      </c>
      <c r="AT30" s="431"/>
      <c r="AU30" s="431">
        <v>21.606374397731859</v>
      </c>
      <c r="AV30" s="431"/>
      <c r="AW30" s="431">
        <v>101.36615340318278</v>
      </c>
      <c r="AX30" s="431">
        <v>-20.817745006463614</v>
      </c>
      <c r="AY30" s="431">
        <v>125.62168597856154</v>
      </c>
      <c r="AZ30" s="431">
        <v>-50.984696947061749</v>
      </c>
      <c r="BA30" s="431">
        <v>-5.7466337352577357</v>
      </c>
      <c r="BB30" s="431">
        <v>119.59652946396282</v>
      </c>
      <c r="BC30" s="431">
        <v>92.066898271841353</v>
      </c>
      <c r="BD30" s="431">
        <v>158.82490637735594</v>
      </c>
      <c r="BE30" s="431"/>
      <c r="BF30" s="431">
        <v>-134092.07850442341</v>
      </c>
      <c r="BG30" s="431"/>
      <c r="BH30" s="431">
        <v>493689.72219768178</v>
      </c>
      <c r="BI30" s="431">
        <v>463282.84735917905</v>
      </c>
      <c r="BJ30" s="431">
        <v>452147.70657313417</v>
      </c>
      <c r="BK30" s="431">
        <v>0</v>
      </c>
      <c r="BL30" s="431">
        <v>0</v>
      </c>
      <c r="BM30" s="431">
        <v>0</v>
      </c>
      <c r="BN30" s="431">
        <v>0</v>
      </c>
      <c r="BO30" s="431">
        <v>0</v>
      </c>
      <c r="BP30" s="431">
        <v>0</v>
      </c>
      <c r="BQ30" s="431">
        <v>896.62558684732312</v>
      </c>
      <c r="BR30" s="431">
        <v>0</v>
      </c>
      <c r="BS30" s="431">
        <v>0</v>
      </c>
      <c r="BT30" s="431">
        <v>0</v>
      </c>
      <c r="BU30" s="431">
        <v>0</v>
      </c>
      <c r="BV30" s="431">
        <v>823.45334739082728</v>
      </c>
      <c r="BW30" s="431">
        <v>1389.5648065447981</v>
      </c>
      <c r="BX30" s="431">
        <v>1272.1595221911132</v>
      </c>
      <c r="BY30" s="431">
        <v>1068.8960050344599</v>
      </c>
      <c r="BZ30" s="431">
        <v>0</v>
      </c>
      <c r="CA30" s="431">
        <v>0</v>
      </c>
      <c r="CB30" s="431">
        <v>0</v>
      </c>
      <c r="CC30" s="432"/>
      <c r="CD30" s="428">
        <v>41669.686962731481</v>
      </c>
      <c r="CE30" s="433">
        <v>0.28748714971565115</v>
      </c>
      <c r="CF30" s="433">
        <v>0.21550400071888687</v>
      </c>
      <c r="CG30" s="433">
        <v>0.16937758837595043</v>
      </c>
      <c r="CH30" s="433"/>
      <c r="CI30" s="433">
        <v>0.15226526828821862</v>
      </c>
      <c r="CJ30" s="433"/>
      <c r="CK30" s="433">
        <v>0.24206191622568624</v>
      </c>
      <c r="CL30" s="433">
        <v>0.25842079307449622</v>
      </c>
      <c r="CM30" s="433">
        <v>0.19899802432728639</v>
      </c>
      <c r="CN30" s="433">
        <v>0.18703686722165089</v>
      </c>
      <c r="CO30" s="433">
        <v>0.12146118479802823</v>
      </c>
      <c r="CP30" s="433">
        <v>0.60559402133974971</v>
      </c>
      <c r="CQ30" s="433">
        <v>0.67663897658204775</v>
      </c>
      <c r="CR30" s="433">
        <v>0.47764154429191014</v>
      </c>
      <c r="CS30" s="433"/>
      <c r="CT30" s="433">
        <v>0.44773699730205757</v>
      </c>
      <c r="CU30" s="433"/>
      <c r="CV30" s="433">
        <v>0.47651872850367988</v>
      </c>
      <c r="CW30" s="433">
        <v>0.47402386605078101</v>
      </c>
      <c r="CX30" s="433">
        <v>0.39912436248524713</v>
      </c>
      <c r="CY30" s="433">
        <v>0</v>
      </c>
      <c r="CZ30" s="433">
        <v>0</v>
      </c>
      <c r="DA30" s="433">
        <v>0</v>
      </c>
      <c r="DB30" s="433">
        <v>0</v>
      </c>
      <c r="DC30" s="433">
        <v>0</v>
      </c>
      <c r="DD30" s="433">
        <v>0</v>
      </c>
      <c r="DE30" s="433">
        <v>0.38971872147364955</v>
      </c>
      <c r="DF30" s="433">
        <v>0</v>
      </c>
      <c r="DG30" s="433">
        <v>0</v>
      </c>
      <c r="DH30" s="433">
        <v>0</v>
      </c>
      <c r="DI30" s="433">
        <v>0</v>
      </c>
      <c r="DJ30" s="433">
        <v>0.34415915689920179</v>
      </c>
      <c r="DK30" s="433">
        <v>0.31548658405009733</v>
      </c>
      <c r="DL30" s="433">
        <v>0.2786050317755443</v>
      </c>
      <c r="DM30" s="433">
        <v>0.3989977386515936</v>
      </c>
      <c r="DN30" s="433">
        <v>0</v>
      </c>
      <c r="DO30" s="433">
        <v>0</v>
      </c>
      <c r="DP30" s="433">
        <v>0</v>
      </c>
      <c r="DR30" s="409" t="s">
        <v>855</v>
      </c>
      <c r="DS30" s="409" t="s">
        <v>2314</v>
      </c>
    </row>
    <row r="31" spans="2:123" s="1471" customFormat="1">
      <c r="B31" s="428">
        <v>41674.466352083335</v>
      </c>
      <c r="C31" s="429">
        <v>1.4020547836023391</v>
      </c>
      <c r="D31" s="429">
        <v>1.3909374211598799</v>
      </c>
      <c r="E31" s="429">
        <v>1.4843629270299499</v>
      </c>
      <c r="F31" s="429"/>
      <c r="G31" s="429">
        <v>1.4167181952941981</v>
      </c>
      <c r="H31" s="429"/>
      <c r="I31" s="429">
        <v>1.3749410167376392</v>
      </c>
      <c r="J31" s="429">
        <v>1.5732302645884362</v>
      </c>
      <c r="K31" s="429">
        <v>1.3756158389508544</v>
      </c>
      <c r="L31" s="429">
        <v>1.4820542657335805</v>
      </c>
      <c r="M31" s="429">
        <v>1.4291083026663716</v>
      </c>
      <c r="N31" s="429">
        <v>1.5178191710240203</v>
      </c>
      <c r="O31" s="429">
        <v>1.3367058814498241</v>
      </c>
      <c r="P31" s="429">
        <v>1.2566874554398433</v>
      </c>
      <c r="Q31" s="429"/>
      <c r="R31" s="429">
        <v>-144.38980632035634</v>
      </c>
      <c r="S31" s="429"/>
      <c r="T31" s="429">
        <v>3745.469066583606</v>
      </c>
      <c r="U31" s="429">
        <v>3908.6411460798095</v>
      </c>
      <c r="V31" s="429">
        <v>3784.8209459438622</v>
      </c>
      <c r="W31" s="429"/>
      <c r="X31" s="429">
        <v>247.64279408738344</v>
      </c>
      <c r="Y31" s="429">
        <v>238.13380516755765</v>
      </c>
      <c r="Z31" s="429">
        <v>202.26361776861833</v>
      </c>
      <c r="AA31" s="429">
        <v>212.70595558740609</v>
      </c>
      <c r="AB31" s="429">
        <v>203.35354211258971</v>
      </c>
      <c r="AC31" s="429">
        <v>389.28136022202273</v>
      </c>
      <c r="AD31" s="429">
        <v>3.2160240750846016</v>
      </c>
      <c r="AE31" s="429">
        <v>0</v>
      </c>
      <c r="AF31" s="429">
        <v>0</v>
      </c>
      <c r="AG31" s="429">
        <v>0</v>
      </c>
      <c r="AH31" s="429">
        <v>3.099112690586459</v>
      </c>
      <c r="AI31" s="429">
        <v>6.2859717710951166</v>
      </c>
      <c r="AJ31" s="429">
        <v>6.3855308270732358</v>
      </c>
      <c r="AK31" s="429">
        <v>6.9304236800669852</v>
      </c>
      <c r="AL31" s="429">
        <v>0</v>
      </c>
      <c r="AM31" s="429">
        <v>0</v>
      </c>
      <c r="AN31" s="429">
        <v>0</v>
      </c>
      <c r="AO31" s="432"/>
      <c r="AP31" s="428">
        <v>41674.466352083335</v>
      </c>
      <c r="AQ31" s="431">
        <v>103.80704690758347</v>
      </c>
      <c r="AR31" s="431">
        <v>129.06987395699642</v>
      </c>
      <c r="AS31" s="431">
        <v>265.37071909136131</v>
      </c>
      <c r="AT31" s="431"/>
      <c r="AU31" s="431">
        <v>21.606374397731859</v>
      </c>
      <c r="AV31" s="431"/>
      <c r="AW31" s="431">
        <v>101.36615340318278</v>
      </c>
      <c r="AX31" s="431">
        <v>-20.817745006463614</v>
      </c>
      <c r="AY31" s="431">
        <v>125.62168597856154</v>
      </c>
      <c r="AZ31" s="431">
        <v>-50.984696947061749</v>
      </c>
      <c r="BA31" s="431">
        <v>-5.7466337352577357</v>
      </c>
      <c r="BB31" s="431">
        <v>119.59652946396282</v>
      </c>
      <c r="BC31" s="431">
        <v>92.066898271841353</v>
      </c>
      <c r="BD31" s="431">
        <v>158.82490637735594</v>
      </c>
      <c r="BE31" s="431"/>
      <c r="BF31" s="431">
        <v>-134092.07850442341</v>
      </c>
      <c r="BG31" s="431"/>
      <c r="BH31" s="431">
        <v>493689.72219768178</v>
      </c>
      <c r="BI31" s="431">
        <v>463282.84735917905</v>
      </c>
      <c r="BJ31" s="431">
        <v>452147.70657313417</v>
      </c>
      <c r="BK31" s="431">
        <v>540379.21644985932</v>
      </c>
      <c r="BL31" s="431">
        <v>527391.0415426268</v>
      </c>
      <c r="BM31" s="431">
        <v>513490.97545714967</v>
      </c>
      <c r="BN31" s="431">
        <v>540379.21644985932</v>
      </c>
      <c r="BO31" s="431">
        <v>527391.0415426268</v>
      </c>
      <c r="BP31" s="431">
        <v>347367.22696776612</v>
      </c>
      <c r="BQ31" s="431">
        <v>896.62558684732312</v>
      </c>
      <c r="BR31" s="431">
        <v>0</v>
      </c>
      <c r="BS31" s="431">
        <v>0</v>
      </c>
      <c r="BT31" s="431">
        <v>0</v>
      </c>
      <c r="BU31" s="431">
        <v>0</v>
      </c>
      <c r="BV31" s="431">
        <v>823.45334739082728</v>
      </c>
      <c r="BW31" s="431">
        <v>1389.5648065447981</v>
      </c>
      <c r="BX31" s="431">
        <v>1272.1595221911132</v>
      </c>
      <c r="BY31" s="431">
        <v>1068.8960050344599</v>
      </c>
      <c r="BZ31" s="431">
        <v>0</v>
      </c>
      <c r="CA31" s="431">
        <v>0</v>
      </c>
      <c r="CB31" s="431">
        <v>0</v>
      </c>
      <c r="CC31" s="432"/>
      <c r="CD31" s="428">
        <v>41674.466352083335</v>
      </c>
      <c r="CE31" s="433">
        <v>0.28748714971565115</v>
      </c>
      <c r="CF31" s="433">
        <v>0.21550400071888687</v>
      </c>
      <c r="CG31" s="433">
        <v>0.16937758837595043</v>
      </c>
      <c r="CH31" s="433"/>
      <c r="CI31" s="433">
        <v>0.15226526828821862</v>
      </c>
      <c r="CJ31" s="433"/>
      <c r="CK31" s="433">
        <v>0.24206191622568624</v>
      </c>
      <c r="CL31" s="433">
        <v>0.25842079307449622</v>
      </c>
      <c r="CM31" s="433">
        <v>0.19899802432728639</v>
      </c>
      <c r="CN31" s="433">
        <v>0.18703686722165089</v>
      </c>
      <c r="CO31" s="433">
        <v>0.12146118479802823</v>
      </c>
      <c r="CP31" s="433">
        <v>0.60559402133974971</v>
      </c>
      <c r="CQ31" s="433">
        <v>0.67663897658204775</v>
      </c>
      <c r="CR31" s="433">
        <v>0.47764154429191014</v>
      </c>
      <c r="CS31" s="433"/>
      <c r="CT31" s="433">
        <v>0.44773699730205757</v>
      </c>
      <c r="CU31" s="433"/>
      <c r="CV31" s="433">
        <v>0.47651872850367988</v>
      </c>
      <c r="CW31" s="433">
        <v>0.47402386605078101</v>
      </c>
      <c r="CX31" s="433">
        <v>0.39912436248524713</v>
      </c>
      <c r="CY31" s="433">
        <v>0.29692854969420923</v>
      </c>
      <c r="CZ31" s="433">
        <v>0.25001150066075878</v>
      </c>
      <c r="DA31" s="433">
        <v>0.74022414209530862</v>
      </c>
      <c r="DB31" s="433">
        <v>0.29692854969420923</v>
      </c>
      <c r="DC31" s="433">
        <v>0.25001150066075878</v>
      </c>
      <c r="DD31" s="433">
        <v>0.36667699887917815</v>
      </c>
      <c r="DE31" s="433">
        <v>0.38971872147364955</v>
      </c>
      <c r="DF31" s="433">
        <v>0</v>
      </c>
      <c r="DG31" s="433">
        <v>0</v>
      </c>
      <c r="DH31" s="433">
        <v>0</v>
      </c>
      <c r="DI31" s="433">
        <v>0</v>
      </c>
      <c r="DJ31" s="433">
        <v>0.34415915689920179</v>
      </c>
      <c r="DK31" s="433">
        <v>0.31548658405009733</v>
      </c>
      <c r="DL31" s="433">
        <v>0.2786050317755443</v>
      </c>
      <c r="DM31" s="433">
        <v>0.3989977386515936</v>
      </c>
      <c r="DN31" s="433">
        <v>0</v>
      </c>
      <c r="DO31" s="433">
        <v>0</v>
      </c>
      <c r="DP31" s="433">
        <v>0</v>
      </c>
      <c r="DR31" s="409" t="s">
        <v>855</v>
      </c>
      <c r="DS31" s="409" t="s">
        <v>1999</v>
      </c>
    </row>
    <row r="32" spans="2:123" s="1471" customFormat="1">
      <c r="B32" s="428">
        <v>41711.450378819442</v>
      </c>
      <c r="C32" s="429">
        <v>1.4020547836023391</v>
      </c>
      <c r="D32" s="429">
        <v>1.3909374211598799</v>
      </c>
      <c r="E32" s="429">
        <v>1.4843629270299499</v>
      </c>
      <c r="F32" s="429"/>
      <c r="G32" s="429">
        <v>1.4167181952941981</v>
      </c>
      <c r="H32" s="429"/>
      <c r="I32" s="429">
        <v>1.3749410167376392</v>
      </c>
      <c r="J32" s="429">
        <v>1.5732302645884362</v>
      </c>
      <c r="K32" s="429">
        <v>1.3756158389508544</v>
      </c>
      <c r="L32" s="429">
        <v>1.4820542657335805</v>
      </c>
      <c r="M32" s="429">
        <v>1.4291083026663716</v>
      </c>
      <c r="N32" s="429">
        <v>1.5178191710240203</v>
      </c>
      <c r="O32" s="429">
        <v>1.3367058814498241</v>
      </c>
      <c r="P32" s="429">
        <v>1.2566874554398433</v>
      </c>
      <c r="Q32" s="429"/>
      <c r="R32" s="429">
        <v>-144.38980632035634</v>
      </c>
      <c r="S32" s="429"/>
      <c r="T32" s="429">
        <v>3745.469066583606</v>
      </c>
      <c r="U32" s="429">
        <v>3908.6411460798095</v>
      </c>
      <c r="V32" s="429">
        <v>3784.8209459438622</v>
      </c>
      <c r="W32" s="429"/>
      <c r="X32" s="429">
        <v>247.64279408738344</v>
      </c>
      <c r="Y32" s="429">
        <v>238.13380516755765</v>
      </c>
      <c r="Z32" s="429">
        <v>202.54046152534971</v>
      </c>
      <c r="AA32" s="429">
        <v>212.70595558740609</v>
      </c>
      <c r="AB32" s="429">
        <v>203.35354211258971</v>
      </c>
      <c r="AC32" s="429">
        <v>389.28136022202273</v>
      </c>
      <c r="AD32" s="429">
        <v>3.2160240750846016</v>
      </c>
      <c r="AE32" s="429">
        <v>0</v>
      </c>
      <c r="AF32" s="429">
        <v>0</v>
      </c>
      <c r="AG32" s="429">
        <v>0</v>
      </c>
      <c r="AH32" s="429">
        <v>3.099112690586459</v>
      </c>
      <c r="AI32" s="429">
        <v>6.2859717710951166</v>
      </c>
      <c r="AJ32" s="429">
        <v>6.3855308270732358</v>
      </c>
      <c r="AK32" s="429">
        <v>6.9304236800669852</v>
      </c>
      <c r="AL32" s="429">
        <v>0</v>
      </c>
      <c r="AM32" s="429">
        <v>0</v>
      </c>
      <c r="AN32" s="429">
        <v>0</v>
      </c>
      <c r="AO32" s="432"/>
      <c r="AP32" s="428">
        <v>41711.450378819442</v>
      </c>
      <c r="AQ32" s="431">
        <v>103.80704690758347</v>
      </c>
      <c r="AR32" s="431">
        <v>129.06987395699642</v>
      </c>
      <c r="AS32" s="431">
        <v>265.37071909136131</v>
      </c>
      <c r="AT32" s="431"/>
      <c r="AU32" s="431">
        <v>21.606374397731859</v>
      </c>
      <c r="AV32" s="431"/>
      <c r="AW32" s="431">
        <v>101.36615340318278</v>
      </c>
      <c r="AX32" s="431">
        <v>-20.817745006463614</v>
      </c>
      <c r="AY32" s="431">
        <v>125.62168597856154</v>
      </c>
      <c r="AZ32" s="431">
        <v>-50.984696947061749</v>
      </c>
      <c r="BA32" s="431">
        <v>-5.7466337352577357</v>
      </c>
      <c r="BB32" s="431">
        <v>119.59652946396282</v>
      </c>
      <c r="BC32" s="431">
        <v>92.066898271841353</v>
      </c>
      <c r="BD32" s="431">
        <v>158.82490637735594</v>
      </c>
      <c r="BE32" s="431"/>
      <c r="BF32" s="431">
        <v>-134092.07850442341</v>
      </c>
      <c r="BG32" s="431"/>
      <c r="BH32" s="431">
        <v>493689.72219768178</v>
      </c>
      <c r="BI32" s="431">
        <v>463282.84735917905</v>
      </c>
      <c r="BJ32" s="431">
        <v>452147.70657313417</v>
      </c>
      <c r="BK32" s="431">
        <v>540379.21644985932</v>
      </c>
      <c r="BL32" s="431">
        <v>527391.0415426268</v>
      </c>
      <c r="BM32" s="431">
        <v>513490.97545714967</v>
      </c>
      <c r="BN32" s="431">
        <v>540379.21644985932</v>
      </c>
      <c r="BO32" s="431">
        <v>527391.0415426268</v>
      </c>
      <c r="BP32" s="431">
        <v>347367.22696776612</v>
      </c>
      <c r="BQ32" s="431">
        <v>896.62558684732312</v>
      </c>
      <c r="BR32" s="431">
        <v>0</v>
      </c>
      <c r="BS32" s="431">
        <v>0</v>
      </c>
      <c r="BT32" s="431">
        <v>0</v>
      </c>
      <c r="BU32" s="431">
        <v>0</v>
      </c>
      <c r="BV32" s="431">
        <v>823.45334739082728</v>
      </c>
      <c r="BW32" s="431">
        <v>1389.5648065447981</v>
      </c>
      <c r="BX32" s="431">
        <v>1272.1595221911132</v>
      </c>
      <c r="BY32" s="431">
        <v>1068.8960050344599</v>
      </c>
      <c r="BZ32" s="431">
        <v>0</v>
      </c>
      <c r="CA32" s="431">
        <v>0</v>
      </c>
      <c r="CB32" s="431">
        <v>0</v>
      </c>
      <c r="CC32" s="432"/>
      <c r="CD32" s="428">
        <v>41711.450378819442</v>
      </c>
      <c r="CE32" s="433">
        <v>0.28748714971565115</v>
      </c>
      <c r="CF32" s="433">
        <v>0.21550400071888687</v>
      </c>
      <c r="CG32" s="433">
        <v>0.16937758837595043</v>
      </c>
      <c r="CH32" s="433"/>
      <c r="CI32" s="433">
        <v>0.15226526828821862</v>
      </c>
      <c r="CJ32" s="433"/>
      <c r="CK32" s="433">
        <v>0.24206191622568624</v>
      </c>
      <c r="CL32" s="433">
        <v>0.25842079307449622</v>
      </c>
      <c r="CM32" s="433">
        <v>0.19899802432728639</v>
      </c>
      <c r="CN32" s="433">
        <v>0.18703686722165089</v>
      </c>
      <c r="CO32" s="433">
        <v>0.12146118479802823</v>
      </c>
      <c r="CP32" s="433">
        <v>0.60559402133974971</v>
      </c>
      <c r="CQ32" s="433">
        <v>0.67663897658204775</v>
      </c>
      <c r="CR32" s="433">
        <v>0.47764154429191014</v>
      </c>
      <c r="CS32" s="433"/>
      <c r="CT32" s="433">
        <v>0.44773699730205757</v>
      </c>
      <c r="CU32" s="433"/>
      <c r="CV32" s="433">
        <v>0.47651872850367988</v>
      </c>
      <c r="CW32" s="433">
        <v>0.47402386605078101</v>
      </c>
      <c r="CX32" s="433">
        <v>0.39912436248524713</v>
      </c>
      <c r="CY32" s="433">
        <v>0.29692854969420923</v>
      </c>
      <c r="CZ32" s="433">
        <v>0.25001150066075878</v>
      </c>
      <c r="DA32" s="433">
        <v>0.74022414209530862</v>
      </c>
      <c r="DB32" s="433">
        <v>0.29692854969420923</v>
      </c>
      <c r="DC32" s="433">
        <v>0.25001150066075878</v>
      </c>
      <c r="DD32" s="433">
        <v>0.36667699887917815</v>
      </c>
      <c r="DE32" s="433">
        <v>0.38971872147364955</v>
      </c>
      <c r="DF32" s="433">
        <v>0</v>
      </c>
      <c r="DG32" s="433">
        <v>0</v>
      </c>
      <c r="DH32" s="433">
        <v>0</v>
      </c>
      <c r="DI32" s="433">
        <v>0</v>
      </c>
      <c r="DJ32" s="433">
        <v>0.34415915689920179</v>
      </c>
      <c r="DK32" s="433">
        <v>0.31548658405009733</v>
      </c>
      <c r="DL32" s="433">
        <v>0.2786050317755443</v>
      </c>
      <c r="DM32" s="433">
        <v>0.3989977386515936</v>
      </c>
      <c r="DN32" s="433">
        <v>0</v>
      </c>
      <c r="DO32" s="433">
        <v>0</v>
      </c>
      <c r="DP32" s="433">
        <v>0</v>
      </c>
      <c r="DR32" s="409" t="s">
        <v>1776</v>
      </c>
      <c r="DS32" s="409" t="s">
        <v>2002</v>
      </c>
    </row>
    <row r="33" spans="2:123" s="1471" customFormat="1">
      <c r="B33" s="428">
        <v>41726.452559606485</v>
      </c>
      <c r="C33" s="429">
        <v>1.4020547836023391</v>
      </c>
      <c r="D33" s="429">
        <v>1.3909374211598799</v>
      </c>
      <c r="E33" s="429">
        <v>1.4847132578548539</v>
      </c>
      <c r="F33" s="429"/>
      <c r="G33" s="429">
        <v>1.4167181952941981</v>
      </c>
      <c r="H33" s="429"/>
      <c r="I33" s="429">
        <v>1.3749410167376392</v>
      </c>
      <c r="J33" s="429">
        <v>1.5732302645884362</v>
      </c>
      <c r="K33" s="429">
        <v>1.3756158389508544</v>
      </c>
      <c r="L33" s="429">
        <v>1.4820542657335805</v>
      </c>
      <c r="M33" s="429">
        <v>1.4292335276399342</v>
      </c>
      <c r="N33" s="429">
        <v>1.5178191710240203</v>
      </c>
      <c r="O33" s="429">
        <v>1.3367058814498241</v>
      </c>
      <c r="P33" s="429">
        <v>1.2566874554398433</v>
      </c>
      <c r="Q33" s="429"/>
      <c r="R33" s="429">
        <v>-144.38980632035634</v>
      </c>
      <c r="S33" s="429"/>
      <c r="T33" s="429">
        <v>3745.469066583606</v>
      </c>
      <c r="U33" s="429">
        <v>3908.6411460798095</v>
      </c>
      <c r="V33" s="429">
        <v>3784.8209459438622</v>
      </c>
      <c r="W33" s="429"/>
      <c r="X33" s="429">
        <v>247.64279408738344</v>
      </c>
      <c r="Y33" s="429">
        <v>238.13380516755765</v>
      </c>
      <c r="Z33" s="429">
        <v>202.54046152534971</v>
      </c>
      <c r="AA33" s="429">
        <v>212.70595558740609</v>
      </c>
      <c r="AB33" s="429">
        <v>203.35354211258971</v>
      </c>
      <c r="AC33" s="429">
        <v>389.28136022202273</v>
      </c>
      <c r="AD33" s="429">
        <v>3.2160240750846016</v>
      </c>
      <c r="AE33" s="429">
        <v>0</v>
      </c>
      <c r="AF33" s="429">
        <v>0</v>
      </c>
      <c r="AG33" s="429">
        <v>0</v>
      </c>
      <c r="AH33" s="429">
        <v>3.099112690586459</v>
      </c>
      <c r="AI33" s="429">
        <v>6.2859717710951166</v>
      </c>
      <c r="AJ33" s="429">
        <v>6.3855308270732358</v>
      </c>
      <c r="AK33" s="429">
        <v>6.9304236800669852</v>
      </c>
      <c r="AL33" s="429">
        <v>0</v>
      </c>
      <c r="AM33" s="429">
        <v>0</v>
      </c>
      <c r="AN33" s="429">
        <v>0</v>
      </c>
      <c r="AO33" s="432"/>
      <c r="AP33" s="428">
        <v>41726.452559606485</v>
      </c>
      <c r="AQ33" s="431">
        <v>103.80704690758347</v>
      </c>
      <c r="AR33" s="431">
        <v>129.06987395699642</v>
      </c>
      <c r="AS33" s="431">
        <v>265.9636441113613</v>
      </c>
      <c r="AT33" s="431"/>
      <c r="AU33" s="431">
        <v>21.606374397731859</v>
      </c>
      <c r="AV33" s="431"/>
      <c r="AW33" s="431">
        <v>101.36615340318278</v>
      </c>
      <c r="AX33" s="431">
        <v>-20.817745006463614</v>
      </c>
      <c r="AY33" s="431">
        <v>125.62168597856154</v>
      </c>
      <c r="AZ33" s="431">
        <v>-50.984696947061749</v>
      </c>
      <c r="BA33" s="431">
        <v>-5.5346940066472303</v>
      </c>
      <c r="BB33" s="431">
        <v>119.59652946396282</v>
      </c>
      <c r="BC33" s="431">
        <v>92.066898271841353</v>
      </c>
      <c r="BD33" s="431">
        <v>158.82490637735594</v>
      </c>
      <c r="BE33" s="431"/>
      <c r="BF33" s="431">
        <v>-134092.07850442341</v>
      </c>
      <c r="BG33" s="431"/>
      <c r="BH33" s="431">
        <v>493689.72219768178</v>
      </c>
      <c r="BI33" s="431">
        <v>463282.84735917905</v>
      </c>
      <c r="BJ33" s="431">
        <v>452147.70657313417</v>
      </c>
      <c r="BK33" s="431">
        <v>540379.21644985932</v>
      </c>
      <c r="BL33" s="431">
        <v>527391.0415426268</v>
      </c>
      <c r="BM33" s="431">
        <v>513490.97545714967</v>
      </c>
      <c r="BN33" s="431">
        <v>540379.21644985932</v>
      </c>
      <c r="BO33" s="431">
        <v>527391.0415426268</v>
      </c>
      <c r="BP33" s="431">
        <v>347367.22696776612</v>
      </c>
      <c r="BQ33" s="431">
        <v>896.62558684732312</v>
      </c>
      <c r="BR33" s="431">
        <v>0</v>
      </c>
      <c r="BS33" s="431">
        <v>0</v>
      </c>
      <c r="BT33" s="431">
        <v>0</v>
      </c>
      <c r="BU33" s="431">
        <v>0</v>
      </c>
      <c r="BV33" s="431">
        <v>823.45334739082728</v>
      </c>
      <c r="BW33" s="431">
        <v>1389.5648065447981</v>
      </c>
      <c r="BX33" s="431">
        <v>1272.1595221911132</v>
      </c>
      <c r="BY33" s="431">
        <v>1068.8960050344599</v>
      </c>
      <c r="BZ33" s="431">
        <v>0</v>
      </c>
      <c r="CA33" s="431">
        <v>0</v>
      </c>
      <c r="CB33" s="431">
        <v>0</v>
      </c>
      <c r="CC33" s="432"/>
      <c r="CD33" s="428">
        <v>41726.452559606485</v>
      </c>
      <c r="CE33" s="433">
        <v>0.28748714971565115</v>
      </c>
      <c r="CF33" s="433">
        <v>0.21550400071888687</v>
      </c>
      <c r="CG33" s="433">
        <v>0.16937758837595043</v>
      </c>
      <c r="CH33" s="433"/>
      <c r="CI33" s="433">
        <v>0.15226526828821862</v>
      </c>
      <c r="CJ33" s="433"/>
      <c r="CK33" s="433">
        <v>0.24206191622568624</v>
      </c>
      <c r="CL33" s="433">
        <v>0.25842079307449622</v>
      </c>
      <c r="CM33" s="433">
        <v>0.19899802432728639</v>
      </c>
      <c r="CN33" s="433">
        <v>0.18703686722165089</v>
      </c>
      <c r="CO33" s="433">
        <v>0.12146118479802823</v>
      </c>
      <c r="CP33" s="433">
        <v>0.60559402133974971</v>
      </c>
      <c r="CQ33" s="433">
        <v>0.67663897658204775</v>
      </c>
      <c r="CR33" s="433">
        <v>0.47764154429191014</v>
      </c>
      <c r="CS33" s="433"/>
      <c r="CT33" s="433">
        <v>0.44773699730205757</v>
      </c>
      <c r="CU33" s="433"/>
      <c r="CV33" s="433">
        <v>0.47651872850367988</v>
      </c>
      <c r="CW33" s="433">
        <v>0.47402386605078101</v>
      </c>
      <c r="CX33" s="433">
        <v>0.39912436248524713</v>
      </c>
      <c r="CY33" s="433">
        <v>0.29692854969420923</v>
      </c>
      <c r="CZ33" s="433">
        <v>0.25001150066075878</v>
      </c>
      <c r="DA33" s="433">
        <v>0.74022414209530862</v>
      </c>
      <c r="DB33" s="433">
        <v>0.29692854969420923</v>
      </c>
      <c r="DC33" s="433">
        <v>0.25001150066075878</v>
      </c>
      <c r="DD33" s="433">
        <v>0.36667699887917815</v>
      </c>
      <c r="DE33" s="433">
        <v>0.38971872147364955</v>
      </c>
      <c r="DF33" s="433">
        <v>0</v>
      </c>
      <c r="DG33" s="433">
        <v>0</v>
      </c>
      <c r="DH33" s="433">
        <v>0</v>
      </c>
      <c r="DI33" s="433">
        <v>0</v>
      </c>
      <c r="DJ33" s="433">
        <v>0.34415915689920179</v>
      </c>
      <c r="DK33" s="433">
        <v>0.31548658405009733</v>
      </c>
      <c r="DL33" s="433">
        <v>0.2786050317755443</v>
      </c>
      <c r="DM33" s="433">
        <v>0.3989977386515936</v>
      </c>
      <c r="DN33" s="433">
        <v>0</v>
      </c>
      <c r="DO33" s="433">
        <v>0</v>
      </c>
      <c r="DP33" s="433">
        <v>0</v>
      </c>
      <c r="DR33" s="409" t="s">
        <v>2011</v>
      </c>
      <c r="DS33" s="409" t="s">
        <v>2012</v>
      </c>
    </row>
    <row r="34" spans="2:123" s="1471" customFormat="1">
      <c r="B34" s="428">
        <v>41726.561359259256</v>
      </c>
      <c r="C34" s="429">
        <v>1.4020547836023391</v>
      </c>
      <c r="D34" s="429">
        <v>1.3909374211598799</v>
      </c>
      <c r="E34" s="429">
        <v>1.4847132578548539</v>
      </c>
      <c r="F34" s="429"/>
      <c r="G34" s="429">
        <v>1.4167181952941981</v>
      </c>
      <c r="H34" s="429"/>
      <c r="I34" s="429">
        <v>1.3749410167376392</v>
      </c>
      <c r="J34" s="429">
        <v>1.5732302645884362</v>
      </c>
      <c r="K34" s="429">
        <v>1.3756158389508544</v>
      </c>
      <c r="L34" s="429">
        <v>1.4820542657335805</v>
      </c>
      <c r="M34" s="429">
        <v>1.4292335276399342</v>
      </c>
      <c r="N34" s="429">
        <v>1.5178191710240203</v>
      </c>
      <c r="O34" s="429">
        <v>1.3367058814498241</v>
      </c>
      <c r="P34" s="429">
        <v>1.2566874554398433</v>
      </c>
      <c r="Q34" s="429"/>
      <c r="R34" s="429">
        <v>-144.38980632035634</v>
      </c>
      <c r="S34" s="429"/>
      <c r="T34" s="429">
        <v>3745.469066583606</v>
      </c>
      <c r="U34" s="429">
        <v>3908.6411460798095</v>
      </c>
      <c r="V34" s="429">
        <v>3784.8209459438622</v>
      </c>
      <c r="W34" s="429"/>
      <c r="X34" s="429">
        <v>247.64279408738344</v>
      </c>
      <c r="Y34" s="429">
        <v>238.13380516755765</v>
      </c>
      <c r="Z34" s="429">
        <v>195.24962550215855</v>
      </c>
      <c r="AA34" s="429">
        <v>212.70595558740609</v>
      </c>
      <c r="AB34" s="429">
        <v>203.35354211258971</v>
      </c>
      <c r="AC34" s="429">
        <v>389.28136022202273</v>
      </c>
      <c r="AD34" s="429">
        <v>3.2160240750846016</v>
      </c>
      <c r="AE34" s="429">
        <v>0</v>
      </c>
      <c r="AF34" s="429">
        <v>0</v>
      </c>
      <c r="AG34" s="429">
        <v>0</v>
      </c>
      <c r="AH34" s="429">
        <v>3.099112690586459</v>
      </c>
      <c r="AI34" s="429">
        <v>6.2859717710951166</v>
      </c>
      <c r="AJ34" s="429">
        <v>6.3855308270732358</v>
      </c>
      <c r="AK34" s="429">
        <v>6.9304236800669852</v>
      </c>
      <c r="AL34" s="429">
        <v>0</v>
      </c>
      <c r="AM34" s="429">
        <v>0</v>
      </c>
      <c r="AN34" s="429">
        <v>0</v>
      </c>
      <c r="AO34" s="432"/>
      <c r="AP34" s="428">
        <v>41726.561359259256</v>
      </c>
      <c r="AQ34" s="431">
        <v>103.80704690758347</v>
      </c>
      <c r="AR34" s="431">
        <v>129.06987395699642</v>
      </c>
      <c r="AS34" s="431">
        <v>265.9636441113613</v>
      </c>
      <c r="AT34" s="431"/>
      <c r="AU34" s="431">
        <v>21.606374397731859</v>
      </c>
      <c r="AV34" s="431"/>
      <c r="AW34" s="431">
        <v>101.36615340318278</v>
      </c>
      <c r="AX34" s="431">
        <v>-20.817745006463614</v>
      </c>
      <c r="AY34" s="431">
        <v>125.62168597856154</v>
      </c>
      <c r="AZ34" s="431">
        <v>-50.984696947061749</v>
      </c>
      <c r="BA34" s="431">
        <v>-5.5346940066472303</v>
      </c>
      <c r="BB34" s="431">
        <v>119.59652946396282</v>
      </c>
      <c r="BC34" s="431">
        <v>92.066898271841353</v>
      </c>
      <c r="BD34" s="431">
        <v>158.82490637735594</v>
      </c>
      <c r="BE34" s="431"/>
      <c r="BF34" s="431">
        <v>-134092.07850442341</v>
      </c>
      <c r="BG34" s="431"/>
      <c r="BH34" s="431">
        <v>493689.72219768178</v>
      </c>
      <c r="BI34" s="431">
        <v>463282.84735917905</v>
      </c>
      <c r="BJ34" s="431">
        <v>452147.70657313417</v>
      </c>
      <c r="BK34" s="431">
        <v>540379.21644985932</v>
      </c>
      <c r="BL34" s="431">
        <v>527391.0415426268</v>
      </c>
      <c r="BM34" s="431">
        <v>486465.13464361546</v>
      </c>
      <c r="BN34" s="431">
        <v>540379.21644985932</v>
      </c>
      <c r="BO34" s="431">
        <v>527391.0415426268</v>
      </c>
      <c r="BP34" s="431">
        <v>347367.22696776612</v>
      </c>
      <c r="BQ34" s="431">
        <v>896.62558684732312</v>
      </c>
      <c r="BR34" s="431">
        <v>0</v>
      </c>
      <c r="BS34" s="431">
        <v>0</v>
      </c>
      <c r="BT34" s="431">
        <v>0</v>
      </c>
      <c r="BU34" s="431">
        <v>0</v>
      </c>
      <c r="BV34" s="431">
        <v>823.45334739082728</v>
      </c>
      <c r="BW34" s="431">
        <v>1389.5648065447981</v>
      </c>
      <c r="BX34" s="431">
        <v>1272.1595221911132</v>
      </c>
      <c r="BY34" s="431">
        <v>1068.8960050344599</v>
      </c>
      <c r="BZ34" s="431">
        <v>0</v>
      </c>
      <c r="CA34" s="431">
        <v>0</v>
      </c>
      <c r="CB34" s="431">
        <v>0</v>
      </c>
      <c r="CC34" s="432"/>
      <c r="CD34" s="428">
        <v>41726.561359259256</v>
      </c>
      <c r="CE34" s="433">
        <v>0.28748714971565115</v>
      </c>
      <c r="CF34" s="433">
        <v>0.21550400071888687</v>
      </c>
      <c r="CG34" s="433">
        <v>0.16937758837595043</v>
      </c>
      <c r="CH34" s="433"/>
      <c r="CI34" s="433">
        <v>0.15226526828821862</v>
      </c>
      <c r="CJ34" s="433"/>
      <c r="CK34" s="433">
        <v>0.24206191622568624</v>
      </c>
      <c r="CL34" s="433">
        <v>0.25842079307449622</v>
      </c>
      <c r="CM34" s="433">
        <v>0.19899802432728639</v>
      </c>
      <c r="CN34" s="433">
        <v>0.18703686722165089</v>
      </c>
      <c r="CO34" s="433">
        <v>0.12146118479802823</v>
      </c>
      <c r="CP34" s="433">
        <v>0.60559402133974971</v>
      </c>
      <c r="CQ34" s="433">
        <v>0.67663897658204775</v>
      </c>
      <c r="CR34" s="433">
        <v>0.47764154429191014</v>
      </c>
      <c r="CS34" s="433"/>
      <c r="CT34" s="433">
        <v>0.44773699730205757</v>
      </c>
      <c r="CU34" s="433"/>
      <c r="CV34" s="433">
        <v>0.47651872850367988</v>
      </c>
      <c r="CW34" s="433">
        <v>0.47402386605078101</v>
      </c>
      <c r="CX34" s="433">
        <v>0.39912436248524713</v>
      </c>
      <c r="CY34" s="433">
        <v>0.29692854969420923</v>
      </c>
      <c r="CZ34" s="433">
        <v>0.25001150066075878</v>
      </c>
      <c r="DA34" s="433">
        <v>0.78134770554504784</v>
      </c>
      <c r="DB34" s="433">
        <v>0.29692854969420923</v>
      </c>
      <c r="DC34" s="433">
        <v>0.25001150066075878</v>
      </c>
      <c r="DD34" s="433">
        <v>0.36667699887917815</v>
      </c>
      <c r="DE34" s="433">
        <v>0.38971872147364955</v>
      </c>
      <c r="DF34" s="433">
        <v>0</v>
      </c>
      <c r="DG34" s="433">
        <v>0</v>
      </c>
      <c r="DH34" s="433">
        <v>0</v>
      </c>
      <c r="DI34" s="433">
        <v>0</v>
      </c>
      <c r="DJ34" s="433">
        <v>0.34415915689920179</v>
      </c>
      <c r="DK34" s="433">
        <v>0.31548658405009733</v>
      </c>
      <c r="DL34" s="433">
        <v>0.2786050317755443</v>
      </c>
      <c r="DM34" s="433">
        <v>0.3989977386515936</v>
      </c>
      <c r="DN34" s="433">
        <v>0</v>
      </c>
      <c r="DO34" s="433">
        <v>0</v>
      </c>
      <c r="DP34" s="433">
        <v>0</v>
      </c>
      <c r="DR34" s="409" t="s">
        <v>855</v>
      </c>
      <c r="DS34" s="409" t="s">
        <v>2014</v>
      </c>
    </row>
    <row r="35" spans="2:123" s="1471" customFormat="1">
      <c r="B35" s="428">
        <v>41726.615457754633</v>
      </c>
      <c r="C35" s="429">
        <v>1.4020547836023391</v>
      </c>
      <c r="D35" s="429">
        <v>1.3909374211598799</v>
      </c>
      <c r="E35" s="429">
        <v>1.4847132578548539</v>
      </c>
      <c r="F35" s="429"/>
      <c r="G35" s="429">
        <v>1.4167181952941981</v>
      </c>
      <c r="H35" s="429"/>
      <c r="I35" s="429">
        <v>1.3749410167376392</v>
      </c>
      <c r="J35" s="429">
        <v>1.5732302645884362</v>
      </c>
      <c r="K35" s="429">
        <v>1.3755872811481744</v>
      </c>
      <c r="L35" s="429">
        <v>1.4820257079309007</v>
      </c>
      <c r="M35" s="429">
        <v>1.4292335276399342</v>
      </c>
      <c r="N35" s="429">
        <v>1.5193514565605299</v>
      </c>
      <c r="O35" s="429">
        <v>1.3367058814498241</v>
      </c>
      <c r="P35" s="429">
        <v>1.2566874554398433</v>
      </c>
      <c r="Q35" s="429"/>
      <c r="R35" s="429">
        <v>-144.38980632035634</v>
      </c>
      <c r="S35" s="429"/>
      <c r="T35" s="429">
        <v>3745.469066583606</v>
      </c>
      <c r="U35" s="429">
        <v>3908.6411460798095</v>
      </c>
      <c r="V35" s="429">
        <v>3784.8209459438622</v>
      </c>
      <c r="W35" s="429"/>
      <c r="X35" s="429">
        <v>247.64279408738344</v>
      </c>
      <c r="Y35" s="429">
        <v>238.13380516755765</v>
      </c>
      <c r="Z35" s="429">
        <v>195.24962550215855</v>
      </c>
      <c r="AA35" s="429">
        <v>212.70595558740609</v>
      </c>
      <c r="AB35" s="429">
        <v>203.35354211258971</v>
      </c>
      <c r="AC35" s="429">
        <v>389.28075585876888</v>
      </c>
      <c r="AD35" s="429">
        <v>3.2160240750846016</v>
      </c>
      <c r="AE35" s="429">
        <v>0</v>
      </c>
      <c r="AF35" s="429">
        <v>0</v>
      </c>
      <c r="AG35" s="429">
        <v>0</v>
      </c>
      <c r="AH35" s="429">
        <v>3.0988936435860248</v>
      </c>
      <c r="AI35" s="429">
        <v>6.2859717710951166</v>
      </c>
      <c r="AJ35" s="429">
        <v>6.3851918538223904</v>
      </c>
      <c r="AK35" s="429">
        <v>6.9304236800669852</v>
      </c>
      <c r="AL35" s="429">
        <v>0</v>
      </c>
      <c r="AM35" s="429">
        <v>0</v>
      </c>
      <c r="AN35" s="429">
        <v>0</v>
      </c>
      <c r="AO35" s="432"/>
      <c r="AP35" s="428">
        <v>41726.615457754633</v>
      </c>
      <c r="AQ35" s="431">
        <v>103.80704690758347</v>
      </c>
      <c r="AR35" s="431">
        <v>129.06987395699642</v>
      </c>
      <c r="AS35" s="431">
        <v>265.9636441113613</v>
      </c>
      <c r="AT35" s="431"/>
      <c r="AU35" s="431">
        <v>21.606374397731859</v>
      </c>
      <c r="AV35" s="431"/>
      <c r="AW35" s="431">
        <v>101.36615340318278</v>
      </c>
      <c r="AX35" s="431">
        <v>-20.817745006463614</v>
      </c>
      <c r="AY35" s="431">
        <v>125.62168597856154</v>
      </c>
      <c r="AZ35" s="431">
        <v>-50.984696947061749</v>
      </c>
      <c r="BA35" s="431">
        <v>-5.5346940066472303</v>
      </c>
      <c r="BB35" s="431">
        <v>119.75793505989758</v>
      </c>
      <c r="BC35" s="431">
        <v>92.066898271841353</v>
      </c>
      <c r="BD35" s="431">
        <v>158.82490637735594</v>
      </c>
      <c r="BE35" s="431"/>
      <c r="BF35" s="431">
        <v>-134092.07850442341</v>
      </c>
      <c r="BG35" s="431"/>
      <c r="BH35" s="431">
        <v>493689.72219768178</v>
      </c>
      <c r="BI35" s="431">
        <v>463282.84735917905</v>
      </c>
      <c r="BJ35" s="431">
        <v>452147.70657313417</v>
      </c>
      <c r="BK35" s="431">
        <v>540379.21644985932</v>
      </c>
      <c r="BL35" s="431">
        <v>527391.0415426268</v>
      </c>
      <c r="BM35" s="431">
        <v>486465.13464361546</v>
      </c>
      <c r="BN35" s="431">
        <v>540379.21644985932</v>
      </c>
      <c r="BO35" s="431">
        <v>527391.0415426268</v>
      </c>
      <c r="BP35" s="431">
        <v>347367.22696776612</v>
      </c>
      <c r="BQ35" s="431">
        <v>896.62558684732312</v>
      </c>
      <c r="BR35" s="431">
        <v>0</v>
      </c>
      <c r="BS35" s="431">
        <v>0</v>
      </c>
      <c r="BT35" s="431">
        <v>0</v>
      </c>
      <c r="BU35" s="431">
        <v>0</v>
      </c>
      <c r="BV35" s="431">
        <v>823.45334739082728</v>
      </c>
      <c r="BW35" s="431">
        <v>1389.5648065447981</v>
      </c>
      <c r="BX35" s="431">
        <v>1272.1595221911132</v>
      </c>
      <c r="BY35" s="431">
        <v>1068.8960050344599</v>
      </c>
      <c r="BZ35" s="431">
        <v>0</v>
      </c>
      <c r="CA35" s="431">
        <v>0</v>
      </c>
      <c r="CB35" s="431">
        <v>0</v>
      </c>
      <c r="CC35" s="432"/>
      <c r="CD35" s="428">
        <v>41726.615457754633</v>
      </c>
      <c r="CE35" s="433">
        <v>0.28748714971565115</v>
      </c>
      <c r="CF35" s="433">
        <v>0.21550400071888687</v>
      </c>
      <c r="CG35" s="433">
        <v>0.16937758837595043</v>
      </c>
      <c r="CH35" s="433"/>
      <c r="CI35" s="433">
        <v>0.15226526828821862</v>
      </c>
      <c r="CJ35" s="433"/>
      <c r="CK35" s="433">
        <v>0.24206191622568624</v>
      </c>
      <c r="CL35" s="433">
        <v>0.25842079307449622</v>
      </c>
      <c r="CM35" s="433">
        <v>0.19899802432728639</v>
      </c>
      <c r="CN35" s="433">
        <v>0.18703686722165089</v>
      </c>
      <c r="CO35" s="433">
        <v>0.12146118479802823</v>
      </c>
      <c r="CP35" s="433">
        <v>0.60559402133974971</v>
      </c>
      <c r="CQ35" s="433">
        <v>0.67663897658204775</v>
      </c>
      <c r="CR35" s="433">
        <v>0.47764154429191014</v>
      </c>
      <c r="CS35" s="433"/>
      <c r="CT35" s="433">
        <v>0.44773699730205757</v>
      </c>
      <c r="CU35" s="433"/>
      <c r="CV35" s="433">
        <v>0.47651872850367988</v>
      </c>
      <c r="CW35" s="433">
        <v>0.47402386605078101</v>
      </c>
      <c r="CX35" s="433">
        <v>0.39912436248524713</v>
      </c>
      <c r="CY35" s="433">
        <v>0.29692854969420923</v>
      </c>
      <c r="CZ35" s="433">
        <v>0.25001150066075878</v>
      </c>
      <c r="DA35" s="433">
        <v>0.78134770554504784</v>
      </c>
      <c r="DB35" s="433">
        <v>0.29692854969420923</v>
      </c>
      <c r="DC35" s="433">
        <v>0.25001150066075878</v>
      </c>
      <c r="DD35" s="433">
        <v>0.36667699887917815</v>
      </c>
      <c r="DE35" s="433">
        <v>0.38971872147364955</v>
      </c>
      <c r="DF35" s="433">
        <v>0</v>
      </c>
      <c r="DG35" s="433">
        <v>0</v>
      </c>
      <c r="DH35" s="433">
        <v>0</v>
      </c>
      <c r="DI35" s="433">
        <v>0</v>
      </c>
      <c r="DJ35" s="433">
        <v>0.34415915689920179</v>
      </c>
      <c r="DK35" s="433">
        <v>0.31548658405009733</v>
      </c>
      <c r="DL35" s="433">
        <v>0.2786050317755443</v>
      </c>
      <c r="DM35" s="433">
        <v>0.3989977386515936</v>
      </c>
      <c r="DN35" s="433">
        <v>0</v>
      </c>
      <c r="DO35" s="433">
        <v>0</v>
      </c>
      <c r="DP35" s="433">
        <v>0</v>
      </c>
      <c r="DR35" s="409" t="s">
        <v>855</v>
      </c>
      <c r="DS35" s="409" t="s">
        <v>2015</v>
      </c>
    </row>
    <row r="36" spans="2:123" s="1471" customFormat="1">
      <c r="B36" s="428">
        <v>41726.618156597222</v>
      </c>
      <c r="C36" s="429">
        <v>1.4020547836023391</v>
      </c>
      <c r="D36" s="429">
        <v>1.3909374211598799</v>
      </c>
      <c r="E36" s="429">
        <v>1.4847132578548539</v>
      </c>
      <c r="F36" s="429"/>
      <c r="G36" s="429">
        <v>1.4167181952941981</v>
      </c>
      <c r="H36" s="429"/>
      <c r="I36" s="429">
        <v>1.3749410167376392</v>
      </c>
      <c r="J36" s="429">
        <v>1.5732302645884362</v>
      </c>
      <c r="K36" s="429">
        <v>1.3756884337943613</v>
      </c>
      <c r="L36" s="429">
        <v>1.4819648694321137</v>
      </c>
      <c r="M36" s="429">
        <v>1.4292335276399342</v>
      </c>
      <c r="N36" s="429">
        <v>1.5167606617642999</v>
      </c>
      <c r="O36" s="429">
        <v>1.3367058814498241</v>
      </c>
      <c r="P36" s="429">
        <v>1.2566874554398433</v>
      </c>
      <c r="Q36" s="429"/>
      <c r="R36" s="429">
        <v>-144.38980632035634</v>
      </c>
      <c r="S36" s="429"/>
      <c r="T36" s="429">
        <v>3745.469066583606</v>
      </c>
      <c r="U36" s="429">
        <v>3908.6411460798095</v>
      </c>
      <c r="V36" s="429">
        <v>3784.8209459438622</v>
      </c>
      <c r="W36" s="429"/>
      <c r="X36" s="429">
        <v>247.64279408738344</v>
      </c>
      <c r="Y36" s="429">
        <v>238.13380516755765</v>
      </c>
      <c r="Z36" s="429">
        <v>195.24962550215855</v>
      </c>
      <c r="AA36" s="429">
        <v>212.70595558740609</v>
      </c>
      <c r="AB36" s="429">
        <v>203.35354211258971</v>
      </c>
      <c r="AC36" s="429">
        <v>389.56623320540251</v>
      </c>
      <c r="AD36" s="429">
        <v>3.2160240750846016</v>
      </c>
      <c r="AE36" s="429">
        <v>0</v>
      </c>
      <c r="AF36" s="429">
        <v>0</v>
      </c>
      <c r="AG36" s="429">
        <v>0</v>
      </c>
      <c r="AH36" s="429">
        <v>3.0995482764946547</v>
      </c>
      <c r="AI36" s="429">
        <v>6.2859717710951166</v>
      </c>
      <c r="AJ36" s="429">
        <v>6.3862048923242156</v>
      </c>
      <c r="AK36" s="429">
        <v>6.9304236800669852</v>
      </c>
      <c r="AL36" s="429">
        <v>0</v>
      </c>
      <c r="AM36" s="429">
        <v>0</v>
      </c>
      <c r="AN36" s="429">
        <v>0</v>
      </c>
      <c r="AO36" s="432"/>
      <c r="AP36" s="428">
        <v>41726.618156597222</v>
      </c>
      <c r="AQ36" s="431">
        <v>103.80704690758347</v>
      </c>
      <c r="AR36" s="431">
        <v>129.06987395699642</v>
      </c>
      <c r="AS36" s="431">
        <v>265.9636441113613</v>
      </c>
      <c r="AT36" s="431"/>
      <c r="AU36" s="431">
        <v>21.606374397731859</v>
      </c>
      <c r="AV36" s="431"/>
      <c r="AW36" s="431">
        <v>101.36615340318278</v>
      </c>
      <c r="AX36" s="431">
        <v>-20.817745006463614</v>
      </c>
      <c r="AY36" s="431">
        <v>126.07407558483951</v>
      </c>
      <c r="AZ36" s="431">
        <v>-52.160093055491195</v>
      </c>
      <c r="BA36" s="431">
        <v>-5.5346940066472303</v>
      </c>
      <c r="BB36" s="431">
        <v>109.44311115575302</v>
      </c>
      <c r="BC36" s="431">
        <v>92.066898271841353</v>
      </c>
      <c r="BD36" s="431">
        <v>158.82490637735594</v>
      </c>
      <c r="BE36" s="431"/>
      <c r="BF36" s="431">
        <v>-134092.07850442341</v>
      </c>
      <c r="BG36" s="431"/>
      <c r="BH36" s="431">
        <v>493689.72219768178</v>
      </c>
      <c r="BI36" s="431">
        <v>463282.84735917905</v>
      </c>
      <c r="BJ36" s="431">
        <v>452147.70657313417</v>
      </c>
      <c r="BK36" s="431">
        <v>540379.21644985932</v>
      </c>
      <c r="BL36" s="431">
        <v>527391.0415426268</v>
      </c>
      <c r="BM36" s="431">
        <v>486465.13464361546</v>
      </c>
      <c r="BN36" s="431">
        <v>540379.21644985932</v>
      </c>
      <c r="BO36" s="431">
        <v>527391.0415426268</v>
      </c>
      <c r="BP36" s="431">
        <v>348643.98036288726</v>
      </c>
      <c r="BQ36" s="431">
        <v>896.62558684732312</v>
      </c>
      <c r="BR36" s="431">
        <v>0</v>
      </c>
      <c r="BS36" s="431">
        <v>0</v>
      </c>
      <c r="BT36" s="431">
        <v>0</v>
      </c>
      <c r="BU36" s="431">
        <v>0</v>
      </c>
      <c r="BV36" s="431">
        <v>826.38109209108825</v>
      </c>
      <c r="BW36" s="431">
        <v>1389.5648065447981</v>
      </c>
      <c r="BX36" s="431">
        <v>1276.6901806193403</v>
      </c>
      <c r="BY36" s="431">
        <v>1068.8960050344599</v>
      </c>
      <c r="BZ36" s="431">
        <v>0</v>
      </c>
      <c r="CA36" s="431">
        <v>0</v>
      </c>
      <c r="CB36" s="431">
        <v>0</v>
      </c>
      <c r="CC36" s="432"/>
      <c r="CD36" s="428">
        <v>41726.618156597222</v>
      </c>
      <c r="CE36" s="433">
        <v>0.28748714971565115</v>
      </c>
      <c r="CF36" s="433">
        <v>0.21550400071888687</v>
      </c>
      <c r="CG36" s="433">
        <v>0.16937758837595043</v>
      </c>
      <c r="CH36" s="433"/>
      <c r="CI36" s="433">
        <v>0.15226526828821862</v>
      </c>
      <c r="CJ36" s="433"/>
      <c r="CK36" s="433">
        <v>0.24206191622568624</v>
      </c>
      <c r="CL36" s="433">
        <v>0.25842079307449622</v>
      </c>
      <c r="CM36" s="433">
        <v>0.19899802432728639</v>
      </c>
      <c r="CN36" s="433">
        <v>0.18703686722165089</v>
      </c>
      <c r="CO36" s="433">
        <v>0.12146118479802823</v>
      </c>
      <c r="CP36" s="433">
        <v>0.60559402133974971</v>
      </c>
      <c r="CQ36" s="433">
        <v>0.67663897658204775</v>
      </c>
      <c r="CR36" s="433">
        <v>0.47764154429191014</v>
      </c>
      <c r="CS36" s="433"/>
      <c r="CT36" s="433">
        <v>0.44773699730205757</v>
      </c>
      <c r="CU36" s="433"/>
      <c r="CV36" s="433">
        <v>0.47651872850367988</v>
      </c>
      <c r="CW36" s="433">
        <v>0.47402386605078101</v>
      </c>
      <c r="CX36" s="433">
        <v>0.39912436248524713</v>
      </c>
      <c r="CY36" s="433">
        <v>0.29692854969420923</v>
      </c>
      <c r="CZ36" s="433">
        <v>0.25001150066075878</v>
      </c>
      <c r="DA36" s="433">
        <v>0.78134770554504784</v>
      </c>
      <c r="DB36" s="433">
        <v>0.29692854969420923</v>
      </c>
      <c r="DC36" s="433">
        <v>0.25001150066075878</v>
      </c>
      <c r="DD36" s="433">
        <v>0.36667699887917815</v>
      </c>
      <c r="DE36" s="433">
        <v>0.38971872147364955</v>
      </c>
      <c r="DF36" s="433">
        <v>0</v>
      </c>
      <c r="DG36" s="433">
        <v>0</v>
      </c>
      <c r="DH36" s="433">
        <v>0</v>
      </c>
      <c r="DI36" s="433">
        <v>0</v>
      </c>
      <c r="DJ36" s="433">
        <v>0.34415915689920179</v>
      </c>
      <c r="DK36" s="433">
        <v>0.31548658405009733</v>
      </c>
      <c r="DL36" s="433">
        <v>0.2786050317755443</v>
      </c>
      <c r="DM36" s="433">
        <v>0.3989977386515936</v>
      </c>
      <c r="DN36" s="433">
        <v>0</v>
      </c>
      <c r="DO36" s="433">
        <v>0</v>
      </c>
      <c r="DP36" s="433">
        <v>0</v>
      </c>
      <c r="DR36" s="409" t="s">
        <v>855</v>
      </c>
      <c r="DS36" s="409" t="s">
        <v>2016</v>
      </c>
    </row>
    <row r="37" spans="2:123" s="1471" customFormat="1">
      <c r="B37" s="428">
        <v>41730.537316550923</v>
      </c>
      <c r="C37" s="429">
        <v>1.4020547836023391</v>
      </c>
      <c r="D37" s="429">
        <v>1.3909374211598799</v>
      </c>
      <c r="E37" s="429">
        <v>1.4489853669546171</v>
      </c>
      <c r="F37" s="429"/>
      <c r="G37" s="429">
        <v>1.414508292891145</v>
      </c>
      <c r="H37" s="429"/>
      <c r="I37" s="429">
        <v>1.3730704457028664</v>
      </c>
      <c r="J37" s="429">
        <v>1.4440332490694223</v>
      </c>
      <c r="K37" s="429">
        <v>1.3756158389508544</v>
      </c>
      <c r="L37" s="429">
        <v>1.5100578485417557</v>
      </c>
      <c r="M37" s="429">
        <v>1.410468374193671</v>
      </c>
      <c r="N37" s="429">
        <v>1.5178191710240203</v>
      </c>
      <c r="O37" s="429">
        <v>1.3367058814498241</v>
      </c>
      <c r="P37" s="429">
        <v>1.2566874554398433</v>
      </c>
      <c r="Q37" s="429"/>
      <c r="R37" s="429">
        <v>-144.38980632035634</v>
      </c>
      <c r="S37" s="429"/>
      <c r="T37" s="429">
        <v>3745.469066583606</v>
      </c>
      <c r="U37" s="429">
        <v>3908.6411460798095</v>
      </c>
      <c r="V37" s="429">
        <v>3776.2784871941944</v>
      </c>
      <c r="W37" s="429"/>
      <c r="X37" s="429">
        <v>247.64279408738344</v>
      </c>
      <c r="Y37" s="429">
        <v>237.62180979013107</v>
      </c>
      <c r="Z37" s="429">
        <v>195.24962550215855</v>
      </c>
      <c r="AA37" s="429">
        <v>212.70595558740609</v>
      </c>
      <c r="AB37" s="429">
        <v>202.85251616642506</v>
      </c>
      <c r="AC37" s="429">
        <v>389.28136022202273</v>
      </c>
      <c r="AD37" s="429">
        <v>3.2160240750846016</v>
      </c>
      <c r="AE37" s="429">
        <v>0</v>
      </c>
      <c r="AF37" s="429">
        <v>0</v>
      </c>
      <c r="AG37" s="429">
        <v>0</v>
      </c>
      <c r="AH37" s="429">
        <v>3.099112690586459</v>
      </c>
      <c r="AI37" s="429">
        <v>6.2859717710951166</v>
      </c>
      <c r="AJ37" s="429">
        <v>6.3855308270732358</v>
      </c>
      <c r="AK37" s="429">
        <v>6.9304236800669852</v>
      </c>
      <c r="AL37" s="429">
        <v>0</v>
      </c>
      <c r="AM37" s="429">
        <v>0</v>
      </c>
      <c r="AN37" s="429">
        <v>0</v>
      </c>
      <c r="AO37" s="432"/>
      <c r="AP37" s="428">
        <v>41730.537316550923</v>
      </c>
      <c r="AQ37" s="431">
        <v>103.80704690758347</v>
      </c>
      <c r="AR37" s="431">
        <v>129.06987395699642</v>
      </c>
      <c r="AS37" s="431">
        <v>228.76050417556573</v>
      </c>
      <c r="AT37" s="431"/>
      <c r="AU37" s="431">
        <v>21.269111826168356</v>
      </c>
      <c r="AV37" s="431"/>
      <c r="AW37" s="431">
        <v>101.12110951155852</v>
      </c>
      <c r="AX37" s="431">
        <v>-5.5146125791757594</v>
      </c>
      <c r="AY37" s="431">
        <v>125.62168597856154</v>
      </c>
      <c r="AZ37" s="431">
        <v>-85.669856071812603</v>
      </c>
      <c r="BA37" s="431">
        <v>-2.4422507619762381</v>
      </c>
      <c r="BB37" s="431">
        <v>119.59652946396282</v>
      </c>
      <c r="BC37" s="431">
        <v>92.066898271841353</v>
      </c>
      <c r="BD37" s="431">
        <v>158.82490637735594</v>
      </c>
      <c r="BE37" s="431"/>
      <c r="BF37" s="431">
        <v>-134092.07850442341</v>
      </c>
      <c r="BG37" s="431"/>
      <c r="BH37" s="431">
        <v>493689.72219768178</v>
      </c>
      <c r="BI37" s="431">
        <v>463282.84735917905</v>
      </c>
      <c r="BJ37" s="431">
        <v>451029.83796187479</v>
      </c>
      <c r="BK37" s="431">
        <v>540379.21644985932</v>
      </c>
      <c r="BL37" s="431">
        <v>526087.14486764814</v>
      </c>
      <c r="BM37" s="431">
        <v>486465.13464361546</v>
      </c>
      <c r="BN37" s="431">
        <v>540379.21644985932</v>
      </c>
      <c r="BO37" s="431">
        <v>526087.14486764814</v>
      </c>
      <c r="BP37" s="431">
        <v>347367.22696776612</v>
      </c>
      <c r="BQ37" s="431">
        <v>896.62558684732312</v>
      </c>
      <c r="BR37" s="431">
        <v>0</v>
      </c>
      <c r="BS37" s="431">
        <v>0</v>
      </c>
      <c r="BT37" s="431">
        <v>0</v>
      </c>
      <c r="BU37" s="431">
        <v>0</v>
      </c>
      <c r="BV37" s="431">
        <v>823.45334739082728</v>
      </c>
      <c r="BW37" s="431">
        <v>1389.5648065447981</v>
      </c>
      <c r="BX37" s="431">
        <v>1272.1595221911132</v>
      </c>
      <c r="BY37" s="431">
        <v>1068.8960050344599</v>
      </c>
      <c r="BZ37" s="431">
        <v>0</v>
      </c>
      <c r="CA37" s="431">
        <v>0</v>
      </c>
      <c r="CB37" s="431">
        <v>0</v>
      </c>
      <c r="CC37" s="432"/>
      <c r="CD37" s="428">
        <v>41730.537316550923</v>
      </c>
      <c r="CE37" s="433">
        <v>0.28748714971565126</v>
      </c>
      <c r="CF37" s="433">
        <v>0.21550400071888681</v>
      </c>
      <c r="CG37" s="433">
        <v>0.16937758837595041</v>
      </c>
      <c r="CH37" s="433"/>
      <c r="CI37" s="433">
        <v>0.1522652682882186</v>
      </c>
      <c r="CJ37" s="433"/>
      <c r="CK37" s="433">
        <v>0.24206191622568624</v>
      </c>
      <c r="CL37" s="433">
        <v>0.25842079307449622</v>
      </c>
      <c r="CM37" s="433">
        <v>0.19899802432728636</v>
      </c>
      <c r="CN37" s="433">
        <v>0.18703686722165089</v>
      </c>
      <c r="CO37" s="433">
        <v>0.12146118479802823</v>
      </c>
      <c r="CP37" s="433">
        <v>0.60559402133974971</v>
      </c>
      <c r="CQ37" s="433">
        <v>0.67663897658204775</v>
      </c>
      <c r="CR37" s="433">
        <v>0.47764154429191003</v>
      </c>
      <c r="CS37" s="433"/>
      <c r="CT37" s="433">
        <v>0.44773699730205768</v>
      </c>
      <c r="CU37" s="433"/>
      <c r="CV37" s="433">
        <v>0.47651872850367988</v>
      </c>
      <c r="CW37" s="433">
        <v>0.47402386605078112</v>
      </c>
      <c r="CX37" s="433">
        <v>0.39912436248524713</v>
      </c>
      <c r="CY37" s="433">
        <v>0.29692854969420929</v>
      </c>
      <c r="CZ37" s="433">
        <v>0.25001150066075878</v>
      </c>
      <c r="DA37" s="433">
        <v>0.78134770554504784</v>
      </c>
      <c r="DB37" s="433">
        <v>0.29692854969420929</v>
      </c>
      <c r="DC37" s="433">
        <v>0.25001150066075878</v>
      </c>
      <c r="DD37" s="433">
        <v>0.3666769988791781</v>
      </c>
      <c r="DE37" s="433">
        <v>0.38971872147364967</v>
      </c>
      <c r="DF37" s="433">
        <v>0</v>
      </c>
      <c r="DG37" s="433">
        <v>0</v>
      </c>
      <c r="DH37" s="433">
        <v>0</v>
      </c>
      <c r="DI37" s="433">
        <v>0</v>
      </c>
      <c r="DJ37" s="433">
        <v>0.34415915689920173</v>
      </c>
      <c r="DK37" s="433">
        <v>0.31548658405009739</v>
      </c>
      <c r="DL37" s="433">
        <v>0.2786050317755443</v>
      </c>
      <c r="DM37" s="433">
        <v>0.39899773865159371</v>
      </c>
      <c r="DN37" s="433">
        <v>0</v>
      </c>
      <c r="DO37" s="433">
        <v>0</v>
      </c>
      <c r="DP37" s="433">
        <v>0</v>
      </c>
      <c r="DR37" s="409" t="s">
        <v>855</v>
      </c>
      <c r="DS37" s="409" t="s">
        <v>2025</v>
      </c>
    </row>
    <row r="38" spans="2:123" s="1471" customFormat="1">
      <c r="B38" s="428">
        <v>41730.54801111111</v>
      </c>
      <c r="C38" s="429">
        <v>1.4020547836023391</v>
      </c>
      <c r="D38" s="429">
        <v>1.3909374211598799</v>
      </c>
      <c r="E38" s="429">
        <v>1.4489853669546171</v>
      </c>
      <c r="F38" s="429"/>
      <c r="G38" s="429">
        <v>1.414508292891145</v>
      </c>
      <c r="H38" s="429"/>
      <c r="I38" s="429">
        <v>1.3730704457028664</v>
      </c>
      <c r="J38" s="429">
        <v>1.4440332490694223</v>
      </c>
      <c r="K38" s="429">
        <v>1.3756158389508544</v>
      </c>
      <c r="L38" s="429">
        <v>1.4820542657335805</v>
      </c>
      <c r="M38" s="429">
        <v>1.410468374193671</v>
      </c>
      <c r="N38" s="429">
        <v>1.5178191710240203</v>
      </c>
      <c r="O38" s="429">
        <v>1.3367058814498241</v>
      </c>
      <c r="P38" s="429">
        <v>1.2566874554398433</v>
      </c>
      <c r="Q38" s="429"/>
      <c r="R38" s="429">
        <v>-144.38980632035634</v>
      </c>
      <c r="S38" s="429"/>
      <c r="T38" s="429">
        <v>3745.469066583606</v>
      </c>
      <c r="U38" s="429">
        <v>3908.6411460798095</v>
      </c>
      <c r="V38" s="429">
        <v>3776.2784871941944</v>
      </c>
      <c r="W38" s="429"/>
      <c r="X38" s="429">
        <v>247.64279408738344</v>
      </c>
      <c r="Y38" s="429">
        <v>237.62180979013107</v>
      </c>
      <c r="Z38" s="429">
        <v>195.24962550215855</v>
      </c>
      <c r="AA38" s="429">
        <v>212.70595558740609</v>
      </c>
      <c r="AB38" s="429">
        <v>202.85251616642506</v>
      </c>
      <c r="AC38" s="429">
        <v>389.28136022202273</v>
      </c>
      <c r="AD38" s="429">
        <v>3.2160240750846016</v>
      </c>
      <c r="AE38" s="429">
        <v>0</v>
      </c>
      <c r="AF38" s="429">
        <v>0</v>
      </c>
      <c r="AG38" s="429">
        <v>0</v>
      </c>
      <c r="AH38" s="429">
        <v>3.099112690586459</v>
      </c>
      <c r="AI38" s="429">
        <v>6.2859717710951166</v>
      </c>
      <c r="AJ38" s="429">
        <v>6.3855308270732358</v>
      </c>
      <c r="AK38" s="429">
        <v>6.9304236800669852</v>
      </c>
      <c r="AL38" s="429">
        <v>0</v>
      </c>
      <c r="AM38" s="429">
        <v>0</v>
      </c>
      <c r="AN38" s="429">
        <v>0</v>
      </c>
      <c r="AO38" s="432"/>
      <c r="AP38" s="428">
        <v>41730.54801111111</v>
      </c>
      <c r="AQ38" s="431">
        <v>103.80704690758347</v>
      </c>
      <c r="AR38" s="431">
        <v>129.06987395699642</v>
      </c>
      <c r="AS38" s="431">
        <v>228.76050417556573</v>
      </c>
      <c r="AT38" s="431"/>
      <c r="AU38" s="431">
        <v>21.269111826168356</v>
      </c>
      <c r="AV38" s="431"/>
      <c r="AW38" s="431">
        <v>101.12110951155852</v>
      </c>
      <c r="AX38" s="431">
        <v>-5.5146125791757594</v>
      </c>
      <c r="AY38" s="431">
        <v>125.62168597856154</v>
      </c>
      <c r="AZ38" s="431">
        <v>-50.984696947061749</v>
      </c>
      <c r="BA38" s="431">
        <v>-2.4422507619762381</v>
      </c>
      <c r="BB38" s="431">
        <v>119.59652946396282</v>
      </c>
      <c r="BC38" s="431">
        <v>92.066898271841353</v>
      </c>
      <c r="BD38" s="431">
        <v>158.82490637735594</v>
      </c>
      <c r="BE38" s="431"/>
      <c r="BF38" s="431">
        <v>-134092.07850442341</v>
      </c>
      <c r="BG38" s="431"/>
      <c r="BH38" s="431">
        <v>493689.72219768178</v>
      </c>
      <c r="BI38" s="431">
        <v>463282.84735917905</v>
      </c>
      <c r="BJ38" s="431">
        <v>451029.83796187479</v>
      </c>
      <c r="BK38" s="431">
        <v>540379.21644985932</v>
      </c>
      <c r="BL38" s="431">
        <v>526087.14486764814</v>
      </c>
      <c r="BM38" s="431">
        <v>486465.13464361546</v>
      </c>
      <c r="BN38" s="431">
        <v>540379.21644985932</v>
      </c>
      <c r="BO38" s="431">
        <v>526087.14486764814</v>
      </c>
      <c r="BP38" s="431">
        <v>347367.22696776612</v>
      </c>
      <c r="BQ38" s="431">
        <v>896.62558684732312</v>
      </c>
      <c r="BR38" s="431">
        <v>0</v>
      </c>
      <c r="BS38" s="431">
        <v>0</v>
      </c>
      <c r="BT38" s="431">
        <v>0</v>
      </c>
      <c r="BU38" s="431">
        <v>0</v>
      </c>
      <c r="BV38" s="431">
        <v>823.45334739082728</v>
      </c>
      <c r="BW38" s="431">
        <v>1389.5648065447981</v>
      </c>
      <c r="BX38" s="431">
        <v>1272.1595221911132</v>
      </c>
      <c r="BY38" s="431">
        <v>1068.8960050344599</v>
      </c>
      <c r="BZ38" s="431">
        <v>0</v>
      </c>
      <c r="CA38" s="431">
        <v>0</v>
      </c>
      <c r="CB38" s="431">
        <v>0</v>
      </c>
      <c r="CC38" s="432"/>
      <c r="CD38" s="428">
        <v>41730.54801111111</v>
      </c>
      <c r="CE38" s="433">
        <v>0.28748714971565126</v>
      </c>
      <c r="CF38" s="433">
        <v>0.21550400071888681</v>
      </c>
      <c r="CG38" s="433">
        <v>0.16937758837595041</v>
      </c>
      <c r="CH38" s="433"/>
      <c r="CI38" s="433">
        <v>0.1522652682882186</v>
      </c>
      <c r="CJ38" s="433"/>
      <c r="CK38" s="433">
        <v>0.24206191622568624</v>
      </c>
      <c r="CL38" s="433">
        <v>0.25842079307449622</v>
      </c>
      <c r="CM38" s="433">
        <v>0.19899802432728636</v>
      </c>
      <c r="CN38" s="433">
        <v>0.18703686722165083</v>
      </c>
      <c r="CO38" s="433">
        <v>0.12146118479802823</v>
      </c>
      <c r="CP38" s="433">
        <v>0.60559402133974971</v>
      </c>
      <c r="CQ38" s="433">
        <v>0.67663897658204775</v>
      </c>
      <c r="CR38" s="433">
        <v>0.47764154429191003</v>
      </c>
      <c r="CS38" s="433"/>
      <c r="CT38" s="433">
        <v>0.44773699730205768</v>
      </c>
      <c r="CU38" s="433"/>
      <c r="CV38" s="433">
        <v>0.47651872850367988</v>
      </c>
      <c r="CW38" s="433">
        <v>0.47402386605078112</v>
      </c>
      <c r="CX38" s="433">
        <v>0.39912436248524713</v>
      </c>
      <c r="CY38" s="433">
        <v>0.29692854969420929</v>
      </c>
      <c r="CZ38" s="433">
        <v>0.25001150066075878</v>
      </c>
      <c r="DA38" s="433">
        <v>0.78134770554504784</v>
      </c>
      <c r="DB38" s="433">
        <v>0.29692854969420929</v>
      </c>
      <c r="DC38" s="433">
        <v>0.25001150066075878</v>
      </c>
      <c r="DD38" s="433">
        <v>0.3666769988791781</v>
      </c>
      <c r="DE38" s="433">
        <v>0.38971872147364967</v>
      </c>
      <c r="DF38" s="433">
        <v>0</v>
      </c>
      <c r="DG38" s="433">
        <v>0</v>
      </c>
      <c r="DH38" s="433">
        <v>0</v>
      </c>
      <c r="DI38" s="433">
        <v>0</v>
      </c>
      <c r="DJ38" s="433">
        <v>0.34415915689920173</v>
      </c>
      <c r="DK38" s="433">
        <v>0.31548658405009739</v>
      </c>
      <c r="DL38" s="433">
        <v>0.2786050317755443</v>
      </c>
      <c r="DM38" s="433">
        <v>0.39899773865159371</v>
      </c>
      <c r="DN38" s="433">
        <v>0</v>
      </c>
      <c r="DO38" s="433">
        <v>0</v>
      </c>
      <c r="DP38" s="433">
        <v>0</v>
      </c>
      <c r="DR38" s="409" t="s">
        <v>855</v>
      </c>
      <c r="DS38" s="409" t="s">
        <v>2026</v>
      </c>
    </row>
    <row r="39" spans="2:123" s="1471" customFormat="1">
      <c r="B39" s="428">
        <v>41736.549546412039</v>
      </c>
      <c r="C39" s="429">
        <v>1.4020547836023391</v>
      </c>
      <c r="D39" s="429">
        <v>1.3909374211598799</v>
      </c>
      <c r="E39" s="429">
        <v>1.4489853669546171</v>
      </c>
      <c r="F39" s="429"/>
      <c r="G39" s="429">
        <v>1.414508292891145</v>
      </c>
      <c r="H39" s="429"/>
      <c r="I39" s="429">
        <v>1.3730704457028664</v>
      </c>
      <c r="J39" s="429">
        <v>1.4440332490694223</v>
      </c>
      <c r="K39" s="429">
        <v>1.3756158389508544</v>
      </c>
      <c r="L39" s="429">
        <v>1.4820542657335805</v>
      </c>
      <c r="M39" s="429">
        <v>1.2699683741936709</v>
      </c>
      <c r="N39" s="429">
        <v>1.3873191710240205</v>
      </c>
      <c r="O39" s="429">
        <v>1.153705881449824</v>
      </c>
      <c r="P39" s="429">
        <v>1.1611874554398431</v>
      </c>
      <c r="Q39" s="429"/>
      <c r="R39" s="429">
        <v>-144.38980632035634</v>
      </c>
      <c r="S39" s="429"/>
      <c r="T39" s="429">
        <v>3745.469066583606</v>
      </c>
      <c r="U39" s="429">
        <v>3908.6411460798095</v>
      </c>
      <c r="V39" s="429">
        <v>3776.2784871941944</v>
      </c>
      <c r="W39" s="429"/>
      <c r="X39" s="429">
        <v>247.64279408738344</v>
      </c>
      <c r="Y39" s="429">
        <v>237.62180979013107</v>
      </c>
      <c r="Z39" s="429">
        <v>195.24962550215855</v>
      </c>
      <c r="AA39" s="429">
        <v>212.70595558740609</v>
      </c>
      <c r="AB39" s="429">
        <v>202.85251616642506</v>
      </c>
      <c r="AC39" s="429">
        <v>389.28136022202273</v>
      </c>
      <c r="AD39" s="429">
        <v>3.2160240750846016</v>
      </c>
      <c r="AE39" s="429">
        <v>0</v>
      </c>
      <c r="AF39" s="429">
        <v>0</v>
      </c>
      <c r="AG39" s="429">
        <v>0</v>
      </c>
      <c r="AH39" s="429">
        <v>3.099112690586459</v>
      </c>
      <c r="AI39" s="429">
        <v>6.2859717710951166</v>
      </c>
      <c r="AJ39" s="429">
        <v>6.3855308270732358</v>
      </c>
      <c r="AK39" s="429">
        <v>6.9304236800669852</v>
      </c>
      <c r="AL39" s="429">
        <v>0</v>
      </c>
      <c r="AM39" s="429">
        <v>0</v>
      </c>
      <c r="AN39" s="429">
        <v>0</v>
      </c>
      <c r="AO39" s="432"/>
      <c r="AP39" s="428">
        <v>41736.549546412039</v>
      </c>
      <c r="AQ39" s="431">
        <v>103.80704690758347</v>
      </c>
      <c r="AR39" s="431">
        <v>129.06987395699642</v>
      </c>
      <c r="AS39" s="431">
        <v>228.76050417556573</v>
      </c>
      <c r="AT39" s="431"/>
      <c r="AU39" s="431">
        <v>21.269111826168356</v>
      </c>
      <c r="AV39" s="431"/>
      <c r="AW39" s="431">
        <v>101.12110951155852</v>
      </c>
      <c r="AX39" s="431">
        <v>-5.5146125791757594</v>
      </c>
      <c r="AY39" s="431">
        <v>125.62168597856154</v>
      </c>
      <c r="AZ39" s="431">
        <v>-50.984696947061749</v>
      </c>
      <c r="BA39" s="431">
        <v>-2.4422507619762381</v>
      </c>
      <c r="BB39" s="431">
        <v>119.59652946396282</v>
      </c>
      <c r="BC39" s="431">
        <v>92.066898271841353</v>
      </c>
      <c r="BD39" s="431">
        <v>158.82490637735594</v>
      </c>
      <c r="BE39" s="431"/>
      <c r="BF39" s="431">
        <v>-134092.07850442341</v>
      </c>
      <c r="BG39" s="431"/>
      <c r="BH39" s="431">
        <v>493689.72219768178</v>
      </c>
      <c r="BI39" s="431">
        <v>463282.84735917905</v>
      </c>
      <c r="BJ39" s="431">
        <v>451029.83796187479</v>
      </c>
      <c r="BK39" s="431">
        <v>540379.21644985932</v>
      </c>
      <c r="BL39" s="431">
        <v>526087.14486764814</v>
      </c>
      <c r="BM39" s="431">
        <v>486465.13464361546</v>
      </c>
      <c r="BN39" s="431">
        <v>540379.21644985932</v>
      </c>
      <c r="BO39" s="431">
        <v>526087.14486764814</v>
      </c>
      <c r="BP39" s="431">
        <v>347367.22696776612</v>
      </c>
      <c r="BQ39" s="431">
        <v>896.62558684732312</v>
      </c>
      <c r="BR39" s="431">
        <v>0</v>
      </c>
      <c r="BS39" s="431">
        <v>0</v>
      </c>
      <c r="BT39" s="431">
        <v>0</v>
      </c>
      <c r="BU39" s="431">
        <v>0</v>
      </c>
      <c r="BV39" s="431">
        <v>823.45334739082728</v>
      </c>
      <c r="BW39" s="431">
        <v>1389.5648065447981</v>
      </c>
      <c r="BX39" s="431">
        <v>1272.1595221911132</v>
      </c>
      <c r="BY39" s="431">
        <v>1068.8960050344599</v>
      </c>
      <c r="BZ39" s="431">
        <v>0</v>
      </c>
      <c r="CA39" s="431">
        <v>0</v>
      </c>
      <c r="CB39" s="431">
        <v>0</v>
      </c>
      <c r="CC39" s="432"/>
      <c r="CD39" s="428">
        <v>41736.549546412039</v>
      </c>
      <c r="CE39" s="433">
        <v>0.28748714971565126</v>
      </c>
      <c r="CF39" s="433">
        <v>0.21550400071888681</v>
      </c>
      <c r="CG39" s="433">
        <v>0.16937758837595041</v>
      </c>
      <c r="CH39" s="433"/>
      <c r="CI39" s="433">
        <v>0.1522652682882186</v>
      </c>
      <c r="CJ39" s="433"/>
      <c r="CK39" s="433">
        <v>0.24206191622568624</v>
      </c>
      <c r="CL39" s="433">
        <v>0.25842079307449622</v>
      </c>
      <c r="CM39" s="433">
        <v>0.19899802432728636</v>
      </c>
      <c r="CN39" s="433">
        <v>0.18703686722165083</v>
      </c>
      <c r="CO39" s="433">
        <v>0.12146118479802823</v>
      </c>
      <c r="CP39" s="433">
        <v>0.60559402133974971</v>
      </c>
      <c r="CQ39" s="433">
        <v>0.67663897658204775</v>
      </c>
      <c r="CR39" s="433">
        <v>0.47764154429191003</v>
      </c>
      <c r="CS39" s="433"/>
      <c r="CT39" s="433">
        <v>0.44773699730205768</v>
      </c>
      <c r="CU39" s="433"/>
      <c r="CV39" s="433">
        <v>0.47651872850367988</v>
      </c>
      <c r="CW39" s="433">
        <v>0.47402386605078112</v>
      </c>
      <c r="CX39" s="433">
        <v>0.39912436248524713</v>
      </c>
      <c r="CY39" s="433">
        <v>0.29692854969420929</v>
      </c>
      <c r="CZ39" s="433">
        <v>0.25001150066075878</v>
      </c>
      <c r="DA39" s="433">
        <v>0.78134770554504784</v>
      </c>
      <c r="DB39" s="433">
        <v>0.29692854969420929</v>
      </c>
      <c r="DC39" s="433">
        <v>0.25001150066075878</v>
      </c>
      <c r="DD39" s="433">
        <v>0.3666769988791781</v>
      </c>
      <c r="DE39" s="433">
        <v>0.38971872147364967</v>
      </c>
      <c r="DF39" s="433">
        <v>0</v>
      </c>
      <c r="DG39" s="433">
        <v>0</v>
      </c>
      <c r="DH39" s="433">
        <v>0</v>
      </c>
      <c r="DI39" s="433">
        <v>0</v>
      </c>
      <c r="DJ39" s="433">
        <v>0.34415915689920173</v>
      </c>
      <c r="DK39" s="433">
        <v>0.31548658405009739</v>
      </c>
      <c r="DL39" s="433">
        <v>0.2786050317755443</v>
      </c>
      <c r="DM39" s="433">
        <v>0.39899773865159371</v>
      </c>
      <c r="DN39" s="433">
        <v>0</v>
      </c>
      <c r="DO39" s="433">
        <v>0</v>
      </c>
      <c r="DP39" s="433">
        <v>0</v>
      </c>
      <c r="DR39" s="409" t="s">
        <v>855</v>
      </c>
      <c r="DS39" s="409" t="s">
        <v>2031</v>
      </c>
    </row>
    <row r="40" spans="2:123" s="1471" customFormat="1">
      <c r="B40" s="428">
        <v>41736.562903703707</v>
      </c>
      <c r="C40" s="429">
        <v>1.4020547836023391</v>
      </c>
      <c r="D40" s="429">
        <v>1.3909374211598799</v>
      </c>
      <c r="E40" s="429">
        <v>1.4489853669546171</v>
      </c>
      <c r="F40" s="429"/>
      <c r="G40" s="429">
        <v>1.414508292891145</v>
      </c>
      <c r="H40" s="429"/>
      <c r="I40" s="429">
        <v>1.3730704457028664</v>
      </c>
      <c r="J40" s="429">
        <v>1.4440332490694223</v>
      </c>
      <c r="K40" s="429">
        <v>1.3756158389508544</v>
      </c>
      <c r="L40" s="429">
        <v>1.4820542657335805</v>
      </c>
      <c r="M40" s="429">
        <v>1.2620581829235562</v>
      </c>
      <c r="N40" s="429">
        <v>1.3873191710240205</v>
      </c>
      <c r="O40" s="429">
        <v>1.153705881449824</v>
      </c>
      <c r="P40" s="429">
        <v>1.1611874554398431</v>
      </c>
      <c r="Q40" s="429"/>
      <c r="R40" s="429">
        <v>-144.38980632035634</v>
      </c>
      <c r="S40" s="429"/>
      <c r="T40" s="429">
        <v>3745.469066583606</v>
      </c>
      <c r="U40" s="429">
        <v>3908.6411460798095</v>
      </c>
      <c r="V40" s="429">
        <v>3776.2784871941944</v>
      </c>
      <c r="W40" s="429"/>
      <c r="X40" s="429">
        <v>247.64279408738344</v>
      </c>
      <c r="Y40" s="429">
        <v>237.62180979013107</v>
      </c>
      <c r="Z40" s="429">
        <v>195.24962550215855</v>
      </c>
      <c r="AA40" s="429">
        <v>212.70595558740609</v>
      </c>
      <c r="AB40" s="429">
        <v>202.85251616642506</v>
      </c>
      <c r="AC40" s="429">
        <v>389.28136022202273</v>
      </c>
      <c r="AD40" s="429">
        <v>3.2160240750846016</v>
      </c>
      <c r="AE40" s="429">
        <v>0</v>
      </c>
      <c r="AF40" s="429">
        <v>0</v>
      </c>
      <c r="AG40" s="429">
        <v>0</v>
      </c>
      <c r="AH40" s="429">
        <v>3.099112690586459</v>
      </c>
      <c r="AI40" s="429">
        <v>6.2859717710951166</v>
      </c>
      <c r="AJ40" s="429">
        <v>6.3855308270732358</v>
      </c>
      <c r="AK40" s="429">
        <v>6.9304236800669852</v>
      </c>
      <c r="AL40" s="429">
        <v>0</v>
      </c>
      <c r="AM40" s="429">
        <v>0</v>
      </c>
      <c r="AN40" s="429">
        <v>0</v>
      </c>
      <c r="AO40" s="432"/>
      <c r="AP40" s="428">
        <v>41736.562903703707</v>
      </c>
      <c r="AQ40" s="431">
        <v>103.80704690758347</v>
      </c>
      <c r="AR40" s="431">
        <v>129.06987395699642</v>
      </c>
      <c r="AS40" s="431">
        <v>228.76050417556573</v>
      </c>
      <c r="AT40" s="431"/>
      <c r="AU40" s="431">
        <v>21.269111826168356</v>
      </c>
      <c r="AV40" s="431"/>
      <c r="AW40" s="431">
        <v>101.12110951155852</v>
      </c>
      <c r="AX40" s="431">
        <v>-5.5146125791757594</v>
      </c>
      <c r="AY40" s="431">
        <v>125.62168597856154</v>
      </c>
      <c r="AZ40" s="431">
        <v>-50.984696947061749</v>
      </c>
      <c r="BA40" s="431">
        <v>-1.4548915372528424</v>
      </c>
      <c r="BB40" s="431">
        <v>119.59652946396282</v>
      </c>
      <c r="BC40" s="431">
        <v>92.066898271841353</v>
      </c>
      <c r="BD40" s="431">
        <v>158.82490637735594</v>
      </c>
      <c r="BE40" s="431"/>
      <c r="BF40" s="431">
        <v>-134092.07850442341</v>
      </c>
      <c r="BG40" s="431"/>
      <c r="BH40" s="431">
        <v>493689.72219768178</v>
      </c>
      <c r="BI40" s="431">
        <v>463282.84735917905</v>
      </c>
      <c r="BJ40" s="431">
        <v>451029.83796187479</v>
      </c>
      <c r="BK40" s="431">
        <v>540379.21644985932</v>
      </c>
      <c r="BL40" s="431">
        <v>526087.14486764814</v>
      </c>
      <c r="BM40" s="431">
        <v>486465.13464361546</v>
      </c>
      <c r="BN40" s="431">
        <v>540379.21644985932</v>
      </c>
      <c r="BO40" s="431">
        <v>526087.14486764814</v>
      </c>
      <c r="BP40" s="431">
        <v>347367.22696776612</v>
      </c>
      <c r="BQ40" s="431">
        <v>896.62558684732312</v>
      </c>
      <c r="BR40" s="431">
        <v>0</v>
      </c>
      <c r="BS40" s="431">
        <v>0</v>
      </c>
      <c r="BT40" s="431">
        <v>0</v>
      </c>
      <c r="BU40" s="431">
        <v>0</v>
      </c>
      <c r="BV40" s="431">
        <v>823.45334739082728</v>
      </c>
      <c r="BW40" s="431">
        <v>1389.5648065447981</v>
      </c>
      <c r="BX40" s="431">
        <v>1272.1595221911132</v>
      </c>
      <c r="BY40" s="431">
        <v>1068.8960050344599</v>
      </c>
      <c r="BZ40" s="431">
        <v>0</v>
      </c>
      <c r="CA40" s="431">
        <v>0</v>
      </c>
      <c r="CB40" s="431">
        <v>0</v>
      </c>
      <c r="CC40" s="432"/>
      <c r="CD40" s="428">
        <v>41736.562903703707</v>
      </c>
      <c r="CE40" s="433">
        <v>0.28748714971565126</v>
      </c>
      <c r="CF40" s="433">
        <v>0.21550400071888681</v>
      </c>
      <c r="CG40" s="433">
        <v>0.16937758837595041</v>
      </c>
      <c r="CH40" s="433"/>
      <c r="CI40" s="433">
        <v>0.1522652682882186</v>
      </c>
      <c r="CJ40" s="433"/>
      <c r="CK40" s="433">
        <v>0.24206191622568624</v>
      </c>
      <c r="CL40" s="433">
        <v>0.25842079307449622</v>
      </c>
      <c r="CM40" s="433">
        <v>0.19899802432728636</v>
      </c>
      <c r="CN40" s="433">
        <v>0.18703686722165083</v>
      </c>
      <c r="CO40" s="433">
        <v>0.12146118479802823</v>
      </c>
      <c r="CP40" s="433">
        <v>0.60559402133974971</v>
      </c>
      <c r="CQ40" s="433">
        <v>0.67663897658204775</v>
      </c>
      <c r="CR40" s="433">
        <v>0.47764154429191003</v>
      </c>
      <c r="CS40" s="433"/>
      <c r="CT40" s="433">
        <v>0.44773699730205768</v>
      </c>
      <c r="CU40" s="433"/>
      <c r="CV40" s="433">
        <v>0.47651872850367988</v>
      </c>
      <c r="CW40" s="433">
        <v>0.47402386605078112</v>
      </c>
      <c r="CX40" s="433">
        <v>0.39912436248524713</v>
      </c>
      <c r="CY40" s="433">
        <v>0.29692854969420929</v>
      </c>
      <c r="CZ40" s="433">
        <v>0.25001150066075878</v>
      </c>
      <c r="DA40" s="433">
        <v>0.78134770554504784</v>
      </c>
      <c r="DB40" s="433">
        <v>0.29692854969420929</v>
      </c>
      <c r="DC40" s="433">
        <v>0.25001150066075878</v>
      </c>
      <c r="DD40" s="433">
        <v>0.3666769988791781</v>
      </c>
      <c r="DE40" s="433">
        <v>0.38971872147364967</v>
      </c>
      <c r="DF40" s="433">
        <v>0</v>
      </c>
      <c r="DG40" s="433">
        <v>0</v>
      </c>
      <c r="DH40" s="433">
        <v>0</v>
      </c>
      <c r="DI40" s="433">
        <v>0</v>
      </c>
      <c r="DJ40" s="433">
        <v>0.34415915689920173</v>
      </c>
      <c r="DK40" s="433">
        <v>0.31548658405009739</v>
      </c>
      <c r="DL40" s="433">
        <v>0.2786050317755443</v>
      </c>
      <c r="DM40" s="433">
        <v>0.39899773865159371</v>
      </c>
      <c r="DN40" s="433">
        <v>0</v>
      </c>
      <c r="DO40" s="433">
        <v>0</v>
      </c>
      <c r="DP40" s="433">
        <v>0</v>
      </c>
      <c r="DR40" s="409" t="s">
        <v>855</v>
      </c>
      <c r="DS40" s="409" t="s">
        <v>2315</v>
      </c>
    </row>
    <row r="41" spans="2:123" s="1471" customFormat="1">
      <c r="B41" s="428">
        <v>41743.432892013887</v>
      </c>
      <c r="C41" s="429">
        <v>1.4020547836023391</v>
      </c>
      <c r="D41" s="429">
        <v>1.3909374211598799</v>
      </c>
      <c r="E41" s="429">
        <v>1.4489853669546171</v>
      </c>
      <c r="F41" s="429"/>
      <c r="G41" s="429">
        <v>1.414508292891145</v>
      </c>
      <c r="H41" s="429"/>
      <c r="I41" s="429">
        <v>1.3588268357156297</v>
      </c>
      <c r="J41" s="429">
        <v>1.4440332490694223</v>
      </c>
      <c r="K41" s="429">
        <v>1.3756158389508544</v>
      </c>
      <c r="L41" s="429">
        <v>1.4820542657335805</v>
      </c>
      <c r="M41" s="429">
        <v>1.2620581829235562</v>
      </c>
      <c r="N41" s="429">
        <v>1.3873191710240205</v>
      </c>
      <c r="O41" s="429">
        <v>1.153705881449824</v>
      </c>
      <c r="P41" s="429">
        <v>1.1611874554398431</v>
      </c>
      <c r="Q41" s="429"/>
      <c r="R41" s="429">
        <v>-144.38980632035634</v>
      </c>
      <c r="S41" s="429"/>
      <c r="T41" s="429">
        <v>3745.469066583606</v>
      </c>
      <c r="U41" s="429">
        <v>3908.6411460798095</v>
      </c>
      <c r="V41" s="429">
        <v>3711.3003952686572</v>
      </c>
      <c r="W41" s="429"/>
      <c r="X41" s="429">
        <v>247.64279408738344</v>
      </c>
      <c r="Y41" s="429">
        <v>161.83050734653722</v>
      </c>
      <c r="Z41" s="429">
        <v>195.24962550215855</v>
      </c>
      <c r="AA41" s="429">
        <v>212.70595558740609</v>
      </c>
      <c r="AB41" s="429">
        <v>127.06121372283116</v>
      </c>
      <c r="AC41" s="429">
        <v>389.28136022202273</v>
      </c>
      <c r="AD41" s="429">
        <v>3.2160240750846016</v>
      </c>
      <c r="AE41" s="429">
        <v>0</v>
      </c>
      <c r="AF41" s="429">
        <v>0</v>
      </c>
      <c r="AG41" s="429">
        <v>0</v>
      </c>
      <c r="AH41" s="429">
        <v>3.099112690586459</v>
      </c>
      <c r="AI41" s="429">
        <v>6.2859717710951166</v>
      </c>
      <c r="AJ41" s="429">
        <v>6.3855308270732358</v>
      </c>
      <c r="AK41" s="429">
        <v>6.9304236800669852</v>
      </c>
      <c r="AL41" s="429">
        <v>0</v>
      </c>
      <c r="AM41" s="429">
        <v>0</v>
      </c>
      <c r="AN41" s="429">
        <v>0</v>
      </c>
      <c r="AO41" s="432"/>
      <c r="AP41" s="428">
        <v>41743.432892013887</v>
      </c>
      <c r="AQ41" s="431">
        <v>103.80704690758347</v>
      </c>
      <c r="AR41" s="431">
        <v>129.06987395699642</v>
      </c>
      <c r="AS41" s="431">
        <v>228.76050417556573</v>
      </c>
      <c r="AT41" s="431"/>
      <c r="AU41" s="431">
        <v>21.269111826168356</v>
      </c>
      <c r="AV41" s="431"/>
      <c r="AW41" s="431">
        <v>13.33338056680682</v>
      </c>
      <c r="AX41" s="431">
        <v>-5.5146125791757594</v>
      </c>
      <c r="AY41" s="431">
        <v>125.62168597856154</v>
      </c>
      <c r="AZ41" s="431">
        <v>-50.984696947061749</v>
      </c>
      <c r="BA41" s="431">
        <v>-1.4548915372528424</v>
      </c>
      <c r="BB41" s="431">
        <v>119.59652946396282</v>
      </c>
      <c r="BC41" s="431">
        <v>92.066898271841353</v>
      </c>
      <c r="BD41" s="431">
        <v>158.82490637735594</v>
      </c>
      <c r="BE41" s="431"/>
      <c r="BF41" s="431">
        <v>-134092.07850442341</v>
      </c>
      <c r="BG41" s="431"/>
      <c r="BH41" s="431">
        <v>493689.72219768178</v>
      </c>
      <c r="BI41" s="431">
        <v>463282.84735917905</v>
      </c>
      <c r="BJ41" s="431">
        <v>50549.964782413175</v>
      </c>
      <c r="BK41" s="431">
        <v>540379.21644985932</v>
      </c>
      <c r="BL41" s="431">
        <v>58962.144867648087</v>
      </c>
      <c r="BM41" s="431">
        <v>486465.13464361546</v>
      </c>
      <c r="BN41" s="431">
        <v>540379.21644985932</v>
      </c>
      <c r="BO41" s="431">
        <v>58962.144867648087</v>
      </c>
      <c r="BP41" s="431">
        <v>347367.22696776612</v>
      </c>
      <c r="BQ41" s="431">
        <v>896.62558684732312</v>
      </c>
      <c r="BR41" s="431">
        <v>0</v>
      </c>
      <c r="BS41" s="431">
        <v>0</v>
      </c>
      <c r="BT41" s="431">
        <v>0</v>
      </c>
      <c r="BU41" s="431">
        <v>0</v>
      </c>
      <c r="BV41" s="431">
        <v>823.45334739082728</v>
      </c>
      <c r="BW41" s="431">
        <v>1389.5648065447981</v>
      </c>
      <c r="BX41" s="431">
        <v>1272.1595221911132</v>
      </c>
      <c r="BY41" s="431">
        <v>1068.8960050344599</v>
      </c>
      <c r="BZ41" s="431">
        <v>0</v>
      </c>
      <c r="CA41" s="431">
        <v>0</v>
      </c>
      <c r="CB41" s="431">
        <v>0</v>
      </c>
      <c r="CC41" s="432"/>
      <c r="CD41" s="428">
        <v>41743.432892013887</v>
      </c>
      <c r="CE41" s="433">
        <v>0.28748714971565126</v>
      </c>
      <c r="CF41" s="433">
        <v>0.21550400071888681</v>
      </c>
      <c r="CG41" s="433">
        <v>0.16937758837595041</v>
      </c>
      <c r="CH41" s="433"/>
      <c r="CI41" s="433">
        <v>0.1522652682882186</v>
      </c>
      <c r="CJ41" s="433"/>
      <c r="CK41" s="433">
        <v>0.24206191622568624</v>
      </c>
      <c r="CL41" s="433">
        <v>0.25842079307449622</v>
      </c>
      <c r="CM41" s="433">
        <v>0.19899802432728636</v>
      </c>
      <c r="CN41" s="433">
        <v>0.18703686722165083</v>
      </c>
      <c r="CO41" s="433">
        <v>0.12146118479802823</v>
      </c>
      <c r="CP41" s="433">
        <v>0.60559402133974971</v>
      </c>
      <c r="CQ41" s="433">
        <v>0.67663897658204775</v>
      </c>
      <c r="CR41" s="433">
        <v>0.47764154429191003</v>
      </c>
      <c r="CS41" s="433"/>
      <c r="CT41" s="433">
        <v>0.44773699730205768</v>
      </c>
      <c r="CU41" s="433"/>
      <c r="CV41" s="433">
        <v>0.47651872850367988</v>
      </c>
      <c r="CW41" s="433">
        <v>0.47402386605078112</v>
      </c>
      <c r="CX41" s="433">
        <v>0.39912436248524713</v>
      </c>
      <c r="CY41" s="433">
        <v>0.29692854969420929</v>
      </c>
      <c r="CZ41" s="433">
        <v>0.25001150066075878</v>
      </c>
      <c r="DA41" s="433">
        <v>0.78134770554504784</v>
      </c>
      <c r="DB41" s="433">
        <v>0.29692854969420929</v>
      </c>
      <c r="DC41" s="433">
        <v>0.25001150066075878</v>
      </c>
      <c r="DD41" s="433">
        <v>0.3666769988791781</v>
      </c>
      <c r="DE41" s="433">
        <v>0.38971872147364967</v>
      </c>
      <c r="DF41" s="433">
        <v>0</v>
      </c>
      <c r="DG41" s="433">
        <v>0</v>
      </c>
      <c r="DH41" s="433">
        <v>0</v>
      </c>
      <c r="DI41" s="433">
        <v>0</v>
      </c>
      <c r="DJ41" s="433">
        <v>0.34415915689920173</v>
      </c>
      <c r="DK41" s="433">
        <v>0.31548658405009739</v>
      </c>
      <c r="DL41" s="433">
        <v>0.2786050317755443</v>
      </c>
      <c r="DM41" s="433">
        <v>0.39899773865159371</v>
      </c>
      <c r="DN41" s="433">
        <v>0</v>
      </c>
      <c r="DO41" s="433">
        <v>0</v>
      </c>
      <c r="DP41" s="433">
        <v>0</v>
      </c>
      <c r="DR41" s="409" t="s">
        <v>855</v>
      </c>
      <c r="DS41" s="409" t="s">
        <v>2032</v>
      </c>
    </row>
    <row r="42" spans="2:123" s="1471" customFormat="1">
      <c r="B42" s="428">
        <v>41758.673901388887</v>
      </c>
      <c r="C42" s="429">
        <v>1.4020547836023391</v>
      </c>
      <c r="D42" s="429">
        <v>1.3909374211598799</v>
      </c>
      <c r="E42" s="429">
        <v>1.4489853669546171</v>
      </c>
      <c r="F42" s="429"/>
      <c r="G42" s="429">
        <v>1.414508292891145</v>
      </c>
      <c r="H42" s="429"/>
      <c r="I42" s="429">
        <v>1.3588268357156297</v>
      </c>
      <c r="J42" s="429">
        <v>1.4440332490694223</v>
      </c>
      <c r="K42" s="429">
        <v>1.3756158389508544</v>
      </c>
      <c r="L42" s="429">
        <v>1.4820542657335805</v>
      </c>
      <c r="M42" s="429">
        <v>1.2620581829235562</v>
      </c>
      <c r="N42" s="429">
        <v>1.3873191710240205</v>
      </c>
      <c r="O42" s="429">
        <v>1.153705881449824</v>
      </c>
      <c r="P42" s="429">
        <v>1.1611874554398431</v>
      </c>
      <c r="Q42" s="429"/>
      <c r="R42" s="429">
        <v>-144.38980632035634</v>
      </c>
      <c r="S42" s="429"/>
      <c r="T42" s="429">
        <v>3745.469066583606</v>
      </c>
      <c r="U42" s="429">
        <v>3908.6411460798095</v>
      </c>
      <c r="V42" s="429">
        <v>3711.3003952686572</v>
      </c>
      <c r="W42" s="429">
        <v>930.8799960897569</v>
      </c>
      <c r="X42" s="429">
        <v>247.64279408738344</v>
      </c>
      <c r="Y42" s="429">
        <v>161.83050734653722</v>
      </c>
      <c r="Z42" s="429">
        <v>195.24962550215855</v>
      </c>
      <c r="AA42" s="429">
        <v>212.70595558740609</v>
      </c>
      <c r="AB42" s="429">
        <v>127.06121372283116</v>
      </c>
      <c r="AC42" s="429">
        <v>389.28136022202273</v>
      </c>
      <c r="AD42" s="429">
        <v>3.2160240750846016</v>
      </c>
      <c r="AE42" s="429">
        <v>0</v>
      </c>
      <c r="AF42" s="429">
        <v>0</v>
      </c>
      <c r="AG42" s="429">
        <v>0</v>
      </c>
      <c r="AH42" s="429">
        <v>3.099112690586459</v>
      </c>
      <c r="AI42" s="429">
        <v>6.2859717710951166</v>
      </c>
      <c r="AJ42" s="429">
        <v>6.3855308270732358</v>
      </c>
      <c r="AK42" s="429">
        <v>6.9304236800669852</v>
      </c>
      <c r="AL42" s="429">
        <v>0</v>
      </c>
      <c r="AM42" s="429">
        <v>0</v>
      </c>
      <c r="AN42" s="429">
        <v>0</v>
      </c>
      <c r="AO42" s="432"/>
      <c r="AP42" s="428">
        <v>41758.673901388887</v>
      </c>
      <c r="AQ42" s="431">
        <v>103.80704690758347</v>
      </c>
      <c r="AR42" s="431">
        <v>129.06987395699642</v>
      </c>
      <c r="AS42" s="431">
        <v>228.76050417556573</v>
      </c>
      <c r="AT42" s="431"/>
      <c r="AU42" s="431">
        <v>21.269111826168356</v>
      </c>
      <c r="AV42" s="431"/>
      <c r="AW42" s="431">
        <v>13.33338056680682</v>
      </c>
      <c r="AX42" s="431">
        <v>-5.5146125791757594</v>
      </c>
      <c r="AY42" s="431">
        <v>125.62168597856154</v>
      </c>
      <c r="AZ42" s="431">
        <v>-50.984696947061749</v>
      </c>
      <c r="BA42" s="431">
        <v>-1.4548915372528424</v>
      </c>
      <c r="BB42" s="431">
        <v>119.59652946396282</v>
      </c>
      <c r="BC42" s="431">
        <v>92.066898271841353</v>
      </c>
      <c r="BD42" s="431">
        <v>158.82490637735594</v>
      </c>
      <c r="BE42" s="431"/>
      <c r="BF42" s="431">
        <v>-134092.07850442341</v>
      </c>
      <c r="BG42" s="431"/>
      <c r="BH42" s="431">
        <v>493689.72219768178</v>
      </c>
      <c r="BI42" s="431">
        <v>463282.84735917905</v>
      </c>
      <c r="BJ42" s="431">
        <v>50549.964782413175</v>
      </c>
      <c r="BK42" s="431">
        <v>386327.04528227885</v>
      </c>
      <c r="BL42" s="431">
        <v>540379.21644985932</v>
      </c>
      <c r="BM42" s="431">
        <v>58962.144867648087</v>
      </c>
      <c r="BN42" s="431">
        <v>486465.13464361546</v>
      </c>
      <c r="BO42" s="431">
        <v>540379.21644985932</v>
      </c>
      <c r="BP42" s="431">
        <v>58962.144867648087</v>
      </c>
      <c r="BQ42" s="431">
        <v>347367.22696776612</v>
      </c>
      <c r="BR42" s="431">
        <v>896.62558684732312</v>
      </c>
      <c r="BS42" s="431">
        <v>0</v>
      </c>
      <c r="BT42" s="431">
        <v>0</v>
      </c>
      <c r="BU42" s="431">
        <v>0</v>
      </c>
      <c r="BV42" s="431">
        <v>823.45334739082728</v>
      </c>
      <c r="BW42" s="431">
        <v>1389.5648065447981</v>
      </c>
      <c r="BX42" s="431">
        <v>1272.1595221911132</v>
      </c>
      <c r="BY42" s="431">
        <v>1068.8960050344599</v>
      </c>
      <c r="BZ42" s="431">
        <v>0</v>
      </c>
      <c r="CA42" s="431">
        <v>0</v>
      </c>
      <c r="CB42" s="431">
        <v>0</v>
      </c>
      <c r="CC42" s="432"/>
      <c r="CD42" s="428">
        <v>41758.673901388887</v>
      </c>
      <c r="CE42" s="433">
        <v>0.28748714971565126</v>
      </c>
      <c r="CF42" s="433">
        <v>0.21550400071888681</v>
      </c>
      <c r="CG42" s="433">
        <v>0.16937758837595041</v>
      </c>
      <c r="CH42" s="433"/>
      <c r="CI42" s="433">
        <v>0.1522652682882186</v>
      </c>
      <c r="CJ42" s="433"/>
      <c r="CK42" s="433">
        <v>0.24206191622568624</v>
      </c>
      <c r="CL42" s="433">
        <v>0.25842079307449622</v>
      </c>
      <c r="CM42" s="433">
        <v>0.19899802432728636</v>
      </c>
      <c r="CN42" s="433">
        <v>0.18703686722165083</v>
      </c>
      <c r="CO42" s="433">
        <v>0.12146118479802823</v>
      </c>
      <c r="CP42" s="433">
        <v>0.60559402133974971</v>
      </c>
      <c r="CQ42" s="433">
        <v>0.67663897658204775</v>
      </c>
      <c r="CR42" s="433">
        <v>0.47764154429191003</v>
      </c>
      <c r="CS42" s="433"/>
      <c r="CT42" s="433">
        <v>0.44773699730205768</v>
      </c>
      <c r="CU42" s="433"/>
      <c r="CV42" s="433">
        <v>0.47651872850367988</v>
      </c>
      <c r="CW42" s="433">
        <v>0.47402386605078112</v>
      </c>
      <c r="CX42" s="433">
        <v>0.39912436248524713</v>
      </c>
      <c r="CY42" s="433">
        <v>0.42969927027189708</v>
      </c>
      <c r="CZ42" s="433">
        <v>0.29692854969420929</v>
      </c>
      <c r="DA42" s="433">
        <v>0.25001150066075878</v>
      </c>
      <c r="DB42" s="433">
        <v>0.78134770554504784</v>
      </c>
      <c r="DC42" s="433">
        <v>0.29692854969420929</v>
      </c>
      <c r="DD42" s="433">
        <v>0.25001150066075878</v>
      </c>
      <c r="DE42" s="433">
        <v>0.3666769988791781</v>
      </c>
      <c r="DF42" s="433">
        <v>0.38971872147364967</v>
      </c>
      <c r="DG42" s="433">
        <v>0</v>
      </c>
      <c r="DH42" s="433">
        <v>0</v>
      </c>
      <c r="DI42" s="433">
        <v>0</v>
      </c>
      <c r="DJ42" s="433">
        <v>0.34415915689920173</v>
      </c>
      <c r="DK42" s="433">
        <v>0.31548658405009739</v>
      </c>
      <c r="DL42" s="433">
        <v>0.2786050317755443</v>
      </c>
      <c r="DM42" s="433">
        <v>0.39899773865159371</v>
      </c>
      <c r="DN42" s="433">
        <v>0</v>
      </c>
      <c r="DO42" s="433">
        <v>0</v>
      </c>
      <c r="DP42" s="433">
        <v>0</v>
      </c>
      <c r="DR42" s="409" t="s">
        <v>855</v>
      </c>
      <c r="DS42" s="409" t="s">
        <v>2051</v>
      </c>
    </row>
    <row r="43" spans="2:123" s="1471" customFormat="1">
      <c r="B43" s="428">
        <v>41761.602896643519</v>
      </c>
      <c r="C43" s="429">
        <v>1.4020547836023391</v>
      </c>
      <c r="D43" s="429">
        <v>1.3909374211598799</v>
      </c>
      <c r="E43" s="429">
        <v>1.4489853669546171</v>
      </c>
      <c r="F43" s="429"/>
      <c r="G43" s="429">
        <v>1.414508292891145</v>
      </c>
      <c r="H43" s="429"/>
      <c r="I43" s="429">
        <v>1.3588027193030841</v>
      </c>
      <c r="J43" s="429">
        <v>1.4440332490694223</v>
      </c>
      <c r="K43" s="429">
        <v>1.3756158389508544</v>
      </c>
      <c r="L43" s="429">
        <v>1.4820542657335805</v>
      </c>
      <c r="M43" s="429">
        <v>1.2620581829235562</v>
      </c>
      <c r="N43" s="429">
        <v>1.3873191710240205</v>
      </c>
      <c r="O43" s="429">
        <v>1.153705881449824</v>
      </c>
      <c r="P43" s="429">
        <v>1.1611874554398431</v>
      </c>
      <c r="Q43" s="429"/>
      <c r="R43" s="429">
        <v>-144.38980632035634</v>
      </c>
      <c r="S43" s="429"/>
      <c r="T43" s="429">
        <v>3745.469066583606</v>
      </c>
      <c r="U43" s="429">
        <v>3908.6411460798095</v>
      </c>
      <c r="V43" s="429">
        <v>3711.1902595801521</v>
      </c>
      <c r="W43" s="429">
        <v>930.8799960897569</v>
      </c>
      <c r="X43" s="429">
        <v>247.64279408738344</v>
      </c>
      <c r="Y43" s="429">
        <v>161.8256684929253</v>
      </c>
      <c r="Z43" s="429">
        <v>195.24962550215855</v>
      </c>
      <c r="AA43" s="429">
        <v>212.70595558740609</v>
      </c>
      <c r="AB43" s="429">
        <v>127.05651834029024</v>
      </c>
      <c r="AC43" s="429">
        <v>389.28136022202273</v>
      </c>
      <c r="AD43" s="429">
        <v>3.2160240750846016</v>
      </c>
      <c r="AE43" s="429">
        <v>0</v>
      </c>
      <c r="AF43" s="429">
        <v>0</v>
      </c>
      <c r="AG43" s="429">
        <v>0</v>
      </c>
      <c r="AH43" s="429">
        <v>3.099112690586459</v>
      </c>
      <c r="AI43" s="429">
        <v>6.2859717710951166</v>
      </c>
      <c r="AJ43" s="429">
        <v>6.3855308270732358</v>
      </c>
      <c r="AK43" s="429">
        <v>6.9304236800669852</v>
      </c>
      <c r="AL43" s="429">
        <v>0</v>
      </c>
      <c r="AM43" s="429">
        <v>0</v>
      </c>
      <c r="AN43" s="429">
        <v>0</v>
      </c>
      <c r="AO43" s="432"/>
      <c r="AP43" s="428">
        <v>41761.602896643519</v>
      </c>
      <c r="AQ43" s="431">
        <v>103.80704690758347</v>
      </c>
      <c r="AR43" s="431">
        <v>129.06987395699642</v>
      </c>
      <c r="AS43" s="431">
        <v>228.76050417556573</v>
      </c>
      <c r="AT43" s="431"/>
      <c r="AU43" s="431">
        <v>21.269111826168356</v>
      </c>
      <c r="AV43" s="431"/>
      <c r="AW43" s="431">
        <v>13.331183423124973</v>
      </c>
      <c r="AX43" s="431">
        <v>-5.5146125791757594</v>
      </c>
      <c r="AY43" s="431">
        <v>125.62168597856154</v>
      </c>
      <c r="AZ43" s="431">
        <v>-50.984696947061749</v>
      </c>
      <c r="BA43" s="431">
        <v>-1.4548915372528424</v>
      </c>
      <c r="BB43" s="431">
        <v>119.59652946396282</v>
      </c>
      <c r="BC43" s="431">
        <v>92.066898271841353</v>
      </c>
      <c r="BD43" s="431">
        <v>158.82490637735594</v>
      </c>
      <c r="BE43" s="431"/>
      <c r="BF43" s="431">
        <v>-134092.07850442341</v>
      </c>
      <c r="BG43" s="431"/>
      <c r="BH43" s="431">
        <v>493689.72219768178</v>
      </c>
      <c r="BI43" s="431">
        <v>463282.84735917905</v>
      </c>
      <c r="BJ43" s="431">
        <v>50539.941606809465</v>
      </c>
      <c r="BK43" s="431">
        <v>386327.04528227885</v>
      </c>
      <c r="BL43" s="431">
        <v>540379.21644985932</v>
      </c>
      <c r="BM43" s="431">
        <v>58950.453703578562</v>
      </c>
      <c r="BN43" s="431">
        <v>486465.13464361546</v>
      </c>
      <c r="BO43" s="431">
        <v>540379.21644985932</v>
      </c>
      <c r="BP43" s="431">
        <v>58950.453703578562</v>
      </c>
      <c r="BQ43" s="431">
        <v>347367.22696776612</v>
      </c>
      <c r="BR43" s="431">
        <v>896.62558684732312</v>
      </c>
      <c r="BS43" s="431">
        <v>0</v>
      </c>
      <c r="BT43" s="431">
        <v>0</v>
      </c>
      <c r="BU43" s="431">
        <v>0</v>
      </c>
      <c r="BV43" s="431">
        <v>823.45334739082728</v>
      </c>
      <c r="BW43" s="431">
        <v>1389.5648065447981</v>
      </c>
      <c r="BX43" s="431">
        <v>1272.1595221911132</v>
      </c>
      <c r="BY43" s="431">
        <v>1068.8960050344599</v>
      </c>
      <c r="BZ43" s="431">
        <v>0</v>
      </c>
      <c r="CA43" s="431">
        <v>0</v>
      </c>
      <c r="CB43" s="431">
        <v>0</v>
      </c>
      <c r="CC43" s="432"/>
      <c r="CD43" s="428">
        <v>41761.602896643519</v>
      </c>
      <c r="CE43" s="433">
        <v>0.28748714971565126</v>
      </c>
      <c r="CF43" s="433">
        <v>0.21550400071888681</v>
      </c>
      <c r="CG43" s="433">
        <v>0.16937758837595041</v>
      </c>
      <c r="CH43" s="433"/>
      <c r="CI43" s="433">
        <v>0.1522652682882186</v>
      </c>
      <c r="CJ43" s="433"/>
      <c r="CK43" s="433">
        <v>0.24206191622568624</v>
      </c>
      <c r="CL43" s="433">
        <v>0.25842079307449622</v>
      </c>
      <c r="CM43" s="433">
        <v>0.19899802432728636</v>
      </c>
      <c r="CN43" s="433">
        <v>0.18703686722165083</v>
      </c>
      <c r="CO43" s="433">
        <v>0.12146118479802823</v>
      </c>
      <c r="CP43" s="433">
        <v>0.60559402133974971</v>
      </c>
      <c r="CQ43" s="433">
        <v>0.67663897658204775</v>
      </c>
      <c r="CR43" s="433">
        <v>0.47764154429191003</v>
      </c>
      <c r="CS43" s="433"/>
      <c r="CT43" s="433">
        <v>0.44773699730205768</v>
      </c>
      <c r="CU43" s="433"/>
      <c r="CV43" s="433">
        <v>0.47651872850367988</v>
      </c>
      <c r="CW43" s="433">
        <v>0.47402386605078112</v>
      </c>
      <c r="CX43" s="433">
        <v>0.39912436248524713</v>
      </c>
      <c r="CY43" s="433">
        <v>0.42969927027189708</v>
      </c>
      <c r="CZ43" s="433">
        <v>0.29692854969420929</v>
      </c>
      <c r="DA43" s="433">
        <v>0.25001150066075878</v>
      </c>
      <c r="DB43" s="433">
        <v>0.78134770554504784</v>
      </c>
      <c r="DC43" s="433">
        <v>0.29692854969420929</v>
      </c>
      <c r="DD43" s="433">
        <v>0.25001150066075878</v>
      </c>
      <c r="DE43" s="433">
        <v>0.3666769988791781</v>
      </c>
      <c r="DF43" s="433">
        <v>0.38971872147364967</v>
      </c>
      <c r="DG43" s="433">
        <v>0</v>
      </c>
      <c r="DH43" s="433">
        <v>0</v>
      </c>
      <c r="DI43" s="433">
        <v>0</v>
      </c>
      <c r="DJ43" s="433">
        <v>0.34415915689920173</v>
      </c>
      <c r="DK43" s="433">
        <v>0.31548658405009739</v>
      </c>
      <c r="DL43" s="433">
        <v>0.2786050317755443</v>
      </c>
      <c r="DM43" s="433">
        <v>0.39899773865159371</v>
      </c>
      <c r="DN43" s="433">
        <v>0</v>
      </c>
      <c r="DO43" s="433">
        <v>0</v>
      </c>
      <c r="DP43" s="433">
        <v>0</v>
      </c>
      <c r="DR43" s="409" t="s">
        <v>855</v>
      </c>
      <c r="DS43" s="409" t="s">
        <v>2060</v>
      </c>
    </row>
    <row r="44" spans="2:123" s="1471" customFormat="1">
      <c r="B44" s="428">
        <v>41765.91421574074</v>
      </c>
      <c r="C44" s="429">
        <v>1.4020547836023391</v>
      </c>
      <c r="D44" s="429">
        <v>1.3909374211598799</v>
      </c>
      <c r="E44" s="429">
        <v>1.4489853669546171</v>
      </c>
      <c r="F44" s="429"/>
      <c r="G44" s="429">
        <v>1.4203074884323488</v>
      </c>
      <c r="H44" s="429"/>
      <c r="I44" s="429">
        <v>1.363610491286267</v>
      </c>
      <c r="J44" s="429">
        <v>1.4484267503760528</v>
      </c>
      <c r="K44" s="429">
        <v>1.3645671889982793</v>
      </c>
      <c r="L44" s="429">
        <v>1.4710056157810056</v>
      </c>
      <c r="M44" s="429">
        <v>1.2626937937846705</v>
      </c>
      <c r="N44" s="429">
        <v>1.3893045541429545</v>
      </c>
      <c r="O44" s="429">
        <v>1.153705881449824</v>
      </c>
      <c r="P44" s="429">
        <v>1.1611874554398431</v>
      </c>
      <c r="Q44" s="429"/>
      <c r="R44" s="429">
        <v>-144.38980632035634</v>
      </c>
      <c r="S44" s="429"/>
      <c r="T44" s="429">
        <v>3745.469066583606</v>
      </c>
      <c r="U44" s="429">
        <v>3908.6411460798095</v>
      </c>
      <c r="V44" s="429">
        <v>3733.1469448529401</v>
      </c>
      <c r="W44" s="429">
        <v>900.44171927324078</v>
      </c>
      <c r="X44" s="429">
        <v>247.64279408738344</v>
      </c>
      <c r="Y44" s="429">
        <v>162.39348986608485</v>
      </c>
      <c r="Z44" s="429">
        <v>195.24962550215855</v>
      </c>
      <c r="AA44" s="429">
        <v>212.70595558740609</v>
      </c>
      <c r="AB44" s="429">
        <v>127.59527671266861</v>
      </c>
      <c r="AC44" s="429">
        <v>389.04753978035626</v>
      </c>
      <c r="AD44" s="429">
        <v>3.2160240750846016</v>
      </c>
      <c r="AE44" s="429">
        <v>0</v>
      </c>
      <c r="AF44" s="429">
        <v>0</v>
      </c>
      <c r="AG44" s="429">
        <v>0</v>
      </c>
      <c r="AH44" s="429">
        <v>3.0143661973744678</v>
      </c>
      <c r="AI44" s="429">
        <v>6.2859717710951166</v>
      </c>
      <c r="AJ44" s="429">
        <v>6.2543863957642696</v>
      </c>
      <c r="AK44" s="429">
        <v>6.9304236800669852</v>
      </c>
      <c r="AL44" s="429">
        <v>0</v>
      </c>
      <c r="AM44" s="429">
        <v>0</v>
      </c>
      <c r="AN44" s="429">
        <v>0</v>
      </c>
      <c r="AO44" s="432"/>
      <c r="AP44" s="428">
        <v>41765.91421574074</v>
      </c>
      <c r="AQ44" s="431">
        <v>103.80704690758347</v>
      </c>
      <c r="AR44" s="431">
        <v>129.06987395699642</v>
      </c>
      <c r="AS44" s="431">
        <v>228.76050417556573</v>
      </c>
      <c r="AT44" s="431"/>
      <c r="AU44" s="431">
        <v>21.402420230521521</v>
      </c>
      <c r="AV44" s="431"/>
      <c r="AW44" s="431">
        <v>13.552524639178062</v>
      </c>
      <c r="AX44" s="431">
        <v>-5.6494380411078859</v>
      </c>
      <c r="AY44" s="431">
        <v>125.62168597856154</v>
      </c>
      <c r="AZ44" s="431">
        <v>-50.984696947061749</v>
      </c>
      <c r="BA44" s="431">
        <v>-1.4836782647480804</v>
      </c>
      <c r="BB44" s="431">
        <v>120.58581464932645</v>
      </c>
      <c r="BC44" s="431">
        <v>92.066898271841353</v>
      </c>
      <c r="BD44" s="431">
        <v>158.82490637735594</v>
      </c>
      <c r="BE44" s="431"/>
      <c r="BF44" s="431">
        <v>-134092.07850442341</v>
      </c>
      <c r="BG44" s="431"/>
      <c r="BH44" s="431">
        <v>493689.72219768178</v>
      </c>
      <c r="BI44" s="431">
        <v>463282.84735917905</v>
      </c>
      <c r="BJ44" s="431">
        <v>51549.680703604135</v>
      </c>
      <c r="BK44" s="431">
        <v>386327.04528227885</v>
      </c>
      <c r="BL44" s="431">
        <v>540379.21644985932</v>
      </c>
      <c r="BM44" s="431">
        <v>60128.226688386843</v>
      </c>
      <c r="BN44" s="431">
        <v>486465.13464361546</v>
      </c>
      <c r="BO44" s="431">
        <v>540379.21644985932</v>
      </c>
      <c r="BP44" s="431">
        <v>60128.226688386843</v>
      </c>
      <c r="BQ44" s="431">
        <v>347367.22696776612</v>
      </c>
      <c r="BR44" s="431">
        <v>896.62558684732312</v>
      </c>
      <c r="BS44" s="431">
        <v>0</v>
      </c>
      <c r="BT44" s="431">
        <v>0</v>
      </c>
      <c r="BU44" s="431">
        <v>0</v>
      </c>
      <c r="BV44" s="431">
        <v>823.45334739082728</v>
      </c>
      <c r="BW44" s="431">
        <v>1389.5648065447981</v>
      </c>
      <c r="BX44" s="431">
        <v>1272.1595221911132</v>
      </c>
      <c r="BY44" s="431">
        <v>1068.8960050344599</v>
      </c>
      <c r="BZ44" s="431">
        <v>0</v>
      </c>
      <c r="CA44" s="431">
        <v>0</v>
      </c>
      <c r="CB44" s="431">
        <v>0</v>
      </c>
      <c r="CC44" s="432"/>
      <c r="CD44" s="428">
        <v>41765.91421574074</v>
      </c>
      <c r="CE44" s="433">
        <v>0.28748714971565126</v>
      </c>
      <c r="CF44" s="433">
        <v>0.21550400071888681</v>
      </c>
      <c r="CG44" s="433">
        <v>0.16937758837595041</v>
      </c>
      <c r="CH44" s="433"/>
      <c r="CI44" s="433">
        <v>0.1522652682882186</v>
      </c>
      <c r="CJ44" s="433"/>
      <c r="CK44" s="433">
        <v>0.24206191622568624</v>
      </c>
      <c r="CL44" s="433">
        <v>0.25842079307449622</v>
      </c>
      <c r="CM44" s="433">
        <v>0.19899802432728636</v>
      </c>
      <c r="CN44" s="433">
        <v>0.18703686722165083</v>
      </c>
      <c r="CO44" s="433">
        <v>0.12146118479802823</v>
      </c>
      <c r="CP44" s="433">
        <v>0.60559402133974971</v>
      </c>
      <c r="CQ44" s="433">
        <v>0.67663897658204775</v>
      </c>
      <c r="CR44" s="433">
        <v>0.47764154429191003</v>
      </c>
      <c r="CS44" s="433"/>
      <c r="CT44" s="433">
        <v>0.44773699730205768</v>
      </c>
      <c r="CU44" s="433"/>
      <c r="CV44" s="433">
        <v>0.47651872850367988</v>
      </c>
      <c r="CW44" s="433">
        <v>0.47402386605078112</v>
      </c>
      <c r="CX44" s="433">
        <v>0.39912436248524713</v>
      </c>
      <c r="CY44" s="433">
        <v>0.42969927027189708</v>
      </c>
      <c r="CZ44" s="433">
        <v>0.29692854969420929</v>
      </c>
      <c r="DA44" s="433">
        <v>0.25001150066075878</v>
      </c>
      <c r="DB44" s="433">
        <v>0.78134770554504784</v>
      </c>
      <c r="DC44" s="433">
        <v>0.29692854969420929</v>
      </c>
      <c r="DD44" s="433">
        <v>0.25001150066075878</v>
      </c>
      <c r="DE44" s="433">
        <v>0.3666769988791781</v>
      </c>
      <c r="DF44" s="433">
        <v>0.38971872147364967</v>
      </c>
      <c r="DG44" s="433">
        <v>0</v>
      </c>
      <c r="DH44" s="433">
        <v>0</v>
      </c>
      <c r="DI44" s="433">
        <v>0</v>
      </c>
      <c r="DJ44" s="433">
        <v>0.34415915689920173</v>
      </c>
      <c r="DK44" s="433">
        <v>0.31548658405009739</v>
      </c>
      <c r="DL44" s="433">
        <v>0.2786050317755443</v>
      </c>
      <c r="DM44" s="433">
        <v>0.39899773865159371</v>
      </c>
      <c r="DN44" s="433">
        <v>0</v>
      </c>
      <c r="DO44" s="433">
        <v>0</v>
      </c>
      <c r="DP44" s="433">
        <v>0</v>
      </c>
      <c r="DR44" s="409" t="s">
        <v>855</v>
      </c>
      <c r="DS44" s="409" t="s">
        <v>2076</v>
      </c>
    </row>
    <row r="45" spans="2:123" s="1471" customFormat="1">
      <c r="B45" s="428">
        <v>41765.919937384257</v>
      </c>
      <c r="C45" s="429">
        <v>1.4020547836023391</v>
      </c>
      <c r="D45" s="429">
        <v>1.3909374211598799</v>
      </c>
      <c r="E45" s="429">
        <v>1.4489853669546171</v>
      </c>
      <c r="F45" s="429"/>
      <c r="G45" s="429">
        <v>1.4203074884323488</v>
      </c>
      <c r="H45" s="429"/>
      <c r="I45" s="429">
        <v>1.363610491286267</v>
      </c>
      <c r="J45" s="429">
        <v>1.4484267503760528</v>
      </c>
      <c r="K45" s="429">
        <v>1.3645671889982793</v>
      </c>
      <c r="L45" s="429">
        <v>1.4710056157810056</v>
      </c>
      <c r="M45" s="429">
        <v>1.2626937937846705</v>
      </c>
      <c r="N45" s="429">
        <v>1.3893045541429545</v>
      </c>
      <c r="O45" s="429">
        <v>1.153705881449824</v>
      </c>
      <c r="P45" s="429">
        <v>1.1611874554398431</v>
      </c>
      <c r="Q45" s="429"/>
      <c r="R45" s="429">
        <v>-144.38980632035634</v>
      </c>
      <c r="S45" s="429"/>
      <c r="T45" s="429">
        <v>3775.8753840782065</v>
      </c>
      <c r="U45" s="429">
        <v>3939.0474635744099</v>
      </c>
      <c r="V45" s="429">
        <v>3763.5532623475406</v>
      </c>
      <c r="W45" s="429">
        <v>941.13252650866195</v>
      </c>
      <c r="X45" s="429">
        <v>247.64279408738344</v>
      </c>
      <c r="Y45" s="429">
        <v>162.39348986608485</v>
      </c>
      <c r="Z45" s="429">
        <v>195.24962550215855</v>
      </c>
      <c r="AA45" s="429">
        <v>212.70595558740609</v>
      </c>
      <c r="AB45" s="429">
        <v>127.59527671266861</v>
      </c>
      <c r="AC45" s="429">
        <v>389.04753978035626</v>
      </c>
      <c r="AD45" s="429">
        <v>3.2160240750846016</v>
      </c>
      <c r="AE45" s="429">
        <v>0</v>
      </c>
      <c r="AF45" s="429">
        <v>0</v>
      </c>
      <c r="AG45" s="429">
        <v>0</v>
      </c>
      <c r="AH45" s="429">
        <v>3.0143661973744678</v>
      </c>
      <c r="AI45" s="429">
        <v>6.2859717710951166</v>
      </c>
      <c r="AJ45" s="429">
        <v>6.2543863957642696</v>
      </c>
      <c r="AK45" s="429">
        <v>6.9304236800669852</v>
      </c>
      <c r="AL45" s="429">
        <v>0</v>
      </c>
      <c r="AM45" s="429">
        <v>0</v>
      </c>
      <c r="AN45" s="429">
        <v>0</v>
      </c>
      <c r="AO45" s="432"/>
      <c r="AP45" s="428">
        <v>41765.919937384257</v>
      </c>
      <c r="AQ45" s="431">
        <v>103.80704690758347</v>
      </c>
      <c r="AR45" s="431">
        <v>129.06987395699642</v>
      </c>
      <c r="AS45" s="431">
        <v>228.76050417556573</v>
      </c>
      <c r="AT45" s="431"/>
      <c r="AU45" s="431">
        <v>21.402420230521521</v>
      </c>
      <c r="AV45" s="431"/>
      <c r="AW45" s="431">
        <v>13.552524639178062</v>
      </c>
      <c r="AX45" s="431">
        <v>-5.6494380411078859</v>
      </c>
      <c r="AY45" s="431">
        <v>125.62168597856154</v>
      </c>
      <c r="AZ45" s="431">
        <v>-50.984696947061749</v>
      </c>
      <c r="BA45" s="431">
        <v>-1.4836782647480804</v>
      </c>
      <c r="BB45" s="431">
        <v>120.58581464932645</v>
      </c>
      <c r="BC45" s="431">
        <v>92.066898271841353</v>
      </c>
      <c r="BD45" s="431">
        <v>158.82490637735594</v>
      </c>
      <c r="BE45" s="431"/>
      <c r="BF45" s="431">
        <v>-134092.07850442341</v>
      </c>
      <c r="BG45" s="431"/>
      <c r="BH45" s="431">
        <v>493689.72219768178</v>
      </c>
      <c r="BI45" s="431">
        <v>463282.84735917905</v>
      </c>
      <c r="BJ45" s="431">
        <v>51549.680703604135</v>
      </c>
      <c r="BK45" s="431">
        <v>386327.04528227885</v>
      </c>
      <c r="BL45" s="431">
        <v>540379.21644985932</v>
      </c>
      <c r="BM45" s="431">
        <v>60128.226688386843</v>
      </c>
      <c r="BN45" s="431">
        <v>486465.13464361546</v>
      </c>
      <c r="BO45" s="431">
        <v>540379.21644985932</v>
      </c>
      <c r="BP45" s="431">
        <v>60128.226688386843</v>
      </c>
      <c r="BQ45" s="431">
        <v>347367.22696776612</v>
      </c>
      <c r="BR45" s="431">
        <v>896.62558684732312</v>
      </c>
      <c r="BS45" s="431">
        <v>0</v>
      </c>
      <c r="BT45" s="431">
        <v>0</v>
      </c>
      <c r="BU45" s="431">
        <v>0</v>
      </c>
      <c r="BV45" s="431">
        <v>823.45334739082728</v>
      </c>
      <c r="BW45" s="431">
        <v>1389.5648065447981</v>
      </c>
      <c r="BX45" s="431">
        <v>1272.1595221911132</v>
      </c>
      <c r="BY45" s="431">
        <v>1068.8960050344599</v>
      </c>
      <c r="BZ45" s="431">
        <v>0</v>
      </c>
      <c r="CA45" s="431">
        <v>0</v>
      </c>
      <c r="CB45" s="431">
        <v>0</v>
      </c>
      <c r="CC45" s="432"/>
      <c r="CD45" s="428">
        <v>41765.919937384257</v>
      </c>
      <c r="CE45" s="433">
        <v>0.28748714971565126</v>
      </c>
      <c r="CF45" s="433">
        <v>0.21550400071888681</v>
      </c>
      <c r="CG45" s="433">
        <v>0.16937758837595041</v>
      </c>
      <c r="CH45" s="433"/>
      <c r="CI45" s="433">
        <v>0.1522652682882186</v>
      </c>
      <c r="CJ45" s="433"/>
      <c r="CK45" s="433">
        <v>0.24206191622568624</v>
      </c>
      <c r="CL45" s="433">
        <v>0.25842079307449622</v>
      </c>
      <c r="CM45" s="433">
        <v>0.19899802432728636</v>
      </c>
      <c r="CN45" s="433">
        <v>0.18703686722165083</v>
      </c>
      <c r="CO45" s="433">
        <v>0.12146118479802823</v>
      </c>
      <c r="CP45" s="433">
        <v>0.60559402133974971</v>
      </c>
      <c r="CQ45" s="433">
        <v>0.67663897658204775</v>
      </c>
      <c r="CR45" s="433">
        <v>0.47764154429191003</v>
      </c>
      <c r="CS45" s="433"/>
      <c r="CT45" s="433">
        <v>0.44773699730205768</v>
      </c>
      <c r="CU45" s="433"/>
      <c r="CV45" s="433">
        <v>0.47651872850367988</v>
      </c>
      <c r="CW45" s="433">
        <v>0.47402386605078112</v>
      </c>
      <c r="CX45" s="433">
        <v>0.39912436248524713</v>
      </c>
      <c r="CY45" s="433">
        <v>0.42969927027189708</v>
      </c>
      <c r="CZ45" s="433">
        <v>0.29692854969420929</v>
      </c>
      <c r="DA45" s="433">
        <v>0.25001150066075878</v>
      </c>
      <c r="DB45" s="433">
        <v>0.78134770554504784</v>
      </c>
      <c r="DC45" s="433">
        <v>0.29692854969420929</v>
      </c>
      <c r="DD45" s="433">
        <v>0.25001150066075878</v>
      </c>
      <c r="DE45" s="433">
        <v>0.3666769988791781</v>
      </c>
      <c r="DF45" s="433">
        <v>0.38971872147364967</v>
      </c>
      <c r="DG45" s="433">
        <v>0</v>
      </c>
      <c r="DH45" s="433">
        <v>0</v>
      </c>
      <c r="DI45" s="433">
        <v>0</v>
      </c>
      <c r="DJ45" s="433">
        <v>0.34415915689920173</v>
      </c>
      <c r="DK45" s="433">
        <v>0.31548658405009739</v>
      </c>
      <c r="DL45" s="433">
        <v>0.2786050317755443</v>
      </c>
      <c r="DM45" s="433">
        <v>0.39899773865159371</v>
      </c>
      <c r="DN45" s="433">
        <v>0</v>
      </c>
      <c r="DO45" s="433">
        <v>0</v>
      </c>
      <c r="DP45" s="433">
        <v>0</v>
      </c>
      <c r="DR45" s="409" t="s">
        <v>855</v>
      </c>
      <c r="DS45" s="409" t="s">
        <v>2079</v>
      </c>
    </row>
    <row r="46" spans="2:123" s="1471" customFormat="1">
      <c r="B46" s="428">
        <v>41765.930318749997</v>
      </c>
      <c r="C46" s="429">
        <v>1.4020547836023391</v>
      </c>
      <c r="D46" s="429">
        <v>1.3909374211598799</v>
      </c>
      <c r="E46" s="429">
        <v>1.4489853669546171</v>
      </c>
      <c r="F46" s="429"/>
      <c r="G46" s="429">
        <v>1.4203074884323488</v>
      </c>
      <c r="H46" s="429"/>
      <c r="I46" s="429">
        <v>1.363610491286267</v>
      </c>
      <c r="J46" s="429">
        <v>1.4484267503760528</v>
      </c>
      <c r="K46" s="429">
        <v>1.3645671889982793</v>
      </c>
      <c r="L46" s="429">
        <v>1.4710056157810056</v>
      </c>
      <c r="M46" s="429">
        <v>1.2626937937846705</v>
      </c>
      <c r="N46" s="429">
        <v>1.3893045541429545</v>
      </c>
      <c r="O46" s="429">
        <v>1.153705881449824</v>
      </c>
      <c r="P46" s="429">
        <v>1.1611874554398431</v>
      </c>
      <c r="Q46" s="429"/>
      <c r="R46" s="429">
        <v>-144.38980632035634</v>
      </c>
      <c r="S46" s="429">
        <v>23.855789844652957</v>
      </c>
      <c r="T46" s="429">
        <v>3775.8753840782065</v>
      </c>
      <c r="U46" s="429">
        <v>3939.0474635744099</v>
      </c>
      <c r="V46" s="429">
        <v>3763.5532623475406</v>
      </c>
      <c r="W46" s="429">
        <v>941.13252650866195</v>
      </c>
      <c r="X46" s="429">
        <v>247.64279408738344</v>
      </c>
      <c r="Y46" s="429">
        <v>162.39348986608485</v>
      </c>
      <c r="Z46" s="429">
        <v>195.24962550215855</v>
      </c>
      <c r="AA46" s="429">
        <v>212.70595558740609</v>
      </c>
      <c r="AB46" s="429">
        <v>127.59527671266861</v>
      </c>
      <c r="AC46" s="429">
        <v>389.04753978035626</v>
      </c>
      <c r="AD46" s="429">
        <v>3.2160240750846016</v>
      </c>
      <c r="AE46" s="429">
        <v>0</v>
      </c>
      <c r="AF46" s="429">
        <v>0</v>
      </c>
      <c r="AG46" s="429">
        <v>0</v>
      </c>
      <c r="AH46" s="429">
        <v>3.0143661973744678</v>
      </c>
      <c r="AI46" s="429">
        <v>6.2859717710951166</v>
      </c>
      <c r="AJ46" s="429">
        <v>6.2543863957642696</v>
      </c>
      <c r="AK46" s="429">
        <v>6.9304236800669852</v>
      </c>
      <c r="AL46" s="429">
        <v>0</v>
      </c>
      <c r="AM46" s="429">
        <v>0</v>
      </c>
      <c r="AN46" s="429">
        <v>0</v>
      </c>
      <c r="AO46" s="432"/>
      <c r="AP46" s="428">
        <v>41765.930318749997</v>
      </c>
      <c r="AQ46" s="431">
        <v>103.80704690758347</v>
      </c>
      <c r="AR46" s="431">
        <v>129.06987395699642</v>
      </c>
      <c r="AS46" s="431">
        <v>228.76050417556573</v>
      </c>
      <c r="AT46" s="431"/>
      <c r="AU46" s="431">
        <v>21.402420230521521</v>
      </c>
      <c r="AV46" s="431"/>
      <c r="AW46" s="431">
        <v>13.552524639178062</v>
      </c>
      <c r="AX46" s="431">
        <v>-5.6494380411078859</v>
      </c>
      <c r="AY46" s="431">
        <v>125.62168597856154</v>
      </c>
      <c r="AZ46" s="431">
        <v>-50.984696947061749</v>
      </c>
      <c r="BA46" s="431">
        <v>-1.4836782647480804</v>
      </c>
      <c r="BB46" s="431">
        <v>120.58581464932645</v>
      </c>
      <c r="BC46" s="431">
        <v>92.066898271841353</v>
      </c>
      <c r="BD46" s="431">
        <v>158.82490637735594</v>
      </c>
      <c r="BE46" s="431"/>
      <c r="BF46" s="431">
        <v>-134092.07850442341</v>
      </c>
      <c r="BG46" s="431">
        <v>1688.5309265753599</v>
      </c>
      <c r="BH46" s="431">
        <v>493689.72219768178</v>
      </c>
      <c r="BI46" s="431">
        <v>463282.84735917905</v>
      </c>
      <c r="BJ46" s="431">
        <v>51549.680703604135</v>
      </c>
      <c r="BK46" s="431">
        <v>386327.04528227885</v>
      </c>
      <c r="BL46" s="431">
        <v>540379.21644985932</v>
      </c>
      <c r="BM46" s="431">
        <v>60128.226688386843</v>
      </c>
      <c r="BN46" s="431">
        <v>486465.13464361546</v>
      </c>
      <c r="BO46" s="431">
        <v>540379.21644985932</v>
      </c>
      <c r="BP46" s="431">
        <v>60128.226688386843</v>
      </c>
      <c r="BQ46" s="431">
        <v>347367.22696776612</v>
      </c>
      <c r="BR46" s="431">
        <v>896.62558684732312</v>
      </c>
      <c r="BS46" s="431">
        <v>0</v>
      </c>
      <c r="BT46" s="431">
        <v>0</v>
      </c>
      <c r="BU46" s="431">
        <v>0</v>
      </c>
      <c r="BV46" s="431">
        <v>823.45334739082728</v>
      </c>
      <c r="BW46" s="431">
        <v>1389.5648065447981</v>
      </c>
      <c r="BX46" s="431">
        <v>1272.1595221911132</v>
      </c>
      <c r="BY46" s="431">
        <v>1068.8960050344599</v>
      </c>
      <c r="BZ46" s="431">
        <v>0</v>
      </c>
      <c r="CA46" s="431">
        <v>0</v>
      </c>
      <c r="CB46" s="431">
        <v>0</v>
      </c>
      <c r="CC46" s="432"/>
      <c r="CD46" s="428">
        <v>41765.930318749997</v>
      </c>
      <c r="CE46" s="433">
        <v>0.28748714971565126</v>
      </c>
      <c r="CF46" s="433">
        <v>0.21550400071888681</v>
      </c>
      <c r="CG46" s="433">
        <v>0.16937758837595041</v>
      </c>
      <c r="CH46" s="433"/>
      <c r="CI46" s="433">
        <v>0.1522652682882186</v>
      </c>
      <c r="CJ46" s="433"/>
      <c r="CK46" s="433">
        <v>0.24206191622568624</v>
      </c>
      <c r="CL46" s="433">
        <v>0.25842079307449622</v>
      </c>
      <c r="CM46" s="433">
        <v>0.19899802432728636</v>
      </c>
      <c r="CN46" s="433">
        <v>0.18703686722165083</v>
      </c>
      <c r="CO46" s="433">
        <v>0.12146118479802823</v>
      </c>
      <c r="CP46" s="433">
        <v>0.60559402133974971</v>
      </c>
      <c r="CQ46" s="433">
        <v>0.67663897658204775</v>
      </c>
      <c r="CR46" s="433">
        <v>0.47764154429191003</v>
      </c>
      <c r="CS46" s="433"/>
      <c r="CT46" s="433">
        <v>0.44773699730205768</v>
      </c>
      <c r="CU46" s="433">
        <v>0.36269681480068267</v>
      </c>
      <c r="CV46" s="433">
        <v>0.47651872850367988</v>
      </c>
      <c r="CW46" s="433">
        <v>0.47402386605078112</v>
      </c>
      <c r="CX46" s="433">
        <v>0.39912436248524713</v>
      </c>
      <c r="CY46" s="433">
        <v>0.42969927027189708</v>
      </c>
      <c r="CZ46" s="433">
        <v>0.29692854969420929</v>
      </c>
      <c r="DA46" s="433">
        <v>0.25001150066075878</v>
      </c>
      <c r="DB46" s="433">
        <v>0.78134770554504784</v>
      </c>
      <c r="DC46" s="433">
        <v>0.29692854969420929</v>
      </c>
      <c r="DD46" s="433">
        <v>0.25001150066075878</v>
      </c>
      <c r="DE46" s="433">
        <v>0.3666769988791781</v>
      </c>
      <c r="DF46" s="433">
        <v>0.38971872147364967</v>
      </c>
      <c r="DG46" s="433">
        <v>0</v>
      </c>
      <c r="DH46" s="433">
        <v>0</v>
      </c>
      <c r="DI46" s="433">
        <v>0</v>
      </c>
      <c r="DJ46" s="433">
        <v>0.34415915689920173</v>
      </c>
      <c r="DK46" s="433">
        <v>0.31548658405009739</v>
      </c>
      <c r="DL46" s="433">
        <v>0.2786050317755443</v>
      </c>
      <c r="DM46" s="433">
        <v>0.39899773865159371</v>
      </c>
      <c r="DN46" s="433">
        <v>0</v>
      </c>
      <c r="DO46" s="433">
        <v>0</v>
      </c>
      <c r="DP46" s="433">
        <v>0</v>
      </c>
      <c r="DR46" s="409" t="s">
        <v>855</v>
      </c>
      <c r="DS46" s="409" t="s">
        <v>2081</v>
      </c>
    </row>
    <row r="47" spans="2:123" s="1471" customFormat="1">
      <c r="B47" s="428">
        <v>41766.594939467592</v>
      </c>
      <c r="C47" s="429">
        <v>1.4020547836023391</v>
      </c>
      <c r="D47" s="429">
        <v>1.3909374211598799</v>
      </c>
      <c r="E47" s="429">
        <v>1.4367952983377223</v>
      </c>
      <c r="F47" s="429">
        <v>1.3825078365120598</v>
      </c>
      <c r="G47" s="429">
        <v>1.3619923138280949</v>
      </c>
      <c r="H47" s="429"/>
      <c r="I47" s="429">
        <v>1.363610491286267</v>
      </c>
      <c r="J47" s="429">
        <v>1.4484267503760528</v>
      </c>
      <c r="K47" s="429">
        <v>1.3645671889982793</v>
      </c>
      <c r="L47" s="429">
        <v>1.4710056157810056</v>
      </c>
      <c r="M47" s="429">
        <v>1.2626937937846705</v>
      </c>
      <c r="N47" s="429">
        <v>1.3893045541429545</v>
      </c>
      <c r="O47" s="429">
        <v>1.153705881449824</v>
      </c>
      <c r="P47" s="429">
        <v>1.1611874554398431</v>
      </c>
      <c r="Q47" s="429">
        <v>0</v>
      </c>
      <c r="R47" s="429">
        <v>-144.38980632035634</v>
      </c>
      <c r="S47" s="429">
        <v>23.855789844652957</v>
      </c>
      <c r="T47" s="429">
        <v>3775.8753840782065</v>
      </c>
      <c r="U47" s="429">
        <v>3939.0474635744099</v>
      </c>
      <c r="V47" s="429">
        <v>3763.5532623475406</v>
      </c>
      <c r="W47" s="429">
        <v>941.13252650866195</v>
      </c>
      <c r="X47" s="429">
        <v>247.64279408738344</v>
      </c>
      <c r="Y47" s="429">
        <v>162.39348986608485</v>
      </c>
      <c r="Z47" s="429">
        <v>195.24962550215855</v>
      </c>
      <c r="AA47" s="429">
        <v>212.70595558740609</v>
      </c>
      <c r="AB47" s="429">
        <v>127.59527671266861</v>
      </c>
      <c r="AC47" s="429">
        <v>389.04753978035626</v>
      </c>
      <c r="AD47" s="429">
        <v>3.2160240750846016</v>
      </c>
      <c r="AE47" s="429">
        <v>0</v>
      </c>
      <c r="AF47" s="429">
        <v>0</v>
      </c>
      <c r="AG47" s="429">
        <v>0</v>
      </c>
      <c r="AH47" s="429">
        <v>3.0143661973744678</v>
      </c>
      <c r="AI47" s="429">
        <v>6.2859717710951166</v>
      </c>
      <c r="AJ47" s="429">
        <v>6.2543863957642696</v>
      </c>
      <c r="AK47" s="429">
        <v>6.9304236800669852</v>
      </c>
      <c r="AL47" s="429">
        <v>0</v>
      </c>
      <c r="AM47" s="429">
        <v>0</v>
      </c>
      <c r="AN47" s="429">
        <v>0</v>
      </c>
      <c r="AO47" s="432"/>
      <c r="AP47" s="428">
        <v>41766.594939467592</v>
      </c>
      <c r="AQ47" s="431">
        <v>103.80704690758347</v>
      </c>
      <c r="AR47" s="431">
        <v>129.06987395699642</v>
      </c>
      <c r="AS47" s="431">
        <v>207.82547182966621</v>
      </c>
      <c r="AT47" s="431">
        <v>110.97334021259532</v>
      </c>
      <c r="AU47" s="431">
        <v>17.075911982112</v>
      </c>
      <c r="AV47" s="431"/>
      <c r="AW47" s="431">
        <v>13.552524639178062</v>
      </c>
      <c r="AX47" s="431">
        <v>-5.6494380411078859</v>
      </c>
      <c r="AY47" s="431">
        <v>125.62168597856154</v>
      </c>
      <c r="AZ47" s="431">
        <v>-50.984696947061749</v>
      </c>
      <c r="BA47" s="431">
        <v>-1.4836782647480804</v>
      </c>
      <c r="BB47" s="431">
        <v>120.58581464932645</v>
      </c>
      <c r="BC47" s="431">
        <v>92.066898271841353</v>
      </c>
      <c r="BD47" s="431">
        <v>158.82490637735594</v>
      </c>
      <c r="BE47" s="431">
        <v>0</v>
      </c>
      <c r="BF47" s="431">
        <v>-134092.07850442341</v>
      </c>
      <c r="BG47" s="431">
        <v>1688.5309265753599</v>
      </c>
      <c r="BH47" s="431">
        <v>493689.72219768178</v>
      </c>
      <c r="BI47" s="431">
        <v>463282.84735917905</v>
      </c>
      <c r="BJ47" s="431">
        <v>51549.680703604135</v>
      </c>
      <c r="BK47" s="431">
        <v>386327.04528227885</v>
      </c>
      <c r="BL47" s="431">
        <v>540379.21644985932</v>
      </c>
      <c r="BM47" s="431">
        <v>60128.226688386843</v>
      </c>
      <c r="BN47" s="431">
        <v>486465.13464361546</v>
      </c>
      <c r="BO47" s="431">
        <v>540379.21644985932</v>
      </c>
      <c r="BP47" s="431">
        <v>60128.226688386843</v>
      </c>
      <c r="BQ47" s="431">
        <v>347367.22696776612</v>
      </c>
      <c r="BR47" s="431">
        <v>896.62558684732312</v>
      </c>
      <c r="BS47" s="431">
        <v>0</v>
      </c>
      <c r="BT47" s="431">
        <v>0</v>
      </c>
      <c r="BU47" s="431">
        <v>0</v>
      </c>
      <c r="BV47" s="431">
        <v>823.45334739082728</v>
      </c>
      <c r="BW47" s="431">
        <v>1389.5648065447981</v>
      </c>
      <c r="BX47" s="431">
        <v>1272.1595221911132</v>
      </c>
      <c r="BY47" s="431">
        <v>1068.8960050344599</v>
      </c>
      <c r="BZ47" s="431">
        <v>0</v>
      </c>
      <c r="CA47" s="431">
        <v>0</v>
      </c>
      <c r="CB47" s="431">
        <v>0</v>
      </c>
      <c r="CC47" s="432"/>
      <c r="CD47" s="428">
        <v>41766.594939467592</v>
      </c>
      <c r="CE47" s="433">
        <v>0.28748714971565126</v>
      </c>
      <c r="CF47" s="433">
        <v>0.21550400071888681</v>
      </c>
      <c r="CG47" s="433">
        <v>0.17906413496796705</v>
      </c>
      <c r="CH47" s="433">
        <v>0.18129447203534546</v>
      </c>
      <c r="CI47" s="433">
        <v>0.12028956194769269</v>
      </c>
      <c r="CJ47" s="433"/>
      <c r="CK47" s="433">
        <v>0.24206191622568624</v>
      </c>
      <c r="CL47" s="433">
        <v>0.25842079307449622</v>
      </c>
      <c r="CM47" s="433">
        <v>0.19899802432728636</v>
      </c>
      <c r="CN47" s="433">
        <v>0.18703686722165083</v>
      </c>
      <c r="CO47" s="433">
        <v>0.12146118479802823</v>
      </c>
      <c r="CP47" s="433">
        <v>0.60559402133974971</v>
      </c>
      <c r="CQ47" s="433">
        <v>0.67663897658204775</v>
      </c>
      <c r="CR47" s="433">
        <v>0.47764154429191003</v>
      </c>
      <c r="CS47" s="433">
        <v>0</v>
      </c>
      <c r="CT47" s="433">
        <v>0.44773699730205768</v>
      </c>
      <c r="CU47" s="433">
        <v>0.36269681480068267</v>
      </c>
      <c r="CV47" s="433">
        <v>0.47651872850367988</v>
      </c>
      <c r="CW47" s="433">
        <v>0.47402386605078112</v>
      </c>
      <c r="CX47" s="433">
        <v>0.39912436248524713</v>
      </c>
      <c r="CY47" s="433">
        <v>0.42969927027189708</v>
      </c>
      <c r="CZ47" s="433">
        <v>0.29692854969420929</v>
      </c>
      <c r="DA47" s="433">
        <v>0.25001150066075878</v>
      </c>
      <c r="DB47" s="433">
        <v>0.78134770554504784</v>
      </c>
      <c r="DC47" s="433">
        <v>0.29692854969420929</v>
      </c>
      <c r="DD47" s="433">
        <v>0.25001150066075878</v>
      </c>
      <c r="DE47" s="433">
        <v>0.3666769988791781</v>
      </c>
      <c r="DF47" s="433">
        <v>0.38971872147364967</v>
      </c>
      <c r="DG47" s="433">
        <v>0</v>
      </c>
      <c r="DH47" s="433">
        <v>0</v>
      </c>
      <c r="DI47" s="433">
        <v>0</v>
      </c>
      <c r="DJ47" s="433">
        <v>0.34415915689920173</v>
      </c>
      <c r="DK47" s="433">
        <v>0.31548658405009739</v>
      </c>
      <c r="DL47" s="433">
        <v>0.2786050317755443</v>
      </c>
      <c r="DM47" s="433">
        <v>0.39899773865159371</v>
      </c>
      <c r="DN47" s="433">
        <v>0</v>
      </c>
      <c r="DO47" s="433">
        <v>0</v>
      </c>
      <c r="DP47" s="433">
        <v>0</v>
      </c>
      <c r="DR47" s="409" t="s">
        <v>855</v>
      </c>
      <c r="DS47" s="409" t="s">
        <v>2085</v>
      </c>
    </row>
    <row r="48" spans="2:123" s="1471" customFormat="1">
      <c r="B48" s="428">
        <v>41766.601238078707</v>
      </c>
      <c r="C48" s="429">
        <v>1.4020547836023391</v>
      </c>
      <c r="D48" s="429">
        <v>1.3909374211598799</v>
      </c>
      <c r="E48" s="429">
        <v>1.4367952983377223</v>
      </c>
      <c r="F48" s="429">
        <v>1.3825078365120598</v>
      </c>
      <c r="G48" s="429">
        <v>1.3619923138280949</v>
      </c>
      <c r="H48" s="429">
        <v>1.4178778394210614</v>
      </c>
      <c r="I48" s="429">
        <v>1.363610491286267</v>
      </c>
      <c r="J48" s="429">
        <v>1.4484267503760528</v>
      </c>
      <c r="K48" s="429">
        <v>1.3645671889982793</v>
      </c>
      <c r="L48" s="429">
        <v>1.4710056157810056</v>
      </c>
      <c r="M48" s="429">
        <v>1.2626937937846705</v>
      </c>
      <c r="N48" s="429">
        <v>1.3893045541429545</v>
      </c>
      <c r="O48" s="429">
        <v>1.153705881449824</v>
      </c>
      <c r="P48" s="429">
        <v>1.1611874554398431</v>
      </c>
      <c r="Q48" s="429">
        <v>0</v>
      </c>
      <c r="R48" s="429">
        <v>-144.38980632035634</v>
      </c>
      <c r="S48" s="429">
        <v>23.855789844652957</v>
      </c>
      <c r="T48" s="429">
        <v>3775.8753840782065</v>
      </c>
      <c r="U48" s="429">
        <v>3939.0474635744099</v>
      </c>
      <c r="V48" s="429">
        <v>3763.5532623475406</v>
      </c>
      <c r="W48" s="429">
        <v>941.13252650866195</v>
      </c>
      <c r="X48" s="429">
        <v>247.64279408738344</v>
      </c>
      <c r="Y48" s="429">
        <v>162.39348986608485</v>
      </c>
      <c r="Z48" s="429">
        <v>195.24962550215855</v>
      </c>
      <c r="AA48" s="429">
        <v>212.70595558740609</v>
      </c>
      <c r="AB48" s="429">
        <v>127.59527671266861</v>
      </c>
      <c r="AC48" s="429">
        <v>389.04753978035626</v>
      </c>
      <c r="AD48" s="429">
        <v>3.2160240750846016</v>
      </c>
      <c r="AE48" s="429">
        <v>0</v>
      </c>
      <c r="AF48" s="429">
        <v>0</v>
      </c>
      <c r="AG48" s="429">
        <v>0</v>
      </c>
      <c r="AH48" s="429">
        <v>3.0143661973744678</v>
      </c>
      <c r="AI48" s="429">
        <v>6.2859717710951166</v>
      </c>
      <c r="AJ48" s="429">
        <v>6.2543863957642696</v>
      </c>
      <c r="AK48" s="429">
        <v>6.9304236800669852</v>
      </c>
      <c r="AL48" s="429">
        <v>0</v>
      </c>
      <c r="AM48" s="429">
        <v>0</v>
      </c>
      <c r="AN48" s="429">
        <v>0</v>
      </c>
      <c r="AO48" s="432"/>
      <c r="AP48" s="428">
        <v>41766.601238078707</v>
      </c>
      <c r="AQ48" s="431">
        <v>103.80704690758347</v>
      </c>
      <c r="AR48" s="431">
        <v>129.06987395699642</v>
      </c>
      <c r="AS48" s="431">
        <v>207.82547182966621</v>
      </c>
      <c r="AT48" s="431">
        <v>110.97334021259532</v>
      </c>
      <c r="AU48" s="431">
        <v>17.075911982112</v>
      </c>
      <c r="AV48" s="431">
        <v>208.25341712478908</v>
      </c>
      <c r="AW48" s="431">
        <v>13.552524639178062</v>
      </c>
      <c r="AX48" s="431">
        <v>-5.6494380411078859</v>
      </c>
      <c r="AY48" s="431">
        <v>125.62168597856154</v>
      </c>
      <c r="AZ48" s="431">
        <v>-50.984696947061749</v>
      </c>
      <c r="BA48" s="431">
        <v>-1.4836782647480804</v>
      </c>
      <c r="BB48" s="431">
        <v>120.58581464932645</v>
      </c>
      <c r="BC48" s="431">
        <v>92.066898271841353</v>
      </c>
      <c r="BD48" s="431">
        <v>158.82490637735594</v>
      </c>
      <c r="BE48" s="431">
        <v>0</v>
      </c>
      <c r="BF48" s="431">
        <v>-134092.07850442341</v>
      </c>
      <c r="BG48" s="431">
        <v>1688.5309265753599</v>
      </c>
      <c r="BH48" s="431">
        <v>493689.72219768178</v>
      </c>
      <c r="BI48" s="431">
        <v>463282.84735917905</v>
      </c>
      <c r="BJ48" s="431">
        <v>51549.680703604135</v>
      </c>
      <c r="BK48" s="431">
        <v>386327.04528227885</v>
      </c>
      <c r="BL48" s="431">
        <v>540379.21644985932</v>
      </c>
      <c r="BM48" s="431">
        <v>60128.226688386843</v>
      </c>
      <c r="BN48" s="431">
        <v>486465.13464361546</v>
      </c>
      <c r="BO48" s="431">
        <v>540379.21644985932</v>
      </c>
      <c r="BP48" s="431">
        <v>60128.226688386843</v>
      </c>
      <c r="BQ48" s="431">
        <v>347367.22696776612</v>
      </c>
      <c r="BR48" s="431">
        <v>896.62558684732312</v>
      </c>
      <c r="BS48" s="431">
        <v>0</v>
      </c>
      <c r="BT48" s="431">
        <v>0</v>
      </c>
      <c r="BU48" s="431">
        <v>0</v>
      </c>
      <c r="BV48" s="431">
        <v>823.45334739082728</v>
      </c>
      <c r="BW48" s="431">
        <v>1389.5648065447981</v>
      </c>
      <c r="BX48" s="431">
        <v>1272.1595221911132</v>
      </c>
      <c r="BY48" s="431">
        <v>1068.8960050344599</v>
      </c>
      <c r="BZ48" s="431">
        <v>0</v>
      </c>
      <c r="CA48" s="431">
        <v>0</v>
      </c>
      <c r="CB48" s="431">
        <v>0</v>
      </c>
      <c r="CC48" s="432"/>
      <c r="CD48" s="428">
        <v>41766.601238078707</v>
      </c>
      <c r="CE48" s="433">
        <v>0.28748714971565126</v>
      </c>
      <c r="CF48" s="433">
        <v>0.21550400071888681</v>
      </c>
      <c r="CG48" s="433">
        <v>0.17906413496796705</v>
      </c>
      <c r="CH48" s="433">
        <v>0.18129447203534546</v>
      </c>
      <c r="CI48" s="433">
        <v>0.12028956194769269</v>
      </c>
      <c r="CJ48" s="433">
        <v>0.24398425376432539</v>
      </c>
      <c r="CK48" s="433">
        <v>0.24206191622568624</v>
      </c>
      <c r="CL48" s="433">
        <v>0.25842079307449622</v>
      </c>
      <c r="CM48" s="433">
        <v>0.19899802432728636</v>
      </c>
      <c r="CN48" s="433">
        <v>0.18703686722165083</v>
      </c>
      <c r="CO48" s="433">
        <v>0.12146118479802823</v>
      </c>
      <c r="CP48" s="433">
        <v>0.60559402133974971</v>
      </c>
      <c r="CQ48" s="433">
        <v>0.67663897658204775</v>
      </c>
      <c r="CR48" s="433">
        <v>0.47764154429191003</v>
      </c>
      <c r="CS48" s="433">
        <v>0</v>
      </c>
      <c r="CT48" s="433">
        <v>0.44773699730205768</v>
      </c>
      <c r="CU48" s="433">
        <v>0.36269681480068267</v>
      </c>
      <c r="CV48" s="433">
        <v>0.47651872850367988</v>
      </c>
      <c r="CW48" s="433">
        <v>0.47402386605078112</v>
      </c>
      <c r="CX48" s="433">
        <v>0.39912436248524713</v>
      </c>
      <c r="CY48" s="433">
        <v>0.42969927027189708</v>
      </c>
      <c r="CZ48" s="433">
        <v>0.29692854969420929</v>
      </c>
      <c r="DA48" s="433">
        <v>0.25001150066075878</v>
      </c>
      <c r="DB48" s="433">
        <v>0.78134770554504784</v>
      </c>
      <c r="DC48" s="433">
        <v>0.29692854969420929</v>
      </c>
      <c r="DD48" s="433">
        <v>0.25001150066075878</v>
      </c>
      <c r="DE48" s="433">
        <v>0.3666769988791781</v>
      </c>
      <c r="DF48" s="433">
        <v>0.38971872147364967</v>
      </c>
      <c r="DG48" s="433">
        <v>0</v>
      </c>
      <c r="DH48" s="433">
        <v>0</v>
      </c>
      <c r="DI48" s="433">
        <v>0</v>
      </c>
      <c r="DJ48" s="433">
        <v>0.34415915689920173</v>
      </c>
      <c r="DK48" s="433">
        <v>0.31548658405009739</v>
      </c>
      <c r="DL48" s="433">
        <v>0.2786050317755443</v>
      </c>
      <c r="DM48" s="433">
        <v>0.39899773865159371</v>
      </c>
      <c r="DN48" s="433">
        <v>0</v>
      </c>
      <c r="DO48" s="433">
        <v>0</v>
      </c>
      <c r="DP48" s="433">
        <v>0</v>
      </c>
      <c r="DR48" s="409" t="s">
        <v>855</v>
      </c>
      <c r="DS48" s="409" t="s">
        <v>2089</v>
      </c>
    </row>
    <row r="49" spans="2:123" s="1471" customFormat="1">
      <c r="B49" s="428">
        <v>41766.684389930553</v>
      </c>
      <c r="C49" s="429">
        <v>1.4020547836023391</v>
      </c>
      <c r="D49" s="429">
        <v>1.3909374211598799</v>
      </c>
      <c r="E49" s="429">
        <v>1.4367952983377223</v>
      </c>
      <c r="F49" s="429">
        <v>1.3825078365120598</v>
      </c>
      <c r="G49" s="429">
        <v>1.3619923138280949</v>
      </c>
      <c r="H49" s="429">
        <v>1.4206145969210613</v>
      </c>
      <c r="I49" s="429">
        <v>1.4341174677063866</v>
      </c>
      <c r="J49" s="429">
        <v>1.4764399527844061</v>
      </c>
      <c r="K49" s="429">
        <v>1.3645671889982793</v>
      </c>
      <c r="L49" s="429">
        <v>1.4710056157810056</v>
      </c>
      <c r="M49" s="429">
        <v>1.2658749250921697</v>
      </c>
      <c r="N49" s="429">
        <v>1.3893045541429545</v>
      </c>
      <c r="O49" s="429">
        <v>1.153705881449824</v>
      </c>
      <c r="P49" s="429">
        <v>1.1611874554398431</v>
      </c>
      <c r="Q49" s="429">
        <v>2899.1751444976271</v>
      </c>
      <c r="R49" s="429">
        <v>-144.38980632035634</v>
      </c>
      <c r="S49" s="429">
        <v>10.425933164998435</v>
      </c>
      <c r="T49" s="429">
        <v>3775.8753840782065</v>
      </c>
      <c r="U49" s="429">
        <v>3939.0474635744099</v>
      </c>
      <c r="V49" s="429">
        <v>4085.5540046182873</v>
      </c>
      <c r="W49" s="429">
        <v>941.13252650866195</v>
      </c>
      <c r="X49" s="429">
        <v>247.64279408738344</v>
      </c>
      <c r="Y49" s="429">
        <v>169.28087437407274</v>
      </c>
      <c r="Z49" s="429" t="e">
        <v>#N/A</v>
      </c>
      <c r="AA49" s="429">
        <v>212.70595558740609</v>
      </c>
      <c r="AB49" s="429">
        <v>134.05477341441971</v>
      </c>
      <c r="AC49" s="429">
        <v>389.04753978035626</v>
      </c>
      <c r="AD49" s="429">
        <v>3.2160240750846016</v>
      </c>
      <c r="AE49" s="429">
        <v>0</v>
      </c>
      <c r="AF49" s="429">
        <v>0</v>
      </c>
      <c r="AG49" s="429">
        <v>0</v>
      </c>
      <c r="AH49" s="429">
        <v>3.0143661973744678</v>
      </c>
      <c r="AI49" s="429">
        <v>6.2859717710951166</v>
      </c>
      <c r="AJ49" s="429">
        <v>6.2543863957642696</v>
      </c>
      <c r="AK49" s="429">
        <v>6.9304236800669852</v>
      </c>
      <c r="AL49" s="429">
        <v>0</v>
      </c>
      <c r="AM49" s="429">
        <v>0</v>
      </c>
      <c r="AN49" s="429">
        <v>0</v>
      </c>
      <c r="AO49" s="432"/>
      <c r="AP49" s="428">
        <v>41766.684389930553</v>
      </c>
      <c r="AQ49" s="431">
        <v>103.80704690758347</v>
      </c>
      <c r="AR49" s="431">
        <v>129.06987395699642</v>
      </c>
      <c r="AS49" s="431">
        <v>207.82547182966621</v>
      </c>
      <c r="AT49" s="431">
        <v>110.97334021259532</v>
      </c>
      <c r="AU49" s="431">
        <v>17.075911982112</v>
      </c>
      <c r="AV49" s="431">
        <v>208.25341712478908</v>
      </c>
      <c r="AW49" s="431">
        <v>16.012385523999228</v>
      </c>
      <c r="AX49" s="431">
        <v>-6.3601684540223866</v>
      </c>
      <c r="AY49" s="431">
        <v>125.62168597856154</v>
      </c>
      <c r="AZ49" s="431">
        <v>-50.984696947061749</v>
      </c>
      <c r="BA49" s="431">
        <v>-1.6057827660823965</v>
      </c>
      <c r="BB49" s="431">
        <v>120.58581464932645</v>
      </c>
      <c r="BC49" s="431">
        <v>92.066898271841353</v>
      </c>
      <c r="BD49" s="431">
        <v>158.82490637735594</v>
      </c>
      <c r="BE49" s="431">
        <v>386072.96221439034</v>
      </c>
      <c r="BF49" s="431">
        <v>-134092.07850442341</v>
      </c>
      <c r="BG49" s="431">
        <v>1046.2119877911978</v>
      </c>
      <c r="BH49" s="431">
        <v>493689.72219768178</v>
      </c>
      <c r="BI49" s="431">
        <v>463282.84735917905</v>
      </c>
      <c r="BJ49" s="431">
        <v>62771.349005472119</v>
      </c>
      <c r="BK49" s="431">
        <v>386327.04528227885</v>
      </c>
      <c r="BL49" s="431">
        <v>540379.21644985932</v>
      </c>
      <c r="BM49" s="431">
        <v>73217.328429989444</v>
      </c>
      <c r="BN49" s="431">
        <v>486465.13464361546</v>
      </c>
      <c r="BO49" s="431">
        <v>540379.21644985932</v>
      </c>
      <c r="BP49" s="431">
        <v>73217.328429989444</v>
      </c>
      <c r="BQ49" s="431">
        <v>347367.22696776612</v>
      </c>
      <c r="BR49" s="431">
        <v>896.62558684732312</v>
      </c>
      <c r="BS49" s="431">
        <v>0</v>
      </c>
      <c r="BT49" s="431">
        <v>0</v>
      </c>
      <c r="BU49" s="431">
        <v>0</v>
      </c>
      <c r="BV49" s="431">
        <v>823.45334739082728</v>
      </c>
      <c r="BW49" s="431">
        <v>1389.5648065447981</v>
      </c>
      <c r="BX49" s="431">
        <v>1272.1595221911132</v>
      </c>
      <c r="BY49" s="431">
        <v>1068.8960050344599</v>
      </c>
      <c r="BZ49" s="431">
        <v>0</v>
      </c>
      <c r="CA49" s="431">
        <v>0</v>
      </c>
      <c r="CB49" s="431">
        <v>0</v>
      </c>
      <c r="CC49" s="432"/>
      <c r="CD49" s="428">
        <v>41766.684389930553</v>
      </c>
      <c r="CE49" s="433">
        <v>0.28748714971565126</v>
      </c>
      <c r="CF49" s="433">
        <v>0.21550400071888681</v>
      </c>
      <c r="CG49" s="433">
        <v>0.17906413496796705</v>
      </c>
      <c r="CH49" s="433">
        <v>0.18129447203534546</v>
      </c>
      <c r="CI49" s="433">
        <v>0.12028956194769269</v>
      </c>
      <c r="CJ49" s="433">
        <v>0.24398425376432539</v>
      </c>
      <c r="CK49" s="433">
        <v>0.24206191622568624</v>
      </c>
      <c r="CL49" s="433">
        <v>0.25842079307449622</v>
      </c>
      <c r="CM49" s="433">
        <v>0.19899802432728636</v>
      </c>
      <c r="CN49" s="433">
        <v>0.18703686722165083</v>
      </c>
      <c r="CO49" s="433">
        <v>0.12146118479802823</v>
      </c>
      <c r="CP49" s="433">
        <v>0.60559402133974971</v>
      </c>
      <c r="CQ49" s="433">
        <v>0.67663897658204775</v>
      </c>
      <c r="CR49" s="433">
        <v>0.47764154429191003</v>
      </c>
      <c r="CS49" s="433">
        <v>0.39482980361733477</v>
      </c>
      <c r="CT49" s="433">
        <v>0.44773699730205768</v>
      </c>
      <c r="CU49" s="433">
        <v>0.36269681480068267</v>
      </c>
      <c r="CV49" s="433">
        <v>0.47651872850367988</v>
      </c>
      <c r="CW49" s="433">
        <v>0.47402386605078112</v>
      </c>
      <c r="CX49" s="433">
        <v>0.39912436248524713</v>
      </c>
      <c r="CY49" s="433">
        <v>0.42969927027189708</v>
      </c>
      <c r="CZ49" s="433">
        <v>0.29692854969420929</v>
      </c>
      <c r="DA49" s="433">
        <v>0.25001150066075878</v>
      </c>
      <c r="DB49" s="433">
        <v>0.78134770554504784</v>
      </c>
      <c r="DC49" s="433">
        <v>0.29692854969420929</v>
      </c>
      <c r="DD49" s="433">
        <v>0.25001150066075878</v>
      </c>
      <c r="DE49" s="433">
        <v>0.3666769988791781</v>
      </c>
      <c r="DF49" s="433">
        <v>0.38971872147364967</v>
      </c>
      <c r="DG49" s="433">
        <v>0</v>
      </c>
      <c r="DH49" s="433">
        <v>0</v>
      </c>
      <c r="DI49" s="433">
        <v>0</v>
      </c>
      <c r="DJ49" s="433">
        <v>0.34415915689920173</v>
      </c>
      <c r="DK49" s="433">
        <v>0.31548658405009739</v>
      </c>
      <c r="DL49" s="433">
        <v>0.2786050317755443</v>
      </c>
      <c r="DM49" s="433">
        <v>0.39899773865159371</v>
      </c>
      <c r="DN49" s="433">
        <v>0</v>
      </c>
      <c r="DO49" s="433">
        <v>0</v>
      </c>
      <c r="DP49" s="433">
        <v>0</v>
      </c>
      <c r="DR49" s="409" t="s">
        <v>855</v>
      </c>
      <c r="DS49" s="409" t="s">
        <v>2098</v>
      </c>
    </row>
    <row r="50" spans="2:123" s="1471" customFormat="1">
      <c r="B50" s="428">
        <v>41766.68868796296</v>
      </c>
      <c r="C50" s="429">
        <v>1.4020547836023391</v>
      </c>
      <c r="D50" s="429">
        <v>1.3909374211598799</v>
      </c>
      <c r="E50" s="429">
        <v>1.4367952983377223</v>
      </c>
      <c r="F50" s="429">
        <v>1.3825078365120598</v>
      </c>
      <c r="G50" s="429">
        <v>1.3619923138280949</v>
      </c>
      <c r="H50" s="429">
        <v>1.4206145969210613</v>
      </c>
      <c r="I50" s="429">
        <v>1.4341174677063866</v>
      </c>
      <c r="J50" s="429">
        <v>1.4764399527844061</v>
      </c>
      <c r="K50" s="429">
        <v>1.3645671889982793</v>
      </c>
      <c r="L50" s="429">
        <v>1.4710056157810056</v>
      </c>
      <c r="M50" s="429">
        <v>1.2658749250921697</v>
      </c>
      <c r="N50" s="429">
        <v>1.3893045541429545</v>
      </c>
      <c r="O50" s="429">
        <v>1.153705881449824</v>
      </c>
      <c r="P50" s="429">
        <v>1.1611874554398431</v>
      </c>
      <c r="Q50" s="429">
        <v>2899.1751444976271</v>
      </c>
      <c r="R50" s="429">
        <v>-144.38980632035634</v>
      </c>
      <c r="S50" s="429">
        <v>10.425933164998435</v>
      </c>
      <c r="T50" s="429">
        <v>3775.8753840782065</v>
      </c>
      <c r="U50" s="429">
        <v>3939.0474635744099</v>
      </c>
      <c r="V50" s="429">
        <v>4085.5540046182873</v>
      </c>
      <c r="W50" s="429">
        <v>941.13252650866195</v>
      </c>
      <c r="X50" s="429">
        <v>247.64279408738344</v>
      </c>
      <c r="Y50" s="429">
        <v>169.28087437407274</v>
      </c>
      <c r="Z50" s="429">
        <v>195.24962550215855</v>
      </c>
      <c r="AA50" s="429">
        <v>212.70595558740609</v>
      </c>
      <c r="AB50" s="429">
        <v>134.05477341441971</v>
      </c>
      <c r="AC50" s="429">
        <v>389.04753978035626</v>
      </c>
      <c r="AD50" s="429">
        <v>3.2160240750846016</v>
      </c>
      <c r="AE50" s="429">
        <v>0</v>
      </c>
      <c r="AF50" s="429">
        <v>0</v>
      </c>
      <c r="AG50" s="429">
        <v>0</v>
      </c>
      <c r="AH50" s="429">
        <v>3.0143661973744678</v>
      </c>
      <c r="AI50" s="429">
        <v>6.2859717710951166</v>
      </c>
      <c r="AJ50" s="429">
        <v>6.2543863957642696</v>
      </c>
      <c r="AK50" s="429">
        <v>6.9304236800669852</v>
      </c>
      <c r="AL50" s="429">
        <v>0</v>
      </c>
      <c r="AM50" s="429">
        <v>0</v>
      </c>
      <c r="AN50" s="429">
        <v>0</v>
      </c>
      <c r="AO50" s="432"/>
      <c r="AP50" s="428">
        <v>41766.68868796296</v>
      </c>
      <c r="AQ50" s="431">
        <v>103.80704690758347</v>
      </c>
      <c r="AR50" s="431">
        <v>129.06987395699642</v>
      </c>
      <c r="AS50" s="431">
        <v>207.82547182966621</v>
      </c>
      <c r="AT50" s="431">
        <v>110.97334021259532</v>
      </c>
      <c r="AU50" s="431">
        <v>17.075911982112</v>
      </c>
      <c r="AV50" s="431">
        <v>208.25341712478908</v>
      </c>
      <c r="AW50" s="431">
        <v>16.012385523999228</v>
      </c>
      <c r="AX50" s="431">
        <v>-6.3601684540223866</v>
      </c>
      <c r="AY50" s="431">
        <v>125.62168597856154</v>
      </c>
      <c r="AZ50" s="431">
        <v>-50.984696947061749</v>
      </c>
      <c r="BA50" s="431">
        <v>-1.6057827660823965</v>
      </c>
      <c r="BB50" s="431">
        <v>120.58581464932645</v>
      </c>
      <c r="BC50" s="431">
        <v>92.066898271841353</v>
      </c>
      <c r="BD50" s="431">
        <v>158.82490637735594</v>
      </c>
      <c r="BE50" s="431">
        <v>386072.96221439034</v>
      </c>
      <c r="BF50" s="431">
        <v>-134092.07850442341</v>
      </c>
      <c r="BG50" s="431">
        <v>1046.2119877911978</v>
      </c>
      <c r="BH50" s="431">
        <v>493689.72219768178</v>
      </c>
      <c r="BI50" s="431">
        <v>463282.84735917905</v>
      </c>
      <c r="BJ50" s="431">
        <v>62771.349005472119</v>
      </c>
      <c r="BK50" s="431">
        <v>386327.04528227885</v>
      </c>
      <c r="BL50" s="431">
        <v>540379.21644985932</v>
      </c>
      <c r="BM50" s="431">
        <v>73217.328429989444</v>
      </c>
      <c r="BN50" s="431">
        <v>486465.13464361546</v>
      </c>
      <c r="BO50" s="431">
        <v>540379.21644985932</v>
      </c>
      <c r="BP50" s="431">
        <v>73217.328429989444</v>
      </c>
      <c r="BQ50" s="431">
        <v>347367.22696776612</v>
      </c>
      <c r="BR50" s="431">
        <v>896.62558684732312</v>
      </c>
      <c r="BS50" s="431">
        <v>0</v>
      </c>
      <c r="BT50" s="431">
        <v>0</v>
      </c>
      <c r="BU50" s="431">
        <v>0</v>
      </c>
      <c r="BV50" s="431">
        <v>823.45334739082728</v>
      </c>
      <c r="BW50" s="431">
        <v>1389.5648065447981</v>
      </c>
      <c r="BX50" s="431">
        <v>1272.1595221911132</v>
      </c>
      <c r="BY50" s="431">
        <v>1068.8960050344599</v>
      </c>
      <c r="BZ50" s="431">
        <v>0</v>
      </c>
      <c r="CA50" s="431">
        <v>0</v>
      </c>
      <c r="CB50" s="431">
        <v>0</v>
      </c>
      <c r="CC50" s="432"/>
      <c r="CD50" s="428">
        <v>41766.68868796296</v>
      </c>
      <c r="CE50" s="433">
        <v>0.28748714971565126</v>
      </c>
      <c r="CF50" s="433">
        <v>0.21550400071888681</v>
      </c>
      <c r="CG50" s="433">
        <v>0.17906413496796705</v>
      </c>
      <c r="CH50" s="433">
        <v>0.18129447203534546</v>
      </c>
      <c r="CI50" s="433">
        <v>0.12028956194769269</v>
      </c>
      <c r="CJ50" s="433">
        <v>0.24398425376432539</v>
      </c>
      <c r="CK50" s="433">
        <v>0.24206191622568624</v>
      </c>
      <c r="CL50" s="433">
        <v>0.25842079307449622</v>
      </c>
      <c r="CM50" s="433">
        <v>0.19899802432728636</v>
      </c>
      <c r="CN50" s="433">
        <v>0.18703686722165083</v>
      </c>
      <c r="CO50" s="433">
        <v>0.12146118479802823</v>
      </c>
      <c r="CP50" s="433">
        <v>0.60559402133974971</v>
      </c>
      <c r="CQ50" s="433">
        <v>0.67663897658204775</v>
      </c>
      <c r="CR50" s="433">
        <v>0.47764154429191003</v>
      </c>
      <c r="CS50" s="433">
        <v>0.39482980361733477</v>
      </c>
      <c r="CT50" s="433">
        <v>0.44773699730205768</v>
      </c>
      <c r="CU50" s="433">
        <v>0.36269681480068267</v>
      </c>
      <c r="CV50" s="433">
        <v>0.47651872850367988</v>
      </c>
      <c r="CW50" s="433">
        <v>0.47402386605078112</v>
      </c>
      <c r="CX50" s="433">
        <v>0.39912436248524713</v>
      </c>
      <c r="CY50" s="433">
        <v>0.42969927027189708</v>
      </c>
      <c r="CZ50" s="433">
        <v>0.29692854969420929</v>
      </c>
      <c r="DA50" s="433">
        <v>0.25001150066075878</v>
      </c>
      <c r="DB50" s="433">
        <v>0.78134770554504784</v>
      </c>
      <c r="DC50" s="433">
        <v>0.29692854969420929</v>
      </c>
      <c r="DD50" s="433">
        <v>0.25001150066075878</v>
      </c>
      <c r="DE50" s="433">
        <v>0.3666769988791781</v>
      </c>
      <c r="DF50" s="433">
        <v>0.38971872147364967</v>
      </c>
      <c r="DG50" s="433">
        <v>0</v>
      </c>
      <c r="DH50" s="433">
        <v>0</v>
      </c>
      <c r="DI50" s="433">
        <v>0</v>
      </c>
      <c r="DJ50" s="433">
        <v>0.34415915689920173</v>
      </c>
      <c r="DK50" s="433">
        <v>0.31548658405009739</v>
      </c>
      <c r="DL50" s="433">
        <v>0.2786050317755443</v>
      </c>
      <c r="DM50" s="433">
        <v>0.39899773865159371</v>
      </c>
      <c r="DN50" s="433">
        <v>0</v>
      </c>
      <c r="DO50" s="433">
        <v>0</v>
      </c>
      <c r="DP50" s="433">
        <v>0</v>
      </c>
      <c r="DR50" s="409" t="s">
        <v>855</v>
      </c>
      <c r="DS50" s="409" t="s">
        <v>2099</v>
      </c>
    </row>
    <row r="51" spans="2:123" s="1471" customFormat="1">
      <c r="B51" s="428">
        <v>41767.683648032405</v>
      </c>
      <c r="C51" s="429">
        <v>1.40207125095194</v>
      </c>
      <c r="D51" s="429">
        <v>1.390963803366321</v>
      </c>
      <c r="E51" s="429">
        <v>1.4369012173628481</v>
      </c>
      <c r="F51" s="429">
        <v>1.3825293138361339</v>
      </c>
      <c r="G51" s="429">
        <v>1.3619923138280949</v>
      </c>
      <c r="H51" s="429">
        <v>1.4206297392110185</v>
      </c>
      <c r="I51" s="429">
        <v>1.4341174677063866</v>
      </c>
      <c r="J51" s="429">
        <v>1.4764399527844061</v>
      </c>
      <c r="K51" s="429">
        <v>1.364412055304471</v>
      </c>
      <c r="L51" s="429">
        <v>1.4711494489178616</v>
      </c>
      <c r="M51" s="429">
        <v>1.2658749250921697</v>
      </c>
      <c r="N51" s="429">
        <v>1.3897559634634375</v>
      </c>
      <c r="O51" s="429">
        <v>1.1540505328356496</v>
      </c>
      <c r="P51" s="429">
        <v>1.1617390779551877</v>
      </c>
      <c r="Q51" s="429">
        <v>2899.2811688884981</v>
      </c>
      <c r="R51" s="429">
        <v>-144.91012954543214</v>
      </c>
      <c r="S51" s="429">
        <v>10.425933164998435</v>
      </c>
      <c r="T51" s="429">
        <v>3776.0109624719253</v>
      </c>
      <c r="U51" s="429">
        <v>3939.1225860897202</v>
      </c>
      <c r="V51" s="429">
        <v>4085.5540046182873</v>
      </c>
      <c r="W51" s="429">
        <v>940.56196433022797</v>
      </c>
      <c r="X51" s="429">
        <v>247.73050180039911</v>
      </c>
      <c r="Y51" s="429">
        <v>169.28087437407274</v>
      </c>
      <c r="Z51" s="429">
        <v>197.07276703780269</v>
      </c>
      <c r="AA51" s="429">
        <v>212.79366339769965</v>
      </c>
      <c r="AB51" s="429">
        <v>134.05477341441971</v>
      </c>
      <c r="AC51" s="429">
        <v>388.60981451765667</v>
      </c>
      <c r="AD51" s="429">
        <v>3.2161677645960047</v>
      </c>
      <c r="AE51" s="429">
        <v>0</v>
      </c>
      <c r="AF51" s="429">
        <v>0</v>
      </c>
      <c r="AG51" s="429">
        <v>0</v>
      </c>
      <c r="AH51" s="429">
        <v>3.0133621708752156</v>
      </c>
      <c r="AI51" s="429">
        <v>6.2861941293136558</v>
      </c>
      <c r="AJ51" s="429">
        <v>6.2528326738428897</v>
      </c>
      <c r="AK51" s="429">
        <v>6.9305947248504767</v>
      </c>
      <c r="AL51" s="429">
        <v>0</v>
      </c>
      <c r="AM51" s="429">
        <v>0</v>
      </c>
      <c r="AN51" s="429">
        <v>0</v>
      </c>
      <c r="AO51" s="432"/>
      <c r="AP51" s="428">
        <v>41767.683648032405</v>
      </c>
      <c r="AQ51" s="431">
        <v>103.8093707252621</v>
      </c>
      <c r="AR51" s="431">
        <v>129.07287259142299</v>
      </c>
      <c r="AS51" s="431">
        <v>208.11630680674804</v>
      </c>
      <c r="AT51" s="431">
        <v>110.97408232945028</v>
      </c>
      <c r="AU51" s="431">
        <v>17.075911982112</v>
      </c>
      <c r="AV51" s="431">
        <v>208.28851016327522</v>
      </c>
      <c r="AW51" s="431">
        <v>16.012385523999228</v>
      </c>
      <c r="AX51" s="431">
        <v>-6.3601684540223866</v>
      </c>
      <c r="AY51" s="431">
        <v>125.69496579485774</v>
      </c>
      <c r="AZ51" s="431">
        <v>-50.862481903891215</v>
      </c>
      <c r="BA51" s="431">
        <v>-1.6057827660823965</v>
      </c>
      <c r="BB51" s="431">
        <v>120.58898365473726</v>
      </c>
      <c r="BC51" s="431">
        <v>92.069331877766643</v>
      </c>
      <c r="BD51" s="431">
        <v>158.8290673271263</v>
      </c>
      <c r="BE51" s="431">
        <v>386079.66649106919</v>
      </c>
      <c r="BF51" s="431">
        <v>-134102.38379491871</v>
      </c>
      <c r="BG51" s="431">
        <v>1046.2119877911978</v>
      </c>
      <c r="BH51" s="431">
        <v>493698.29527276091</v>
      </c>
      <c r="BI51" s="431">
        <v>463293.44841037865</v>
      </c>
      <c r="BJ51" s="431">
        <v>62771.349005472119</v>
      </c>
      <c r="BK51" s="431">
        <v>386557.44195181865</v>
      </c>
      <c r="BL51" s="431">
        <v>540391.58165563678</v>
      </c>
      <c r="BM51" s="431">
        <v>73217.328429989444</v>
      </c>
      <c r="BN51" s="431">
        <v>486477.9933849909</v>
      </c>
      <c r="BO51" s="431">
        <v>540391.58165563678</v>
      </c>
      <c r="BP51" s="431">
        <v>73217.328429989444</v>
      </c>
      <c r="BQ51" s="431">
        <v>347574.04041562538</v>
      </c>
      <c r="BR51" s="431">
        <v>896.64586385563291</v>
      </c>
      <c r="BS51" s="431">
        <v>0</v>
      </c>
      <c r="BT51" s="431">
        <v>0</v>
      </c>
      <c r="BU51" s="431">
        <v>0</v>
      </c>
      <c r="BV51" s="431">
        <v>823.92759478913183</v>
      </c>
      <c r="BW51" s="431">
        <v>1389.5961850316553</v>
      </c>
      <c r="BX51" s="431">
        <v>1272.8934157481581</v>
      </c>
      <c r="BY51" s="431">
        <v>1068.9201423320421</v>
      </c>
      <c r="BZ51" s="431">
        <v>0</v>
      </c>
      <c r="CA51" s="431">
        <v>0</v>
      </c>
      <c r="CB51" s="431">
        <v>0</v>
      </c>
      <c r="CC51" s="432"/>
      <c r="CD51" s="428">
        <v>41767.683648032405</v>
      </c>
      <c r="CE51" s="433">
        <v>0.28748714971565126</v>
      </c>
      <c r="CF51" s="433">
        <v>0.21550400071888681</v>
      </c>
      <c r="CG51" s="433">
        <v>0.17906413496796705</v>
      </c>
      <c r="CH51" s="433">
        <v>0.18129447203534546</v>
      </c>
      <c r="CI51" s="433">
        <v>0.12028956194769269</v>
      </c>
      <c r="CJ51" s="433">
        <v>0.24398425376432539</v>
      </c>
      <c r="CK51" s="433">
        <v>0.24206191622568624</v>
      </c>
      <c r="CL51" s="433">
        <v>0.25842079307449622</v>
      </c>
      <c r="CM51" s="433">
        <v>0.19899802432728636</v>
      </c>
      <c r="CN51" s="433">
        <v>0.18703686722165083</v>
      </c>
      <c r="CO51" s="433">
        <v>0.12146118479802823</v>
      </c>
      <c r="CP51" s="433">
        <v>0.60559402133974971</v>
      </c>
      <c r="CQ51" s="433">
        <v>0.67663897658204775</v>
      </c>
      <c r="CR51" s="433">
        <v>0.47764154429191003</v>
      </c>
      <c r="CS51" s="433">
        <v>0.39482980361733477</v>
      </c>
      <c r="CT51" s="433">
        <v>0.44773699730205768</v>
      </c>
      <c r="CU51" s="433">
        <v>0.36269681480068267</v>
      </c>
      <c r="CV51" s="433">
        <v>0.47651872850367988</v>
      </c>
      <c r="CW51" s="433">
        <v>0.47402386605078112</v>
      </c>
      <c r="CX51" s="433">
        <v>0.39912436248524713</v>
      </c>
      <c r="CY51" s="433">
        <v>0.42969927027189708</v>
      </c>
      <c r="CZ51" s="433">
        <v>0.29692854969420929</v>
      </c>
      <c r="DA51" s="433">
        <v>0.25001150066075878</v>
      </c>
      <c r="DB51" s="433">
        <v>0.78134770554504784</v>
      </c>
      <c r="DC51" s="433">
        <v>0.29692854969420929</v>
      </c>
      <c r="DD51" s="433">
        <v>0.25001150066075878</v>
      </c>
      <c r="DE51" s="433">
        <v>0.3666769988791781</v>
      </c>
      <c r="DF51" s="433">
        <v>0.38971872147364967</v>
      </c>
      <c r="DG51" s="433">
        <v>0</v>
      </c>
      <c r="DH51" s="433">
        <v>0</v>
      </c>
      <c r="DI51" s="433">
        <v>0</v>
      </c>
      <c r="DJ51" s="433">
        <v>0.34415915689920173</v>
      </c>
      <c r="DK51" s="433">
        <v>0.31548658405009739</v>
      </c>
      <c r="DL51" s="433">
        <v>0.2786050317755443</v>
      </c>
      <c r="DM51" s="433">
        <v>0.39899773865159371</v>
      </c>
      <c r="DN51" s="433">
        <v>0</v>
      </c>
      <c r="DO51" s="433">
        <v>0</v>
      </c>
      <c r="DP51" s="433">
        <v>0</v>
      </c>
      <c r="DR51" s="409" t="s">
        <v>711</v>
      </c>
      <c r="DS51" s="409" t="s">
        <v>2192</v>
      </c>
    </row>
    <row r="52" spans="2:123" s="1471" customFormat="1">
      <c r="B52" s="428">
        <v>41767.689383449077</v>
      </c>
      <c r="C52" s="429">
        <v>1.4018528192885309</v>
      </c>
      <c r="D52" s="429">
        <v>1.3906622809583193</v>
      </c>
      <c r="E52" s="429">
        <v>1.4366525926185494</v>
      </c>
      <c r="F52" s="429">
        <v>1.3822806890918351</v>
      </c>
      <c r="G52" s="429">
        <v>1.3618070087894765</v>
      </c>
      <c r="H52" s="429">
        <v>1.4204006963682956</v>
      </c>
      <c r="I52" s="429">
        <v>1.4338990360429775</v>
      </c>
      <c r="J52" s="429">
        <v>1.4758341162472104</v>
      </c>
      <c r="K52" s="429">
        <v>1.364412055304471</v>
      </c>
      <c r="L52" s="429">
        <v>1.4711494489178616</v>
      </c>
      <c r="M52" s="429">
        <v>1.2657764799890499</v>
      </c>
      <c r="N52" s="429">
        <v>1.3897559634634375</v>
      </c>
      <c r="O52" s="429">
        <v>1.1540505328356496</v>
      </c>
      <c r="P52" s="429">
        <v>1.1617104034499419</v>
      </c>
      <c r="Q52" s="429">
        <v>2899.4689247755982</v>
      </c>
      <c r="R52" s="429">
        <v>-144.90500202840781</v>
      </c>
      <c r="S52" s="429">
        <v>10.431060682022771</v>
      </c>
      <c r="T52" s="429">
        <v>3776.2510547881857</v>
      </c>
      <c r="U52" s="429">
        <v>3938.1261201153538</v>
      </c>
      <c r="V52" s="429">
        <v>4084.5575386439205</v>
      </c>
      <c r="W52" s="429">
        <v>940.49947750863043</v>
      </c>
      <c r="X52" s="429">
        <v>246.56821076045077</v>
      </c>
      <c r="Y52" s="429">
        <v>168.11858333412439</v>
      </c>
      <c r="Z52" s="429">
        <v>197.07276703780269</v>
      </c>
      <c r="AA52" s="429">
        <v>211.6313723577513</v>
      </c>
      <c r="AB52" s="429">
        <v>132.89248237447134</v>
      </c>
      <c r="AC52" s="429">
        <v>388.60981451765667</v>
      </c>
      <c r="AD52" s="429">
        <v>3.2142617886260254</v>
      </c>
      <c r="AE52" s="429">
        <v>0</v>
      </c>
      <c r="AF52" s="429">
        <v>0</v>
      </c>
      <c r="AG52" s="429">
        <v>0</v>
      </c>
      <c r="AH52" s="429">
        <v>3.0133621708752156</v>
      </c>
      <c r="AI52" s="429">
        <v>6.2832446487487639</v>
      </c>
      <c r="AJ52" s="429">
        <v>6.2528326738428897</v>
      </c>
      <c r="AK52" s="429">
        <v>6.928325893646714</v>
      </c>
      <c r="AL52" s="429">
        <v>0</v>
      </c>
      <c r="AM52" s="429">
        <v>0</v>
      </c>
      <c r="AN52" s="429">
        <v>0</v>
      </c>
      <c r="AO52" s="432"/>
      <c r="AP52" s="428">
        <v>41767.689383449077</v>
      </c>
      <c r="AQ52" s="431">
        <v>103.43968130832054</v>
      </c>
      <c r="AR52" s="431">
        <v>128.56255443759267</v>
      </c>
      <c r="AS52" s="431">
        <v>207.69551645372613</v>
      </c>
      <c r="AT52" s="431">
        <v>110.55329197642833</v>
      </c>
      <c r="AU52" s="431">
        <v>16.762288441394411</v>
      </c>
      <c r="AV52" s="431">
        <v>207.90086162524068</v>
      </c>
      <c r="AW52" s="431">
        <v>15.642696107057684</v>
      </c>
      <c r="AX52" s="431">
        <v>-7.3855296709008558</v>
      </c>
      <c r="AY52" s="431">
        <v>125.69496579485774</v>
      </c>
      <c r="AZ52" s="431">
        <v>-50.862481903891215</v>
      </c>
      <c r="BA52" s="431">
        <v>-1.772398320829051</v>
      </c>
      <c r="BB52" s="431">
        <v>120.58898365473726</v>
      </c>
      <c r="BC52" s="431">
        <v>92.069331877766643</v>
      </c>
      <c r="BD52" s="431">
        <v>158.78053653740488</v>
      </c>
      <c r="BE52" s="431">
        <v>386397.43802357599</v>
      </c>
      <c r="BF52" s="431">
        <v>-134093.70561727037</v>
      </c>
      <c r="BG52" s="431">
        <v>1054.8901654395368</v>
      </c>
      <c r="BH52" s="431">
        <v>494104.64473247388</v>
      </c>
      <c r="BI52" s="431">
        <v>461606.95791116875</v>
      </c>
      <c r="BJ52" s="431">
        <v>61084.858506262215</v>
      </c>
      <c r="BK52" s="431">
        <v>386451.68477228517</v>
      </c>
      <c r="BL52" s="431">
        <v>538424.43691952561</v>
      </c>
      <c r="BM52" s="431">
        <v>71250.183693878338</v>
      </c>
      <c r="BN52" s="431">
        <v>486477.9933849909</v>
      </c>
      <c r="BO52" s="431">
        <v>538424.43691952561</v>
      </c>
      <c r="BP52" s="431">
        <v>71250.183693878338</v>
      </c>
      <c r="BQ52" s="431">
        <v>347574.04041562538</v>
      </c>
      <c r="BR52" s="431">
        <v>893.42005339368006</v>
      </c>
      <c r="BS52" s="431">
        <v>0</v>
      </c>
      <c r="BT52" s="431">
        <v>0</v>
      </c>
      <c r="BU52" s="431">
        <v>0</v>
      </c>
      <c r="BV52" s="431">
        <v>823.92759478913183</v>
      </c>
      <c r="BW52" s="431">
        <v>1384.6042725346381</v>
      </c>
      <c r="BX52" s="431">
        <v>1272.8934157481581</v>
      </c>
      <c r="BY52" s="431">
        <v>1065.0802096420291</v>
      </c>
      <c r="BZ52" s="431">
        <v>0</v>
      </c>
      <c r="CA52" s="431">
        <v>0</v>
      </c>
      <c r="CB52" s="431">
        <v>0</v>
      </c>
      <c r="CC52" s="432"/>
      <c r="CD52" s="428">
        <v>41767.689383449077</v>
      </c>
      <c r="CE52" s="433">
        <v>0.28748714971565126</v>
      </c>
      <c r="CF52" s="433">
        <v>0.21550400071888681</v>
      </c>
      <c r="CG52" s="433">
        <v>0.17906413496796705</v>
      </c>
      <c r="CH52" s="433">
        <v>0.18129447203534546</v>
      </c>
      <c r="CI52" s="433">
        <v>0.12028956194769269</v>
      </c>
      <c r="CJ52" s="433">
        <v>0.24398425376432539</v>
      </c>
      <c r="CK52" s="433">
        <v>0.24206191622568624</v>
      </c>
      <c r="CL52" s="433">
        <v>0.25842079307449622</v>
      </c>
      <c r="CM52" s="433">
        <v>0.19899802432728636</v>
      </c>
      <c r="CN52" s="433">
        <v>0.18703686722165083</v>
      </c>
      <c r="CO52" s="433">
        <v>0.12146118479802823</v>
      </c>
      <c r="CP52" s="433">
        <v>0.60559402133974971</v>
      </c>
      <c r="CQ52" s="433">
        <v>0.67663897658204775</v>
      </c>
      <c r="CR52" s="433">
        <v>0.47764154429191003</v>
      </c>
      <c r="CS52" s="433">
        <v>0.39482980361733477</v>
      </c>
      <c r="CT52" s="433">
        <v>0.44773699730205768</v>
      </c>
      <c r="CU52" s="433">
        <v>0.36269681480068267</v>
      </c>
      <c r="CV52" s="433">
        <v>0.47651872850367988</v>
      </c>
      <c r="CW52" s="433">
        <v>0.47402386605078112</v>
      </c>
      <c r="CX52" s="433">
        <v>0.39912436248524713</v>
      </c>
      <c r="CY52" s="433">
        <v>0.42969927027189708</v>
      </c>
      <c r="CZ52" s="433">
        <v>0.29692854969420929</v>
      </c>
      <c r="DA52" s="433">
        <v>0.25001150066075878</v>
      </c>
      <c r="DB52" s="433">
        <v>0.78134770554504784</v>
      </c>
      <c r="DC52" s="433">
        <v>0.29692854969420929</v>
      </c>
      <c r="DD52" s="433">
        <v>0.25001150066075878</v>
      </c>
      <c r="DE52" s="433">
        <v>0.3666769988791781</v>
      </c>
      <c r="DF52" s="433">
        <v>0.38971872147364967</v>
      </c>
      <c r="DG52" s="433">
        <v>0</v>
      </c>
      <c r="DH52" s="433">
        <v>0</v>
      </c>
      <c r="DI52" s="433">
        <v>0</v>
      </c>
      <c r="DJ52" s="433">
        <v>0.34415915689920173</v>
      </c>
      <c r="DK52" s="433">
        <v>0.31548658405009739</v>
      </c>
      <c r="DL52" s="433">
        <v>0.2786050317755443</v>
      </c>
      <c r="DM52" s="433">
        <v>0.39899773865159371</v>
      </c>
      <c r="DN52" s="433">
        <v>0</v>
      </c>
      <c r="DO52" s="433">
        <v>0</v>
      </c>
      <c r="DP52" s="433">
        <v>0</v>
      </c>
      <c r="DR52" s="409" t="s">
        <v>711</v>
      </c>
      <c r="DS52" s="409" t="s">
        <v>2193</v>
      </c>
    </row>
    <row r="53" spans="2:123" s="1471" customFormat="1">
      <c r="B53" s="428">
        <v>41768.353259837961</v>
      </c>
      <c r="C53" s="429">
        <v>1.4018643586113306</v>
      </c>
      <c r="D53" s="429">
        <v>1.3907052879353901</v>
      </c>
      <c r="E53" s="429">
        <v>1.4374562107442705</v>
      </c>
      <c r="F53" s="429">
        <v>1.3830843072175563</v>
      </c>
      <c r="G53" s="429">
        <v>1.3626015954500128</v>
      </c>
      <c r="H53" s="429">
        <v>1.4239536603441709</v>
      </c>
      <c r="I53" s="429">
        <v>1.4339105753657773</v>
      </c>
      <c r="J53" s="429">
        <v>1.469445040708079</v>
      </c>
      <c r="K53" s="429">
        <v>1.3448382703931807</v>
      </c>
      <c r="L53" s="429">
        <v>1.4515756640065716</v>
      </c>
      <c r="M53" s="429">
        <v>1.2659198418830744</v>
      </c>
      <c r="N53" s="429">
        <v>1.3622903859195523</v>
      </c>
      <c r="O53" s="429">
        <v>1.1322024866217659</v>
      </c>
      <c r="P53" s="429">
        <v>1.1390858649471818</v>
      </c>
      <c r="Q53" s="429">
        <v>2907.0868513414725</v>
      </c>
      <c r="R53" s="429">
        <v>-144.90500202840781</v>
      </c>
      <c r="S53" s="429">
        <v>10.431060682022771</v>
      </c>
      <c r="T53" s="429">
        <v>3785.9924571087672</v>
      </c>
      <c r="U53" s="429">
        <v>3938.1788201556255</v>
      </c>
      <c r="V53" s="429">
        <v>4084.6102386841922</v>
      </c>
      <c r="W53" s="429">
        <v>867.51588588852428</v>
      </c>
      <c r="X53" s="429">
        <v>246.56860063177749</v>
      </c>
      <c r="Y53" s="429">
        <v>168.11897320545108</v>
      </c>
      <c r="Z53" s="429">
        <v>195.84424853688859</v>
      </c>
      <c r="AA53" s="429">
        <v>211.63169134338222</v>
      </c>
      <c r="AB53" s="429">
        <v>132.89280136010228</v>
      </c>
      <c r="AC53" s="429">
        <v>388.19557829398332</v>
      </c>
      <c r="AD53" s="429">
        <v>3.2143625898705821</v>
      </c>
      <c r="AE53" s="429">
        <v>0</v>
      </c>
      <c r="AF53" s="429">
        <v>0</v>
      </c>
      <c r="AG53" s="429">
        <v>0</v>
      </c>
      <c r="AH53" s="429">
        <v>2.8632253091556468</v>
      </c>
      <c r="AI53" s="429">
        <v>6.2834006377624876</v>
      </c>
      <c r="AJ53" s="429">
        <v>6.0204972390364881</v>
      </c>
      <c r="AK53" s="429">
        <v>6.9284458851957318</v>
      </c>
      <c r="AL53" s="429">
        <v>0</v>
      </c>
      <c r="AM53" s="429">
        <v>0</v>
      </c>
      <c r="AN53" s="429">
        <v>0</v>
      </c>
      <c r="AO53" s="432"/>
      <c r="AP53" s="428">
        <v>41768.353259837961</v>
      </c>
      <c r="AQ53" s="431">
        <v>103.43968130832054</v>
      </c>
      <c r="AR53" s="431">
        <v>128.56255443759267</v>
      </c>
      <c r="AS53" s="431">
        <v>207.69551645372613</v>
      </c>
      <c r="AT53" s="431">
        <v>110.55329197642833</v>
      </c>
      <c r="AU53" s="431">
        <v>16.762288441394411</v>
      </c>
      <c r="AV53" s="431">
        <v>207.90086162524068</v>
      </c>
      <c r="AW53" s="431">
        <v>15.642696107057684</v>
      </c>
      <c r="AX53" s="431">
        <v>-7.3855296709008558</v>
      </c>
      <c r="AY53" s="431">
        <v>125.69496579485774</v>
      </c>
      <c r="AZ53" s="431">
        <v>-50.862481903891215</v>
      </c>
      <c r="BA53" s="431">
        <v>-1.772398320829051</v>
      </c>
      <c r="BB53" s="431">
        <v>119.45823685997694</v>
      </c>
      <c r="BC53" s="431">
        <v>92.069331877766643</v>
      </c>
      <c r="BD53" s="431">
        <v>158.78053653740488</v>
      </c>
      <c r="BE53" s="431">
        <v>386397.43802357599</v>
      </c>
      <c r="BF53" s="431">
        <v>-134093.70561727037</v>
      </c>
      <c r="BG53" s="431">
        <v>1054.8901654395368</v>
      </c>
      <c r="BH53" s="431">
        <v>494104.64473247388</v>
      </c>
      <c r="BI53" s="431">
        <v>461606.95791116875</v>
      </c>
      <c r="BJ53" s="431">
        <v>61084.858506262215</v>
      </c>
      <c r="BK53" s="431">
        <v>386451.68477228517</v>
      </c>
      <c r="BL53" s="431">
        <v>538424.43691952561</v>
      </c>
      <c r="BM53" s="431">
        <v>71250.183693878338</v>
      </c>
      <c r="BN53" s="431">
        <v>486477.9933849909</v>
      </c>
      <c r="BO53" s="431">
        <v>538424.43691952561</v>
      </c>
      <c r="BP53" s="431">
        <v>71250.183693878338</v>
      </c>
      <c r="BQ53" s="431">
        <v>347574.04041562538</v>
      </c>
      <c r="BR53" s="431">
        <v>893.42005339368006</v>
      </c>
      <c r="BS53" s="431">
        <v>0</v>
      </c>
      <c r="BT53" s="431">
        <v>0</v>
      </c>
      <c r="BU53" s="431">
        <v>0</v>
      </c>
      <c r="BV53" s="431">
        <v>823.92759478913183</v>
      </c>
      <c r="BW53" s="431">
        <v>1384.6042725346381</v>
      </c>
      <c r="BX53" s="431">
        <v>1272.8934157481581</v>
      </c>
      <c r="BY53" s="431">
        <v>1065.0802096420291</v>
      </c>
      <c r="BZ53" s="431">
        <v>0</v>
      </c>
      <c r="CA53" s="431">
        <v>0</v>
      </c>
      <c r="CB53" s="431">
        <v>0</v>
      </c>
      <c r="CC53" s="432"/>
      <c r="CD53" s="428">
        <v>41768.353259837961</v>
      </c>
      <c r="CE53" s="433">
        <v>0.28748714971565126</v>
      </c>
      <c r="CF53" s="433">
        <v>0.21550400071888681</v>
      </c>
      <c r="CG53" s="433">
        <v>0.17906413496796705</v>
      </c>
      <c r="CH53" s="433">
        <v>0.18129447203534546</v>
      </c>
      <c r="CI53" s="433">
        <v>0.12028956194769269</v>
      </c>
      <c r="CJ53" s="433">
        <v>0.24398425376432539</v>
      </c>
      <c r="CK53" s="433">
        <v>0.24206191622568624</v>
      </c>
      <c r="CL53" s="433">
        <v>0.25842079307449622</v>
      </c>
      <c r="CM53" s="433">
        <v>0.19899802432728636</v>
      </c>
      <c r="CN53" s="433">
        <v>0.18703686722165083</v>
      </c>
      <c r="CO53" s="433">
        <v>0.12146118479802823</v>
      </c>
      <c r="CP53" s="433">
        <v>0.60559402133974971</v>
      </c>
      <c r="CQ53" s="433">
        <v>0.67663897658204775</v>
      </c>
      <c r="CR53" s="433">
        <v>0.47764154429191003</v>
      </c>
      <c r="CS53" s="433">
        <v>0.39482980361733477</v>
      </c>
      <c r="CT53" s="433">
        <v>0.44773699730205768</v>
      </c>
      <c r="CU53" s="433">
        <v>0.36269681480068267</v>
      </c>
      <c r="CV53" s="433">
        <v>0.47651872850367988</v>
      </c>
      <c r="CW53" s="433">
        <v>0.47402386605078112</v>
      </c>
      <c r="CX53" s="433">
        <v>0.39912436248524713</v>
      </c>
      <c r="CY53" s="433">
        <v>0.42969927027189708</v>
      </c>
      <c r="CZ53" s="433">
        <v>0.29692854969420929</v>
      </c>
      <c r="DA53" s="433">
        <v>0.25001150066075878</v>
      </c>
      <c r="DB53" s="433">
        <v>0.78134770554504784</v>
      </c>
      <c r="DC53" s="433">
        <v>0.29692854969420929</v>
      </c>
      <c r="DD53" s="433">
        <v>0.25001150066075878</v>
      </c>
      <c r="DE53" s="433">
        <v>0.3666769988791781</v>
      </c>
      <c r="DF53" s="433">
        <v>0.38971872147364967</v>
      </c>
      <c r="DG53" s="433">
        <v>0</v>
      </c>
      <c r="DH53" s="433">
        <v>0</v>
      </c>
      <c r="DI53" s="433">
        <v>0</v>
      </c>
      <c r="DJ53" s="433">
        <v>0.34415915689920173</v>
      </c>
      <c r="DK53" s="433">
        <v>0.31548658405009739</v>
      </c>
      <c r="DL53" s="433">
        <v>0.2786050317755443</v>
      </c>
      <c r="DM53" s="433">
        <v>0.39899773865159371</v>
      </c>
      <c r="DN53" s="433">
        <v>0</v>
      </c>
      <c r="DO53" s="433">
        <v>0</v>
      </c>
      <c r="DP53" s="433">
        <v>0</v>
      </c>
      <c r="DR53" s="409" t="s">
        <v>711</v>
      </c>
      <c r="DS53" s="409" t="s">
        <v>2198</v>
      </c>
    </row>
    <row r="54" spans="2:123" s="1471" customFormat="1">
      <c r="B54" s="428">
        <v>41768.66464328704</v>
      </c>
      <c r="C54" s="429">
        <v>1.4018643586113306</v>
      </c>
      <c r="D54" s="429">
        <v>1.3907052879353901</v>
      </c>
      <c r="E54" s="429">
        <v>1.4374562107442705</v>
      </c>
      <c r="F54" s="429">
        <v>1.3830843072175563</v>
      </c>
      <c r="G54" s="429">
        <v>1.3626015954500128</v>
      </c>
      <c r="H54" s="429">
        <v>1.4239536603441709</v>
      </c>
      <c r="I54" s="429">
        <v>1.4339105753657773</v>
      </c>
      <c r="J54" s="429">
        <v>1.469445040708079</v>
      </c>
      <c r="K54" s="429">
        <v>1.3448382703931807</v>
      </c>
      <c r="L54" s="429">
        <v>1.4515756640065716</v>
      </c>
      <c r="M54" s="429">
        <v>1.3670861294558678</v>
      </c>
      <c r="N54" s="429">
        <v>1.3622903859195523</v>
      </c>
      <c r="O54" s="429">
        <v>1.1322024866217659</v>
      </c>
      <c r="P54" s="429">
        <v>1.1390858649471818</v>
      </c>
      <c r="Q54" s="429">
        <v>2907.0868513414725</v>
      </c>
      <c r="R54" s="429">
        <v>-144.90500202840781</v>
      </c>
      <c r="S54" s="429">
        <v>10.431060682022771</v>
      </c>
      <c r="T54" s="429">
        <v>3785.9924571087672</v>
      </c>
      <c r="U54" s="429">
        <v>3938.1788201556255</v>
      </c>
      <c r="V54" s="429">
        <v>4084.6102386841922</v>
      </c>
      <c r="W54" s="429">
        <v>867.51588588852428</v>
      </c>
      <c r="X54" s="429">
        <v>246.56860063177749</v>
      </c>
      <c r="Y54" s="429">
        <v>168.11897320545108</v>
      </c>
      <c r="Z54" s="429">
        <v>195.84424853688859</v>
      </c>
      <c r="AA54" s="429">
        <v>211.63169134338222</v>
      </c>
      <c r="AB54" s="429">
        <v>132.89280136010228</v>
      </c>
      <c r="AC54" s="429">
        <v>388.19557829398332</v>
      </c>
      <c r="AD54" s="429">
        <v>3.2143625898705821</v>
      </c>
      <c r="AE54" s="429">
        <v>0</v>
      </c>
      <c r="AF54" s="429">
        <v>0</v>
      </c>
      <c r="AG54" s="429">
        <v>0</v>
      </c>
      <c r="AH54" s="429">
        <v>2.8632253091556468</v>
      </c>
      <c r="AI54" s="429">
        <v>6.2834006377624876</v>
      </c>
      <c r="AJ54" s="429">
        <v>6.0204972390364881</v>
      </c>
      <c r="AK54" s="429">
        <v>6.9284458851957318</v>
      </c>
      <c r="AL54" s="429">
        <v>0</v>
      </c>
      <c r="AM54" s="429">
        <v>0</v>
      </c>
      <c r="AN54" s="429">
        <v>0</v>
      </c>
      <c r="AO54" s="432"/>
      <c r="AP54" s="428">
        <v>41768.66464328704</v>
      </c>
      <c r="AQ54" s="431">
        <v>103.43968130832054</v>
      </c>
      <c r="AR54" s="431">
        <v>128.56255443759267</v>
      </c>
      <c r="AS54" s="431">
        <v>207.69551645372613</v>
      </c>
      <c r="AT54" s="431">
        <v>110.55329197642833</v>
      </c>
      <c r="AU54" s="431">
        <v>16.762288441394411</v>
      </c>
      <c r="AV54" s="431">
        <v>207.90086162524068</v>
      </c>
      <c r="AW54" s="431">
        <v>15.642696107057684</v>
      </c>
      <c r="AX54" s="431">
        <v>-7.3855296709008558</v>
      </c>
      <c r="AY54" s="431">
        <v>125.69496579485774</v>
      </c>
      <c r="AZ54" s="431">
        <v>-50.862481903891215</v>
      </c>
      <c r="BA54" s="431">
        <v>67.498565938435348</v>
      </c>
      <c r="BB54" s="431">
        <v>119.45823685997694</v>
      </c>
      <c r="BC54" s="431">
        <v>92.069331877766643</v>
      </c>
      <c r="BD54" s="431">
        <v>158.78053653740488</v>
      </c>
      <c r="BE54" s="431">
        <v>386397.43802357599</v>
      </c>
      <c r="BF54" s="431">
        <v>-134093.70561727037</v>
      </c>
      <c r="BG54" s="431">
        <v>1054.8901654395368</v>
      </c>
      <c r="BH54" s="431">
        <v>494104.64473247388</v>
      </c>
      <c r="BI54" s="431">
        <v>461606.95791116875</v>
      </c>
      <c r="BJ54" s="431">
        <v>61084.858506262215</v>
      </c>
      <c r="BK54" s="431">
        <v>386451.68477228517</v>
      </c>
      <c r="BL54" s="431">
        <v>538424.43691952561</v>
      </c>
      <c r="BM54" s="431">
        <v>71250.183693878338</v>
      </c>
      <c r="BN54" s="431">
        <v>486477.9933849909</v>
      </c>
      <c r="BO54" s="431">
        <v>538424.43691952561</v>
      </c>
      <c r="BP54" s="431">
        <v>71250.183693878338</v>
      </c>
      <c r="BQ54" s="431">
        <v>347574.04041562538</v>
      </c>
      <c r="BR54" s="431">
        <v>893.42005339368006</v>
      </c>
      <c r="BS54" s="431">
        <v>0</v>
      </c>
      <c r="BT54" s="431">
        <v>0</v>
      </c>
      <c r="BU54" s="431">
        <v>0</v>
      </c>
      <c r="BV54" s="431">
        <v>823.92759478913183</v>
      </c>
      <c r="BW54" s="431">
        <v>1384.6042725346381</v>
      </c>
      <c r="BX54" s="431">
        <v>1272.8934157481581</v>
      </c>
      <c r="BY54" s="431">
        <v>1065.0802096420291</v>
      </c>
      <c r="BZ54" s="431">
        <v>0</v>
      </c>
      <c r="CA54" s="431">
        <v>0</v>
      </c>
      <c r="CB54" s="431">
        <v>0</v>
      </c>
      <c r="CC54" s="432"/>
      <c r="CD54" s="428">
        <v>41768.66464328704</v>
      </c>
      <c r="CE54" s="433">
        <v>0.28867948499398594</v>
      </c>
      <c r="CF54" s="433">
        <v>0.21647902720720727</v>
      </c>
      <c r="CG54" s="433">
        <v>0.17973960391015936</v>
      </c>
      <c r="CH54" s="433">
        <v>0.18197778689994615</v>
      </c>
      <c r="CI54" s="433">
        <v>0.1207127188701978</v>
      </c>
      <c r="CJ54" s="433">
        <v>0.24504509923964415</v>
      </c>
      <c r="CK54" s="433">
        <v>0.24306585314092802</v>
      </c>
      <c r="CL54" s="433">
        <v>0.26123057689286194</v>
      </c>
      <c r="CM54" s="433">
        <v>0.20098800457055921</v>
      </c>
      <c r="CN54" s="433">
        <v>0.18890723589386732</v>
      </c>
      <c r="CO54" s="433">
        <v>0.58946685490196193</v>
      </c>
      <c r="CP54" s="433">
        <v>0.60559402133974971</v>
      </c>
      <c r="CQ54" s="433">
        <v>0.67663897658204775</v>
      </c>
      <c r="CR54" s="433">
        <v>0.47888048937537914</v>
      </c>
      <c r="CS54" s="433">
        <v>0.39443520669059223</v>
      </c>
      <c r="CT54" s="433">
        <v>0.447221292916757</v>
      </c>
      <c r="CU54" s="433">
        <v>0.3622790598707698</v>
      </c>
      <c r="CV54" s="433">
        <v>0.47604249083347333</v>
      </c>
      <c r="CW54" s="433">
        <v>0.4759898508915783</v>
      </c>
      <c r="CX54" s="433">
        <v>0.4007797062399322</v>
      </c>
      <c r="CY54" s="433">
        <v>0.43383847945766757</v>
      </c>
      <c r="CZ54" s="433">
        <v>0.29816004259848461</v>
      </c>
      <c r="DA54" s="433">
        <v>0.25104840798869349</v>
      </c>
      <c r="DB54" s="433">
        <v>0.78134770554504784</v>
      </c>
      <c r="DC54" s="433">
        <v>0.29816004259848461</v>
      </c>
      <c r="DD54" s="433">
        <v>0.25104840798869349</v>
      </c>
      <c r="DE54" s="433">
        <v>0.37034376886796982</v>
      </c>
      <c r="DF54" s="433">
        <v>0.39133505591051104</v>
      </c>
      <c r="DG54" s="433">
        <v>0</v>
      </c>
      <c r="DH54" s="433">
        <v>0</v>
      </c>
      <c r="DI54" s="433">
        <v>0</v>
      </c>
      <c r="DJ54" s="433">
        <v>0.34760074846819372</v>
      </c>
      <c r="DK54" s="433">
        <v>0.31679504526088992</v>
      </c>
      <c r="DL54" s="433">
        <v>0.28139108209329972</v>
      </c>
      <c r="DM54" s="433">
        <v>0.40065255724171372</v>
      </c>
      <c r="DN54" s="433">
        <v>0</v>
      </c>
      <c r="DO54" s="433">
        <v>0</v>
      </c>
      <c r="DP54" s="433">
        <v>0</v>
      </c>
      <c r="DR54" s="409" t="s">
        <v>711</v>
      </c>
      <c r="DS54" s="409" t="s">
        <v>2209</v>
      </c>
    </row>
    <row r="55" spans="2:123" s="1471" customFormat="1">
      <c r="B55" s="428">
        <v>41768.683729166667</v>
      </c>
      <c r="C55" s="429">
        <v>1.4018643586113306</v>
      </c>
      <c r="D55" s="429">
        <v>1.3907052879353901</v>
      </c>
      <c r="E55" s="429">
        <v>1.4374562107442705</v>
      </c>
      <c r="F55" s="429">
        <v>1.3830843072175563</v>
      </c>
      <c r="G55" s="429">
        <v>1.3626015954500128</v>
      </c>
      <c r="H55" s="429">
        <v>1.4239536603441709</v>
      </c>
      <c r="I55" s="429">
        <v>1.4339105753657773</v>
      </c>
      <c r="J55" s="429">
        <v>1.469445040708079</v>
      </c>
      <c r="K55" s="429">
        <v>1.3448382703931807</v>
      </c>
      <c r="L55" s="429">
        <v>1.4515756640065716</v>
      </c>
      <c r="M55" s="429">
        <v>1.3670861294558678</v>
      </c>
      <c r="N55" s="429">
        <v>1.3622903859195523</v>
      </c>
      <c r="O55" s="429">
        <v>1.1322024866217659</v>
      </c>
      <c r="P55" s="429">
        <v>1.1390858649471818</v>
      </c>
      <c r="Q55" s="429">
        <v>2907.0868513414725</v>
      </c>
      <c r="R55" s="429">
        <v>13.425611852708817</v>
      </c>
      <c r="S55" s="429">
        <v>10.431060682022771</v>
      </c>
      <c r="T55" s="429">
        <v>3785.9924571087672</v>
      </c>
      <c r="U55" s="429">
        <v>3938.1788201556255</v>
      </c>
      <c r="V55" s="429">
        <v>4084.6102386841922</v>
      </c>
      <c r="W55" s="429">
        <v>867.51588588852428</v>
      </c>
      <c r="X55" s="429">
        <v>246.56860063177749</v>
      </c>
      <c r="Y55" s="429">
        <v>168.11897320545108</v>
      </c>
      <c r="Z55" s="429">
        <v>195.84424853688859</v>
      </c>
      <c r="AA55" s="429">
        <v>211.63169134338222</v>
      </c>
      <c r="AB55" s="429">
        <v>132.89280136010228</v>
      </c>
      <c r="AC55" s="429">
        <v>388.19557829398332</v>
      </c>
      <c r="AD55" s="429">
        <v>3.2143625898705821</v>
      </c>
      <c r="AE55" s="429">
        <v>0</v>
      </c>
      <c r="AF55" s="429">
        <v>0</v>
      </c>
      <c r="AG55" s="429">
        <v>0</v>
      </c>
      <c r="AH55" s="429">
        <v>2.8632253091556468</v>
      </c>
      <c r="AI55" s="429">
        <v>6.2834006377624876</v>
      </c>
      <c r="AJ55" s="429">
        <v>6.0204972390364881</v>
      </c>
      <c r="AK55" s="429">
        <v>6.9284458851957318</v>
      </c>
      <c r="AL55" s="429">
        <v>0</v>
      </c>
      <c r="AM55" s="429">
        <v>0</v>
      </c>
      <c r="AN55" s="429">
        <v>0</v>
      </c>
      <c r="AO55" s="432"/>
      <c r="AP55" s="428">
        <v>41768.683729166667</v>
      </c>
      <c r="AQ55" s="431">
        <v>103.43968130832054</v>
      </c>
      <c r="AR55" s="431">
        <v>128.56255443759267</v>
      </c>
      <c r="AS55" s="431">
        <v>207.69551645372613</v>
      </c>
      <c r="AT55" s="431">
        <v>110.55329197642833</v>
      </c>
      <c r="AU55" s="431">
        <v>16.762288441394411</v>
      </c>
      <c r="AV55" s="431">
        <v>207.90086162524068</v>
      </c>
      <c r="AW55" s="431">
        <v>15.642696107057684</v>
      </c>
      <c r="AX55" s="431">
        <v>-7.3855296709008558</v>
      </c>
      <c r="AY55" s="431">
        <v>125.69496579485774</v>
      </c>
      <c r="AZ55" s="431">
        <v>-50.862481903891215</v>
      </c>
      <c r="BA55" s="431">
        <v>67.498565938435348</v>
      </c>
      <c r="BB55" s="431">
        <v>119.45823685997694</v>
      </c>
      <c r="BC55" s="431">
        <v>92.069331877766643</v>
      </c>
      <c r="BD55" s="431">
        <v>158.78053653740488</v>
      </c>
      <c r="BE55" s="431">
        <v>386397.43802357599</v>
      </c>
      <c r="BF55" s="431">
        <v>8194.4361691145095</v>
      </c>
      <c r="BG55" s="431">
        <v>1054.8901654395368</v>
      </c>
      <c r="BH55" s="431">
        <v>494104.64473247388</v>
      </c>
      <c r="BI55" s="431">
        <v>461606.95791116875</v>
      </c>
      <c r="BJ55" s="431">
        <v>61084.858506262215</v>
      </c>
      <c r="BK55" s="431">
        <v>386451.68477228517</v>
      </c>
      <c r="BL55" s="431">
        <v>538424.43691952561</v>
      </c>
      <c r="BM55" s="431">
        <v>71250.183693878338</v>
      </c>
      <c r="BN55" s="431">
        <v>486477.9933849909</v>
      </c>
      <c r="BO55" s="431">
        <v>538424.43691952561</v>
      </c>
      <c r="BP55" s="431">
        <v>71250.183693878338</v>
      </c>
      <c r="BQ55" s="431">
        <v>347574.04041562538</v>
      </c>
      <c r="BR55" s="431">
        <v>893.42005339368006</v>
      </c>
      <c r="BS55" s="431">
        <v>0</v>
      </c>
      <c r="BT55" s="431">
        <v>0</v>
      </c>
      <c r="BU55" s="431">
        <v>0</v>
      </c>
      <c r="BV55" s="431">
        <v>823.92759478913183</v>
      </c>
      <c r="BW55" s="431">
        <v>1384.6042725346381</v>
      </c>
      <c r="BX55" s="431">
        <v>1272.8934157481581</v>
      </c>
      <c r="BY55" s="431">
        <v>1065.0802096420291</v>
      </c>
      <c r="BZ55" s="431">
        <v>0</v>
      </c>
      <c r="CA55" s="431">
        <v>0</v>
      </c>
      <c r="CB55" s="431">
        <v>0</v>
      </c>
      <c r="CC55" s="432"/>
      <c r="CD55" s="428">
        <v>41768.683729166667</v>
      </c>
      <c r="CE55" s="433">
        <v>0.28867948499398594</v>
      </c>
      <c r="CF55" s="433">
        <v>0.21647902720720727</v>
      </c>
      <c r="CG55" s="433">
        <v>0.17973960391015936</v>
      </c>
      <c r="CH55" s="433">
        <v>0.18197778689994615</v>
      </c>
      <c r="CI55" s="433">
        <v>0.1207127188701978</v>
      </c>
      <c r="CJ55" s="433">
        <v>0.24504509923964415</v>
      </c>
      <c r="CK55" s="433">
        <v>0.24306585314092802</v>
      </c>
      <c r="CL55" s="433">
        <v>0.26123057689286194</v>
      </c>
      <c r="CM55" s="433">
        <v>0.20098800457055921</v>
      </c>
      <c r="CN55" s="433">
        <v>0.18890723589386732</v>
      </c>
      <c r="CO55" s="433">
        <v>0.58946685490196193</v>
      </c>
      <c r="CP55" s="433">
        <v>0.60559402133974971</v>
      </c>
      <c r="CQ55" s="433">
        <v>0.67663897658204775</v>
      </c>
      <c r="CR55" s="433">
        <v>0.47888048937537914</v>
      </c>
      <c r="CS55" s="433">
        <v>0.39443520669059223</v>
      </c>
      <c r="CT55" s="433">
        <v>0.447221292916757</v>
      </c>
      <c r="CU55" s="433">
        <v>0.3622790598707698</v>
      </c>
      <c r="CV55" s="433">
        <v>0.47604249083347333</v>
      </c>
      <c r="CW55" s="433">
        <v>0.4759898508915783</v>
      </c>
      <c r="CX55" s="433">
        <v>0.4007797062399322</v>
      </c>
      <c r="CY55" s="433">
        <v>0.43383847945766757</v>
      </c>
      <c r="CZ55" s="433">
        <v>0.29816004259848461</v>
      </c>
      <c r="DA55" s="433">
        <v>0.25104840798869349</v>
      </c>
      <c r="DB55" s="433">
        <v>0.78134770554504784</v>
      </c>
      <c r="DC55" s="433">
        <v>0.29816004259848461</v>
      </c>
      <c r="DD55" s="433">
        <v>0.25104840798869349</v>
      </c>
      <c r="DE55" s="433">
        <v>0.37034376886796982</v>
      </c>
      <c r="DF55" s="433">
        <v>0.39133505591051104</v>
      </c>
      <c r="DG55" s="433">
        <v>0</v>
      </c>
      <c r="DH55" s="433">
        <v>0</v>
      </c>
      <c r="DI55" s="433">
        <v>0</v>
      </c>
      <c r="DJ55" s="433">
        <v>0.34760074846819372</v>
      </c>
      <c r="DK55" s="433">
        <v>0.31679504526088992</v>
      </c>
      <c r="DL55" s="433">
        <v>0.28139108209329972</v>
      </c>
      <c r="DM55" s="433">
        <v>0.40065255724171372</v>
      </c>
      <c r="DN55" s="433">
        <v>0</v>
      </c>
      <c r="DO55" s="433">
        <v>0</v>
      </c>
      <c r="DP55" s="433">
        <v>0</v>
      </c>
      <c r="DR55" s="409" t="s">
        <v>855</v>
      </c>
      <c r="DS55" s="409" t="s">
        <v>2210</v>
      </c>
    </row>
    <row r="56" spans="2:123" s="1471" customFormat="1">
      <c r="B56" s="428">
        <v>41768.698935763889</v>
      </c>
      <c r="C56" s="429">
        <v>1.4018643586113306</v>
      </c>
      <c r="D56" s="429">
        <v>1.3907052879353901</v>
      </c>
      <c r="E56" s="429">
        <v>1.4374562107442705</v>
      </c>
      <c r="F56" s="429">
        <v>1.3830843072175563</v>
      </c>
      <c r="G56" s="429">
        <v>1.3626015954500128</v>
      </c>
      <c r="H56" s="429">
        <v>1.4239536603441709</v>
      </c>
      <c r="I56" s="429">
        <v>1.4339105753657773</v>
      </c>
      <c r="J56" s="429">
        <v>1.469445040708079</v>
      </c>
      <c r="K56" s="429">
        <v>1.3448382703931807</v>
      </c>
      <c r="L56" s="429">
        <v>1.4515756640065716</v>
      </c>
      <c r="M56" s="429">
        <v>1.3670861294558678</v>
      </c>
      <c r="N56" s="429">
        <v>1.3622903859195523</v>
      </c>
      <c r="O56" s="429">
        <v>1.1322024866217659</v>
      </c>
      <c r="P56" s="429">
        <v>1.1390858649471818</v>
      </c>
      <c r="Q56" s="429">
        <v>2907.0868513414725</v>
      </c>
      <c r="R56" s="429">
        <v>13.425611852708817</v>
      </c>
      <c r="S56" s="429">
        <v>10.431060682022771</v>
      </c>
      <c r="T56" s="429">
        <v>3785.9924571087672</v>
      </c>
      <c r="U56" s="429">
        <v>3938.1788201556255</v>
      </c>
      <c r="V56" s="429">
        <v>4084.6102386841922</v>
      </c>
      <c r="W56" s="429">
        <v>867.51588588852428</v>
      </c>
      <c r="X56" s="429">
        <v>635.13430180151522</v>
      </c>
      <c r="Y56" s="429">
        <v>556.68467437518882</v>
      </c>
      <c r="Z56" s="429">
        <v>195.84424853688859</v>
      </c>
      <c r="AA56" s="429">
        <v>571.95248488434243</v>
      </c>
      <c r="AB56" s="429">
        <v>493.21359490106249</v>
      </c>
      <c r="AC56" s="429">
        <v>476.01177052457638</v>
      </c>
      <c r="AD56" s="429">
        <v>3.2143625898705821</v>
      </c>
      <c r="AE56" s="429">
        <v>0</v>
      </c>
      <c r="AF56" s="429">
        <v>0</v>
      </c>
      <c r="AG56" s="429">
        <v>0</v>
      </c>
      <c r="AH56" s="429">
        <v>2.8632253091556468</v>
      </c>
      <c r="AI56" s="429">
        <v>6.2834006377624876</v>
      </c>
      <c r="AJ56" s="429">
        <v>6.0204972390364881</v>
      </c>
      <c r="AK56" s="429">
        <v>6.9284458851957318</v>
      </c>
      <c r="AL56" s="429">
        <v>0</v>
      </c>
      <c r="AM56" s="429">
        <v>0</v>
      </c>
      <c r="AN56" s="429">
        <v>0</v>
      </c>
      <c r="AO56" s="432"/>
      <c r="AP56" s="428">
        <v>41768.698935763889</v>
      </c>
      <c r="AQ56" s="431">
        <v>103.43968130832054</v>
      </c>
      <c r="AR56" s="431">
        <v>128.56255443759267</v>
      </c>
      <c r="AS56" s="431">
        <v>207.69551645372613</v>
      </c>
      <c r="AT56" s="431">
        <v>110.55329197642833</v>
      </c>
      <c r="AU56" s="431">
        <v>16.762288441394411</v>
      </c>
      <c r="AV56" s="431">
        <v>207.90086162524068</v>
      </c>
      <c r="AW56" s="431">
        <v>15.642696107057684</v>
      </c>
      <c r="AX56" s="431">
        <v>-7.3855296709008558</v>
      </c>
      <c r="AY56" s="431">
        <v>125.69496579485774</v>
      </c>
      <c r="AZ56" s="431">
        <v>-50.862481903891215</v>
      </c>
      <c r="BA56" s="431">
        <v>67.498565938435348</v>
      </c>
      <c r="BB56" s="431">
        <v>119.45823685997694</v>
      </c>
      <c r="BC56" s="431">
        <v>92.069331877766643</v>
      </c>
      <c r="BD56" s="431">
        <v>158.78053653740488</v>
      </c>
      <c r="BE56" s="431">
        <v>386397.43802357599</v>
      </c>
      <c r="BF56" s="431">
        <v>8194.4361691145095</v>
      </c>
      <c r="BG56" s="431">
        <v>1054.8901654395368</v>
      </c>
      <c r="BH56" s="431">
        <v>494104.64473247388</v>
      </c>
      <c r="BI56" s="431">
        <v>461606.95791116875</v>
      </c>
      <c r="BJ56" s="431">
        <v>61084.858506262215</v>
      </c>
      <c r="BK56" s="431">
        <v>386451.68477228517</v>
      </c>
      <c r="BL56" s="431">
        <v>538424.43691952561</v>
      </c>
      <c r="BM56" s="431">
        <v>71250.183693878338</v>
      </c>
      <c r="BN56" s="431">
        <v>486477.9933849909</v>
      </c>
      <c r="BO56" s="431">
        <v>538424.43691952561</v>
      </c>
      <c r="BP56" s="431">
        <v>71250.183693878338</v>
      </c>
      <c r="BQ56" s="431">
        <v>347574.04041562538</v>
      </c>
      <c r="BR56" s="431">
        <v>893.42005339368006</v>
      </c>
      <c r="BS56" s="431">
        <v>0</v>
      </c>
      <c r="BT56" s="431">
        <v>0</v>
      </c>
      <c r="BU56" s="431">
        <v>0</v>
      </c>
      <c r="BV56" s="431">
        <v>823.92759478913183</v>
      </c>
      <c r="BW56" s="431">
        <v>1384.6042725346381</v>
      </c>
      <c r="BX56" s="431">
        <v>1272.8934157481581</v>
      </c>
      <c r="BY56" s="431">
        <v>1065.0802096420291</v>
      </c>
      <c r="BZ56" s="431">
        <v>0</v>
      </c>
      <c r="CA56" s="431">
        <v>0</v>
      </c>
      <c r="CB56" s="431">
        <v>0</v>
      </c>
      <c r="CC56" s="432"/>
      <c r="CD56" s="428">
        <v>41768.698935763889</v>
      </c>
      <c r="CE56" s="433">
        <v>0.28867948499398594</v>
      </c>
      <c r="CF56" s="433">
        <v>0.21647902720720727</v>
      </c>
      <c r="CG56" s="433">
        <v>0.17973960391015936</v>
      </c>
      <c r="CH56" s="433">
        <v>0.18197778689994615</v>
      </c>
      <c r="CI56" s="433">
        <v>0.1207127188701978</v>
      </c>
      <c r="CJ56" s="433">
        <v>0.24504509923964415</v>
      </c>
      <c r="CK56" s="433">
        <v>0.24306585314092802</v>
      </c>
      <c r="CL56" s="433">
        <v>0.26123057689286194</v>
      </c>
      <c r="CM56" s="433">
        <v>0.20098800457055921</v>
      </c>
      <c r="CN56" s="433">
        <v>0.18890723589386732</v>
      </c>
      <c r="CO56" s="433">
        <v>0.58946685490196193</v>
      </c>
      <c r="CP56" s="433">
        <v>0.60559402133974971</v>
      </c>
      <c r="CQ56" s="433">
        <v>0.67663897658204775</v>
      </c>
      <c r="CR56" s="433">
        <v>0.47888048937537914</v>
      </c>
      <c r="CS56" s="433">
        <v>0.39443520669059223</v>
      </c>
      <c r="CT56" s="433">
        <v>0.447221292916757</v>
      </c>
      <c r="CU56" s="433">
        <v>0.3622790598707698</v>
      </c>
      <c r="CV56" s="433">
        <v>0.47604249083347333</v>
      </c>
      <c r="CW56" s="433">
        <v>0.4759898508915783</v>
      </c>
      <c r="CX56" s="433">
        <v>0.4007797062399322</v>
      </c>
      <c r="CY56" s="433">
        <v>0.43383847945766757</v>
      </c>
      <c r="CZ56" s="433">
        <v>0.29816004259848461</v>
      </c>
      <c r="DA56" s="433">
        <v>0.25104840798869349</v>
      </c>
      <c r="DB56" s="433">
        <v>0.78134770554504784</v>
      </c>
      <c r="DC56" s="433">
        <v>0.29816004259848461</v>
      </c>
      <c r="DD56" s="433">
        <v>0.25104840798869349</v>
      </c>
      <c r="DE56" s="433">
        <v>0.37034376886796982</v>
      </c>
      <c r="DF56" s="433">
        <v>0.39133505591051104</v>
      </c>
      <c r="DG56" s="433">
        <v>0</v>
      </c>
      <c r="DH56" s="433">
        <v>0</v>
      </c>
      <c r="DI56" s="433">
        <v>0</v>
      </c>
      <c r="DJ56" s="433">
        <v>0.34760074846819372</v>
      </c>
      <c r="DK56" s="433">
        <v>0.31679504526088992</v>
      </c>
      <c r="DL56" s="433">
        <v>0.28139108209329972</v>
      </c>
      <c r="DM56" s="433">
        <v>0.40065255724171372</v>
      </c>
      <c r="DN56" s="433">
        <v>0</v>
      </c>
      <c r="DO56" s="433">
        <v>0</v>
      </c>
      <c r="DP56" s="433">
        <v>0</v>
      </c>
      <c r="DR56" s="409" t="s">
        <v>855</v>
      </c>
      <c r="DS56" s="409" t="s">
        <v>2211</v>
      </c>
    </row>
    <row r="57" spans="2:123" s="1471" customFormat="1">
      <c r="B57" s="428">
        <v>41770.63799328704</v>
      </c>
      <c r="C57" s="429">
        <v>1.4018643586113306</v>
      </c>
      <c r="D57" s="429">
        <v>1.3907052879353901</v>
      </c>
      <c r="E57" s="429">
        <v>1.433191609231586</v>
      </c>
      <c r="F57" s="429">
        <v>1.3818555099656802</v>
      </c>
      <c r="G57" s="429">
        <v>1.3585443025975739</v>
      </c>
      <c r="H57" s="429">
        <v>1.4239536603441709</v>
      </c>
      <c r="I57" s="429">
        <v>1.4296805503896219</v>
      </c>
      <c r="J57" s="429">
        <v>1.4650537403500887</v>
      </c>
      <c r="K57" s="429">
        <v>1.3448382703931807</v>
      </c>
      <c r="L57" s="429">
        <v>1.4550001989092618</v>
      </c>
      <c r="M57" s="429">
        <v>1.3664509230339441</v>
      </c>
      <c r="N57" s="429">
        <v>1.3622903859195523</v>
      </c>
      <c r="O57" s="429">
        <v>1.1322024866217659</v>
      </c>
      <c r="P57" s="429">
        <v>1.1390858649471818</v>
      </c>
      <c r="Q57" s="429">
        <v>2907.0868513414725</v>
      </c>
      <c r="R57" s="429">
        <v>13.425611852708817</v>
      </c>
      <c r="S57" s="429">
        <v>9.8203721890138613</v>
      </c>
      <c r="T57" s="429">
        <v>3785.9924571087672</v>
      </c>
      <c r="U57" s="429">
        <v>3938.1788201556255</v>
      </c>
      <c r="V57" s="429">
        <v>4065.2919354129085</v>
      </c>
      <c r="W57" s="429">
        <v>867.51588588852428</v>
      </c>
      <c r="X57" s="429">
        <v>635.13430180151522</v>
      </c>
      <c r="Y57" s="429">
        <v>556.33004166404123</v>
      </c>
      <c r="Z57" s="429">
        <v>195.84424853688859</v>
      </c>
      <c r="AA57" s="429">
        <v>571.95248488434243</v>
      </c>
      <c r="AB57" s="429">
        <v>492.88470112061668</v>
      </c>
      <c r="AC57" s="429">
        <v>476.01177052457638</v>
      </c>
      <c r="AD57" s="429">
        <v>3.2143625898705821</v>
      </c>
      <c r="AE57" s="429">
        <v>0</v>
      </c>
      <c r="AF57" s="429">
        <v>0</v>
      </c>
      <c r="AG57" s="429">
        <v>0</v>
      </c>
      <c r="AH57" s="429">
        <v>2.8632253091556468</v>
      </c>
      <c r="AI57" s="429">
        <v>6.2834006377624876</v>
      </c>
      <c r="AJ57" s="429">
        <v>6.0204972390364881</v>
      </c>
      <c r="AK57" s="429">
        <v>6.9284458851957318</v>
      </c>
      <c r="AL57" s="429">
        <v>0</v>
      </c>
      <c r="AM57" s="429">
        <v>0</v>
      </c>
      <c r="AN57" s="429">
        <v>0</v>
      </c>
      <c r="AO57" s="432"/>
      <c r="AP57" s="428">
        <v>41770.63799328704</v>
      </c>
      <c r="AQ57" s="431">
        <v>103.43968130832054</v>
      </c>
      <c r="AR57" s="431">
        <v>128.56255443759267</v>
      </c>
      <c r="AS57" s="431">
        <v>207.66121445054654</v>
      </c>
      <c r="AT57" s="431">
        <v>110.5277145080375</v>
      </c>
      <c r="AU57" s="431">
        <v>16.669250208842506</v>
      </c>
      <c r="AV57" s="431">
        <v>207.90086162524068</v>
      </c>
      <c r="AW57" s="431">
        <v>15.527098640353215</v>
      </c>
      <c r="AX57" s="431">
        <v>-7.2885272323736077</v>
      </c>
      <c r="AY57" s="431">
        <v>125.69496579485774</v>
      </c>
      <c r="AZ57" s="431">
        <v>-50.863234933278726</v>
      </c>
      <c r="BA57" s="431">
        <v>67.520402429703779</v>
      </c>
      <c r="BB57" s="431">
        <v>119.45823685997694</v>
      </c>
      <c r="BC57" s="431">
        <v>92.069331877766643</v>
      </c>
      <c r="BD57" s="431">
        <v>158.78053653740488</v>
      </c>
      <c r="BE57" s="431">
        <v>386397.43802357599</v>
      </c>
      <c r="BF57" s="431">
        <v>8194.4361691145095</v>
      </c>
      <c r="BG57" s="431">
        <v>1011.4343256380034</v>
      </c>
      <c r="BH57" s="431">
        <v>494104.64473247388</v>
      </c>
      <c r="BI57" s="431">
        <v>461606.95791116875</v>
      </c>
      <c r="BJ57" s="431">
        <v>60557.513063315302</v>
      </c>
      <c r="BK57" s="431">
        <v>386451.68477228517</v>
      </c>
      <c r="BL57" s="431">
        <v>538424.43691952561</v>
      </c>
      <c r="BM57" s="431">
        <v>70635.081021974052</v>
      </c>
      <c r="BN57" s="431">
        <v>486477.9933849909</v>
      </c>
      <c r="BO57" s="431">
        <v>538424.43691952561</v>
      </c>
      <c r="BP57" s="431">
        <v>70635.081021974052</v>
      </c>
      <c r="BQ57" s="431">
        <v>347574.04041562538</v>
      </c>
      <c r="BR57" s="431">
        <v>893.42005339368006</v>
      </c>
      <c r="BS57" s="431">
        <v>0</v>
      </c>
      <c r="BT57" s="431">
        <v>0</v>
      </c>
      <c r="BU57" s="431">
        <v>0</v>
      </c>
      <c r="BV57" s="431">
        <v>823.92759478913183</v>
      </c>
      <c r="BW57" s="431">
        <v>1384.6042725346381</v>
      </c>
      <c r="BX57" s="431">
        <v>1272.8934157481581</v>
      </c>
      <c r="BY57" s="431">
        <v>1065.0802096420291</v>
      </c>
      <c r="BZ57" s="431">
        <v>0</v>
      </c>
      <c r="CA57" s="431">
        <v>0</v>
      </c>
      <c r="CB57" s="431">
        <v>0</v>
      </c>
      <c r="CC57" s="432"/>
      <c r="CD57" s="428">
        <v>41770.63799328704</v>
      </c>
      <c r="CE57" s="433">
        <v>0.28867948499398594</v>
      </c>
      <c r="CF57" s="433">
        <v>0.21647902720720727</v>
      </c>
      <c r="CG57" s="433">
        <v>0.17973960391015936</v>
      </c>
      <c r="CH57" s="433">
        <v>0.18197778689994615</v>
      </c>
      <c r="CI57" s="433">
        <v>0.1207127188701978</v>
      </c>
      <c r="CJ57" s="433">
        <v>0.24504509923964415</v>
      </c>
      <c r="CK57" s="433">
        <v>0.24306585314092802</v>
      </c>
      <c r="CL57" s="433">
        <v>0.26123057689286194</v>
      </c>
      <c r="CM57" s="433">
        <v>0.20098800457055921</v>
      </c>
      <c r="CN57" s="433">
        <v>0.18890723589386732</v>
      </c>
      <c r="CO57" s="433">
        <v>0.58946685490196193</v>
      </c>
      <c r="CP57" s="433">
        <v>0.60559402133974971</v>
      </c>
      <c r="CQ57" s="433">
        <v>0.67663897658204775</v>
      </c>
      <c r="CR57" s="433">
        <v>0.47888048937537914</v>
      </c>
      <c r="CS57" s="433">
        <v>0.39443520669059223</v>
      </c>
      <c r="CT57" s="433">
        <v>0.447221292916757</v>
      </c>
      <c r="CU57" s="433">
        <v>0.3622790598707698</v>
      </c>
      <c r="CV57" s="433">
        <v>0.47604249083347333</v>
      </c>
      <c r="CW57" s="433">
        <v>0.4759898508915783</v>
      </c>
      <c r="CX57" s="433">
        <v>0.4007797062399322</v>
      </c>
      <c r="CY57" s="433">
        <v>0.43383847945766757</v>
      </c>
      <c r="CZ57" s="433">
        <v>0.29816004259848461</v>
      </c>
      <c r="DA57" s="433">
        <v>0.25104840798869349</v>
      </c>
      <c r="DB57" s="433">
        <v>0.78134770554504784</v>
      </c>
      <c r="DC57" s="433">
        <v>0.29816004259848461</v>
      </c>
      <c r="DD57" s="433">
        <v>0.25104840798869349</v>
      </c>
      <c r="DE57" s="433">
        <v>0.37034376886796982</v>
      </c>
      <c r="DF57" s="433">
        <v>0.39133505591051104</v>
      </c>
      <c r="DG57" s="433">
        <v>0</v>
      </c>
      <c r="DH57" s="433">
        <v>0</v>
      </c>
      <c r="DI57" s="433">
        <v>0</v>
      </c>
      <c r="DJ57" s="433">
        <v>0.34760074846819372</v>
      </c>
      <c r="DK57" s="433">
        <v>0.31679504526088992</v>
      </c>
      <c r="DL57" s="433">
        <v>0.28139108209329972</v>
      </c>
      <c r="DM57" s="433">
        <v>0.40065255724171372</v>
      </c>
      <c r="DN57" s="433">
        <v>0</v>
      </c>
      <c r="DO57" s="433">
        <v>0</v>
      </c>
      <c r="DP57" s="433">
        <v>0</v>
      </c>
      <c r="DR57" s="409" t="s">
        <v>711</v>
      </c>
      <c r="DS57" s="409" t="s">
        <v>2243</v>
      </c>
    </row>
    <row r="58" spans="2:123" s="1471" customFormat="1">
      <c r="B58" s="428">
        <v>41770.676473842592</v>
      </c>
      <c r="C58" s="429">
        <v>1.4018643586113306</v>
      </c>
      <c r="D58" s="429">
        <v>1.3907052879353901</v>
      </c>
      <c r="E58" s="429">
        <v>1.4461615734179338</v>
      </c>
      <c r="F58" s="429">
        <v>1.4336021733407758</v>
      </c>
      <c r="G58" s="429">
        <v>1.3599520398353377</v>
      </c>
      <c r="H58" s="429">
        <v>1.4343873873087092</v>
      </c>
      <c r="I58" s="429">
        <v>1.4308608559051497</v>
      </c>
      <c r="J58" s="429">
        <v>1.4650537403500887</v>
      </c>
      <c r="K58" s="429">
        <v>1.3448382703931807</v>
      </c>
      <c r="L58" s="429">
        <v>1.4550001989092618</v>
      </c>
      <c r="M58" s="429">
        <v>1.3664509230339441</v>
      </c>
      <c r="N58" s="429">
        <v>1.3622903859195523</v>
      </c>
      <c r="O58" s="429">
        <v>1.1322024866217659</v>
      </c>
      <c r="P58" s="429">
        <v>1.1390858649471818</v>
      </c>
      <c r="Q58" s="429">
        <v>2907.0868513414725</v>
      </c>
      <c r="R58" s="429">
        <v>13.425611852708817</v>
      </c>
      <c r="S58" s="429">
        <v>9.910196580690311</v>
      </c>
      <c r="T58" s="429">
        <v>3785.9924571087672</v>
      </c>
      <c r="U58" s="429">
        <v>3938.1788201556255</v>
      </c>
      <c r="V58" s="429">
        <v>4070.6763850262373</v>
      </c>
      <c r="W58" s="429">
        <v>867.51588588852428</v>
      </c>
      <c r="X58" s="429">
        <v>635.13430180151522</v>
      </c>
      <c r="Y58" s="429">
        <v>562.61053462778943</v>
      </c>
      <c r="Z58" s="429">
        <v>195.84424853688859</v>
      </c>
      <c r="AA58" s="429">
        <v>571.95248488434243</v>
      </c>
      <c r="AB58" s="429">
        <v>499.16519408436483</v>
      </c>
      <c r="AC58" s="429">
        <v>476.01177052457638</v>
      </c>
      <c r="AD58" s="429">
        <v>3.2143625898705821</v>
      </c>
      <c r="AE58" s="429">
        <v>0</v>
      </c>
      <c r="AF58" s="429">
        <v>0</v>
      </c>
      <c r="AG58" s="429">
        <v>0</v>
      </c>
      <c r="AH58" s="429">
        <v>2.8632253091556468</v>
      </c>
      <c r="AI58" s="429">
        <v>6.2834006377624876</v>
      </c>
      <c r="AJ58" s="429">
        <v>6.0204972390364881</v>
      </c>
      <c r="AK58" s="429">
        <v>6.9284458851957318</v>
      </c>
      <c r="AL58" s="429">
        <v>0</v>
      </c>
      <c r="AM58" s="429">
        <v>0</v>
      </c>
      <c r="AN58" s="429">
        <v>0</v>
      </c>
      <c r="AO58" s="432"/>
      <c r="AP58" s="428">
        <v>41770.676473842592</v>
      </c>
      <c r="AQ58" s="431">
        <v>103.43968130832054</v>
      </c>
      <c r="AR58" s="431">
        <v>128.56255443759267</v>
      </c>
      <c r="AS58" s="431">
        <v>287.59907440560761</v>
      </c>
      <c r="AT58" s="431">
        <v>429.45824281082207</v>
      </c>
      <c r="AU58" s="431">
        <v>25.345565775260734</v>
      </c>
      <c r="AV58" s="431">
        <v>272.207115128895</v>
      </c>
      <c r="AW58" s="431">
        <v>22.801682875810435</v>
      </c>
      <c r="AX58" s="431">
        <v>-7.2885272323736077</v>
      </c>
      <c r="AY58" s="431">
        <v>125.69496579485774</v>
      </c>
      <c r="AZ58" s="431">
        <v>-50.863234933278726</v>
      </c>
      <c r="BA58" s="431">
        <v>67.520402429703779</v>
      </c>
      <c r="BB58" s="431">
        <v>119.45823685997694</v>
      </c>
      <c r="BC58" s="431">
        <v>92.069331877766643</v>
      </c>
      <c r="BD58" s="431">
        <v>158.78053653740488</v>
      </c>
      <c r="BE58" s="431">
        <v>386397.43802357599</v>
      </c>
      <c r="BF58" s="431">
        <v>8194.4361691145095</v>
      </c>
      <c r="BG58" s="431">
        <v>1565.0495507238668</v>
      </c>
      <c r="BH58" s="431">
        <v>494104.64473247388</v>
      </c>
      <c r="BI58" s="431">
        <v>461606.95791116875</v>
      </c>
      <c r="BJ58" s="431">
        <v>93743.524446326337</v>
      </c>
      <c r="BK58" s="431">
        <v>386451.68477228517</v>
      </c>
      <c r="BL58" s="431">
        <v>538424.43691952561</v>
      </c>
      <c r="BM58" s="431">
        <v>109343.68189176689</v>
      </c>
      <c r="BN58" s="431">
        <v>486477.9933849909</v>
      </c>
      <c r="BO58" s="431">
        <v>538424.43691952561</v>
      </c>
      <c r="BP58" s="431">
        <v>109343.68189176689</v>
      </c>
      <c r="BQ58" s="431">
        <v>347574.04041562538</v>
      </c>
      <c r="BR58" s="431">
        <v>893.42005339368006</v>
      </c>
      <c r="BS58" s="431">
        <v>0</v>
      </c>
      <c r="BT58" s="431">
        <v>0</v>
      </c>
      <c r="BU58" s="431">
        <v>0</v>
      </c>
      <c r="BV58" s="431">
        <v>823.92759478913183</v>
      </c>
      <c r="BW58" s="431">
        <v>1384.6042725346381</v>
      </c>
      <c r="BX58" s="431">
        <v>1272.8934157481581</v>
      </c>
      <c r="BY58" s="431">
        <v>1065.0802096420291</v>
      </c>
      <c r="BZ58" s="431">
        <v>0</v>
      </c>
      <c r="CA58" s="431">
        <v>0</v>
      </c>
      <c r="CB58" s="431">
        <v>0</v>
      </c>
      <c r="CC58" s="432"/>
      <c r="CD58" s="428">
        <v>41770.676473842592</v>
      </c>
      <c r="CE58" s="433">
        <v>0.28867948499398594</v>
      </c>
      <c r="CF58" s="433">
        <v>0.21647902720720727</v>
      </c>
      <c r="CG58" s="433">
        <v>0.17973960391015936</v>
      </c>
      <c r="CH58" s="433">
        <v>0.18197778689994615</v>
      </c>
      <c r="CI58" s="433">
        <v>0.1207127188701978</v>
      </c>
      <c r="CJ58" s="433">
        <v>0.24504509923964415</v>
      </c>
      <c r="CK58" s="433">
        <v>0.24306585314092802</v>
      </c>
      <c r="CL58" s="433">
        <v>0.26123057689286194</v>
      </c>
      <c r="CM58" s="433">
        <v>0.20098800457055921</v>
      </c>
      <c r="CN58" s="433">
        <v>0.18890723589386732</v>
      </c>
      <c r="CO58" s="433">
        <v>0.58946685490196193</v>
      </c>
      <c r="CP58" s="433">
        <v>0.60559402133974971</v>
      </c>
      <c r="CQ58" s="433">
        <v>0.67663897658204775</v>
      </c>
      <c r="CR58" s="433">
        <v>0.47888048937537914</v>
      </c>
      <c r="CS58" s="433">
        <v>0.39443520669059223</v>
      </c>
      <c r="CT58" s="433">
        <v>0.447221292916757</v>
      </c>
      <c r="CU58" s="433">
        <v>0.3622790598707698</v>
      </c>
      <c r="CV58" s="433">
        <v>0.47604249083347333</v>
      </c>
      <c r="CW58" s="433">
        <v>0.4759898508915783</v>
      </c>
      <c r="CX58" s="433">
        <v>0.4007797062399322</v>
      </c>
      <c r="CY58" s="433">
        <v>0.43383847945766757</v>
      </c>
      <c r="CZ58" s="433">
        <v>0.29816004259848461</v>
      </c>
      <c r="DA58" s="433">
        <v>0.25104840798869349</v>
      </c>
      <c r="DB58" s="433">
        <v>0.78134770554504784</v>
      </c>
      <c r="DC58" s="433">
        <v>0.29816004259848461</v>
      </c>
      <c r="DD58" s="433">
        <v>0.25104840798869349</v>
      </c>
      <c r="DE58" s="433">
        <v>0.37034376886796982</v>
      </c>
      <c r="DF58" s="433">
        <v>0.39133505591051104</v>
      </c>
      <c r="DG58" s="433">
        <v>0</v>
      </c>
      <c r="DH58" s="433">
        <v>0</v>
      </c>
      <c r="DI58" s="433">
        <v>0</v>
      </c>
      <c r="DJ58" s="433">
        <v>0.34760074846819372</v>
      </c>
      <c r="DK58" s="433">
        <v>0.31679504526088992</v>
      </c>
      <c r="DL58" s="433">
        <v>0.28139108209329972</v>
      </c>
      <c r="DM58" s="433">
        <v>0.40065255724171372</v>
      </c>
      <c r="DN58" s="433">
        <v>0</v>
      </c>
      <c r="DO58" s="433">
        <v>0</v>
      </c>
      <c r="DP58" s="433">
        <v>0</v>
      </c>
      <c r="DR58" s="409" t="s">
        <v>711</v>
      </c>
      <c r="DS58" s="409" t="s">
        <v>2265</v>
      </c>
    </row>
    <row r="59" spans="2:123" s="1471" customFormat="1">
      <c r="B59" s="428">
        <v>41770.719513425924</v>
      </c>
      <c r="C59" s="429">
        <v>1.4018643586113306</v>
      </c>
      <c r="D59" s="429">
        <v>1.3907052879353901</v>
      </c>
      <c r="E59" s="429">
        <v>1.4237693083885157</v>
      </c>
      <c r="F59" s="429">
        <v>1.3889118731531933</v>
      </c>
      <c r="G59" s="429">
        <v>1.3599520398353377</v>
      </c>
      <c r="H59" s="429">
        <v>1.4052844643988907</v>
      </c>
      <c r="I59" s="429">
        <v>1.4308608559051497</v>
      </c>
      <c r="J59" s="429">
        <v>1.4650537403500887</v>
      </c>
      <c r="K59" s="429">
        <v>1.3448382703931807</v>
      </c>
      <c r="L59" s="429">
        <v>1.4550001989092618</v>
      </c>
      <c r="M59" s="429">
        <v>1.3661176823818821</v>
      </c>
      <c r="N59" s="429">
        <v>1.3617157102069923</v>
      </c>
      <c r="O59" s="429">
        <v>1.1317595702495464</v>
      </c>
      <c r="P59" s="429">
        <v>1.1383804724048325</v>
      </c>
      <c r="Q59" s="429">
        <v>2907.0868513414725</v>
      </c>
      <c r="R59" s="429">
        <v>13.425611852708817</v>
      </c>
      <c r="S59" s="429">
        <v>9.910196580690311</v>
      </c>
      <c r="T59" s="429">
        <v>3785.9924571087672</v>
      </c>
      <c r="U59" s="429">
        <v>3938.1788201556255</v>
      </c>
      <c r="V59" s="429">
        <v>4070.6763850262373</v>
      </c>
      <c r="W59" s="429">
        <v>867.51588588852428</v>
      </c>
      <c r="X59" s="429">
        <v>635.13430180151522</v>
      </c>
      <c r="Y59" s="429">
        <v>562.61053462778943</v>
      </c>
      <c r="Z59" s="429">
        <v>193.50395711084923</v>
      </c>
      <c r="AA59" s="429">
        <v>571.95248488434243</v>
      </c>
      <c r="AB59" s="429">
        <v>499.16519408436483</v>
      </c>
      <c r="AC59" s="429">
        <v>476.01177052457638</v>
      </c>
      <c r="AD59" s="429">
        <v>3.2143625898705821</v>
      </c>
      <c r="AE59" s="429">
        <v>0</v>
      </c>
      <c r="AF59" s="429">
        <v>0</v>
      </c>
      <c r="AG59" s="429">
        <v>0</v>
      </c>
      <c r="AH59" s="429">
        <v>2.8632253091556468</v>
      </c>
      <c r="AI59" s="429">
        <v>6.2834006377624876</v>
      </c>
      <c r="AJ59" s="429">
        <v>6.0204972390364881</v>
      </c>
      <c r="AK59" s="429">
        <v>6.9284458851957318</v>
      </c>
      <c r="AL59" s="429">
        <v>0</v>
      </c>
      <c r="AM59" s="429">
        <v>0</v>
      </c>
      <c r="AN59" s="429">
        <v>0</v>
      </c>
      <c r="AO59" s="432"/>
      <c r="AP59" s="428">
        <v>41770.719513425924</v>
      </c>
      <c r="AQ59" s="431">
        <v>103.43968130832054</v>
      </c>
      <c r="AR59" s="431">
        <v>128.56255443759267</v>
      </c>
      <c r="AS59" s="431">
        <v>140.67224283042944</v>
      </c>
      <c r="AT59" s="431">
        <v>154.01824109478082</v>
      </c>
      <c r="AU59" s="431">
        <v>25.345565775260734</v>
      </c>
      <c r="AV59" s="431">
        <v>92.228718950065783</v>
      </c>
      <c r="AW59" s="431">
        <v>22.801682875810435</v>
      </c>
      <c r="AX59" s="431">
        <v>-7.2885272323736077</v>
      </c>
      <c r="AY59" s="431">
        <v>125.69496579485774</v>
      </c>
      <c r="AZ59" s="431">
        <v>-50.863234933278726</v>
      </c>
      <c r="BA59" s="431">
        <v>65.466538271473752</v>
      </c>
      <c r="BB59" s="431">
        <v>115.91633451004323</v>
      </c>
      <c r="BC59" s="431">
        <v>89.339502679660157</v>
      </c>
      <c r="BD59" s="431">
        <v>154.43298634732659</v>
      </c>
      <c r="BE59" s="431">
        <v>386397.43802357599</v>
      </c>
      <c r="BF59" s="431">
        <v>8194.4361691145095</v>
      </c>
      <c r="BG59" s="431">
        <v>1565.0495507238668</v>
      </c>
      <c r="BH59" s="431">
        <v>494104.64473247388</v>
      </c>
      <c r="BI59" s="431">
        <v>461606.95791116875</v>
      </c>
      <c r="BJ59" s="431">
        <v>93743.524446326337</v>
      </c>
      <c r="BK59" s="431">
        <v>386451.68477228517</v>
      </c>
      <c r="BL59" s="431">
        <v>538424.43691952561</v>
      </c>
      <c r="BM59" s="431">
        <v>109343.68189176689</v>
      </c>
      <c r="BN59" s="431">
        <v>472054.06086051377</v>
      </c>
      <c r="BO59" s="431">
        <v>538424.43691952561</v>
      </c>
      <c r="BP59" s="431">
        <v>109343.68189176689</v>
      </c>
      <c r="BQ59" s="431">
        <v>347574.04041562538</v>
      </c>
      <c r="BR59" s="431">
        <v>893.42005339368006</v>
      </c>
      <c r="BS59" s="431">
        <v>0</v>
      </c>
      <c r="BT59" s="431">
        <v>0</v>
      </c>
      <c r="BU59" s="431">
        <v>0</v>
      </c>
      <c r="BV59" s="431">
        <v>823.92759478913183</v>
      </c>
      <c r="BW59" s="431">
        <v>1384.6042725346381</v>
      </c>
      <c r="BX59" s="431">
        <v>1272.8934157481581</v>
      </c>
      <c r="BY59" s="431">
        <v>1065.0802096420291</v>
      </c>
      <c r="BZ59" s="431">
        <v>0</v>
      </c>
      <c r="CA59" s="431">
        <v>0</v>
      </c>
      <c r="CB59" s="431">
        <v>0</v>
      </c>
      <c r="CC59" s="432"/>
      <c r="CD59" s="428">
        <v>41770.719513425924</v>
      </c>
      <c r="CE59" s="433">
        <v>0.28867948499398594</v>
      </c>
      <c r="CF59" s="433">
        <v>0.21647902720720727</v>
      </c>
      <c r="CG59" s="433">
        <v>0.17973960391015936</v>
      </c>
      <c r="CH59" s="433">
        <v>0.18197778689994615</v>
      </c>
      <c r="CI59" s="433">
        <v>0.1207127188701978</v>
      </c>
      <c r="CJ59" s="433">
        <v>0.24504509923964415</v>
      </c>
      <c r="CK59" s="433">
        <v>0.24306585314092802</v>
      </c>
      <c r="CL59" s="433">
        <v>0.26123057689286194</v>
      </c>
      <c r="CM59" s="433">
        <v>0.20098800457055921</v>
      </c>
      <c r="CN59" s="433">
        <v>0.18890723589386732</v>
      </c>
      <c r="CO59" s="433">
        <v>0.58946685490196193</v>
      </c>
      <c r="CP59" s="433">
        <v>0.60559402133974971</v>
      </c>
      <c r="CQ59" s="433">
        <v>0.67663897658204775</v>
      </c>
      <c r="CR59" s="433">
        <v>0.47888048937537914</v>
      </c>
      <c r="CS59" s="433">
        <v>0.39443520669059223</v>
      </c>
      <c r="CT59" s="433">
        <v>0.447221292916757</v>
      </c>
      <c r="CU59" s="433">
        <v>0.3622790598707698</v>
      </c>
      <c r="CV59" s="433">
        <v>0.47604249083347333</v>
      </c>
      <c r="CW59" s="433">
        <v>0.4759898508915783</v>
      </c>
      <c r="CX59" s="433">
        <v>0.4007797062399322</v>
      </c>
      <c r="CY59" s="433">
        <v>0.43383847945766757</v>
      </c>
      <c r="CZ59" s="433">
        <v>0.29816004259848461</v>
      </c>
      <c r="DA59" s="433">
        <v>0.25104840798869349</v>
      </c>
      <c r="DB59" s="433">
        <v>0.78134770554504784</v>
      </c>
      <c r="DC59" s="433">
        <v>0.29816004259848461</v>
      </c>
      <c r="DD59" s="433">
        <v>0.25104840798869349</v>
      </c>
      <c r="DE59" s="433">
        <v>0.37034376886796982</v>
      </c>
      <c r="DF59" s="433">
        <v>0.39133505591051104</v>
      </c>
      <c r="DG59" s="433">
        <v>0</v>
      </c>
      <c r="DH59" s="433">
        <v>0</v>
      </c>
      <c r="DI59" s="433">
        <v>0</v>
      </c>
      <c r="DJ59" s="433">
        <v>0.34760074846819372</v>
      </c>
      <c r="DK59" s="433">
        <v>0.31679504526088992</v>
      </c>
      <c r="DL59" s="433">
        <v>0.28139108209329972</v>
      </c>
      <c r="DM59" s="433">
        <v>0.40065255724171372</v>
      </c>
      <c r="DN59" s="433">
        <v>0</v>
      </c>
      <c r="DO59" s="433">
        <v>0</v>
      </c>
      <c r="DP59" s="433">
        <v>0</v>
      </c>
      <c r="DR59" s="409" t="s">
        <v>711</v>
      </c>
      <c r="DS59" s="409" t="s">
        <v>2272</v>
      </c>
    </row>
    <row r="60" spans="2:123" s="1471" customFormat="1">
      <c r="B60" s="428">
        <v>41770.795190625002</v>
      </c>
      <c r="C60" s="429">
        <v>1.4018643586113306</v>
      </c>
      <c r="D60" s="429">
        <v>1.3907052879353901</v>
      </c>
      <c r="E60" s="429">
        <v>1.4237693083885157</v>
      </c>
      <c r="F60" s="429">
        <v>1.3889118731531933</v>
      </c>
      <c r="G60" s="429">
        <v>1.3599520398353377</v>
      </c>
      <c r="H60" s="429">
        <v>1.4052844643988907</v>
      </c>
      <c r="I60" s="429">
        <v>1.4308608559051497</v>
      </c>
      <c r="J60" s="429">
        <v>1.4650537403500887</v>
      </c>
      <c r="K60" s="429">
        <v>1.3448382703931807</v>
      </c>
      <c r="L60" s="429">
        <v>1.4515755418271161</v>
      </c>
      <c r="M60" s="429">
        <v>1.3661176823818821</v>
      </c>
      <c r="N60" s="429">
        <v>1.3617157102069923</v>
      </c>
      <c r="O60" s="429">
        <v>1.1317595702495464</v>
      </c>
      <c r="P60" s="429">
        <v>1.1383804724048325</v>
      </c>
      <c r="Q60" s="429">
        <v>2907.0868513414725</v>
      </c>
      <c r="R60" s="429">
        <v>13.425611852708817</v>
      </c>
      <c r="S60" s="429">
        <v>9.910196580690311</v>
      </c>
      <c r="T60" s="429">
        <v>3785.9924571087672</v>
      </c>
      <c r="U60" s="429">
        <v>3938.1788201556255</v>
      </c>
      <c r="V60" s="429">
        <v>4070.6763850262373</v>
      </c>
      <c r="W60" s="429">
        <v>867.51588588852428</v>
      </c>
      <c r="X60" s="429">
        <v>635.13430180151522</v>
      </c>
      <c r="Y60" s="429">
        <v>562.61053462778943</v>
      </c>
      <c r="Z60" s="429">
        <v>193.50395711084923</v>
      </c>
      <c r="AA60" s="429">
        <v>571.95248488434243</v>
      </c>
      <c r="AB60" s="429">
        <v>499.16519408436483</v>
      </c>
      <c r="AC60" s="429">
        <v>476.01177052457638</v>
      </c>
      <c r="AD60" s="429">
        <v>3.2143625898705821</v>
      </c>
      <c r="AE60" s="429">
        <v>0</v>
      </c>
      <c r="AF60" s="429">
        <v>0</v>
      </c>
      <c r="AG60" s="429">
        <v>0</v>
      </c>
      <c r="AH60" s="429">
        <v>2.8632253091556468</v>
      </c>
      <c r="AI60" s="429">
        <v>6.2834006377624876</v>
      </c>
      <c r="AJ60" s="429">
        <v>6.0204972390364881</v>
      </c>
      <c r="AK60" s="429">
        <v>6.9284458851957318</v>
      </c>
      <c r="AL60" s="429">
        <v>0</v>
      </c>
      <c r="AM60" s="429">
        <v>0</v>
      </c>
      <c r="AN60" s="429">
        <v>0</v>
      </c>
      <c r="AO60" s="432"/>
      <c r="AP60" s="428">
        <v>41770.795190625002</v>
      </c>
      <c r="AQ60" s="431">
        <v>103.43968130832054</v>
      </c>
      <c r="AR60" s="431">
        <v>128.56255443759267</v>
      </c>
      <c r="AS60" s="431">
        <v>140.67224283042944</v>
      </c>
      <c r="AT60" s="431">
        <v>154.01824109478082</v>
      </c>
      <c r="AU60" s="431">
        <v>25.345565775260734</v>
      </c>
      <c r="AV60" s="431">
        <v>92.228718950065783</v>
      </c>
      <c r="AW60" s="431">
        <v>22.801682875810435</v>
      </c>
      <c r="AX60" s="431">
        <v>-7.2885272323736077</v>
      </c>
      <c r="AY60" s="431">
        <v>125.69496579485774</v>
      </c>
      <c r="AZ60" s="431">
        <v>-50.863234933278726</v>
      </c>
      <c r="BA60" s="431">
        <v>65.466538271473752</v>
      </c>
      <c r="BB60" s="431">
        <v>115.91633451004323</v>
      </c>
      <c r="BC60" s="431">
        <v>89.339502679660157</v>
      </c>
      <c r="BD60" s="431">
        <v>154.43298634732659</v>
      </c>
      <c r="BE60" s="431">
        <v>386397.43802357599</v>
      </c>
      <c r="BF60" s="431">
        <v>8194.4361691145095</v>
      </c>
      <c r="BG60" s="431">
        <v>1565.0495507238668</v>
      </c>
      <c r="BH60" s="431">
        <v>494104.64473247388</v>
      </c>
      <c r="BI60" s="431">
        <v>461606.95791116875</v>
      </c>
      <c r="BJ60" s="431">
        <v>93743.524446326337</v>
      </c>
      <c r="BK60" s="431">
        <v>386451.68477228517</v>
      </c>
      <c r="BL60" s="431">
        <v>538424.43691952561</v>
      </c>
      <c r="BM60" s="431">
        <v>109343.68189176689</v>
      </c>
      <c r="BN60" s="431">
        <v>472054.06086051377</v>
      </c>
      <c r="BO60" s="431">
        <v>538424.43691952561</v>
      </c>
      <c r="BP60" s="431">
        <v>109343.68189176689</v>
      </c>
      <c r="BQ60" s="431">
        <v>347574.04041562538</v>
      </c>
      <c r="BR60" s="431">
        <v>893.42005339368006</v>
      </c>
      <c r="BS60" s="431">
        <v>0</v>
      </c>
      <c r="BT60" s="431">
        <v>0</v>
      </c>
      <c r="BU60" s="431">
        <v>0</v>
      </c>
      <c r="BV60" s="431">
        <v>823.92759478913183</v>
      </c>
      <c r="BW60" s="431">
        <v>1384.6042725346381</v>
      </c>
      <c r="BX60" s="431">
        <v>1272.8934157481581</v>
      </c>
      <c r="BY60" s="431">
        <v>1065.0802096420291</v>
      </c>
      <c r="BZ60" s="431">
        <v>0</v>
      </c>
      <c r="CA60" s="431">
        <v>0</v>
      </c>
      <c r="CB60" s="431">
        <v>0</v>
      </c>
      <c r="CC60" s="432"/>
      <c r="CD60" s="428">
        <v>41770.795190625002</v>
      </c>
      <c r="CE60" s="433">
        <v>0.28867948499398594</v>
      </c>
      <c r="CF60" s="433">
        <v>0.21647902720720727</v>
      </c>
      <c r="CG60" s="433">
        <v>0.17973960391015936</v>
      </c>
      <c r="CH60" s="433">
        <v>0.18197778689994615</v>
      </c>
      <c r="CI60" s="433">
        <v>0.1207127188701978</v>
      </c>
      <c r="CJ60" s="433">
        <v>0.24504509923964415</v>
      </c>
      <c r="CK60" s="433">
        <v>0.24306585314092802</v>
      </c>
      <c r="CL60" s="433">
        <v>0.26123057689286194</v>
      </c>
      <c r="CM60" s="433">
        <v>0.20098800457055921</v>
      </c>
      <c r="CN60" s="433">
        <v>0.18890723589386732</v>
      </c>
      <c r="CO60" s="433">
        <v>0.58946685490196193</v>
      </c>
      <c r="CP60" s="433">
        <v>0.60559402133974971</v>
      </c>
      <c r="CQ60" s="433">
        <v>0.67663897658204775</v>
      </c>
      <c r="CR60" s="433">
        <v>0.47888048937537914</v>
      </c>
      <c r="CS60" s="433">
        <v>0.39443520669059223</v>
      </c>
      <c r="CT60" s="433">
        <v>0.447221292916757</v>
      </c>
      <c r="CU60" s="433">
        <v>0.3622790598707698</v>
      </c>
      <c r="CV60" s="433">
        <v>0.47604249083347333</v>
      </c>
      <c r="CW60" s="433">
        <v>0.4759898508915783</v>
      </c>
      <c r="CX60" s="433">
        <v>0.4007797062399322</v>
      </c>
      <c r="CY60" s="433">
        <v>0.43383847945766757</v>
      </c>
      <c r="CZ60" s="433">
        <v>0.29816004259848461</v>
      </c>
      <c r="DA60" s="433">
        <v>0.25104840798869349</v>
      </c>
      <c r="DB60" s="433">
        <v>0.78134770554504784</v>
      </c>
      <c r="DC60" s="433">
        <v>0.29816004259848461</v>
      </c>
      <c r="DD60" s="433">
        <v>0.25104840798869349</v>
      </c>
      <c r="DE60" s="433">
        <v>0.37034376886796982</v>
      </c>
      <c r="DF60" s="433">
        <v>0.39133505591051104</v>
      </c>
      <c r="DG60" s="433">
        <v>0</v>
      </c>
      <c r="DH60" s="433">
        <v>0</v>
      </c>
      <c r="DI60" s="433">
        <v>0</v>
      </c>
      <c r="DJ60" s="433">
        <v>0.34760074846819372</v>
      </c>
      <c r="DK60" s="433">
        <v>0.31679504526088992</v>
      </c>
      <c r="DL60" s="433">
        <v>0.28139108209329972</v>
      </c>
      <c r="DM60" s="433">
        <v>0.40065255724171372</v>
      </c>
      <c r="DN60" s="433">
        <v>0</v>
      </c>
      <c r="DO60" s="433">
        <v>0</v>
      </c>
      <c r="DP60" s="433">
        <v>0</v>
      </c>
      <c r="DR60" s="409" t="s">
        <v>711</v>
      </c>
      <c r="DS60" s="409" t="s">
        <v>2278</v>
      </c>
    </row>
    <row r="61" spans="2:123" s="1471" customFormat="1">
      <c r="B61" s="428">
        <v>41770.836592013889</v>
      </c>
      <c r="C61" s="429">
        <v>1.4018643586113306</v>
      </c>
      <c r="D61" s="429">
        <v>1.3907052879353901</v>
      </c>
      <c r="E61" s="429">
        <v>1.4237693083885157</v>
      </c>
      <c r="F61" s="429">
        <v>1.3889118731531933</v>
      </c>
      <c r="G61" s="429">
        <v>1.3599520398353377</v>
      </c>
      <c r="H61" s="429">
        <v>1.4052844643988907</v>
      </c>
      <c r="I61" s="429">
        <v>1.4308608559051497</v>
      </c>
      <c r="J61" s="429">
        <v>1.4650537403500887</v>
      </c>
      <c r="K61" s="429">
        <v>1.3448382703931807</v>
      </c>
      <c r="L61" s="429">
        <v>1.4515755418271161</v>
      </c>
      <c r="M61" s="429">
        <v>1.3661176823818821</v>
      </c>
      <c r="N61" s="429">
        <v>1.3617157102069923</v>
      </c>
      <c r="O61" s="429">
        <v>1.1317595702495464</v>
      </c>
      <c r="P61" s="429">
        <v>1.1383804724048325</v>
      </c>
      <c r="Q61" s="429">
        <v>2907.0868513414725</v>
      </c>
      <c r="R61" s="429">
        <v>13.425611852708817</v>
      </c>
      <c r="S61" s="429">
        <v>9.910196580690311</v>
      </c>
      <c r="T61" s="429">
        <v>3785.9924571087672</v>
      </c>
      <c r="U61" s="429">
        <v>3938.1788201556255</v>
      </c>
      <c r="V61" s="429">
        <v>4070.6763850262373</v>
      </c>
      <c r="W61" s="429">
        <v>867.51588588852428</v>
      </c>
      <c r="X61" s="429">
        <v>9.5745174474672687</v>
      </c>
      <c r="Y61" s="429">
        <v>10.55472545366171</v>
      </c>
      <c r="Z61" s="429">
        <v>14.822692138187474</v>
      </c>
      <c r="AA61" s="429">
        <v>7.5110937426783284</v>
      </c>
      <c r="AB61" s="429">
        <v>8.3130821113828723</v>
      </c>
      <c r="AC61" s="429">
        <v>4.6640614179260096</v>
      </c>
      <c r="AD61" s="429">
        <v>3.2143625898705821</v>
      </c>
      <c r="AE61" s="429">
        <v>0</v>
      </c>
      <c r="AF61" s="429">
        <v>0</v>
      </c>
      <c r="AG61" s="429">
        <v>0</v>
      </c>
      <c r="AH61" s="429">
        <v>2.8632253091556468</v>
      </c>
      <c r="AI61" s="429">
        <v>6.2834006377624876</v>
      </c>
      <c r="AJ61" s="429">
        <v>6.0204972390364881</v>
      </c>
      <c r="AK61" s="429">
        <v>6.9284458851957318</v>
      </c>
      <c r="AL61" s="429">
        <v>0</v>
      </c>
      <c r="AM61" s="429">
        <v>0</v>
      </c>
      <c r="AN61" s="429">
        <v>0</v>
      </c>
      <c r="AO61" s="432"/>
      <c r="AP61" s="428">
        <v>41770.836592013889</v>
      </c>
      <c r="AQ61" s="431">
        <v>103.43968130832054</v>
      </c>
      <c r="AR61" s="431">
        <v>128.56255443759267</v>
      </c>
      <c r="AS61" s="431">
        <v>140.67224283042944</v>
      </c>
      <c r="AT61" s="431">
        <v>154.01824109478082</v>
      </c>
      <c r="AU61" s="431">
        <v>25.345565775260734</v>
      </c>
      <c r="AV61" s="431">
        <v>92.228718950065783</v>
      </c>
      <c r="AW61" s="431">
        <v>22.801682875810435</v>
      </c>
      <c r="AX61" s="431">
        <v>-7.2885272323736077</v>
      </c>
      <c r="AY61" s="431">
        <v>125.69496579485774</v>
      </c>
      <c r="AZ61" s="431">
        <v>-50.863234933278726</v>
      </c>
      <c r="BA61" s="431">
        <v>65.466538271473752</v>
      </c>
      <c r="BB61" s="431">
        <v>115.91633451004323</v>
      </c>
      <c r="BC61" s="431">
        <v>89.339502679660157</v>
      </c>
      <c r="BD61" s="431">
        <v>154.43298634732659</v>
      </c>
      <c r="BE61" s="431">
        <v>386397.43802357599</v>
      </c>
      <c r="BF61" s="431">
        <v>8194.4361691145095</v>
      </c>
      <c r="BG61" s="431">
        <v>1565.0495507238668</v>
      </c>
      <c r="BH61" s="431">
        <v>494104.64473247388</v>
      </c>
      <c r="BI61" s="431">
        <v>461606.95791116875</v>
      </c>
      <c r="BJ61" s="431">
        <v>93743.524446326337</v>
      </c>
      <c r="BK61" s="431">
        <v>386451.68477228517</v>
      </c>
      <c r="BL61" s="431">
        <v>3414.936993758648</v>
      </c>
      <c r="BM61" s="431">
        <v>693.50824130922933</v>
      </c>
      <c r="BN61" s="431">
        <v>5674.4637157499965</v>
      </c>
      <c r="BO61" s="431">
        <v>2794.0393585298034</v>
      </c>
      <c r="BP61" s="431">
        <v>567.41583379846031</v>
      </c>
      <c r="BQ61" s="431">
        <v>1777.0066260696706</v>
      </c>
      <c r="BR61" s="431">
        <v>893.42005339368006</v>
      </c>
      <c r="BS61" s="431">
        <v>0</v>
      </c>
      <c r="BT61" s="431">
        <v>0</v>
      </c>
      <c r="BU61" s="431">
        <v>0</v>
      </c>
      <c r="BV61" s="431">
        <v>823.92759478913183</v>
      </c>
      <c r="BW61" s="431">
        <v>1384.6042725346381</v>
      </c>
      <c r="BX61" s="431">
        <v>1272.8934157481581</v>
      </c>
      <c r="BY61" s="431">
        <v>1065.0802096420291</v>
      </c>
      <c r="BZ61" s="431">
        <v>0</v>
      </c>
      <c r="CA61" s="431">
        <v>0</v>
      </c>
      <c r="CB61" s="431">
        <v>0</v>
      </c>
      <c r="CC61" s="432"/>
      <c r="CD61" s="428">
        <v>41770.836592013889</v>
      </c>
      <c r="CE61" s="433">
        <v>0.28867948499398594</v>
      </c>
      <c r="CF61" s="433">
        <v>0.21647902720720727</v>
      </c>
      <c r="CG61" s="433">
        <v>0.17973960391015936</v>
      </c>
      <c r="CH61" s="433">
        <v>0.18197778689994615</v>
      </c>
      <c r="CI61" s="433">
        <v>0.1207127188701978</v>
      </c>
      <c r="CJ61" s="433">
        <v>0.24504509923964415</v>
      </c>
      <c r="CK61" s="433">
        <v>0.24306585314092802</v>
      </c>
      <c r="CL61" s="433">
        <v>0.26123057689286194</v>
      </c>
      <c r="CM61" s="433">
        <v>0.20098800457055921</v>
      </c>
      <c r="CN61" s="433">
        <v>0.18890723589386732</v>
      </c>
      <c r="CO61" s="433">
        <v>0.58946685490196193</v>
      </c>
      <c r="CP61" s="433">
        <v>0.60559402133974971</v>
      </c>
      <c r="CQ61" s="433">
        <v>0.67663897658204775</v>
      </c>
      <c r="CR61" s="433">
        <v>0.47888048937537914</v>
      </c>
      <c r="CS61" s="433">
        <v>0.39443520669059223</v>
      </c>
      <c r="CT61" s="433">
        <v>0.447221292916757</v>
      </c>
      <c r="CU61" s="433">
        <v>0.3622790598707698</v>
      </c>
      <c r="CV61" s="433">
        <v>0.47604249083347333</v>
      </c>
      <c r="CW61" s="433">
        <v>0.4759898508915783</v>
      </c>
      <c r="CX61" s="433">
        <v>0.4007797062399322</v>
      </c>
      <c r="CY61" s="433">
        <v>0.43383847945766757</v>
      </c>
      <c r="CZ61" s="433">
        <v>0.29816004259848461</v>
      </c>
      <c r="DA61" s="433">
        <v>0.25104840798869349</v>
      </c>
      <c r="DB61" s="433">
        <v>0.78134770554504784</v>
      </c>
      <c r="DC61" s="433">
        <v>0.29816004259848461</v>
      </c>
      <c r="DD61" s="433">
        <v>0.25104840798869349</v>
      </c>
      <c r="DE61" s="433">
        <v>0.37034376886796982</v>
      </c>
      <c r="DF61" s="433">
        <v>0.39133505591051104</v>
      </c>
      <c r="DG61" s="433">
        <v>0</v>
      </c>
      <c r="DH61" s="433">
        <v>0</v>
      </c>
      <c r="DI61" s="433">
        <v>0</v>
      </c>
      <c r="DJ61" s="433">
        <v>0.34760074846819372</v>
      </c>
      <c r="DK61" s="433">
        <v>0.31679504526088992</v>
      </c>
      <c r="DL61" s="433">
        <v>0.28139108209329972</v>
      </c>
      <c r="DM61" s="433">
        <v>0.40065255724171372</v>
      </c>
      <c r="DN61" s="433">
        <v>0</v>
      </c>
      <c r="DO61" s="433">
        <v>0</v>
      </c>
      <c r="DP61" s="433">
        <v>0</v>
      </c>
      <c r="DR61" s="409" t="s">
        <v>711</v>
      </c>
      <c r="DS61" s="409" t="s">
        <v>2281</v>
      </c>
    </row>
    <row r="62" spans="2:123" s="1471" customFormat="1">
      <c r="B62" s="428">
        <v>41793.864106018518</v>
      </c>
      <c r="C62" s="429">
        <v>1.4018643586113306</v>
      </c>
      <c r="D62" s="429">
        <v>1.3907052879353901</v>
      </c>
      <c r="E62" s="429">
        <v>1.4237693083885157</v>
      </c>
      <c r="F62" s="429">
        <v>1.3889118731531933</v>
      </c>
      <c r="G62" s="429">
        <v>1.3599520398353377</v>
      </c>
      <c r="H62" s="429">
        <v>1.4052844643988907</v>
      </c>
      <c r="I62" s="429">
        <v>1.4308608559051497</v>
      </c>
      <c r="J62" s="429">
        <v>1.4650537403500887</v>
      </c>
      <c r="K62" s="429">
        <v>1.3448382703931807</v>
      </c>
      <c r="L62" s="429">
        <v>1.4515755418271161</v>
      </c>
      <c r="M62" s="429">
        <v>1.3661176823818821</v>
      </c>
      <c r="N62" s="429">
        <v>1.3617157102069923</v>
      </c>
      <c r="O62" s="429">
        <v>1.1317595702495464</v>
      </c>
      <c r="P62" s="429">
        <v>1.1184799511683727</v>
      </c>
      <c r="Q62" s="429">
        <v>2907.0868513414725</v>
      </c>
      <c r="R62" s="429">
        <v>13.425611852708817</v>
      </c>
      <c r="S62" s="429">
        <v>9.910196580690311</v>
      </c>
      <c r="T62" s="429">
        <v>3785.9924571087672</v>
      </c>
      <c r="U62" s="429">
        <v>3938.1788201556255</v>
      </c>
      <c r="V62" s="429">
        <v>4070.6763850262373</v>
      </c>
      <c r="W62" s="429">
        <v>867.51588588852428</v>
      </c>
      <c r="X62" s="429">
        <v>9.5745174474672687</v>
      </c>
      <c r="Y62" s="429">
        <v>10.55472545366171</v>
      </c>
      <c r="Z62" s="429">
        <v>14.822692138187474</v>
      </c>
      <c r="AA62" s="429">
        <v>7.5110937426783284</v>
      </c>
      <c r="AB62" s="429">
        <v>8.3130821113828723</v>
      </c>
      <c r="AC62" s="429">
        <v>4.6640614179260096</v>
      </c>
      <c r="AD62" s="429">
        <v>3.2143625898705821</v>
      </c>
      <c r="AE62" s="429">
        <v>0</v>
      </c>
      <c r="AF62" s="429">
        <v>0</v>
      </c>
      <c r="AG62" s="429">
        <v>0</v>
      </c>
      <c r="AH62" s="429">
        <v>2.8632253091556468</v>
      </c>
      <c r="AI62" s="429">
        <v>6.2834006377624876</v>
      </c>
      <c r="AJ62" s="429">
        <v>6.0204972390364881</v>
      </c>
      <c r="AK62" s="429">
        <v>6.9284458851957318</v>
      </c>
      <c r="AL62" s="429">
        <v>0</v>
      </c>
      <c r="AM62" s="429">
        <v>0</v>
      </c>
      <c r="AN62" s="429">
        <v>0</v>
      </c>
      <c r="AO62" s="432"/>
      <c r="AP62" s="428">
        <v>41793.864106018518</v>
      </c>
      <c r="AQ62" s="431">
        <v>103.43968130832054</v>
      </c>
      <c r="AR62" s="431">
        <v>128.56255443759267</v>
      </c>
      <c r="AS62" s="431">
        <v>140.67224283042944</v>
      </c>
      <c r="AT62" s="431">
        <v>154.01824109478082</v>
      </c>
      <c r="AU62" s="431">
        <v>25.345565775260734</v>
      </c>
      <c r="AV62" s="431">
        <v>92.228718950065783</v>
      </c>
      <c r="AW62" s="431">
        <v>22.801682875810435</v>
      </c>
      <c r="AX62" s="431">
        <v>-7.2885272323736077</v>
      </c>
      <c r="AY62" s="431">
        <v>125.69496579485774</v>
      </c>
      <c r="AZ62" s="431">
        <v>-50.863234933278726</v>
      </c>
      <c r="BA62" s="431">
        <v>65.466538271473752</v>
      </c>
      <c r="BB62" s="431">
        <v>115.91633451004323</v>
      </c>
      <c r="BC62" s="431">
        <v>89.339502679660157</v>
      </c>
      <c r="BD62" s="431">
        <v>103.03597409815461</v>
      </c>
      <c r="BE62" s="431">
        <v>386397.43802357599</v>
      </c>
      <c r="BF62" s="431">
        <v>8194.4361691145095</v>
      </c>
      <c r="BG62" s="431">
        <v>1565.0495507238668</v>
      </c>
      <c r="BH62" s="431">
        <v>494104.64473247388</v>
      </c>
      <c r="BI62" s="431">
        <v>461606.95791116875</v>
      </c>
      <c r="BJ62" s="431">
        <v>93743.524446326337</v>
      </c>
      <c r="BK62" s="431">
        <v>386451.68477228517</v>
      </c>
      <c r="BL62" s="431">
        <v>3414.936993758648</v>
      </c>
      <c r="BM62" s="431">
        <v>693.50824130922933</v>
      </c>
      <c r="BN62" s="431">
        <v>5674.4637157499965</v>
      </c>
      <c r="BO62" s="431">
        <v>2794.0393585298034</v>
      </c>
      <c r="BP62" s="431">
        <v>567.41583379846031</v>
      </c>
      <c r="BQ62" s="431">
        <v>1777.0066260696706</v>
      </c>
      <c r="BR62" s="431">
        <v>893.42005339368006</v>
      </c>
      <c r="BS62" s="431">
        <v>0</v>
      </c>
      <c r="BT62" s="431">
        <v>0</v>
      </c>
      <c r="BU62" s="431">
        <v>0</v>
      </c>
      <c r="BV62" s="431">
        <v>823.92759478913183</v>
      </c>
      <c r="BW62" s="431">
        <v>1384.6042725346381</v>
      </c>
      <c r="BX62" s="431">
        <v>1272.8934157481581</v>
      </c>
      <c r="BY62" s="431">
        <v>1065.0802096420291</v>
      </c>
      <c r="BZ62" s="431">
        <v>0</v>
      </c>
      <c r="CA62" s="431">
        <v>0</v>
      </c>
      <c r="CB62" s="431">
        <v>0</v>
      </c>
      <c r="CC62" s="432"/>
      <c r="CD62" s="428">
        <v>41793.864106018518</v>
      </c>
      <c r="CE62" s="433">
        <v>0.28867948499398594</v>
      </c>
      <c r="CF62" s="433">
        <v>0.21647902720720727</v>
      </c>
      <c r="CG62" s="433">
        <v>0.17973960391015936</v>
      </c>
      <c r="CH62" s="433">
        <v>0.18197778689994615</v>
      </c>
      <c r="CI62" s="433">
        <v>0.1207127188701978</v>
      </c>
      <c r="CJ62" s="433">
        <v>0.24504509923964415</v>
      </c>
      <c r="CK62" s="433">
        <v>0.24306585314092802</v>
      </c>
      <c r="CL62" s="433">
        <v>0.26123057689286194</v>
      </c>
      <c r="CM62" s="433">
        <v>0.20098800457055921</v>
      </c>
      <c r="CN62" s="433">
        <v>0.18890723589386732</v>
      </c>
      <c r="CO62" s="433">
        <v>0.58946685490196193</v>
      </c>
      <c r="CP62" s="433">
        <v>0.60559402133974971</v>
      </c>
      <c r="CQ62" s="433">
        <v>0.67663897658204775</v>
      </c>
      <c r="CR62" s="433">
        <v>0.41104225845250458</v>
      </c>
      <c r="CS62" s="433">
        <v>0.39443520669059223</v>
      </c>
      <c r="CT62" s="433">
        <v>0.447221292916757</v>
      </c>
      <c r="CU62" s="433">
        <v>0.3622790598707698</v>
      </c>
      <c r="CV62" s="433">
        <v>0.47604249083347333</v>
      </c>
      <c r="CW62" s="433">
        <v>0.4759898508915783</v>
      </c>
      <c r="CX62" s="433">
        <v>0.4007797062399322</v>
      </c>
      <c r="CY62" s="433">
        <v>0.43383847945766757</v>
      </c>
      <c r="CZ62" s="433">
        <v>0.29816004259848461</v>
      </c>
      <c r="DA62" s="433">
        <v>0.25104840798869349</v>
      </c>
      <c r="DB62" s="433">
        <v>0.78134770554504784</v>
      </c>
      <c r="DC62" s="433">
        <v>0.29816004259848461</v>
      </c>
      <c r="DD62" s="433">
        <v>0.25104840798869349</v>
      </c>
      <c r="DE62" s="433">
        <v>0.37034376886796982</v>
      </c>
      <c r="DF62" s="433">
        <v>0.39133505591051104</v>
      </c>
      <c r="DG62" s="433">
        <v>0</v>
      </c>
      <c r="DH62" s="433">
        <v>0</v>
      </c>
      <c r="DI62" s="433">
        <v>0</v>
      </c>
      <c r="DJ62" s="433">
        <v>0.34760074846819372</v>
      </c>
      <c r="DK62" s="433">
        <v>0.31679504526088992</v>
      </c>
      <c r="DL62" s="433">
        <v>0.28139108209329972</v>
      </c>
      <c r="DM62" s="433">
        <v>0.40065255724171372</v>
      </c>
      <c r="DN62" s="433">
        <v>0</v>
      </c>
      <c r="DO62" s="433">
        <v>0</v>
      </c>
      <c r="DP62" s="433">
        <v>0</v>
      </c>
      <c r="DR62" s="409" t="s">
        <v>855</v>
      </c>
      <c r="DS62" s="409" t="s">
        <v>2298</v>
      </c>
    </row>
    <row r="63" spans="2:123" s="1471" customFormat="1">
      <c r="B63" s="428">
        <v>41793.866093055556</v>
      </c>
      <c r="C63" s="429">
        <v>1.4018643586113306</v>
      </c>
      <c r="D63" s="429">
        <v>1.3907052879353901</v>
      </c>
      <c r="E63" s="429">
        <v>1.4237693083885157</v>
      </c>
      <c r="F63" s="429">
        <v>1.3889118731531933</v>
      </c>
      <c r="G63" s="429">
        <v>1.3599520398353377</v>
      </c>
      <c r="H63" s="429">
        <v>1.4052844643988907</v>
      </c>
      <c r="I63" s="429">
        <v>1.4308608559051497</v>
      </c>
      <c r="J63" s="429">
        <v>1.4650537403500887</v>
      </c>
      <c r="K63" s="429">
        <v>1.3448382703931807</v>
      </c>
      <c r="L63" s="429">
        <v>1.4515755418271161</v>
      </c>
      <c r="M63" s="429">
        <v>1.3474676119516635</v>
      </c>
      <c r="N63" s="429">
        <v>1.3475750199921621</v>
      </c>
      <c r="O63" s="429">
        <v>1.1317595702495464</v>
      </c>
      <c r="P63" s="429">
        <v>1.1184799511683727</v>
      </c>
      <c r="Q63" s="429">
        <v>2907.0868513414725</v>
      </c>
      <c r="R63" s="429">
        <v>13.425611852708817</v>
      </c>
      <c r="S63" s="429">
        <v>9.910196580690311</v>
      </c>
      <c r="T63" s="429">
        <v>3785.9924571087672</v>
      </c>
      <c r="U63" s="429">
        <v>3938.1788201556255</v>
      </c>
      <c r="V63" s="429">
        <v>4070.6763850262373</v>
      </c>
      <c r="W63" s="429">
        <v>867.51588588852428</v>
      </c>
      <c r="X63" s="429">
        <v>9.5745174474672687</v>
      </c>
      <c r="Y63" s="429">
        <v>10.55472545366171</v>
      </c>
      <c r="Z63" s="429">
        <v>14.822692138187474</v>
      </c>
      <c r="AA63" s="429">
        <v>7.5110937426783284</v>
      </c>
      <c r="AB63" s="429">
        <v>8.3130821113828723</v>
      </c>
      <c r="AC63" s="429">
        <v>4.6640614179260096</v>
      </c>
      <c r="AD63" s="429">
        <v>3.2143625898705821</v>
      </c>
      <c r="AE63" s="429">
        <v>0</v>
      </c>
      <c r="AF63" s="429">
        <v>0</v>
      </c>
      <c r="AG63" s="429">
        <v>0</v>
      </c>
      <c r="AH63" s="429">
        <v>2.8632253091556468</v>
      </c>
      <c r="AI63" s="429">
        <v>6.2834006377624876</v>
      </c>
      <c r="AJ63" s="429">
        <v>6.0204972390364881</v>
      </c>
      <c r="AK63" s="429">
        <v>6.9284458851957318</v>
      </c>
      <c r="AL63" s="429">
        <v>0</v>
      </c>
      <c r="AM63" s="429">
        <v>0</v>
      </c>
      <c r="AN63" s="429">
        <v>0</v>
      </c>
      <c r="AO63" s="432"/>
      <c r="AP63" s="428">
        <v>41793.866093055556</v>
      </c>
      <c r="AQ63" s="431">
        <v>103.43968130832054</v>
      </c>
      <c r="AR63" s="431">
        <v>128.56255443759267</v>
      </c>
      <c r="AS63" s="431">
        <v>140.67224283042944</v>
      </c>
      <c r="AT63" s="431">
        <v>154.01824109478082</v>
      </c>
      <c r="AU63" s="431">
        <v>25.345565775260734</v>
      </c>
      <c r="AV63" s="431">
        <v>92.228718950065783</v>
      </c>
      <c r="AW63" s="431">
        <v>22.801682875810435</v>
      </c>
      <c r="AX63" s="431">
        <v>-7.2885272323736077</v>
      </c>
      <c r="AY63" s="431">
        <v>125.69496579485774</v>
      </c>
      <c r="AZ63" s="431">
        <v>-50.863234933278726</v>
      </c>
      <c r="BA63" s="431">
        <v>65.466538271473752</v>
      </c>
      <c r="BB63" s="431">
        <v>115.91633451004323</v>
      </c>
      <c r="BC63" s="431">
        <v>89.339502679660157</v>
      </c>
      <c r="BD63" s="431">
        <v>103.03597409815461</v>
      </c>
      <c r="BE63" s="431">
        <v>386397.43802357599</v>
      </c>
      <c r="BF63" s="431">
        <v>8194.4361691145095</v>
      </c>
      <c r="BG63" s="431">
        <v>1565.0495507238668</v>
      </c>
      <c r="BH63" s="431">
        <v>494104.64473247388</v>
      </c>
      <c r="BI63" s="431">
        <v>461606.95791116875</v>
      </c>
      <c r="BJ63" s="431">
        <v>93743.524446326337</v>
      </c>
      <c r="BK63" s="431">
        <v>386451.68477228517</v>
      </c>
      <c r="BL63" s="431">
        <v>3414.936993758648</v>
      </c>
      <c r="BM63" s="431">
        <v>693.50824130922933</v>
      </c>
      <c r="BN63" s="431">
        <v>5674.4637157499965</v>
      </c>
      <c r="BO63" s="431">
        <v>2794.0393585298034</v>
      </c>
      <c r="BP63" s="431">
        <v>567.41583379846031</v>
      </c>
      <c r="BQ63" s="431">
        <v>1777.0066260696706</v>
      </c>
      <c r="BR63" s="431">
        <v>893.42005339368006</v>
      </c>
      <c r="BS63" s="431">
        <v>0</v>
      </c>
      <c r="BT63" s="431">
        <v>0</v>
      </c>
      <c r="BU63" s="431">
        <v>0</v>
      </c>
      <c r="BV63" s="431">
        <v>823.92759478913183</v>
      </c>
      <c r="BW63" s="431">
        <v>1384.6042725346381</v>
      </c>
      <c r="BX63" s="431">
        <v>1272.8934157481581</v>
      </c>
      <c r="BY63" s="431">
        <v>1065.0802096420291</v>
      </c>
      <c r="BZ63" s="431">
        <v>0</v>
      </c>
      <c r="CA63" s="431">
        <v>0</v>
      </c>
      <c r="CB63" s="431">
        <v>0</v>
      </c>
      <c r="CC63" s="432"/>
      <c r="CD63" s="428">
        <v>41793.866093055556</v>
      </c>
      <c r="CE63" s="433">
        <v>0.28867948499398594</v>
      </c>
      <c r="CF63" s="433">
        <v>0.21647902720720727</v>
      </c>
      <c r="CG63" s="433">
        <v>0.17973960391015936</v>
      </c>
      <c r="CH63" s="433">
        <v>0.18197778689994615</v>
      </c>
      <c r="CI63" s="433">
        <v>0.1207127188701978</v>
      </c>
      <c r="CJ63" s="433">
        <v>0.24504509923964415</v>
      </c>
      <c r="CK63" s="433">
        <v>0.24306585314092802</v>
      </c>
      <c r="CL63" s="433">
        <v>0.26123057689286194</v>
      </c>
      <c r="CM63" s="433">
        <v>0.20098800457055921</v>
      </c>
      <c r="CN63" s="433">
        <v>0.18890723589386732</v>
      </c>
      <c r="CO63" s="433">
        <v>0.58946685490196193</v>
      </c>
      <c r="CP63" s="433">
        <v>0.60559402133974971</v>
      </c>
      <c r="CQ63" s="433">
        <v>0.67663897658204775</v>
      </c>
      <c r="CR63" s="433">
        <v>0.41104225845250458</v>
      </c>
      <c r="CS63" s="433">
        <v>0.39443520669059223</v>
      </c>
      <c r="CT63" s="433">
        <v>0.447221292916757</v>
      </c>
      <c r="CU63" s="433">
        <v>0.3622790598707698</v>
      </c>
      <c r="CV63" s="433">
        <v>0.47604249083347333</v>
      </c>
      <c r="CW63" s="433">
        <v>0.4759898508915783</v>
      </c>
      <c r="CX63" s="433">
        <v>0.4007797062399322</v>
      </c>
      <c r="CY63" s="433">
        <v>0.43383847945766757</v>
      </c>
      <c r="CZ63" s="433">
        <v>0.29816004259848461</v>
      </c>
      <c r="DA63" s="433">
        <v>0.25104840798869349</v>
      </c>
      <c r="DB63" s="433">
        <v>0.78134770554504784</v>
      </c>
      <c r="DC63" s="433">
        <v>0.29816004259848461</v>
      </c>
      <c r="DD63" s="433">
        <v>0.25104840798869349</v>
      </c>
      <c r="DE63" s="433">
        <v>0.37034376886796982</v>
      </c>
      <c r="DF63" s="433">
        <v>0.39133505591051104</v>
      </c>
      <c r="DG63" s="433">
        <v>0</v>
      </c>
      <c r="DH63" s="433">
        <v>0</v>
      </c>
      <c r="DI63" s="433">
        <v>0</v>
      </c>
      <c r="DJ63" s="433">
        <v>0.34760074846819372</v>
      </c>
      <c r="DK63" s="433">
        <v>0.31679504526088992</v>
      </c>
      <c r="DL63" s="433">
        <v>0.28139108209329972</v>
      </c>
      <c r="DM63" s="433">
        <v>0.40065255724171372</v>
      </c>
      <c r="DN63" s="433">
        <v>0</v>
      </c>
      <c r="DO63" s="433">
        <v>0</v>
      </c>
      <c r="DP63" s="433">
        <v>0</v>
      </c>
      <c r="DR63" s="409" t="s">
        <v>855</v>
      </c>
      <c r="DS63" s="409" t="s">
        <v>2299</v>
      </c>
    </row>
    <row r="64" spans="2:123" s="1471" customFormat="1">
      <c r="B64" s="428">
        <v>41794.449588078707</v>
      </c>
      <c r="C64" s="429">
        <v>1.4018769805790361</v>
      </c>
      <c r="D64" s="429">
        <v>1.3907227251635341</v>
      </c>
      <c r="E64" s="429">
        <v>1.4237927185151888</v>
      </c>
      <c r="F64" s="429">
        <v>1.3889352832798665</v>
      </c>
      <c r="G64" s="429">
        <v>1.3599717881441007</v>
      </c>
      <c r="H64" s="429">
        <v>1.4052994632306446</v>
      </c>
      <c r="I64" s="429">
        <v>1.4308734778728551</v>
      </c>
      <c r="J64" s="429">
        <v>1.4650788875177714</v>
      </c>
      <c r="K64" s="429">
        <v>1.3448382703931807</v>
      </c>
      <c r="L64" s="429">
        <v>1.4515755418271161</v>
      </c>
      <c r="M64" s="429">
        <v>1.3474733945721571</v>
      </c>
      <c r="N64" s="429">
        <v>1.3475750199921621</v>
      </c>
      <c r="O64" s="429">
        <v>1.1317595702495464</v>
      </c>
      <c r="P64" s="429">
        <v>1.1184894483053036</v>
      </c>
      <c r="Q64" s="429">
        <v>2907.1273937721335</v>
      </c>
      <c r="R64" s="429">
        <v>13.42671904570622</v>
      </c>
      <c r="S64" s="429">
        <v>9.9113037736877132</v>
      </c>
      <c r="T64" s="429">
        <v>3786.0443006287455</v>
      </c>
      <c r="U64" s="429">
        <v>3938.2364004585525</v>
      </c>
      <c r="V64" s="429">
        <v>4070.7339653291651</v>
      </c>
      <c r="W64" s="429">
        <v>867.5194966591971</v>
      </c>
      <c r="X64" s="429">
        <v>9.5749434226463865</v>
      </c>
      <c r="Y64" s="429">
        <v>10.55515142884083</v>
      </c>
      <c r="Z64" s="429">
        <v>14.822692138187474</v>
      </c>
      <c r="AA64" s="429">
        <v>7.5114422678248802</v>
      </c>
      <c r="AB64" s="429">
        <v>8.3134306365294233</v>
      </c>
      <c r="AC64" s="429">
        <v>4.6640614179260096</v>
      </c>
      <c r="AD64" s="429">
        <v>3.2144727257673882</v>
      </c>
      <c r="AE64" s="429">
        <v>0</v>
      </c>
      <c r="AF64" s="429">
        <v>0</v>
      </c>
      <c r="AG64" s="429">
        <v>0</v>
      </c>
      <c r="AH64" s="429">
        <v>2.8632253091556468</v>
      </c>
      <c r="AI64" s="429">
        <v>6.2835710720660902</v>
      </c>
      <c r="AJ64" s="429">
        <v>6.0204972390364881</v>
      </c>
      <c r="AK64" s="429">
        <v>6.9285769885061956</v>
      </c>
      <c r="AL64" s="429">
        <v>0</v>
      </c>
      <c r="AM64" s="429">
        <v>0</v>
      </c>
      <c r="AN64" s="429">
        <v>0</v>
      </c>
      <c r="AO64" s="432"/>
      <c r="AP64" s="428">
        <v>41794.449588078707</v>
      </c>
      <c r="AQ64" s="431">
        <v>103.43968130832054</v>
      </c>
      <c r="AR64" s="431">
        <v>128.56255443759267</v>
      </c>
      <c r="AS64" s="431">
        <v>140.67224283042944</v>
      </c>
      <c r="AT64" s="431">
        <v>154.01824109478082</v>
      </c>
      <c r="AU64" s="431">
        <v>25.345565775260734</v>
      </c>
      <c r="AV64" s="431">
        <v>92.228718950065783</v>
      </c>
      <c r="AW64" s="431">
        <v>22.801682875810435</v>
      </c>
      <c r="AX64" s="431">
        <v>-7.2885272323736077</v>
      </c>
      <c r="AY64" s="431">
        <v>125.69496579485774</v>
      </c>
      <c r="AZ64" s="431">
        <v>-50.863234933278726</v>
      </c>
      <c r="BA64" s="431">
        <v>65.466538271473752</v>
      </c>
      <c r="BB64" s="431">
        <v>115.91633451004323</v>
      </c>
      <c r="BC64" s="431">
        <v>89.339502679660157</v>
      </c>
      <c r="BD64" s="431">
        <v>103.03597409815461</v>
      </c>
      <c r="BE64" s="431">
        <v>386397.43802357599</v>
      </c>
      <c r="BF64" s="431">
        <v>8194.4361691145095</v>
      </c>
      <c r="BG64" s="431">
        <v>1565.0495507238668</v>
      </c>
      <c r="BH64" s="431">
        <v>494104.64473247388</v>
      </c>
      <c r="BI64" s="431">
        <v>461606.95791116875</v>
      </c>
      <c r="BJ64" s="431">
        <v>93743.524446326337</v>
      </c>
      <c r="BK64" s="431">
        <v>386451.68477228517</v>
      </c>
      <c r="BL64" s="431">
        <v>3414.936993758648</v>
      </c>
      <c r="BM64" s="431">
        <v>693.50824130922933</v>
      </c>
      <c r="BN64" s="431">
        <v>5674.4637157499965</v>
      </c>
      <c r="BO64" s="431">
        <v>2794.0393585298034</v>
      </c>
      <c r="BP64" s="431">
        <v>567.41583379846031</v>
      </c>
      <c r="BQ64" s="431">
        <v>1777.0066260696706</v>
      </c>
      <c r="BR64" s="431">
        <v>893.42005339368006</v>
      </c>
      <c r="BS64" s="431">
        <v>0</v>
      </c>
      <c r="BT64" s="431">
        <v>0</v>
      </c>
      <c r="BU64" s="431">
        <v>0</v>
      </c>
      <c r="BV64" s="431">
        <v>823.92759478913183</v>
      </c>
      <c r="BW64" s="431">
        <v>1384.6042725346381</v>
      </c>
      <c r="BX64" s="431">
        <v>1272.8934157481581</v>
      </c>
      <c r="BY64" s="431">
        <v>1065.0802096420291</v>
      </c>
      <c r="BZ64" s="431">
        <v>0</v>
      </c>
      <c r="CA64" s="431">
        <v>0</v>
      </c>
      <c r="CB64" s="431">
        <v>0</v>
      </c>
      <c r="CC64" s="432"/>
      <c r="CD64" s="428">
        <v>41794.449588078707</v>
      </c>
      <c r="CE64" s="433">
        <v>0.28867948499398594</v>
      </c>
      <c r="CF64" s="433">
        <v>0.21647902720720727</v>
      </c>
      <c r="CG64" s="433">
        <v>0.17973960391015936</v>
      </c>
      <c r="CH64" s="433">
        <v>0.18197778689994615</v>
      </c>
      <c r="CI64" s="433">
        <v>0.1207127188701978</v>
      </c>
      <c r="CJ64" s="433">
        <v>0.24504509923964415</v>
      </c>
      <c r="CK64" s="433">
        <v>0.24306585314092802</v>
      </c>
      <c r="CL64" s="433">
        <v>0.26123057689286194</v>
      </c>
      <c r="CM64" s="433">
        <v>0.20098800457055921</v>
      </c>
      <c r="CN64" s="433">
        <v>0.18890723589386732</v>
      </c>
      <c r="CO64" s="433">
        <v>0.58946685490196193</v>
      </c>
      <c r="CP64" s="433">
        <v>0.60559402133974971</v>
      </c>
      <c r="CQ64" s="433">
        <v>0.67663897658204775</v>
      </c>
      <c r="CR64" s="433">
        <v>0.41104225845250458</v>
      </c>
      <c r="CS64" s="433">
        <v>0.39443520669059223</v>
      </c>
      <c r="CT64" s="433">
        <v>0.447221292916757</v>
      </c>
      <c r="CU64" s="433">
        <v>0.3622790598707698</v>
      </c>
      <c r="CV64" s="433">
        <v>0.47604249083347333</v>
      </c>
      <c r="CW64" s="433">
        <v>0.4759898508915783</v>
      </c>
      <c r="CX64" s="433">
        <v>0.4007797062399322</v>
      </c>
      <c r="CY64" s="433">
        <v>0.43383847945766757</v>
      </c>
      <c r="CZ64" s="433">
        <v>0.29816004259848461</v>
      </c>
      <c r="DA64" s="433">
        <v>0.25104840798869349</v>
      </c>
      <c r="DB64" s="433">
        <v>0.78134770554504784</v>
      </c>
      <c r="DC64" s="433">
        <v>0.29816004259848461</v>
      </c>
      <c r="DD64" s="433">
        <v>0.25104840798869349</v>
      </c>
      <c r="DE64" s="433">
        <v>0.37034376886796982</v>
      </c>
      <c r="DF64" s="433">
        <v>0.39133505591051104</v>
      </c>
      <c r="DG64" s="433">
        <v>0</v>
      </c>
      <c r="DH64" s="433">
        <v>0</v>
      </c>
      <c r="DI64" s="433">
        <v>0</v>
      </c>
      <c r="DJ64" s="433">
        <v>0.34760074846819372</v>
      </c>
      <c r="DK64" s="433">
        <v>0.31679504526088992</v>
      </c>
      <c r="DL64" s="433">
        <v>0.28139108209329972</v>
      </c>
      <c r="DM64" s="433">
        <v>0.40065255724171372</v>
      </c>
      <c r="DN64" s="433">
        <v>0</v>
      </c>
      <c r="DO64" s="433">
        <v>0</v>
      </c>
      <c r="DP64" s="433">
        <v>0</v>
      </c>
      <c r="DR64" s="409" t="s">
        <v>711</v>
      </c>
      <c r="DS64" s="409" t="s">
        <v>2341</v>
      </c>
    </row>
    <row r="65" spans="2:123" s="1471" customFormat="1">
      <c r="B65" s="428">
        <v>41794.499105671297</v>
      </c>
      <c r="C65" s="429">
        <v>1.4018769805790361</v>
      </c>
      <c r="D65" s="429">
        <v>1.3907227251635341</v>
      </c>
      <c r="E65" s="429">
        <v>1.4230715341679858</v>
      </c>
      <c r="F65" s="429">
        <v>1.3882169257560011</v>
      </c>
      <c r="G65" s="429">
        <v>1.3555399867177624</v>
      </c>
      <c r="H65" s="429">
        <v>1.4052994632306446</v>
      </c>
      <c r="I65" s="429">
        <v>1.4245091924888431</v>
      </c>
      <c r="J65" s="429">
        <v>1.46058618768938</v>
      </c>
      <c r="K65" s="429">
        <v>1.3448382703931807</v>
      </c>
      <c r="L65" s="429">
        <v>1.4515755418271161</v>
      </c>
      <c r="M65" s="429">
        <v>1.3466441710576347</v>
      </c>
      <c r="N65" s="429">
        <v>1.3475750199921621</v>
      </c>
      <c r="O65" s="429">
        <v>1.1317595702495464</v>
      </c>
      <c r="P65" s="429">
        <v>1.1184894483053036</v>
      </c>
      <c r="Q65" s="429">
        <v>2907.1273937721335</v>
      </c>
      <c r="R65" s="429">
        <v>13.42671904570622</v>
      </c>
      <c r="S65" s="429">
        <v>9.6166330397916653</v>
      </c>
      <c r="T65" s="429">
        <v>3786.0443006287455</v>
      </c>
      <c r="U65" s="429">
        <v>3938.2364004585525</v>
      </c>
      <c r="V65" s="429">
        <v>4041.7006569829482</v>
      </c>
      <c r="W65" s="429">
        <v>867.5194966591971</v>
      </c>
      <c r="X65" s="429">
        <v>9.5749434226463865</v>
      </c>
      <c r="Y65" s="429">
        <v>10.340364981142228</v>
      </c>
      <c r="Z65" s="429">
        <v>14.822692138187474</v>
      </c>
      <c r="AA65" s="429">
        <v>7.5114422678248802</v>
      </c>
      <c r="AB65" s="429">
        <v>8.1376962702305669</v>
      </c>
      <c r="AC65" s="429">
        <v>4.6640614179260096</v>
      </c>
      <c r="AD65" s="429">
        <v>3.2144727257673882</v>
      </c>
      <c r="AE65" s="429">
        <v>0</v>
      </c>
      <c r="AF65" s="429">
        <v>0</v>
      </c>
      <c r="AG65" s="429">
        <v>0</v>
      </c>
      <c r="AH65" s="429">
        <v>2.8632253091556468</v>
      </c>
      <c r="AI65" s="429">
        <v>6.2835710720660902</v>
      </c>
      <c r="AJ65" s="429">
        <v>6.0204972390364881</v>
      </c>
      <c r="AK65" s="429">
        <v>6.9285769885061956</v>
      </c>
      <c r="AL65" s="429">
        <v>0</v>
      </c>
      <c r="AM65" s="429">
        <v>0</v>
      </c>
      <c r="AN65" s="429">
        <v>0</v>
      </c>
      <c r="AO65" s="432"/>
      <c r="AP65" s="428">
        <v>41794.499105671297</v>
      </c>
      <c r="AQ65" s="431">
        <v>103.43968130832054</v>
      </c>
      <c r="AR65" s="431">
        <v>128.56255443759267</v>
      </c>
      <c r="AS65" s="431">
        <v>137.4804144652492</v>
      </c>
      <c r="AT65" s="431">
        <v>150.83892372619556</v>
      </c>
      <c r="AU65" s="431">
        <v>5.7312333839753258</v>
      </c>
      <c r="AV65" s="431">
        <v>92.228718950065783</v>
      </c>
      <c r="AW65" s="431">
        <v>-3.9977078469184062</v>
      </c>
      <c r="AX65" s="431">
        <v>-27.172384673420456</v>
      </c>
      <c r="AY65" s="431">
        <v>125.69496579485774</v>
      </c>
      <c r="AZ65" s="431">
        <v>-50.863234933278726</v>
      </c>
      <c r="BA65" s="431">
        <v>61.796548559423606</v>
      </c>
      <c r="BB65" s="431">
        <v>115.91633451004323</v>
      </c>
      <c r="BC65" s="431">
        <v>89.339502679660157</v>
      </c>
      <c r="BD65" s="431">
        <v>103.03597409815461</v>
      </c>
      <c r="BE65" s="431">
        <v>386397.43802357599</v>
      </c>
      <c r="BF65" s="431">
        <v>8194.4361691145095</v>
      </c>
      <c r="BG65" s="431">
        <v>288.42849168825319</v>
      </c>
      <c r="BH65" s="431">
        <v>494104.64473247388</v>
      </c>
      <c r="BI65" s="431">
        <v>461606.95791116875</v>
      </c>
      <c r="BJ65" s="431">
        <v>-28512.931289984463</v>
      </c>
      <c r="BK65" s="431">
        <v>386451.68477228517</v>
      </c>
      <c r="BL65" s="431">
        <v>3414.936993758648</v>
      </c>
      <c r="BM65" s="431">
        <v>-210.93673350002709</v>
      </c>
      <c r="BN65" s="431">
        <v>5674.4637157499965</v>
      </c>
      <c r="BO65" s="431">
        <v>2794.0393585298034</v>
      </c>
      <c r="BP65" s="431">
        <v>-172.5846001363858</v>
      </c>
      <c r="BQ65" s="431">
        <v>1777.0066260696706</v>
      </c>
      <c r="BR65" s="431">
        <v>893.42005339368006</v>
      </c>
      <c r="BS65" s="431">
        <v>0</v>
      </c>
      <c r="BT65" s="431">
        <v>0</v>
      </c>
      <c r="BU65" s="431">
        <v>0</v>
      </c>
      <c r="BV65" s="431">
        <v>823.92759478913183</v>
      </c>
      <c r="BW65" s="431">
        <v>1384.6042725346381</v>
      </c>
      <c r="BX65" s="431">
        <v>1272.8934157481581</v>
      </c>
      <c r="BY65" s="431">
        <v>1065.0802096420291</v>
      </c>
      <c r="BZ65" s="431">
        <v>0</v>
      </c>
      <c r="CA65" s="431">
        <v>0</v>
      </c>
      <c r="CB65" s="431">
        <v>0</v>
      </c>
      <c r="CC65" s="432"/>
      <c r="CD65" s="428">
        <v>41794.499105671297</v>
      </c>
      <c r="CE65" s="433">
        <v>0.28867948499398594</v>
      </c>
      <c r="CF65" s="433">
        <v>0.21647902720720727</v>
      </c>
      <c r="CG65" s="433">
        <v>0.17973960391015936</v>
      </c>
      <c r="CH65" s="433">
        <v>0.18197778689994615</v>
      </c>
      <c r="CI65" s="433">
        <v>0.1207127188701978</v>
      </c>
      <c r="CJ65" s="433">
        <v>0.24504509923964415</v>
      </c>
      <c r="CK65" s="433">
        <v>0.24306585314092802</v>
      </c>
      <c r="CL65" s="433">
        <v>0.26123057689286194</v>
      </c>
      <c r="CM65" s="433">
        <v>0.20098800457055921</v>
      </c>
      <c r="CN65" s="433">
        <v>0.18890723589386732</v>
      </c>
      <c r="CO65" s="433">
        <v>0.58946685490196193</v>
      </c>
      <c r="CP65" s="433">
        <v>0.60559402133974971</v>
      </c>
      <c r="CQ65" s="433">
        <v>0.67663897658204775</v>
      </c>
      <c r="CR65" s="433">
        <v>0.41104225845250458</v>
      </c>
      <c r="CS65" s="433">
        <v>0.39443520669059223</v>
      </c>
      <c r="CT65" s="433">
        <v>0.447221292916757</v>
      </c>
      <c r="CU65" s="433">
        <v>0.3622790598707698</v>
      </c>
      <c r="CV65" s="433">
        <v>0.47604249083347333</v>
      </c>
      <c r="CW65" s="433">
        <v>0.4759898508915783</v>
      </c>
      <c r="CX65" s="433">
        <v>0.4007797062399322</v>
      </c>
      <c r="CY65" s="433">
        <v>0.43383847945766757</v>
      </c>
      <c r="CZ65" s="433">
        <v>0.29816004259848461</v>
      </c>
      <c r="DA65" s="433">
        <v>0.25104840798869349</v>
      </c>
      <c r="DB65" s="433">
        <v>0.78134770554504784</v>
      </c>
      <c r="DC65" s="433">
        <v>0.29816004259848461</v>
      </c>
      <c r="DD65" s="433">
        <v>0.25104840798869349</v>
      </c>
      <c r="DE65" s="433">
        <v>0.37034376886796982</v>
      </c>
      <c r="DF65" s="433">
        <v>0.39133505591051104</v>
      </c>
      <c r="DG65" s="433">
        <v>0</v>
      </c>
      <c r="DH65" s="433">
        <v>0</v>
      </c>
      <c r="DI65" s="433">
        <v>0</v>
      </c>
      <c r="DJ65" s="433">
        <v>0.34760074846819372</v>
      </c>
      <c r="DK65" s="433">
        <v>0.31679504526088992</v>
      </c>
      <c r="DL65" s="433">
        <v>0.28139108209329972</v>
      </c>
      <c r="DM65" s="433">
        <v>0.40065255724171372</v>
      </c>
      <c r="DN65" s="433">
        <v>0</v>
      </c>
      <c r="DO65" s="433">
        <v>0</v>
      </c>
      <c r="DP65" s="433">
        <v>0</v>
      </c>
      <c r="DR65" s="409" t="s">
        <v>711</v>
      </c>
      <c r="DS65" s="409" t="s">
        <v>2344</v>
      </c>
    </row>
    <row r="66" spans="2:123" s="1471" customFormat="1">
      <c r="B66" s="428">
        <v>41794.551076620373</v>
      </c>
      <c r="C66" s="429">
        <v>1.4018769805790361</v>
      </c>
      <c r="D66" s="429">
        <v>1.3907227251635341</v>
      </c>
      <c r="E66" s="429">
        <v>1.4230715341679858</v>
      </c>
      <c r="F66" s="429">
        <v>1.3882169257560011</v>
      </c>
      <c r="G66" s="429">
        <v>1.3555399867177624</v>
      </c>
      <c r="H66" s="429">
        <v>1.4052994632306446</v>
      </c>
      <c r="I66" s="429">
        <v>1.4245091924888431</v>
      </c>
      <c r="J66" s="429">
        <v>1.459117565896582</v>
      </c>
      <c r="K66" s="429">
        <v>1.3448382703931807</v>
      </c>
      <c r="L66" s="429">
        <v>1.4515755418271161</v>
      </c>
      <c r="M66" s="429">
        <v>1.3463748321338929</v>
      </c>
      <c r="N66" s="429">
        <v>1.3475750199921621</v>
      </c>
      <c r="O66" s="429">
        <v>1.1317595702495464</v>
      </c>
      <c r="P66" s="429">
        <v>1.1184894483053036</v>
      </c>
      <c r="Q66" s="429">
        <v>2907.1273937721335</v>
      </c>
      <c r="R66" s="429">
        <v>13.42671904570622</v>
      </c>
      <c r="S66" s="429">
        <v>9.6166330397916653</v>
      </c>
      <c r="T66" s="429">
        <v>3786.0443006287455</v>
      </c>
      <c r="U66" s="429">
        <v>3938.2364004585525</v>
      </c>
      <c r="V66" s="429">
        <v>4041.7006569829482</v>
      </c>
      <c r="W66" s="429">
        <v>867.5194966591971</v>
      </c>
      <c r="X66" s="429">
        <v>9.5749434226463865</v>
      </c>
      <c r="Y66" s="429">
        <v>10.340364981142228</v>
      </c>
      <c r="Z66" s="429">
        <v>14.822692138187474</v>
      </c>
      <c r="AA66" s="429">
        <v>7.5114422678248802</v>
      </c>
      <c r="AB66" s="429">
        <v>8.1376962702305669</v>
      </c>
      <c r="AC66" s="429">
        <v>4.6640614179260096</v>
      </c>
      <c r="AD66" s="429">
        <v>3.2144727257673882</v>
      </c>
      <c r="AE66" s="429">
        <v>0</v>
      </c>
      <c r="AF66" s="429">
        <v>0</v>
      </c>
      <c r="AG66" s="429">
        <v>0</v>
      </c>
      <c r="AH66" s="429">
        <v>2.8632253091556468</v>
      </c>
      <c r="AI66" s="429">
        <v>6.2835710720660902</v>
      </c>
      <c r="AJ66" s="429">
        <v>6.0204972390364881</v>
      </c>
      <c r="AK66" s="429">
        <v>6.9285769885061956</v>
      </c>
      <c r="AL66" s="429">
        <v>0</v>
      </c>
      <c r="AM66" s="429">
        <v>0</v>
      </c>
      <c r="AN66" s="429">
        <v>0</v>
      </c>
      <c r="AO66" s="432"/>
      <c r="AP66" s="428">
        <v>41794.551076620373</v>
      </c>
      <c r="AQ66" s="431">
        <v>103.43968130832054</v>
      </c>
      <c r="AR66" s="431">
        <v>128.56255443759267</v>
      </c>
      <c r="AS66" s="431">
        <v>137.4804144652492</v>
      </c>
      <c r="AT66" s="431">
        <v>150.83892372619556</v>
      </c>
      <c r="AU66" s="431">
        <v>5.7312333839753258</v>
      </c>
      <c r="AV66" s="431">
        <v>92.228718950065783</v>
      </c>
      <c r="AW66" s="431">
        <v>-3.9977078469184062</v>
      </c>
      <c r="AX66" s="431">
        <v>-36.223950391944818</v>
      </c>
      <c r="AY66" s="431">
        <v>125.69496579485774</v>
      </c>
      <c r="AZ66" s="431">
        <v>-50.863234933278726</v>
      </c>
      <c r="BA66" s="431">
        <v>60.136530315951667</v>
      </c>
      <c r="BB66" s="431">
        <v>115.91633451004323</v>
      </c>
      <c r="BC66" s="431">
        <v>89.339502679660157</v>
      </c>
      <c r="BD66" s="431">
        <v>103.03597409815461</v>
      </c>
      <c r="BE66" s="431">
        <v>386397.43802357599</v>
      </c>
      <c r="BF66" s="431">
        <v>8194.4361691145095</v>
      </c>
      <c r="BG66" s="431">
        <v>288.42849168825319</v>
      </c>
      <c r="BH66" s="431">
        <v>494104.64473247388</v>
      </c>
      <c r="BI66" s="431">
        <v>461606.95791116875</v>
      </c>
      <c r="BJ66" s="431">
        <v>-28512.931289984463</v>
      </c>
      <c r="BK66" s="431">
        <v>386451.68477228517</v>
      </c>
      <c r="BL66" s="431">
        <v>3414.936993758648</v>
      </c>
      <c r="BM66" s="431">
        <v>-210.93673350002709</v>
      </c>
      <c r="BN66" s="431">
        <v>5674.4637157499965</v>
      </c>
      <c r="BO66" s="431">
        <v>2794.0393585298034</v>
      </c>
      <c r="BP66" s="431">
        <v>-172.5846001363858</v>
      </c>
      <c r="BQ66" s="431">
        <v>1777.0066260696706</v>
      </c>
      <c r="BR66" s="431">
        <v>893.42005339368006</v>
      </c>
      <c r="BS66" s="431">
        <v>0</v>
      </c>
      <c r="BT66" s="431">
        <v>0</v>
      </c>
      <c r="BU66" s="431">
        <v>0</v>
      </c>
      <c r="BV66" s="431">
        <v>823.92759478913183</v>
      </c>
      <c r="BW66" s="431">
        <v>1384.6042725346381</v>
      </c>
      <c r="BX66" s="431">
        <v>1272.8934157481581</v>
      </c>
      <c r="BY66" s="431">
        <v>1065.0802096420291</v>
      </c>
      <c r="BZ66" s="431">
        <v>0</v>
      </c>
      <c r="CA66" s="431">
        <v>0</v>
      </c>
      <c r="CB66" s="431">
        <v>0</v>
      </c>
      <c r="CC66" s="432"/>
      <c r="CD66" s="428">
        <v>41794.551076620373</v>
      </c>
      <c r="CE66" s="433">
        <v>0.28867948499398594</v>
      </c>
      <c r="CF66" s="433">
        <v>0.21647902720720727</v>
      </c>
      <c r="CG66" s="433">
        <v>0.17973960391015936</v>
      </c>
      <c r="CH66" s="433">
        <v>0.18197778689994615</v>
      </c>
      <c r="CI66" s="433">
        <v>0.1207127188701978</v>
      </c>
      <c r="CJ66" s="433">
        <v>0.24504509923964415</v>
      </c>
      <c r="CK66" s="433">
        <v>0.24306585314092802</v>
      </c>
      <c r="CL66" s="433">
        <v>0.26123057689286194</v>
      </c>
      <c r="CM66" s="433">
        <v>0.20098800457055921</v>
      </c>
      <c r="CN66" s="433">
        <v>0.18890723589386732</v>
      </c>
      <c r="CO66" s="433">
        <v>0.58946685490196193</v>
      </c>
      <c r="CP66" s="433">
        <v>0.60559402133974971</v>
      </c>
      <c r="CQ66" s="433">
        <v>0.67663897658204775</v>
      </c>
      <c r="CR66" s="433">
        <v>0.41104225845250458</v>
      </c>
      <c r="CS66" s="433">
        <v>0.39443520669059223</v>
      </c>
      <c r="CT66" s="433">
        <v>0.447221292916757</v>
      </c>
      <c r="CU66" s="433">
        <v>0.3622790598707698</v>
      </c>
      <c r="CV66" s="433">
        <v>0.47604249083347333</v>
      </c>
      <c r="CW66" s="433">
        <v>0.4759898508915783</v>
      </c>
      <c r="CX66" s="433">
        <v>0.4007797062399322</v>
      </c>
      <c r="CY66" s="433">
        <v>0.43383847945766757</v>
      </c>
      <c r="CZ66" s="433">
        <v>0.29816004259848461</v>
      </c>
      <c r="DA66" s="433">
        <v>0.25104840798869349</v>
      </c>
      <c r="DB66" s="433">
        <v>0.78134770554504784</v>
      </c>
      <c r="DC66" s="433">
        <v>0.29816004259848461</v>
      </c>
      <c r="DD66" s="433">
        <v>0.25104840798869349</v>
      </c>
      <c r="DE66" s="433">
        <v>0.37034376886796982</v>
      </c>
      <c r="DF66" s="433">
        <v>0.39133505591051104</v>
      </c>
      <c r="DG66" s="433">
        <v>0</v>
      </c>
      <c r="DH66" s="433">
        <v>0</v>
      </c>
      <c r="DI66" s="433">
        <v>0</v>
      </c>
      <c r="DJ66" s="433">
        <v>0.34760074846819372</v>
      </c>
      <c r="DK66" s="433">
        <v>0.31679504526088992</v>
      </c>
      <c r="DL66" s="433">
        <v>0.28139108209329972</v>
      </c>
      <c r="DM66" s="433">
        <v>0.40065255724171372</v>
      </c>
      <c r="DN66" s="433">
        <v>0</v>
      </c>
      <c r="DO66" s="433">
        <v>0</v>
      </c>
      <c r="DP66" s="433">
        <v>0</v>
      </c>
      <c r="DR66" s="409" t="s">
        <v>711</v>
      </c>
      <c r="DS66" s="409" t="s">
        <v>2347</v>
      </c>
    </row>
    <row r="67" spans="2:123" s="1471" customFormat="1">
      <c r="B67" s="428">
        <v>41794.642271990742</v>
      </c>
      <c r="C67" s="429">
        <v>1.4017074716523568</v>
      </c>
      <c r="D67" s="429">
        <v>1.3907838359615508</v>
      </c>
      <c r="E67" s="429">
        <v>1.4216322457692427</v>
      </c>
      <c r="F67" s="429">
        <v>1.3872262181979034</v>
      </c>
      <c r="G67" s="429">
        <v>1.3555399867177624</v>
      </c>
      <c r="H67" s="429">
        <v>1.4049342583255255</v>
      </c>
      <c r="I67" s="429">
        <v>1.4278589664789489</v>
      </c>
      <c r="J67" s="429">
        <v>1.459117565896582</v>
      </c>
      <c r="K67" s="429">
        <v>1.3437884626141752</v>
      </c>
      <c r="L67" s="429">
        <v>1.4473887162262025</v>
      </c>
      <c r="M67" s="429">
        <v>1.3445701533600767</v>
      </c>
      <c r="N67" s="429">
        <v>1.3377634067240045</v>
      </c>
      <c r="O67" s="429">
        <v>1.1241204953576736</v>
      </c>
      <c r="P67" s="429">
        <v>1.1175340440478143</v>
      </c>
      <c r="Q67" s="429">
        <v>2918.9001210994288</v>
      </c>
      <c r="R67" s="429">
        <v>14.713615986108836</v>
      </c>
      <c r="S67" s="429">
        <v>9.684073970390747</v>
      </c>
      <c r="T67" s="429">
        <v>3801.0986428193655</v>
      </c>
      <c r="U67" s="429">
        <v>3937.4659846698569</v>
      </c>
      <c r="V67" s="429">
        <v>4056.9820303464362</v>
      </c>
      <c r="W67" s="429">
        <v>867.47118509093218</v>
      </c>
      <c r="X67" s="429">
        <v>9.5692439388489596</v>
      </c>
      <c r="Y67" s="429">
        <v>10.453415545740643</v>
      </c>
      <c r="Z67" s="429">
        <v>14.337490721169761</v>
      </c>
      <c r="AA67" s="429">
        <v>7.5067790538088026</v>
      </c>
      <c r="AB67" s="429">
        <v>8.2301921867201795</v>
      </c>
      <c r="AC67" s="429">
        <v>4.6574560856020231</v>
      </c>
      <c r="AD67" s="429">
        <v>3.2129991240409663</v>
      </c>
      <c r="AE67" s="429">
        <v>0</v>
      </c>
      <c r="AF67" s="429">
        <v>0</v>
      </c>
      <c r="AG67" s="429">
        <v>0</v>
      </c>
      <c r="AH67" s="429">
        <v>2.8579517090954449</v>
      </c>
      <c r="AI67" s="429">
        <v>6.2812906867302143</v>
      </c>
      <c r="AJ67" s="429">
        <v>6.0123363906682146</v>
      </c>
      <c r="AK67" s="429">
        <v>6.9268228459401371</v>
      </c>
      <c r="AL67" s="429">
        <v>0</v>
      </c>
      <c r="AM67" s="429">
        <v>0</v>
      </c>
      <c r="AN67" s="429">
        <v>0</v>
      </c>
      <c r="AO67" s="432"/>
      <c r="AP67" s="428">
        <v>41794.642271990742</v>
      </c>
      <c r="AQ67" s="431">
        <v>100.48159559894692</v>
      </c>
      <c r="AR67" s="431">
        <v>123.46134694292465</v>
      </c>
      <c r="AS67" s="431">
        <v>130.58929966702894</v>
      </c>
      <c r="AT67" s="431">
        <v>145.7456460520925</v>
      </c>
      <c r="AU67" s="431">
        <v>5.7312333839753258</v>
      </c>
      <c r="AV67" s="431">
        <v>90.765038656927558</v>
      </c>
      <c r="AW67" s="431">
        <v>9.4276271008299961</v>
      </c>
      <c r="AX67" s="431">
        <v>-36.223950391944818</v>
      </c>
      <c r="AY67" s="431">
        <v>116.40327669092112</v>
      </c>
      <c r="AZ67" s="431">
        <v>-87.920192020161522</v>
      </c>
      <c r="BA67" s="431">
        <v>-5.4002458073319426</v>
      </c>
      <c r="BB67" s="431">
        <v>2.9188795117403141</v>
      </c>
      <c r="BC67" s="431">
        <v>2.2333499702800856</v>
      </c>
      <c r="BD67" s="431">
        <v>67.643365262559684</v>
      </c>
      <c r="BE67" s="431">
        <v>363837.84176954377</v>
      </c>
      <c r="BF67" s="431">
        <v>8157.3992281795099</v>
      </c>
      <c r="BG67" s="431">
        <v>558.72048307478485</v>
      </c>
      <c r="BH67" s="431">
        <v>465256.62402762001</v>
      </c>
      <c r="BI67" s="431">
        <v>448112.43192235444</v>
      </c>
      <c r="BJ67" s="431">
        <v>32732.262108853414</v>
      </c>
      <c r="BK67" s="431">
        <v>385605.46416897461</v>
      </c>
      <c r="BL67" s="431">
        <v>3315.1054049520785</v>
      </c>
      <c r="BM67" s="431">
        <v>242.15105697440242</v>
      </c>
      <c r="BN67" s="431">
        <v>141.85285333820136</v>
      </c>
      <c r="BO67" s="431">
        <v>2712.3589676880647</v>
      </c>
      <c r="BP67" s="431">
        <v>198.12359206996561</v>
      </c>
      <c r="BQ67" s="431">
        <v>1642.936879686453</v>
      </c>
      <c r="BR67" s="431">
        <v>867.60859276926192</v>
      </c>
      <c r="BS67" s="431">
        <v>0</v>
      </c>
      <c r="BT67" s="431">
        <v>0</v>
      </c>
      <c r="BU67" s="431">
        <v>0</v>
      </c>
      <c r="BV67" s="431">
        <v>763.79426468382519</v>
      </c>
      <c r="BW67" s="431">
        <v>1344.6612708062298</v>
      </c>
      <c r="BX67" s="431">
        <v>1179.8376316032288</v>
      </c>
      <c r="BY67" s="431">
        <v>1034.3548236970996</v>
      </c>
      <c r="BZ67" s="431">
        <v>0</v>
      </c>
      <c r="CA67" s="431">
        <v>0</v>
      </c>
      <c r="CB67" s="431">
        <v>0</v>
      </c>
      <c r="CC67" s="432"/>
      <c r="CD67" s="428">
        <v>41794.642271990742</v>
      </c>
      <c r="CE67" s="433">
        <v>0.28867948499398594</v>
      </c>
      <c r="CF67" s="433">
        <v>0.21647902720720727</v>
      </c>
      <c r="CG67" s="433">
        <v>0.17973960391015936</v>
      </c>
      <c r="CH67" s="433">
        <v>0.18197778689994615</v>
      </c>
      <c r="CI67" s="433">
        <v>0.1207127188701978</v>
      </c>
      <c r="CJ67" s="433">
        <v>0.24504509923964415</v>
      </c>
      <c r="CK67" s="433">
        <v>0.24306585314092802</v>
      </c>
      <c r="CL67" s="433">
        <v>0.26123057689286194</v>
      </c>
      <c r="CM67" s="433">
        <v>0.20098800457055921</v>
      </c>
      <c r="CN67" s="433">
        <v>0.18890723589386732</v>
      </c>
      <c r="CO67" s="433">
        <v>0.58946685490196193</v>
      </c>
      <c r="CP67" s="433">
        <v>0.60559402133974971</v>
      </c>
      <c r="CQ67" s="433">
        <v>0.67663897658204775</v>
      </c>
      <c r="CR67" s="433">
        <v>0.41104225845250458</v>
      </c>
      <c r="CS67" s="433">
        <v>0.39443520669059223</v>
      </c>
      <c r="CT67" s="433">
        <v>0.447221292916757</v>
      </c>
      <c r="CU67" s="433">
        <v>0.3622790598707698</v>
      </c>
      <c r="CV67" s="433">
        <v>0.47604249083347333</v>
      </c>
      <c r="CW67" s="433">
        <v>0.4759898508915783</v>
      </c>
      <c r="CX67" s="433">
        <v>0.4007797062399322</v>
      </c>
      <c r="CY67" s="433">
        <v>0.43383847945766757</v>
      </c>
      <c r="CZ67" s="433">
        <v>0.29816004259848461</v>
      </c>
      <c r="DA67" s="433">
        <v>0.25104840798869349</v>
      </c>
      <c r="DB67" s="433">
        <v>0.78134770554504784</v>
      </c>
      <c r="DC67" s="433">
        <v>0.29816004259848461</v>
      </c>
      <c r="DD67" s="433">
        <v>0.25104840798869349</v>
      </c>
      <c r="DE67" s="433">
        <v>0.37034376886796982</v>
      </c>
      <c r="DF67" s="433">
        <v>0.39133505591051104</v>
      </c>
      <c r="DG67" s="433">
        <v>0</v>
      </c>
      <c r="DH67" s="433">
        <v>0</v>
      </c>
      <c r="DI67" s="433">
        <v>0</v>
      </c>
      <c r="DJ67" s="433">
        <v>0.34760074846819372</v>
      </c>
      <c r="DK67" s="433">
        <v>0.31679504526088992</v>
      </c>
      <c r="DL67" s="433">
        <v>0.28139108209329972</v>
      </c>
      <c r="DM67" s="433">
        <v>0.40065255724171372</v>
      </c>
      <c r="DN67" s="433">
        <v>0</v>
      </c>
      <c r="DO67" s="433">
        <v>0</v>
      </c>
      <c r="DP67" s="433">
        <v>0</v>
      </c>
      <c r="DR67" s="409" t="s">
        <v>711</v>
      </c>
      <c r="DS67" s="409" t="s">
        <v>2367</v>
      </c>
    </row>
    <row r="68" spans="2:123" s="1471" customFormat="1">
      <c r="B68" s="428">
        <v>41794.647979976849</v>
      </c>
      <c r="C68" s="429">
        <v>1.4017074716523568</v>
      </c>
      <c r="D68" s="429">
        <v>1.3907838359615508</v>
      </c>
      <c r="E68" s="429">
        <v>1.4216322457692427</v>
      </c>
      <c r="F68" s="429">
        <v>1.3872262181979034</v>
      </c>
      <c r="G68" s="429">
        <v>1.3555399867177624</v>
      </c>
      <c r="H68" s="429">
        <v>1.4049342583255255</v>
      </c>
      <c r="I68" s="429">
        <v>1.4278589664789489</v>
      </c>
      <c r="J68" s="429">
        <v>1.459117565896582</v>
      </c>
      <c r="K68" s="429">
        <v>1.3437884626141752</v>
      </c>
      <c r="L68" s="429">
        <v>1.4473887162262025</v>
      </c>
      <c r="M68" s="429">
        <v>1.3445816541945772</v>
      </c>
      <c r="N68" s="429">
        <v>1.3377833847464791</v>
      </c>
      <c r="O68" s="429">
        <v>1.1241357813315278</v>
      </c>
      <c r="P68" s="429">
        <v>1.1175397674159888</v>
      </c>
      <c r="Q68" s="429">
        <v>2918.9001210994288</v>
      </c>
      <c r="R68" s="429">
        <v>14.713615986108836</v>
      </c>
      <c r="S68" s="429">
        <v>9.684073970390747</v>
      </c>
      <c r="T68" s="429">
        <v>3801.0986428193655</v>
      </c>
      <c r="U68" s="429">
        <v>3937.4659846698569</v>
      </c>
      <c r="V68" s="429">
        <v>4056.9820303464362</v>
      </c>
      <c r="W68" s="429">
        <v>867.47118509093218</v>
      </c>
      <c r="X68" s="429">
        <v>9.5692439388489596</v>
      </c>
      <c r="Y68" s="429">
        <v>10.453415545740643</v>
      </c>
      <c r="Z68" s="429">
        <v>14.338461620955334</v>
      </c>
      <c r="AA68" s="429">
        <v>7.5067790538088026</v>
      </c>
      <c r="AB68" s="429">
        <v>8.2301921867201795</v>
      </c>
      <c r="AC68" s="429">
        <v>4.6574560856020231</v>
      </c>
      <c r="AD68" s="429">
        <v>3.2129991240409663</v>
      </c>
      <c r="AE68" s="429">
        <v>0</v>
      </c>
      <c r="AF68" s="429">
        <v>0</v>
      </c>
      <c r="AG68" s="429">
        <v>0</v>
      </c>
      <c r="AH68" s="429">
        <v>2.8579517090954449</v>
      </c>
      <c r="AI68" s="429">
        <v>6.2812906867302143</v>
      </c>
      <c r="AJ68" s="429">
        <v>6.0123363906682146</v>
      </c>
      <c r="AK68" s="429">
        <v>6.9268228459401371</v>
      </c>
      <c r="AL68" s="429">
        <v>0</v>
      </c>
      <c r="AM68" s="429">
        <v>0</v>
      </c>
      <c r="AN68" s="429">
        <v>0</v>
      </c>
      <c r="AO68" s="432"/>
      <c r="AP68" s="428">
        <v>41794.647979976849</v>
      </c>
      <c r="AQ68" s="431">
        <v>100.48159559894692</v>
      </c>
      <c r="AR68" s="431">
        <v>123.46134694292465</v>
      </c>
      <c r="AS68" s="431">
        <v>130.58929966702894</v>
      </c>
      <c r="AT68" s="431">
        <v>145.7456460520925</v>
      </c>
      <c r="AU68" s="431">
        <v>5.7312333839753258</v>
      </c>
      <c r="AV68" s="431">
        <v>90.765038656927558</v>
      </c>
      <c r="AW68" s="431">
        <v>9.4276271008299961</v>
      </c>
      <c r="AX68" s="431">
        <v>-36.223950391944818</v>
      </c>
      <c r="AY68" s="431">
        <v>116.40327669092112</v>
      </c>
      <c r="AZ68" s="431">
        <v>-87.920192020161522</v>
      </c>
      <c r="BA68" s="431">
        <v>-5.3293626433947141</v>
      </c>
      <c r="BB68" s="431">
        <v>3.0420151803990199</v>
      </c>
      <c r="BC68" s="431">
        <v>2.3275621068494132</v>
      </c>
      <c r="BD68" s="431">
        <v>67.678640132793859</v>
      </c>
      <c r="BE68" s="431">
        <v>363837.84176954377</v>
      </c>
      <c r="BF68" s="431">
        <v>8157.3992281795099</v>
      </c>
      <c r="BG68" s="431">
        <v>558.72048307478485</v>
      </c>
      <c r="BH68" s="431">
        <v>465256.62402762001</v>
      </c>
      <c r="BI68" s="431">
        <v>448112.43192235444</v>
      </c>
      <c r="BJ68" s="431">
        <v>32732.262108853414</v>
      </c>
      <c r="BK68" s="431">
        <v>385605.46416897461</v>
      </c>
      <c r="BL68" s="431">
        <v>3315.1054049520785</v>
      </c>
      <c r="BM68" s="431">
        <v>242.15105697440242</v>
      </c>
      <c r="BN68" s="431">
        <v>147.8368059516699</v>
      </c>
      <c r="BO68" s="431">
        <v>2712.3589676880647</v>
      </c>
      <c r="BP68" s="431">
        <v>198.12359206996561</v>
      </c>
      <c r="BQ68" s="431">
        <v>1642.936879686453</v>
      </c>
      <c r="BR68" s="431">
        <v>867.60859276926192</v>
      </c>
      <c r="BS68" s="431">
        <v>0</v>
      </c>
      <c r="BT68" s="431">
        <v>0</v>
      </c>
      <c r="BU68" s="431">
        <v>0</v>
      </c>
      <c r="BV68" s="431">
        <v>763.79426468382519</v>
      </c>
      <c r="BW68" s="431">
        <v>1344.6612708062298</v>
      </c>
      <c r="BX68" s="431">
        <v>1179.8376316032288</v>
      </c>
      <c r="BY68" s="431">
        <v>1034.3548236970996</v>
      </c>
      <c r="BZ68" s="431">
        <v>0</v>
      </c>
      <c r="CA68" s="431">
        <v>0</v>
      </c>
      <c r="CB68" s="431">
        <v>0</v>
      </c>
      <c r="CC68" s="432"/>
      <c r="CD68" s="428">
        <v>41794.647979976849</v>
      </c>
      <c r="CE68" s="433">
        <v>0.28867948499398594</v>
      </c>
      <c r="CF68" s="433">
        <v>0.21647902720720727</v>
      </c>
      <c r="CG68" s="433">
        <v>0.17973960391015936</v>
      </c>
      <c r="CH68" s="433">
        <v>0.18197778689994615</v>
      </c>
      <c r="CI68" s="433">
        <v>0.1207127188701978</v>
      </c>
      <c r="CJ68" s="433">
        <v>0.24504509923964415</v>
      </c>
      <c r="CK68" s="433">
        <v>0.24306585314092802</v>
      </c>
      <c r="CL68" s="433">
        <v>0.26123057689286194</v>
      </c>
      <c r="CM68" s="433">
        <v>0.20098800457055921</v>
      </c>
      <c r="CN68" s="433">
        <v>0.18890723589386732</v>
      </c>
      <c r="CO68" s="433">
        <v>0.58946685490196193</v>
      </c>
      <c r="CP68" s="433">
        <v>0.60559402133974971</v>
      </c>
      <c r="CQ68" s="433">
        <v>0.67663897658204775</v>
      </c>
      <c r="CR68" s="433">
        <v>0.41104225845250458</v>
      </c>
      <c r="CS68" s="433">
        <v>0.39443520669059223</v>
      </c>
      <c r="CT68" s="433">
        <v>0.447221292916757</v>
      </c>
      <c r="CU68" s="433">
        <v>0.3622790598707698</v>
      </c>
      <c r="CV68" s="433">
        <v>0.47604249083347333</v>
      </c>
      <c r="CW68" s="433">
        <v>0.4759898508915783</v>
      </c>
      <c r="CX68" s="433">
        <v>0.4007797062399322</v>
      </c>
      <c r="CY68" s="433">
        <v>0.43383847945766757</v>
      </c>
      <c r="CZ68" s="433">
        <v>0.29816004259848461</v>
      </c>
      <c r="DA68" s="433">
        <v>0.25104840798869349</v>
      </c>
      <c r="DB68" s="433">
        <v>0.78134770554504784</v>
      </c>
      <c r="DC68" s="433">
        <v>0.29816004259848461</v>
      </c>
      <c r="DD68" s="433">
        <v>0.25104840798869349</v>
      </c>
      <c r="DE68" s="433">
        <v>0.37034376886796982</v>
      </c>
      <c r="DF68" s="433">
        <v>0.39133505591051104</v>
      </c>
      <c r="DG68" s="433">
        <v>0</v>
      </c>
      <c r="DH68" s="433">
        <v>0</v>
      </c>
      <c r="DI68" s="433">
        <v>0</v>
      </c>
      <c r="DJ68" s="433">
        <v>0.34760074846819372</v>
      </c>
      <c r="DK68" s="433">
        <v>0.31679504526088992</v>
      </c>
      <c r="DL68" s="433">
        <v>0.28139108209329972</v>
      </c>
      <c r="DM68" s="433">
        <v>0.40065255724171372</v>
      </c>
      <c r="DN68" s="433">
        <v>0</v>
      </c>
      <c r="DO68" s="433">
        <v>0</v>
      </c>
      <c r="DP68" s="433">
        <v>0</v>
      </c>
      <c r="DR68" s="409" t="s">
        <v>711</v>
      </c>
      <c r="DS68" s="409" t="s">
        <v>2371</v>
      </c>
    </row>
    <row r="69" spans="2:123" s="1471" customFormat="1">
      <c r="B69" s="428">
        <v>41794.651401620373</v>
      </c>
      <c r="C69" s="429">
        <v>1.4017074716523568</v>
      </c>
      <c r="D69" s="429">
        <v>1.3907838359615508</v>
      </c>
      <c r="E69" s="429">
        <v>1.4220124172018647</v>
      </c>
      <c r="F69" s="429">
        <v>1.3871062577566267</v>
      </c>
      <c r="G69" s="429">
        <v>1.3547999083624971</v>
      </c>
      <c r="H69" s="429">
        <v>1.4049947686989208</v>
      </c>
      <c r="I69" s="429">
        <v>1.4273671261379492</v>
      </c>
      <c r="J69" s="429">
        <v>1.4583673179545293</v>
      </c>
      <c r="K69" s="429">
        <v>1.3437884626141752</v>
      </c>
      <c r="L69" s="429">
        <v>1.4475966602287464</v>
      </c>
      <c r="M69" s="429">
        <v>1.3444431799454541</v>
      </c>
      <c r="N69" s="429">
        <v>1.3377833847464791</v>
      </c>
      <c r="O69" s="429">
        <v>1.1241357813315278</v>
      </c>
      <c r="P69" s="429">
        <v>1.1175397674159888</v>
      </c>
      <c r="Q69" s="429">
        <v>2918.9001210994288</v>
      </c>
      <c r="R69" s="429">
        <v>14.713615986108836</v>
      </c>
      <c r="S69" s="429">
        <v>9.6463610154310722</v>
      </c>
      <c r="T69" s="429">
        <v>3801.0986428193655</v>
      </c>
      <c r="U69" s="429">
        <v>3937.4659846698569</v>
      </c>
      <c r="V69" s="429">
        <v>4054.7382981101009</v>
      </c>
      <c r="W69" s="429">
        <v>867.47118509093218</v>
      </c>
      <c r="X69" s="429">
        <v>9.5692439388489596</v>
      </c>
      <c r="Y69" s="429">
        <v>10.436816566703097</v>
      </c>
      <c r="Z69" s="429">
        <v>14.338461620955334</v>
      </c>
      <c r="AA69" s="429">
        <v>7.5067790538088026</v>
      </c>
      <c r="AB69" s="429">
        <v>8.2166112038712793</v>
      </c>
      <c r="AC69" s="429">
        <v>4.6574560856020231</v>
      </c>
      <c r="AD69" s="429">
        <v>3.2129991240409663</v>
      </c>
      <c r="AE69" s="429">
        <v>0</v>
      </c>
      <c r="AF69" s="429">
        <v>0</v>
      </c>
      <c r="AG69" s="429">
        <v>0</v>
      </c>
      <c r="AH69" s="429">
        <v>2.8579517090954449</v>
      </c>
      <c r="AI69" s="429">
        <v>6.2812906867302143</v>
      </c>
      <c r="AJ69" s="429">
        <v>6.0123363906682146</v>
      </c>
      <c r="AK69" s="429">
        <v>6.9268228459401371</v>
      </c>
      <c r="AL69" s="429">
        <v>0</v>
      </c>
      <c r="AM69" s="429">
        <v>0</v>
      </c>
      <c r="AN69" s="429">
        <v>0</v>
      </c>
      <c r="AO69" s="432"/>
      <c r="AP69" s="428">
        <v>41794.651401620373</v>
      </c>
      <c r="AQ69" s="431">
        <v>100.48159559894692</v>
      </c>
      <c r="AR69" s="431">
        <v>123.46134694292465</v>
      </c>
      <c r="AS69" s="431">
        <v>123.80209159591963</v>
      </c>
      <c r="AT69" s="431">
        <v>147.887302171892</v>
      </c>
      <c r="AU69" s="431">
        <v>18.943866830591645</v>
      </c>
      <c r="AV69" s="431">
        <v>89.684745769419948</v>
      </c>
      <c r="AW69" s="431">
        <v>18.208462391650492</v>
      </c>
      <c r="AX69" s="431">
        <v>-22.8297591122023</v>
      </c>
      <c r="AY69" s="431">
        <v>116.40327669092112</v>
      </c>
      <c r="AZ69" s="431">
        <v>-91.632620391413298</v>
      </c>
      <c r="BA69" s="431">
        <v>-2.8571791476303963</v>
      </c>
      <c r="BB69" s="431">
        <v>3.0420151803990199</v>
      </c>
      <c r="BC69" s="431">
        <v>2.3275621068494132</v>
      </c>
      <c r="BD69" s="431">
        <v>67.678640132793859</v>
      </c>
      <c r="BE69" s="431">
        <v>363837.84176954377</v>
      </c>
      <c r="BF69" s="431">
        <v>8157.3992281795099</v>
      </c>
      <c r="BG69" s="431">
        <v>1232.0106104320605</v>
      </c>
      <c r="BH69" s="431">
        <v>465256.62402762001</v>
      </c>
      <c r="BI69" s="431">
        <v>448112.43192235444</v>
      </c>
      <c r="BJ69" s="431">
        <v>72789.657896943987</v>
      </c>
      <c r="BK69" s="431">
        <v>385605.46416897461</v>
      </c>
      <c r="BL69" s="431">
        <v>3315.1054049520785</v>
      </c>
      <c r="BM69" s="431">
        <v>538.49295651896432</v>
      </c>
      <c r="BN69" s="431">
        <v>147.8368059516699</v>
      </c>
      <c r="BO69" s="431">
        <v>2712.3589676880647</v>
      </c>
      <c r="BP69" s="431">
        <v>440.58514624278899</v>
      </c>
      <c r="BQ69" s="431">
        <v>1642.936879686453</v>
      </c>
      <c r="BR69" s="431">
        <v>867.60859276926192</v>
      </c>
      <c r="BS69" s="431">
        <v>0</v>
      </c>
      <c r="BT69" s="431">
        <v>0</v>
      </c>
      <c r="BU69" s="431">
        <v>0</v>
      </c>
      <c r="BV69" s="431">
        <v>763.79426468382519</v>
      </c>
      <c r="BW69" s="431">
        <v>1344.6612708062298</v>
      </c>
      <c r="BX69" s="431">
        <v>1179.8376316032288</v>
      </c>
      <c r="BY69" s="431">
        <v>1034.3548236970996</v>
      </c>
      <c r="BZ69" s="431">
        <v>0</v>
      </c>
      <c r="CA69" s="431">
        <v>0</v>
      </c>
      <c r="CB69" s="431">
        <v>0</v>
      </c>
      <c r="CC69" s="432"/>
      <c r="CD69" s="428">
        <v>41794.651401620373</v>
      </c>
      <c r="CE69" s="433">
        <v>0.28867948499398594</v>
      </c>
      <c r="CF69" s="433">
        <v>0.21647902720720727</v>
      </c>
      <c r="CG69" s="433">
        <v>0.17973960391015936</v>
      </c>
      <c r="CH69" s="433">
        <v>0.18197778689994615</v>
      </c>
      <c r="CI69" s="433">
        <v>0.1207127188701978</v>
      </c>
      <c r="CJ69" s="433">
        <v>0.24504509923964415</v>
      </c>
      <c r="CK69" s="433">
        <v>0.24306585314092802</v>
      </c>
      <c r="CL69" s="433">
        <v>0.26123057689286194</v>
      </c>
      <c r="CM69" s="433">
        <v>0.20098800457055921</v>
      </c>
      <c r="CN69" s="433">
        <v>0.18890723589386732</v>
      </c>
      <c r="CO69" s="433">
        <v>0.58946685490196193</v>
      </c>
      <c r="CP69" s="433">
        <v>0.60559402133974971</v>
      </c>
      <c r="CQ69" s="433">
        <v>0.67663897658204775</v>
      </c>
      <c r="CR69" s="433">
        <v>0.41104225845250458</v>
      </c>
      <c r="CS69" s="433">
        <v>0.39443520669059223</v>
      </c>
      <c r="CT69" s="433">
        <v>0.447221292916757</v>
      </c>
      <c r="CU69" s="433">
        <v>0.3622790598707698</v>
      </c>
      <c r="CV69" s="433">
        <v>0.47604249083347333</v>
      </c>
      <c r="CW69" s="433">
        <v>0.4759898508915783</v>
      </c>
      <c r="CX69" s="433">
        <v>0.4007797062399322</v>
      </c>
      <c r="CY69" s="433">
        <v>0.43383847945766757</v>
      </c>
      <c r="CZ69" s="433">
        <v>0.29816004259848461</v>
      </c>
      <c r="DA69" s="433">
        <v>0.25104840798869349</v>
      </c>
      <c r="DB69" s="433">
        <v>0.78134770554504784</v>
      </c>
      <c r="DC69" s="433">
        <v>0.29816004259848461</v>
      </c>
      <c r="DD69" s="433">
        <v>0.25104840798869349</v>
      </c>
      <c r="DE69" s="433">
        <v>0.37034376886796982</v>
      </c>
      <c r="DF69" s="433">
        <v>0.39133505591051104</v>
      </c>
      <c r="DG69" s="433">
        <v>0</v>
      </c>
      <c r="DH69" s="433">
        <v>0</v>
      </c>
      <c r="DI69" s="433">
        <v>0</v>
      </c>
      <c r="DJ69" s="433">
        <v>0.34760074846819372</v>
      </c>
      <c r="DK69" s="433">
        <v>0.31679504526088992</v>
      </c>
      <c r="DL69" s="433">
        <v>0.28139108209329972</v>
      </c>
      <c r="DM69" s="433">
        <v>0.40065255724171372</v>
      </c>
      <c r="DN69" s="433">
        <v>0</v>
      </c>
      <c r="DO69" s="433">
        <v>0</v>
      </c>
      <c r="DP69" s="433">
        <v>0</v>
      </c>
      <c r="DR69" s="409" t="s">
        <v>711</v>
      </c>
      <c r="DS69" s="409" t="s">
        <v>2375</v>
      </c>
    </row>
    <row r="70" spans="2:123" s="1471" customFormat="1">
      <c r="B70" s="428">
        <v>41794.662427777781</v>
      </c>
      <c r="C70" s="429">
        <v>1.4017074716523568</v>
      </c>
      <c r="D70" s="429">
        <v>1.3907838359615508</v>
      </c>
      <c r="E70" s="429">
        <v>1.4160753268030521</v>
      </c>
      <c r="F70" s="429">
        <v>1.3871062577566267</v>
      </c>
      <c r="G70" s="429">
        <v>1.3547999083624971</v>
      </c>
      <c r="H70" s="429">
        <v>1.4042911728617946</v>
      </c>
      <c r="I70" s="429">
        <v>1.4273671261379492</v>
      </c>
      <c r="J70" s="429">
        <v>1.4583673179545293</v>
      </c>
      <c r="K70" s="429">
        <v>1.3437884626141752</v>
      </c>
      <c r="L70" s="429">
        <v>1.4475966602287464</v>
      </c>
      <c r="M70" s="429">
        <v>1.3444431799454541</v>
      </c>
      <c r="N70" s="429">
        <v>1.3377833847464791</v>
      </c>
      <c r="O70" s="429">
        <v>1.1241357813315278</v>
      </c>
      <c r="P70" s="429">
        <v>1.1175397674159888</v>
      </c>
      <c r="Q70" s="429">
        <v>2918.9001210994288</v>
      </c>
      <c r="R70" s="429">
        <v>14.713615986108836</v>
      </c>
      <c r="S70" s="429">
        <v>9.6463610154310722</v>
      </c>
      <c r="T70" s="429">
        <v>3801.0986428193655</v>
      </c>
      <c r="U70" s="429">
        <v>3937.4659846698569</v>
      </c>
      <c r="V70" s="429">
        <v>4054.7382981101009</v>
      </c>
      <c r="W70" s="429">
        <v>867.47118509093218</v>
      </c>
      <c r="X70" s="429">
        <v>9.5692439388489596</v>
      </c>
      <c r="Y70" s="429">
        <v>10.436816566703097</v>
      </c>
      <c r="Z70" s="429">
        <v>14.338461620955334</v>
      </c>
      <c r="AA70" s="429">
        <v>7.5067790538088026</v>
      </c>
      <c r="AB70" s="429">
        <v>8.2166112038712793</v>
      </c>
      <c r="AC70" s="429">
        <v>4.6574560856020231</v>
      </c>
      <c r="AD70" s="429">
        <v>3.2129991240409663</v>
      </c>
      <c r="AE70" s="429">
        <v>0</v>
      </c>
      <c r="AF70" s="429">
        <v>0</v>
      </c>
      <c r="AG70" s="429">
        <v>0</v>
      </c>
      <c r="AH70" s="429">
        <v>2.8579517090954449</v>
      </c>
      <c r="AI70" s="429">
        <v>6.2812906867302143</v>
      </c>
      <c r="AJ70" s="429">
        <v>6.0123363906682146</v>
      </c>
      <c r="AK70" s="429">
        <v>6.9268228459401371</v>
      </c>
      <c r="AL70" s="429">
        <v>0</v>
      </c>
      <c r="AM70" s="429">
        <v>0</v>
      </c>
      <c r="AN70" s="429">
        <v>0</v>
      </c>
      <c r="AO70" s="432"/>
      <c r="AP70" s="428">
        <v>41794.662427777781</v>
      </c>
      <c r="AQ70" s="431">
        <v>100.48159559894692</v>
      </c>
      <c r="AR70" s="431">
        <v>123.46134694292465</v>
      </c>
      <c r="AS70" s="431">
        <v>87.209985864403265</v>
      </c>
      <c r="AT70" s="431">
        <v>147.887302171892</v>
      </c>
      <c r="AU70" s="431">
        <v>18.943866830591645</v>
      </c>
      <c r="AV70" s="431">
        <v>85.348269223681513</v>
      </c>
      <c r="AW70" s="431">
        <v>18.208462391650492</v>
      </c>
      <c r="AX70" s="431">
        <v>-22.8297591122023</v>
      </c>
      <c r="AY70" s="431">
        <v>116.40327669092112</v>
      </c>
      <c r="AZ70" s="431">
        <v>-91.632620391413298</v>
      </c>
      <c r="BA70" s="431">
        <v>-2.8571791476303963</v>
      </c>
      <c r="BB70" s="431">
        <v>3.0420151803990199</v>
      </c>
      <c r="BC70" s="431">
        <v>2.3275621068494132</v>
      </c>
      <c r="BD70" s="431">
        <v>67.678640132793859</v>
      </c>
      <c r="BE70" s="431">
        <v>363837.84176954377</v>
      </c>
      <c r="BF70" s="431">
        <v>8157.3992281795099</v>
      </c>
      <c r="BG70" s="431">
        <v>1232.0106104320605</v>
      </c>
      <c r="BH70" s="431">
        <v>465256.62402762001</v>
      </c>
      <c r="BI70" s="431">
        <v>448112.43192235444</v>
      </c>
      <c r="BJ70" s="431">
        <v>72789.657896943987</v>
      </c>
      <c r="BK70" s="431">
        <v>385605.46416897461</v>
      </c>
      <c r="BL70" s="431">
        <v>3315.1054049520785</v>
      </c>
      <c r="BM70" s="431">
        <v>538.49295651896432</v>
      </c>
      <c r="BN70" s="431">
        <v>147.8368059516699</v>
      </c>
      <c r="BO70" s="431">
        <v>2712.3589676880647</v>
      </c>
      <c r="BP70" s="431">
        <v>440.58514624278899</v>
      </c>
      <c r="BQ70" s="431">
        <v>1642.936879686453</v>
      </c>
      <c r="BR70" s="431">
        <v>867.60859276926192</v>
      </c>
      <c r="BS70" s="431">
        <v>0</v>
      </c>
      <c r="BT70" s="431">
        <v>0</v>
      </c>
      <c r="BU70" s="431">
        <v>0</v>
      </c>
      <c r="BV70" s="431">
        <v>763.79426468382519</v>
      </c>
      <c r="BW70" s="431">
        <v>1344.6612708062298</v>
      </c>
      <c r="BX70" s="431">
        <v>1179.8376316032288</v>
      </c>
      <c r="BY70" s="431">
        <v>1034.3548236970996</v>
      </c>
      <c r="BZ70" s="431">
        <v>0</v>
      </c>
      <c r="CA70" s="431">
        <v>0</v>
      </c>
      <c r="CB70" s="431">
        <v>0</v>
      </c>
      <c r="CC70" s="432"/>
      <c r="CD70" s="428">
        <v>41794.662427777781</v>
      </c>
      <c r="CE70" s="433">
        <v>0.28867948499398594</v>
      </c>
      <c r="CF70" s="433">
        <v>0.21647902720720727</v>
      </c>
      <c r="CG70" s="433">
        <v>0.17973960391015936</v>
      </c>
      <c r="CH70" s="433">
        <v>0.18197778689994615</v>
      </c>
      <c r="CI70" s="433">
        <v>0.1207127188701978</v>
      </c>
      <c r="CJ70" s="433">
        <v>0.24504509923964415</v>
      </c>
      <c r="CK70" s="433">
        <v>0.24306585314092802</v>
      </c>
      <c r="CL70" s="433">
        <v>0.26123057689286194</v>
      </c>
      <c r="CM70" s="433">
        <v>0.20098800457055921</v>
      </c>
      <c r="CN70" s="433">
        <v>0.18890723589386732</v>
      </c>
      <c r="CO70" s="433">
        <v>0.58946685490196193</v>
      </c>
      <c r="CP70" s="433">
        <v>0.60559402133974971</v>
      </c>
      <c r="CQ70" s="433">
        <v>0.67663897658204775</v>
      </c>
      <c r="CR70" s="433">
        <v>0.41104225845250458</v>
      </c>
      <c r="CS70" s="433">
        <v>0.39443520669059223</v>
      </c>
      <c r="CT70" s="433">
        <v>0.447221292916757</v>
      </c>
      <c r="CU70" s="433">
        <v>0.3622790598707698</v>
      </c>
      <c r="CV70" s="433">
        <v>0.47604249083347333</v>
      </c>
      <c r="CW70" s="433">
        <v>0.4759898508915783</v>
      </c>
      <c r="CX70" s="433">
        <v>0.4007797062399322</v>
      </c>
      <c r="CY70" s="433">
        <v>0.43383847945766757</v>
      </c>
      <c r="CZ70" s="433">
        <v>0.29816004259848461</v>
      </c>
      <c r="DA70" s="433">
        <v>0.25104840798869349</v>
      </c>
      <c r="DB70" s="433">
        <v>0.78134770554504784</v>
      </c>
      <c r="DC70" s="433">
        <v>0.29816004259848461</v>
      </c>
      <c r="DD70" s="433">
        <v>0.25104840798869349</v>
      </c>
      <c r="DE70" s="433">
        <v>0.37034376886796982</v>
      </c>
      <c r="DF70" s="433">
        <v>0.39133505591051104</v>
      </c>
      <c r="DG70" s="433">
        <v>0</v>
      </c>
      <c r="DH70" s="433">
        <v>0</v>
      </c>
      <c r="DI70" s="433">
        <v>0</v>
      </c>
      <c r="DJ70" s="433">
        <v>0.34760074846819372</v>
      </c>
      <c r="DK70" s="433">
        <v>0.31679504526088992</v>
      </c>
      <c r="DL70" s="433">
        <v>0.28139108209329972</v>
      </c>
      <c r="DM70" s="433">
        <v>0.40065255724171372</v>
      </c>
      <c r="DN70" s="433">
        <v>0</v>
      </c>
      <c r="DO70" s="433">
        <v>0</v>
      </c>
      <c r="DP70" s="433">
        <v>0</v>
      </c>
      <c r="DR70" s="409" t="s">
        <v>711</v>
      </c>
      <c r="DS70" s="409" t="s">
        <v>2376</v>
      </c>
    </row>
    <row r="71" spans="2:123" s="1471" customFormat="1">
      <c r="B71" s="428">
        <v>41794.886458796296</v>
      </c>
      <c r="C71" s="429">
        <v>1.4017074716523568</v>
      </c>
      <c r="D71" s="429">
        <v>1.3907838359615508</v>
      </c>
      <c r="E71" s="429">
        <v>1.4160753268030521</v>
      </c>
      <c r="F71" s="429">
        <v>1.3871062577566267</v>
      </c>
      <c r="G71" s="429">
        <v>1.3547999083624971</v>
      </c>
      <c r="H71" s="429">
        <v>1.4042911728617946</v>
      </c>
      <c r="I71" s="429">
        <v>1.4273671261379492</v>
      </c>
      <c r="J71" s="429">
        <v>1.4583673179545293</v>
      </c>
      <c r="K71" s="429">
        <v>1.3437884626141752</v>
      </c>
      <c r="L71" s="429">
        <v>1.4475966602287464</v>
      </c>
      <c r="M71" s="429">
        <v>1.3444431799454541</v>
      </c>
      <c r="N71" s="429">
        <v>1.3377833847464791</v>
      </c>
      <c r="O71" s="429">
        <v>1.1241357813315278</v>
      </c>
      <c r="P71" s="429">
        <v>1.1175397674159888</v>
      </c>
      <c r="Q71" s="429">
        <v>2918.9001210994288</v>
      </c>
      <c r="R71" s="429">
        <v>14.713615986108836</v>
      </c>
      <c r="S71" s="429">
        <v>22.968065033593877</v>
      </c>
      <c r="T71" s="429">
        <v>3801.0986428193655</v>
      </c>
      <c r="U71" s="429">
        <v>3937.4659846698569</v>
      </c>
      <c r="V71" s="429">
        <v>4054.7382981101009</v>
      </c>
      <c r="W71" s="429">
        <v>867.47118509093218</v>
      </c>
      <c r="X71" s="429">
        <v>9.5692439388489596</v>
      </c>
      <c r="Y71" s="429">
        <v>10.436816566703097</v>
      </c>
      <c r="Z71" s="429">
        <v>14.338461620955334</v>
      </c>
      <c r="AA71" s="429">
        <v>7.5067790538088026</v>
      </c>
      <c r="AB71" s="429">
        <v>8.2166112038712793</v>
      </c>
      <c r="AC71" s="429">
        <v>4.6574560856020231</v>
      </c>
      <c r="AD71" s="429">
        <v>3.2129991240409663</v>
      </c>
      <c r="AE71" s="429">
        <v>0</v>
      </c>
      <c r="AF71" s="429">
        <v>0</v>
      </c>
      <c r="AG71" s="429">
        <v>0</v>
      </c>
      <c r="AH71" s="429">
        <v>2.8579517090954449</v>
      </c>
      <c r="AI71" s="429">
        <v>6.2812906867302143</v>
      </c>
      <c r="AJ71" s="429">
        <v>6.0123363906682146</v>
      </c>
      <c r="AK71" s="429">
        <v>6.9268228459401371</v>
      </c>
      <c r="AL71" s="429">
        <v>0</v>
      </c>
      <c r="AM71" s="429">
        <v>0</v>
      </c>
      <c r="AN71" s="429">
        <v>0</v>
      </c>
      <c r="AO71" s="432"/>
      <c r="AP71" s="428">
        <v>41794.886458796296</v>
      </c>
      <c r="AQ71" s="431">
        <v>100.48159559894692</v>
      </c>
      <c r="AR71" s="431">
        <v>123.46134694292465</v>
      </c>
      <c r="AS71" s="431">
        <v>87.209985864403265</v>
      </c>
      <c r="AT71" s="431">
        <v>147.887302171892</v>
      </c>
      <c r="AU71" s="431">
        <v>18.943866830591645</v>
      </c>
      <c r="AV71" s="431">
        <v>85.348269223681513</v>
      </c>
      <c r="AW71" s="431">
        <v>18.208462391650492</v>
      </c>
      <c r="AX71" s="431">
        <v>-22.8297591122023</v>
      </c>
      <c r="AY71" s="431">
        <v>116.40327669092112</v>
      </c>
      <c r="AZ71" s="431">
        <v>-91.632620391413298</v>
      </c>
      <c r="BA71" s="431">
        <v>-2.8571791476303963</v>
      </c>
      <c r="BB71" s="431">
        <v>3.0420151803990199</v>
      </c>
      <c r="BC71" s="431">
        <v>2.3275621068494132</v>
      </c>
      <c r="BD71" s="431">
        <v>67.678640132793859</v>
      </c>
      <c r="BE71" s="431">
        <v>363837.84176954377</v>
      </c>
      <c r="BF71" s="431">
        <v>8157.3992281795099</v>
      </c>
      <c r="BG71" s="431">
        <v>2044.225708304461</v>
      </c>
      <c r="BH71" s="431">
        <v>465256.62402762001</v>
      </c>
      <c r="BI71" s="431">
        <v>448112.43192235444</v>
      </c>
      <c r="BJ71" s="431">
        <v>72789.657896943987</v>
      </c>
      <c r="BK71" s="431">
        <v>385605.46416897461</v>
      </c>
      <c r="BL71" s="431">
        <v>3315.1054049520785</v>
      </c>
      <c r="BM71" s="431">
        <v>538.49295651896432</v>
      </c>
      <c r="BN71" s="431">
        <v>147.8368059516699</v>
      </c>
      <c r="BO71" s="431">
        <v>2712.3589676880647</v>
      </c>
      <c r="BP71" s="431">
        <v>440.58514624278899</v>
      </c>
      <c r="BQ71" s="431">
        <v>1642.936879686453</v>
      </c>
      <c r="BR71" s="431">
        <v>867.60859276926192</v>
      </c>
      <c r="BS71" s="431">
        <v>0</v>
      </c>
      <c r="BT71" s="431">
        <v>0</v>
      </c>
      <c r="BU71" s="431">
        <v>0</v>
      </c>
      <c r="BV71" s="431">
        <v>763.79426468382519</v>
      </c>
      <c r="BW71" s="431">
        <v>1344.6612708062298</v>
      </c>
      <c r="BX71" s="431">
        <v>1179.8376316032288</v>
      </c>
      <c r="BY71" s="431">
        <v>1034.3548236970996</v>
      </c>
      <c r="BZ71" s="431">
        <v>0</v>
      </c>
      <c r="CA71" s="431">
        <v>0</v>
      </c>
      <c r="CB71" s="431">
        <v>0</v>
      </c>
      <c r="CC71" s="432"/>
      <c r="CD71" s="428">
        <v>41794.886458796296</v>
      </c>
      <c r="CE71" s="433">
        <v>0.28867948499398594</v>
      </c>
      <c r="CF71" s="433">
        <v>0.21647902720720727</v>
      </c>
      <c r="CG71" s="433">
        <v>0.17973960391015936</v>
      </c>
      <c r="CH71" s="433">
        <v>0.18197778689994615</v>
      </c>
      <c r="CI71" s="433">
        <v>0.1207127188701978</v>
      </c>
      <c r="CJ71" s="433">
        <v>0.24504509923964415</v>
      </c>
      <c r="CK71" s="433">
        <v>0.24306585314092802</v>
      </c>
      <c r="CL71" s="433">
        <v>0.26123057689286194</v>
      </c>
      <c r="CM71" s="433">
        <v>0.20098800457055921</v>
      </c>
      <c r="CN71" s="433">
        <v>0.18890723589386732</v>
      </c>
      <c r="CO71" s="433">
        <v>0.58946685490196193</v>
      </c>
      <c r="CP71" s="433">
        <v>0.60559402133974971</v>
      </c>
      <c r="CQ71" s="433">
        <v>0.67663897658204775</v>
      </c>
      <c r="CR71" s="433">
        <v>0.41104225845250458</v>
      </c>
      <c r="CS71" s="433">
        <v>0.39443520669059223</v>
      </c>
      <c r="CT71" s="433">
        <v>0.447221292916757</v>
      </c>
      <c r="CU71" s="433">
        <v>0.3622790598707698</v>
      </c>
      <c r="CV71" s="433">
        <v>0.47604249083347333</v>
      </c>
      <c r="CW71" s="433">
        <v>0.4759898508915783</v>
      </c>
      <c r="CX71" s="433">
        <v>0.4007797062399322</v>
      </c>
      <c r="CY71" s="433">
        <v>0.43383847945766757</v>
      </c>
      <c r="CZ71" s="433">
        <v>0.29816004259848461</v>
      </c>
      <c r="DA71" s="433">
        <v>0.25104840798869349</v>
      </c>
      <c r="DB71" s="433">
        <v>0.78134770554504784</v>
      </c>
      <c r="DC71" s="433">
        <v>0.29816004259848461</v>
      </c>
      <c r="DD71" s="433">
        <v>0.25104840798869349</v>
      </c>
      <c r="DE71" s="433">
        <v>0.37034376886796982</v>
      </c>
      <c r="DF71" s="433">
        <v>0.39133505591051104</v>
      </c>
      <c r="DG71" s="433">
        <v>0</v>
      </c>
      <c r="DH71" s="433">
        <v>0</v>
      </c>
      <c r="DI71" s="433">
        <v>0</v>
      </c>
      <c r="DJ71" s="433">
        <v>0.34760074846819372</v>
      </c>
      <c r="DK71" s="433">
        <v>0.31679504526088992</v>
      </c>
      <c r="DL71" s="433">
        <v>0.28139108209329972</v>
      </c>
      <c r="DM71" s="433">
        <v>0.40065255724171372</v>
      </c>
      <c r="DN71" s="433">
        <v>0</v>
      </c>
      <c r="DO71" s="433">
        <v>0</v>
      </c>
      <c r="DP71" s="433">
        <v>0</v>
      </c>
      <c r="DR71" s="409" t="s">
        <v>2011</v>
      </c>
      <c r="DS71" s="409" t="s">
        <v>2379</v>
      </c>
    </row>
    <row r="72" spans="2:123" s="1471" customFormat="1">
      <c r="B72" s="428">
        <v>41794.965698495369</v>
      </c>
      <c r="C72" s="429">
        <v>1.3988468986734504</v>
      </c>
      <c r="D72" s="429">
        <v>1.3907838359615508</v>
      </c>
      <c r="E72" s="429">
        <v>1.4160753268030521</v>
      </c>
      <c r="F72" s="429">
        <v>1.3871062577566267</v>
      </c>
      <c r="G72" s="429">
        <v>1.3547999083624971</v>
      </c>
      <c r="H72" s="429">
        <v>1.4014217721405609</v>
      </c>
      <c r="I72" s="429">
        <v>1.4246338391669984</v>
      </c>
      <c r="J72" s="429">
        <v>1.4555448677546512</v>
      </c>
      <c r="K72" s="429">
        <v>1.343788462614175</v>
      </c>
      <c r="L72" s="429">
        <v>1.4475966602287462</v>
      </c>
      <c r="M72" s="429">
        <v>1.3281369807132584</v>
      </c>
      <c r="N72" s="429">
        <v>1.3403561064293865</v>
      </c>
      <c r="O72" s="429">
        <v>1.1144762094710539</v>
      </c>
      <c r="P72" s="429">
        <v>1.1363248998553246</v>
      </c>
      <c r="Q72" s="429">
        <v>2918.9001210994288</v>
      </c>
      <c r="R72" s="429">
        <v>14.713615986108836</v>
      </c>
      <c r="S72" s="429">
        <v>22.968065033593877</v>
      </c>
      <c r="T72" s="429">
        <v>3801.0986428193655</v>
      </c>
      <c r="U72" s="429">
        <v>3937.4659846698569</v>
      </c>
      <c r="V72" s="429">
        <v>4054.7382981101009</v>
      </c>
      <c r="W72" s="429">
        <v>867.47118509093218</v>
      </c>
      <c r="X72" s="429">
        <v>9.5692439388489596</v>
      </c>
      <c r="Y72" s="429">
        <v>10.436816566703097</v>
      </c>
      <c r="Z72" s="429">
        <v>14.338461620955334</v>
      </c>
      <c r="AA72" s="429">
        <v>7.5067790538088026</v>
      </c>
      <c r="AB72" s="429">
        <v>8.2166112038712793</v>
      </c>
      <c r="AC72" s="429">
        <v>4.6574560856020231</v>
      </c>
      <c r="AD72" s="429">
        <v>3.2129991240409663</v>
      </c>
      <c r="AE72" s="429">
        <v>0</v>
      </c>
      <c r="AF72" s="429">
        <v>0</v>
      </c>
      <c r="AG72" s="429">
        <v>0</v>
      </c>
      <c r="AH72" s="429">
        <v>2.8579517090954449</v>
      </c>
      <c r="AI72" s="429">
        <v>6.2812906867302143</v>
      </c>
      <c r="AJ72" s="429">
        <v>6.0123363906682146</v>
      </c>
      <c r="AK72" s="429">
        <v>6.9268228459401371</v>
      </c>
      <c r="AL72" s="429">
        <v>0</v>
      </c>
      <c r="AM72" s="429">
        <v>0</v>
      </c>
      <c r="AN72" s="429">
        <v>0</v>
      </c>
      <c r="AO72" s="432"/>
      <c r="AP72" s="428">
        <v>41794.965698495369</v>
      </c>
      <c r="AQ72" s="431">
        <v>99.714560518038923</v>
      </c>
      <c r="AR72" s="431">
        <v>123.46134694292465</v>
      </c>
      <c r="AS72" s="431">
        <v>87.209985864403265</v>
      </c>
      <c r="AT72" s="431">
        <v>147.887302171892</v>
      </c>
      <c r="AU72" s="431">
        <v>18.943866830591645</v>
      </c>
      <c r="AV72" s="431">
        <v>84.69675571815722</v>
      </c>
      <c r="AW72" s="431">
        <v>18.069466495531024</v>
      </c>
      <c r="AX72" s="431">
        <v>-22.655486141880147</v>
      </c>
      <c r="AY72" s="431">
        <v>116.40327669092113</v>
      </c>
      <c r="AZ72" s="431">
        <v>-91.632620391413283</v>
      </c>
      <c r="BA72" s="431">
        <v>-3.0611694078420357</v>
      </c>
      <c r="BB72" s="431">
        <v>2.8082916258192321</v>
      </c>
      <c r="BC72" s="431">
        <v>1.9539213531530961</v>
      </c>
      <c r="BD72" s="431">
        <v>155.21207222561148</v>
      </c>
      <c r="BE72" s="431">
        <v>363837.84176954377</v>
      </c>
      <c r="BF72" s="431">
        <v>8157.3992281795099</v>
      </c>
      <c r="BG72" s="431">
        <v>2044.225708304461</v>
      </c>
      <c r="BH72" s="431">
        <v>465256.62402762001</v>
      </c>
      <c r="BI72" s="431">
        <v>448112.43192235444</v>
      </c>
      <c r="BJ72" s="431">
        <v>72789.657896943987</v>
      </c>
      <c r="BK72" s="431">
        <v>385605.46416897461</v>
      </c>
      <c r="BL72" s="431">
        <v>3315.1054049520785</v>
      </c>
      <c r="BM72" s="431">
        <v>538.49295651896432</v>
      </c>
      <c r="BN72" s="431">
        <v>147.8368059516699</v>
      </c>
      <c r="BO72" s="431">
        <v>2712.3589676880647</v>
      </c>
      <c r="BP72" s="431">
        <v>440.58514624278899</v>
      </c>
      <c r="BQ72" s="431">
        <v>1642.936879686453</v>
      </c>
      <c r="BR72" s="431">
        <v>867.60859276926192</v>
      </c>
      <c r="BS72" s="431">
        <v>0</v>
      </c>
      <c r="BT72" s="431">
        <v>0</v>
      </c>
      <c r="BU72" s="431">
        <v>0</v>
      </c>
      <c r="BV72" s="431">
        <v>763.79426468382519</v>
      </c>
      <c r="BW72" s="431">
        <v>1344.6612708062298</v>
      </c>
      <c r="BX72" s="431">
        <v>1179.8376316032288</v>
      </c>
      <c r="BY72" s="431">
        <v>1034.3548236970996</v>
      </c>
      <c r="BZ72" s="431">
        <v>0</v>
      </c>
      <c r="CA72" s="431">
        <v>0</v>
      </c>
      <c r="CB72" s="431">
        <v>0</v>
      </c>
      <c r="CC72" s="432"/>
      <c r="CD72" s="428">
        <v>41794.965698495369</v>
      </c>
      <c r="CE72" s="433">
        <v>0.28867948499398594</v>
      </c>
      <c r="CF72" s="433">
        <v>0.21647902720720727</v>
      </c>
      <c r="CG72" s="433">
        <v>0.17973960391015936</v>
      </c>
      <c r="CH72" s="433">
        <v>0.18197778689994615</v>
      </c>
      <c r="CI72" s="433">
        <v>0.1207127188701978</v>
      </c>
      <c r="CJ72" s="433">
        <v>0.24504509923964415</v>
      </c>
      <c r="CK72" s="433">
        <v>0.24306585314092802</v>
      </c>
      <c r="CL72" s="433">
        <v>0.26123057689286194</v>
      </c>
      <c r="CM72" s="433">
        <v>0.19945374499368468</v>
      </c>
      <c r="CN72" s="433">
        <v>0.1874651959252118</v>
      </c>
      <c r="CO72" s="433">
        <v>0.65918867978012086</v>
      </c>
      <c r="CP72" s="433">
        <v>0.67425696738204488</v>
      </c>
      <c r="CQ72" s="433">
        <v>0.77768509959387233</v>
      </c>
      <c r="CR72" s="433">
        <v>0.34209534585351969</v>
      </c>
      <c r="CS72" s="433">
        <v>0.39443520669059223</v>
      </c>
      <c r="CT72" s="433">
        <v>0.447221292916757</v>
      </c>
      <c r="CU72" s="433">
        <v>0.3622790598707698</v>
      </c>
      <c r="CV72" s="433">
        <v>0.47604249083347333</v>
      </c>
      <c r="CW72" s="433">
        <v>0.4759898508915783</v>
      </c>
      <c r="CX72" s="433">
        <v>0.4007797062399322</v>
      </c>
      <c r="CY72" s="433">
        <v>0.43383847945766757</v>
      </c>
      <c r="CZ72" s="433">
        <v>0.29816004259848461</v>
      </c>
      <c r="DA72" s="433">
        <v>0.25104840798869349</v>
      </c>
      <c r="DB72" s="433">
        <v>0.78134770554504784</v>
      </c>
      <c r="DC72" s="433">
        <v>0.29816004259848461</v>
      </c>
      <c r="DD72" s="433">
        <v>0.25104840798869349</v>
      </c>
      <c r="DE72" s="433">
        <v>0.37034376886796982</v>
      </c>
      <c r="DF72" s="433">
        <v>0.39133505591051104</v>
      </c>
      <c r="DG72" s="433">
        <v>0</v>
      </c>
      <c r="DH72" s="433">
        <v>0</v>
      </c>
      <c r="DI72" s="433">
        <v>0</v>
      </c>
      <c r="DJ72" s="433">
        <v>0.34760074846819372</v>
      </c>
      <c r="DK72" s="433">
        <v>0.31679504526088992</v>
      </c>
      <c r="DL72" s="433">
        <v>0.28139108209329972</v>
      </c>
      <c r="DM72" s="433">
        <v>0.40065255724171372</v>
      </c>
      <c r="DN72" s="433">
        <v>0</v>
      </c>
      <c r="DO72" s="433">
        <v>0</v>
      </c>
      <c r="DP72" s="433">
        <v>0</v>
      </c>
      <c r="DR72" s="409" t="s">
        <v>855</v>
      </c>
      <c r="DS72" s="409" t="s">
        <v>2384</v>
      </c>
    </row>
    <row r="73" spans="2:123" s="1471" customFormat="1">
      <c r="B73" s="428">
        <v>41794.972001504633</v>
      </c>
      <c r="C73" s="429">
        <v>1.3988468986734504</v>
      </c>
      <c r="D73" s="429">
        <v>1.3907838359615508</v>
      </c>
      <c r="E73" s="429">
        <v>1.4160753268030521</v>
      </c>
      <c r="F73" s="429">
        <v>1.3871062577566267</v>
      </c>
      <c r="G73" s="429">
        <v>1.3547999083624971</v>
      </c>
      <c r="H73" s="429">
        <v>1.4014217721405609</v>
      </c>
      <c r="I73" s="429">
        <v>1.4246338391669984</v>
      </c>
      <c r="J73" s="429">
        <v>1.4555448677546512</v>
      </c>
      <c r="K73" s="429">
        <v>1.343788462614175</v>
      </c>
      <c r="L73" s="429">
        <v>1.4475966602287462</v>
      </c>
      <c r="M73" s="429">
        <v>1.3363069984146652</v>
      </c>
      <c r="N73" s="429">
        <v>1.3404472462490773</v>
      </c>
      <c r="O73" s="429">
        <v>1.1144762094710536</v>
      </c>
      <c r="P73" s="429">
        <v>1.121768886049755</v>
      </c>
      <c r="Q73" s="429">
        <v>2918.9001210994288</v>
      </c>
      <c r="R73" s="429">
        <v>14.713615986108836</v>
      </c>
      <c r="S73" s="429">
        <v>22.968065033593877</v>
      </c>
      <c r="T73" s="429">
        <v>3801.0986428193655</v>
      </c>
      <c r="U73" s="429">
        <v>3937.4659846698569</v>
      </c>
      <c r="V73" s="429">
        <v>4054.7382981101009</v>
      </c>
      <c r="W73" s="429">
        <v>867.47118509093218</v>
      </c>
      <c r="X73" s="429">
        <v>9.5692439388489596</v>
      </c>
      <c r="Y73" s="429">
        <v>10.436816566703097</v>
      </c>
      <c r="Z73" s="429">
        <v>14.338461620955334</v>
      </c>
      <c r="AA73" s="429">
        <v>7.5067790538088026</v>
      </c>
      <c r="AB73" s="429">
        <v>8.2166112038712793</v>
      </c>
      <c r="AC73" s="429">
        <v>4.6574560856020231</v>
      </c>
      <c r="AD73" s="429">
        <v>3.2129991240409663</v>
      </c>
      <c r="AE73" s="429">
        <v>0</v>
      </c>
      <c r="AF73" s="429">
        <v>0</v>
      </c>
      <c r="AG73" s="429">
        <v>0</v>
      </c>
      <c r="AH73" s="429">
        <v>2.8579517090954449</v>
      </c>
      <c r="AI73" s="429">
        <v>6.2812906867302143</v>
      </c>
      <c r="AJ73" s="429">
        <v>6.0123363906682146</v>
      </c>
      <c r="AK73" s="429">
        <v>6.9268228459401371</v>
      </c>
      <c r="AL73" s="429">
        <v>0</v>
      </c>
      <c r="AM73" s="429">
        <v>0</v>
      </c>
      <c r="AN73" s="429">
        <v>0</v>
      </c>
      <c r="AO73" s="432"/>
      <c r="AP73" s="428">
        <v>41794.972001504633</v>
      </c>
      <c r="AQ73" s="431">
        <v>99.714560518038923</v>
      </c>
      <c r="AR73" s="431">
        <v>123.46134694292465</v>
      </c>
      <c r="AS73" s="431">
        <v>87.209985864403265</v>
      </c>
      <c r="AT73" s="431">
        <v>147.887302171892</v>
      </c>
      <c r="AU73" s="431">
        <v>18.943866830591645</v>
      </c>
      <c r="AV73" s="431">
        <v>84.69675571815722</v>
      </c>
      <c r="AW73" s="431">
        <v>18.069466495531024</v>
      </c>
      <c r="AX73" s="431">
        <v>-22.655486141880147</v>
      </c>
      <c r="AY73" s="431">
        <v>116.40327669092113</v>
      </c>
      <c r="AZ73" s="431">
        <v>-91.632620391413283</v>
      </c>
      <c r="BA73" s="431">
        <v>-2.8952139780657635</v>
      </c>
      <c r="BB73" s="431">
        <v>2.9704652294477878</v>
      </c>
      <c r="BC73" s="431">
        <v>1.9539213531530961</v>
      </c>
      <c r="BD73" s="431">
        <v>80.040517835257177</v>
      </c>
      <c r="BE73" s="431">
        <v>363837.84176954377</v>
      </c>
      <c r="BF73" s="431">
        <v>8157.3992281795099</v>
      </c>
      <c r="BG73" s="431">
        <v>2044.225708304461</v>
      </c>
      <c r="BH73" s="431">
        <v>465256.62402762001</v>
      </c>
      <c r="BI73" s="431">
        <v>448112.43192235444</v>
      </c>
      <c r="BJ73" s="431">
        <v>72789.657896943987</v>
      </c>
      <c r="BK73" s="431">
        <v>385605.46416897461</v>
      </c>
      <c r="BL73" s="431">
        <v>3315.1054049520785</v>
      </c>
      <c r="BM73" s="431">
        <v>538.49295651896432</v>
      </c>
      <c r="BN73" s="431">
        <v>147.8368059516699</v>
      </c>
      <c r="BO73" s="431">
        <v>2712.3589676880647</v>
      </c>
      <c r="BP73" s="431">
        <v>440.58514624278899</v>
      </c>
      <c r="BQ73" s="431">
        <v>1642.936879686453</v>
      </c>
      <c r="BR73" s="431">
        <v>867.60859276926192</v>
      </c>
      <c r="BS73" s="431">
        <v>0</v>
      </c>
      <c r="BT73" s="431">
        <v>0</v>
      </c>
      <c r="BU73" s="431">
        <v>0</v>
      </c>
      <c r="BV73" s="431">
        <v>763.79426468382519</v>
      </c>
      <c r="BW73" s="431">
        <v>1344.6612708062298</v>
      </c>
      <c r="BX73" s="431">
        <v>1179.8376316032288</v>
      </c>
      <c r="BY73" s="431">
        <v>1034.3548236970996</v>
      </c>
      <c r="BZ73" s="431">
        <v>0</v>
      </c>
      <c r="CA73" s="431">
        <v>0</v>
      </c>
      <c r="CB73" s="431">
        <v>0</v>
      </c>
      <c r="CC73" s="432"/>
      <c r="CD73" s="428">
        <v>41794.972001504633</v>
      </c>
      <c r="CE73" s="433">
        <v>0.28867948499398594</v>
      </c>
      <c r="CF73" s="433">
        <v>0.21647902720720727</v>
      </c>
      <c r="CG73" s="433">
        <v>0.17973960391015936</v>
      </c>
      <c r="CH73" s="433">
        <v>0.18197778689994615</v>
      </c>
      <c r="CI73" s="433">
        <v>0.1207127188701978</v>
      </c>
      <c r="CJ73" s="433">
        <v>0.24504509923964415</v>
      </c>
      <c r="CK73" s="433">
        <v>0.24306585314092802</v>
      </c>
      <c r="CL73" s="433">
        <v>0.26123057689286194</v>
      </c>
      <c r="CM73" s="433">
        <v>0.19945374499368468</v>
      </c>
      <c r="CN73" s="433">
        <v>0.1874651959252118</v>
      </c>
      <c r="CO73" s="433">
        <v>0.6061180812254181</v>
      </c>
      <c r="CP73" s="433">
        <v>0.62118636882734224</v>
      </c>
      <c r="CQ73" s="433">
        <v>0.70077118864502774</v>
      </c>
      <c r="CR73" s="433">
        <v>0.38975168317710257</v>
      </c>
      <c r="CS73" s="433">
        <v>0.39443520669059223</v>
      </c>
      <c r="CT73" s="433">
        <v>0.447221292916757</v>
      </c>
      <c r="CU73" s="433">
        <v>0.3622790598707698</v>
      </c>
      <c r="CV73" s="433">
        <v>0.47604249083347333</v>
      </c>
      <c r="CW73" s="433">
        <v>0.4759898508915783</v>
      </c>
      <c r="CX73" s="433">
        <v>0.4007797062399322</v>
      </c>
      <c r="CY73" s="433">
        <v>0.43383847945766757</v>
      </c>
      <c r="CZ73" s="433">
        <v>0.29816004259848461</v>
      </c>
      <c r="DA73" s="433">
        <v>0.25104840798869349</v>
      </c>
      <c r="DB73" s="433">
        <v>0.78134770554504784</v>
      </c>
      <c r="DC73" s="433">
        <v>0.29816004259848461</v>
      </c>
      <c r="DD73" s="433">
        <v>0.25104840798869349</v>
      </c>
      <c r="DE73" s="433">
        <v>0.37034376886796982</v>
      </c>
      <c r="DF73" s="433">
        <v>0.39133505591051104</v>
      </c>
      <c r="DG73" s="433">
        <v>0</v>
      </c>
      <c r="DH73" s="433">
        <v>0</v>
      </c>
      <c r="DI73" s="433">
        <v>0</v>
      </c>
      <c r="DJ73" s="433">
        <v>0.34760074846819372</v>
      </c>
      <c r="DK73" s="433">
        <v>0.31679504526088992</v>
      </c>
      <c r="DL73" s="433">
        <v>0.28139108209329972</v>
      </c>
      <c r="DM73" s="433">
        <v>0.40065255724171372</v>
      </c>
      <c r="DN73" s="433">
        <v>0</v>
      </c>
      <c r="DO73" s="433">
        <v>0</v>
      </c>
      <c r="DP73" s="433">
        <v>0</v>
      </c>
      <c r="DR73" s="409" t="s">
        <v>855</v>
      </c>
      <c r="DS73" s="409" t="s">
        <v>2655</v>
      </c>
    </row>
    <row r="74" spans="2:123" s="1471" customFormat="1">
      <c r="B74" s="428">
        <v>41796.536750810184</v>
      </c>
      <c r="C74" s="429">
        <v>1.3988468986734504</v>
      </c>
      <c r="D74" s="429">
        <v>1.3907838359615508</v>
      </c>
      <c r="E74" s="429">
        <v>1.4213312229253297</v>
      </c>
      <c r="F74" s="429">
        <v>1.387889839870952</v>
      </c>
      <c r="G74" s="429">
        <v>1.3553300810261282</v>
      </c>
      <c r="H74" s="429">
        <v>1.4014217721405609</v>
      </c>
      <c r="I74" s="429">
        <v>1.426044873258246</v>
      </c>
      <c r="J74" s="429">
        <v>1.4529773434421147</v>
      </c>
      <c r="K74" s="429">
        <v>1.343788462614175</v>
      </c>
      <c r="L74" s="429">
        <v>1.4475966602287462</v>
      </c>
      <c r="M74" s="429">
        <v>1.3357698609265118</v>
      </c>
      <c r="N74" s="429">
        <v>1.3404472462490773</v>
      </c>
      <c r="O74" s="429">
        <v>1.1144762094710536</v>
      </c>
      <c r="P74" s="429">
        <v>1.121768886049755</v>
      </c>
      <c r="Q74" s="429">
        <v>2918.9001210994288</v>
      </c>
      <c r="R74" s="429">
        <v>14.713615986108836</v>
      </c>
      <c r="S74" s="429">
        <v>22.968065033593877</v>
      </c>
      <c r="T74" s="429">
        <v>3801.0986428193655</v>
      </c>
      <c r="U74" s="429">
        <v>3937.4659846698569</v>
      </c>
      <c r="V74" s="429">
        <v>4061.2248266114398</v>
      </c>
      <c r="W74" s="429">
        <v>867.47118509093218</v>
      </c>
      <c r="X74" s="429">
        <v>9.5692439388489596</v>
      </c>
      <c r="Y74" s="429">
        <v>10.484803464995377</v>
      </c>
      <c r="Z74" s="429">
        <v>14.338461620955334</v>
      </c>
      <c r="AA74" s="429">
        <v>7.5067790538088026</v>
      </c>
      <c r="AB74" s="429">
        <v>8.2558732115649622</v>
      </c>
      <c r="AC74" s="429">
        <v>4.6574560856020231</v>
      </c>
      <c r="AD74" s="429">
        <v>3.2129991240409663</v>
      </c>
      <c r="AE74" s="429">
        <v>0</v>
      </c>
      <c r="AF74" s="429">
        <v>0</v>
      </c>
      <c r="AG74" s="429">
        <v>0</v>
      </c>
      <c r="AH74" s="429">
        <v>2.8579517090954449</v>
      </c>
      <c r="AI74" s="429">
        <v>6.2812906867302143</v>
      </c>
      <c r="AJ74" s="429">
        <v>6.0123363906682146</v>
      </c>
      <c r="AK74" s="429">
        <v>6.9268228459401371</v>
      </c>
      <c r="AL74" s="429">
        <v>0</v>
      </c>
      <c r="AM74" s="429">
        <v>0</v>
      </c>
      <c r="AN74" s="429">
        <v>0</v>
      </c>
      <c r="AO74" s="432"/>
      <c r="AP74" s="428">
        <v>41796.536750810184</v>
      </c>
      <c r="AQ74" s="431">
        <v>99.714560518038923</v>
      </c>
      <c r="AR74" s="431">
        <v>123.46134694292465</v>
      </c>
      <c r="AS74" s="431">
        <v>105.2876327689202</v>
      </c>
      <c r="AT74" s="431">
        <v>151.59946511530515</v>
      </c>
      <c r="AU74" s="431">
        <v>24.623304848666216</v>
      </c>
      <c r="AV74" s="431">
        <v>84.69675571815722</v>
      </c>
      <c r="AW74" s="431">
        <v>28.067417180669608</v>
      </c>
      <c r="AX74" s="431">
        <v>-33.246087392179852</v>
      </c>
      <c r="AY74" s="431">
        <v>116.40327669092113</v>
      </c>
      <c r="AZ74" s="431">
        <v>-91.632620391413283</v>
      </c>
      <c r="BA74" s="431">
        <v>-5.1023750789820266</v>
      </c>
      <c r="BB74" s="431">
        <v>2.9704652294477878</v>
      </c>
      <c r="BC74" s="431">
        <v>1.9539213531530961</v>
      </c>
      <c r="BD74" s="431">
        <v>80.040517835257177</v>
      </c>
      <c r="BE74" s="431">
        <v>363837.84176954377</v>
      </c>
      <c r="BF74" s="431">
        <v>8157.3992281795099</v>
      </c>
      <c r="BG74" s="431">
        <v>2044.225708304461</v>
      </c>
      <c r="BH74" s="431">
        <v>465256.62402762001</v>
      </c>
      <c r="BI74" s="431">
        <v>448112.43192235444</v>
      </c>
      <c r="BJ74" s="431">
        <v>118750.27109289415</v>
      </c>
      <c r="BK74" s="431">
        <v>385605.46416897461</v>
      </c>
      <c r="BL74" s="431">
        <v>3315.1054049520785</v>
      </c>
      <c r="BM74" s="431">
        <v>878.5064584144144</v>
      </c>
      <c r="BN74" s="431">
        <v>147.8368059516699</v>
      </c>
      <c r="BO74" s="431">
        <v>2712.3589676880647</v>
      </c>
      <c r="BP74" s="431">
        <v>718.77801142997532</v>
      </c>
      <c r="BQ74" s="431">
        <v>1642.936879686453</v>
      </c>
      <c r="BR74" s="431">
        <v>867.60859276926192</v>
      </c>
      <c r="BS74" s="431">
        <v>0</v>
      </c>
      <c r="BT74" s="431">
        <v>0</v>
      </c>
      <c r="BU74" s="431">
        <v>0</v>
      </c>
      <c r="BV74" s="431">
        <v>763.79426468382519</v>
      </c>
      <c r="BW74" s="431">
        <v>1344.6612708062298</v>
      </c>
      <c r="BX74" s="431">
        <v>1179.8376316032288</v>
      </c>
      <c r="BY74" s="431">
        <v>1034.3548236970996</v>
      </c>
      <c r="BZ74" s="431">
        <v>0</v>
      </c>
      <c r="CA74" s="431">
        <v>0</v>
      </c>
      <c r="CB74" s="431">
        <v>0</v>
      </c>
      <c r="CC74" s="432"/>
      <c r="CD74" s="428">
        <v>41796.536750810184</v>
      </c>
      <c r="CE74" s="433">
        <v>0.28867948499398594</v>
      </c>
      <c r="CF74" s="433">
        <v>0.21647902720720727</v>
      </c>
      <c r="CG74" s="433">
        <v>0.17973960391015936</v>
      </c>
      <c r="CH74" s="433">
        <v>0.18197778689994615</v>
      </c>
      <c r="CI74" s="433">
        <v>0.1207127188701978</v>
      </c>
      <c r="CJ74" s="433">
        <v>0.24504509923964415</v>
      </c>
      <c r="CK74" s="433">
        <v>0.24306585314092802</v>
      </c>
      <c r="CL74" s="433">
        <v>0.26123057689286194</v>
      </c>
      <c r="CM74" s="433">
        <v>0.19945374499368468</v>
      </c>
      <c r="CN74" s="433">
        <v>0.1874651959252118</v>
      </c>
      <c r="CO74" s="433">
        <v>0.6061180812254181</v>
      </c>
      <c r="CP74" s="433">
        <v>0.62118636882734224</v>
      </c>
      <c r="CQ74" s="433">
        <v>0.70077118864502774</v>
      </c>
      <c r="CR74" s="433">
        <v>0.38975168317710257</v>
      </c>
      <c r="CS74" s="433">
        <v>0.39443520669059223</v>
      </c>
      <c r="CT74" s="433">
        <v>0.447221292916757</v>
      </c>
      <c r="CU74" s="433">
        <v>0.3622790598707698</v>
      </c>
      <c r="CV74" s="433">
        <v>0.47604249083347333</v>
      </c>
      <c r="CW74" s="433">
        <v>0.4759898508915783</v>
      </c>
      <c r="CX74" s="433">
        <v>0.4007797062399322</v>
      </c>
      <c r="CY74" s="433">
        <v>0.43383847945766757</v>
      </c>
      <c r="CZ74" s="433">
        <v>0.29816004259848461</v>
      </c>
      <c r="DA74" s="433">
        <v>0.25104840798869349</v>
      </c>
      <c r="DB74" s="433">
        <v>0.78134770554504784</v>
      </c>
      <c r="DC74" s="433">
        <v>0.29816004259848461</v>
      </c>
      <c r="DD74" s="433">
        <v>0.25104840798869349</v>
      </c>
      <c r="DE74" s="433">
        <v>0.37034376886796982</v>
      </c>
      <c r="DF74" s="433">
        <v>0.39133505591051104</v>
      </c>
      <c r="DG74" s="433">
        <v>0</v>
      </c>
      <c r="DH74" s="433">
        <v>0</v>
      </c>
      <c r="DI74" s="433">
        <v>0</v>
      </c>
      <c r="DJ74" s="433">
        <v>0.34760074846819372</v>
      </c>
      <c r="DK74" s="433">
        <v>0.31679504526088992</v>
      </c>
      <c r="DL74" s="433">
        <v>0.28139108209329972</v>
      </c>
      <c r="DM74" s="433">
        <v>0.40065255724171372</v>
      </c>
      <c r="DN74" s="433">
        <v>0</v>
      </c>
      <c r="DO74" s="433">
        <v>0</v>
      </c>
      <c r="DP74" s="433">
        <v>0</v>
      </c>
      <c r="DR74" s="409" t="s">
        <v>711</v>
      </c>
      <c r="DS74" s="409" t="s">
        <v>2388</v>
      </c>
    </row>
    <row r="75" spans="2:123" s="1471" customFormat="1">
      <c r="B75" s="428">
        <v>41800.546686458336</v>
      </c>
      <c r="C75" s="429">
        <v>1.3988468986734504</v>
      </c>
      <c r="D75" s="429">
        <v>1.3907838359615508</v>
      </c>
      <c r="E75" s="429">
        <v>1.4195798778899977</v>
      </c>
      <c r="F75" s="429">
        <v>1.4026101094750383</v>
      </c>
      <c r="G75" s="429">
        <v>1.3508744799625139</v>
      </c>
      <c r="H75" s="429">
        <v>1.406727700526089</v>
      </c>
      <c r="I75" s="429">
        <v>1.4214369903636688</v>
      </c>
      <c r="J75" s="429">
        <v>1.4529773434421147</v>
      </c>
      <c r="K75" s="429">
        <v>1.343788462614175</v>
      </c>
      <c r="L75" s="429">
        <v>1.4475966602287462</v>
      </c>
      <c r="M75" s="429">
        <v>1.3357698609265118</v>
      </c>
      <c r="N75" s="429">
        <v>1.3404472462490773</v>
      </c>
      <c r="O75" s="429">
        <v>1.1144762094710536</v>
      </c>
      <c r="P75" s="429">
        <v>1.121768886049755</v>
      </c>
      <c r="Q75" s="429">
        <v>2918.9001210994288</v>
      </c>
      <c r="R75" s="429">
        <v>14.713615986108836</v>
      </c>
      <c r="S75" s="429">
        <v>22.608513467955738</v>
      </c>
      <c r="T75" s="429">
        <v>3801.0986428193655</v>
      </c>
      <c r="U75" s="429">
        <v>3937.4659846698569</v>
      </c>
      <c r="V75" s="429">
        <v>4040.0423733228176</v>
      </c>
      <c r="W75" s="429">
        <v>867.47118509093218</v>
      </c>
      <c r="X75" s="429">
        <v>9.5692439388489596</v>
      </c>
      <c r="Y75" s="429">
        <v>10.328097110998433</v>
      </c>
      <c r="Z75" s="429">
        <v>14.338461620955334</v>
      </c>
      <c r="AA75" s="429">
        <v>7.5067790538088026</v>
      </c>
      <c r="AB75" s="429">
        <v>8.1276589219310988</v>
      </c>
      <c r="AC75" s="429">
        <v>4.6574560856020231</v>
      </c>
      <c r="AD75" s="429">
        <v>3.2129991240409663</v>
      </c>
      <c r="AE75" s="429">
        <v>0</v>
      </c>
      <c r="AF75" s="429">
        <v>0</v>
      </c>
      <c r="AG75" s="429">
        <v>0</v>
      </c>
      <c r="AH75" s="429">
        <v>2.8579517090954449</v>
      </c>
      <c r="AI75" s="429">
        <v>6.2812906867302143</v>
      </c>
      <c r="AJ75" s="429">
        <v>6.0123363906682146</v>
      </c>
      <c r="AK75" s="429">
        <v>6.9268228459401371</v>
      </c>
      <c r="AL75" s="429">
        <v>0</v>
      </c>
      <c r="AM75" s="429">
        <v>0</v>
      </c>
      <c r="AN75" s="429">
        <v>0</v>
      </c>
      <c r="AO75" s="432"/>
      <c r="AP75" s="428">
        <v>41800.546686458336</v>
      </c>
      <c r="AQ75" s="431">
        <v>99.714560518038923</v>
      </c>
      <c r="AR75" s="431">
        <v>123.46134694292465</v>
      </c>
      <c r="AS75" s="431">
        <v>94.493557152680239</v>
      </c>
      <c r="AT75" s="431">
        <v>242.32499320510516</v>
      </c>
      <c r="AU75" s="431">
        <v>-2.8379285611946683</v>
      </c>
      <c r="AV75" s="431">
        <v>117.39881673544119</v>
      </c>
      <c r="AW75" s="431">
        <v>-0.33237577355847192</v>
      </c>
      <c r="AX75" s="431">
        <v>-33.246087392179852</v>
      </c>
      <c r="AY75" s="431">
        <v>116.40327669092113</v>
      </c>
      <c r="AZ75" s="431">
        <v>-91.632620391413283</v>
      </c>
      <c r="BA75" s="431">
        <v>-5.1023750789820266</v>
      </c>
      <c r="BB75" s="431">
        <v>2.9704652294477878</v>
      </c>
      <c r="BC75" s="431">
        <v>1.9539213531530961</v>
      </c>
      <c r="BD75" s="431">
        <v>80.040517835257177</v>
      </c>
      <c r="BE75" s="431">
        <v>363837.84176954377</v>
      </c>
      <c r="BF75" s="431">
        <v>8157.3992281795099</v>
      </c>
      <c r="BG75" s="431">
        <v>-171.80066521924215</v>
      </c>
      <c r="BH75" s="431">
        <v>465256.62402762001</v>
      </c>
      <c r="BI75" s="431">
        <v>448112.43192235444</v>
      </c>
      <c r="BJ75" s="431">
        <v>-11803.67340240763</v>
      </c>
      <c r="BK75" s="431">
        <v>385605.46416897461</v>
      </c>
      <c r="BL75" s="431">
        <v>3315.1054049520785</v>
      </c>
      <c r="BM75" s="431">
        <v>-87.322775953225161</v>
      </c>
      <c r="BN75" s="431">
        <v>147.8368059516699</v>
      </c>
      <c r="BO75" s="431">
        <v>2712.3589676880647</v>
      </c>
      <c r="BP75" s="431">
        <v>-71.445907598093314</v>
      </c>
      <c r="BQ75" s="431">
        <v>1642.936879686453</v>
      </c>
      <c r="BR75" s="431">
        <v>867.60859276926192</v>
      </c>
      <c r="BS75" s="431">
        <v>0</v>
      </c>
      <c r="BT75" s="431">
        <v>0</v>
      </c>
      <c r="BU75" s="431">
        <v>0</v>
      </c>
      <c r="BV75" s="431">
        <v>763.79426468382519</v>
      </c>
      <c r="BW75" s="431">
        <v>1344.6612708062298</v>
      </c>
      <c r="BX75" s="431">
        <v>1179.8376316032288</v>
      </c>
      <c r="BY75" s="431">
        <v>1034.3548236970996</v>
      </c>
      <c r="BZ75" s="431">
        <v>0</v>
      </c>
      <c r="CA75" s="431">
        <v>0</v>
      </c>
      <c r="CB75" s="431">
        <v>0</v>
      </c>
      <c r="CC75" s="432"/>
      <c r="CD75" s="428">
        <v>41800.546686458336</v>
      </c>
      <c r="CE75" s="433">
        <v>0.28867948499398594</v>
      </c>
      <c r="CF75" s="433">
        <v>0.21647902720720727</v>
      </c>
      <c r="CG75" s="433">
        <v>0.17973960391015936</v>
      </c>
      <c r="CH75" s="433">
        <v>0.18197778689994615</v>
      </c>
      <c r="CI75" s="433">
        <v>0.1207127188701978</v>
      </c>
      <c r="CJ75" s="433">
        <v>0.24504509923964415</v>
      </c>
      <c r="CK75" s="433">
        <v>0.24306585314092802</v>
      </c>
      <c r="CL75" s="433">
        <v>0.26123057689286194</v>
      </c>
      <c r="CM75" s="433">
        <v>0.19945374499368468</v>
      </c>
      <c r="CN75" s="433">
        <v>0.1874651959252118</v>
      </c>
      <c r="CO75" s="433">
        <v>0.6061180812254181</v>
      </c>
      <c r="CP75" s="433">
        <v>0.62118636882734224</v>
      </c>
      <c r="CQ75" s="433">
        <v>0.70077118864502774</v>
      </c>
      <c r="CR75" s="433">
        <v>0.38975168317710257</v>
      </c>
      <c r="CS75" s="433">
        <v>0.39443520669059223</v>
      </c>
      <c r="CT75" s="433">
        <v>0.447221292916757</v>
      </c>
      <c r="CU75" s="433">
        <v>0.3622790598707698</v>
      </c>
      <c r="CV75" s="433">
        <v>0.47604249083347333</v>
      </c>
      <c r="CW75" s="433">
        <v>0.4759898508915783</v>
      </c>
      <c r="CX75" s="433">
        <v>0.4007797062399322</v>
      </c>
      <c r="CY75" s="433">
        <v>0.43383847945766757</v>
      </c>
      <c r="CZ75" s="433">
        <v>0.29816004259848461</v>
      </c>
      <c r="DA75" s="433">
        <v>0.25104840798869349</v>
      </c>
      <c r="DB75" s="433">
        <v>0.78134770554504784</v>
      </c>
      <c r="DC75" s="433">
        <v>0.29816004259848461</v>
      </c>
      <c r="DD75" s="433">
        <v>0.25104840798869349</v>
      </c>
      <c r="DE75" s="433">
        <v>0.37034376886796982</v>
      </c>
      <c r="DF75" s="433">
        <v>0.39133505591051104</v>
      </c>
      <c r="DG75" s="433">
        <v>0</v>
      </c>
      <c r="DH75" s="433">
        <v>0</v>
      </c>
      <c r="DI75" s="433">
        <v>0</v>
      </c>
      <c r="DJ75" s="433">
        <v>0.34760074846819372</v>
      </c>
      <c r="DK75" s="433">
        <v>0.31679504526088992</v>
      </c>
      <c r="DL75" s="433">
        <v>0.28139108209329972</v>
      </c>
      <c r="DM75" s="433">
        <v>0.40065255724171372</v>
      </c>
      <c r="DN75" s="433">
        <v>0</v>
      </c>
      <c r="DO75" s="433">
        <v>0</v>
      </c>
      <c r="DP75" s="433">
        <v>0</v>
      </c>
      <c r="DR75" s="409" t="s">
        <v>711</v>
      </c>
      <c r="DS75" s="409" t="s">
        <v>2388</v>
      </c>
    </row>
    <row r="76" spans="2:123" s="1471" customFormat="1">
      <c r="B76" s="428">
        <v>41800.556285763887</v>
      </c>
      <c r="C76" s="429">
        <v>1.3988468986734504</v>
      </c>
      <c r="D76" s="429">
        <v>1.3907838359615508</v>
      </c>
      <c r="E76" s="429">
        <v>1.4170485076449286</v>
      </c>
      <c r="F76" s="429">
        <v>1.380617304489139</v>
      </c>
      <c r="G76" s="429">
        <v>1.352726662194849</v>
      </c>
      <c r="H76" s="429">
        <v>1.3974296235604782</v>
      </c>
      <c r="I76" s="429">
        <v>1.4233524757727452</v>
      </c>
      <c r="J76" s="429">
        <v>1.4593609610058667</v>
      </c>
      <c r="K76" s="429">
        <v>1.343788462614175</v>
      </c>
      <c r="L76" s="429">
        <v>1.4475966602287462</v>
      </c>
      <c r="M76" s="429">
        <v>1.3369872673677481</v>
      </c>
      <c r="N76" s="429">
        <v>1.3404472462490773</v>
      </c>
      <c r="O76" s="429">
        <v>1.1144762094710536</v>
      </c>
      <c r="P76" s="429">
        <v>1.121768886049755</v>
      </c>
      <c r="Q76" s="429">
        <v>2918.9001210994288</v>
      </c>
      <c r="R76" s="429">
        <v>14.713615986108836</v>
      </c>
      <c r="S76" s="429">
        <v>22.757978155654481</v>
      </c>
      <c r="T76" s="429">
        <v>3801.0986428193655</v>
      </c>
      <c r="U76" s="429">
        <v>3937.4659846698569</v>
      </c>
      <c r="V76" s="429">
        <v>4048.8478662424718</v>
      </c>
      <c r="W76" s="429">
        <v>867.47118509093218</v>
      </c>
      <c r="X76" s="429">
        <v>9.5692439388489596</v>
      </c>
      <c r="Y76" s="429">
        <v>10.393239550912419</v>
      </c>
      <c r="Z76" s="429">
        <v>14.338461620955334</v>
      </c>
      <c r="AA76" s="429">
        <v>7.5067790538088026</v>
      </c>
      <c r="AB76" s="429">
        <v>8.1809572818607244</v>
      </c>
      <c r="AC76" s="429">
        <v>4.6574560856020231</v>
      </c>
      <c r="AD76" s="429">
        <v>3.2129991240409663</v>
      </c>
      <c r="AE76" s="429">
        <v>0</v>
      </c>
      <c r="AF76" s="429">
        <v>0</v>
      </c>
      <c r="AG76" s="429">
        <v>0</v>
      </c>
      <c r="AH76" s="429">
        <v>2.8579517090954449</v>
      </c>
      <c r="AI76" s="429">
        <v>6.2812906867302143</v>
      </c>
      <c r="AJ76" s="429">
        <v>6.0123363906682146</v>
      </c>
      <c r="AK76" s="429">
        <v>6.9268228459401371</v>
      </c>
      <c r="AL76" s="429">
        <v>0</v>
      </c>
      <c r="AM76" s="429">
        <v>0</v>
      </c>
      <c r="AN76" s="429">
        <v>0</v>
      </c>
      <c r="AO76" s="432"/>
      <c r="AP76" s="428">
        <v>41800.556285763887</v>
      </c>
      <c r="AQ76" s="431">
        <v>99.714560518038923</v>
      </c>
      <c r="AR76" s="431">
        <v>123.46134694292465</v>
      </c>
      <c r="AS76" s="431">
        <v>78.891947368920228</v>
      </c>
      <c r="AT76" s="431">
        <v>106.77660311530514</v>
      </c>
      <c r="AU76" s="431">
        <v>8.5776375708632155</v>
      </c>
      <c r="AV76" s="431">
        <v>60.091921847423741</v>
      </c>
      <c r="AW76" s="431">
        <v>11.473347216630579</v>
      </c>
      <c r="AX76" s="431">
        <v>6.0981019583965796</v>
      </c>
      <c r="AY76" s="431">
        <v>116.40327669092113</v>
      </c>
      <c r="AZ76" s="431">
        <v>-91.632620391413283</v>
      </c>
      <c r="BA76" s="431">
        <v>2.4008735198358209</v>
      </c>
      <c r="BB76" s="431">
        <v>2.9704652294477878</v>
      </c>
      <c r="BC76" s="431">
        <v>1.9539213531530961</v>
      </c>
      <c r="BD76" s="431">
        <v>80.040517835257177</v>
      </c>
      <c r="BE76" s="431">
        <v>363837.84176954377</v>
      </c>
      <c r="BF76" s="431">
        <v>8157.3992281795099</v>
      </c>
      <c r="BG76" s="431">
        <v>749.39596276107363</v>
      </c>
      <c r="BH76" s="431">
        <v>465256.62402762001</v>
      </c>
      <c r="BI76" s="431">
        <v>448112.43192235444</v>
      </c>
      <c r="BJ76" s="431">
        <v>42467.275208807056</v>
      </c>
      <c r="BK76" s="431">
        <v>385605.46416897461</v>
      </c>
      <c r="BL76" s="431">
        <v>3315.1054049520785</v>
      </c>
      <c r="BM76" s="431">
        <v>314.17002419316412</v>
      </c>
      <c r="BN76" s="431">
        <v>147.8368059516699</v>
      </c>
      <c r="BO76" s="431">
        <v>2712.3589676880647</v>
      </c>
      <c r="BP76" s="431">
        <v>257.0482016125888</v>
      </c>
      <c r="BQ76" s="431">
        <v>1642.936879686453</v>
      </c>
      <c r="BR76" s="431">
        <v>867.60859276926192</v>
      </c>
      <c r="BS76" s="431">
        <v>0</v>
      </c>
      <c r="BT76" s="431">
        <v>0</v>
      </c>
      <c r="BU76" s="431">
        <v>0</v>
      </c>
      <c r="BV76" s="431">
        <v>763.79426468382519</v>
      </c>
      <c r="BW76" s="431">
        <v>1344.6612708062298</v>
      </c>
      <c r="BX76" s="431">
        <v>1179.8376316032288</v>
      </c>
      <c r="BY76" s="431">
        <v>1034.3548236970996</v>
      </c>
      <c r="BZ76" s="431">
        <v>0</v>
      </c>
      <c r="CA76" s="431">
        <v>0</v>
      </c>
      <c r="CB76" s="431">
        <v>0</v>
      </c>
      <c r="CC76" s="432"/>
      <c r="CD76" s="428">
        <v>41800.556285763887</v>
      </c>
      <c r="CE76" s="433">
        <v>0.28867948499398594</v>
      </c>
      <c r="CF76" s="433">
        <v>0.21647902720720727</v>
      </c>
      <c r="CG76" s="433">
        <v>0.17973960391015936</v>
      </c>
      <c r="CH76" s="433">
        <v>0.18197778689994615</v>
      </c>
      <c r="CI76" s="433">
        <v>0.1207127188701978</v>
      </c>
      <c r="CJ76" s="433">
        <v>0.24504509923964415</v>
      </c>
      <c r="CK76" s="433">
        <v>0.24306585314092802</v>
      </c>
      <c r="CL76" s="433">
        <v>0.26123057689286194</v>
      </c>
      <c r="CM76" s="433">
        <v>0.19945374499368468</v>
      </c>
      <c r="CN76" s="433">
        <v>0.1874651959252118</v>
      </c>
      <c r="CO76" s="433">
        <v>0.6061180812254181</v>
      </c>
      <c r="CP76" s="433">
        <v>0.62118636882734224</v>
      </c>
      <c r="CQ76" s="433">
        <v>0.70077118864502774</v>
      </c>
      <c r="CR76" s="433">
        <v>0.38975168317710257</v>
      </c>
      <c r="CS76" s="433">
        <v>0.39443520669059223</v>
      </c>
      <c r="CT76" s="433">
        <v>0.447221292916757</v>
      </c>
      <c r="CU76" s="433">
        <v>0.3622790598707698</v>
      </c>
      <c r="CV76" s="433">
        <v>0.47604249083347333</v>
      </c>
      <c r="CW76" s="433">
        <v>0.4759898508915783</v>
      </c>
      <c r="CX76" s="433">
        <v>0.4007797062399322</v>
      </c>
      <c r="CY76" s="433">
        <v>0.43383847945766757</v>
      </c>
      <c r="CZ76" s="433">
        <v>0.29816004259848461</v>
      </c>
      <c r="DA76" s="433">
        <v>0.25104840798869349</v>
      </c>
      <c r="DB76" s="433">
        <v>0.78134770554504784</v>
      </c>
      <c r="DC76" s="433">
        <v>0.29816004259848461</v>
      </c>
      <c r="DD76" s="433">
        <v>0.25104840798869349</v>
      </c>
      <c r="DE76" s="433">
        <v>0.37034376886796982</v>
      </c>
      <c r="DF76" s="433">
        <v>0.39133505591051104</v>
      </c>
      <c r="DG76" s="433">
        <v>0</v>
      </c>
      <c r="DH76" s="433">
        <v>0</v>
      </c>
      <c r="DI76" s="433">
        <v>0</v>
      </c>
      <c r="DJ76" s="433">
        <v>0.34760074846819372</v>
      </c>
      <c r="DK76" s="433">
        <v>0.31679504526088992</v>
      </c>
      <c r="DL76" s="433">
        <v>0.28139108209329972</v>
      </c>
      <c r="DM76" s="433">
        <v>0.40065255724171372</v>
      </c>
      <c r="DN76" s="433">
        <v>0</v>
      </c>
      <c r="DO76" s="433">
        <v>0</v>
      </c>
      <c r="DP76" s="433">
        <v>0</v>
      </c>
      <c r="DR76" s="409" t="s">
        <v>711</v>
      </c>
      <c r="DS76" s="409" t="s">
        <v>2388</v>
      </c>
    </row>
    <row r="77" spans="2:123" s="1471" customFormat="1">
      <c r="B77" s="428">
        <v>41801.640906018518</v>
      </c>
      <c r="C77" s="429">
        <v>1.3988468986734504</v>
      </c>
      <c r="D77" s="429">
        <v>1.3907838359615508</v>
      </c>
      <c r="E77" s="429">
        <v>1.4170485076449286</v>
      </c>
      <c r="F77" s="429">
        <v>1.380617304489139</v>
      </c>
      <c r="G77" s="429">
        <v>1.352726662194849</v>
      </c>
      <c r="H77" s="429">
        <v>1.468336345957445</v>
      </c>
      <c r="I77" s="429">
        <v>1.4233524757727452</v>
      </c>
      <c r="J77" s="429">
        <v>1.4593609610058667</v>
      </c>
      <c r="K77" s="429">
        <v>1.343788462614175</v>
      </c>
      <c r="L77" s="429">
        <v>1.4475966602287462</v>
      </c>
      <c r="M77" s="429">
        <v>1.3369872673677481</v>
      </c>
      <c r="N77" s="429">
        <v>1.3404472462490773</v>
      </c>
      <c r="O77" s="429">
        <v>1.1144762094710536</v>
      </c>
      <c r="P77" s="429">
        <v>1.121768886049755</v>
      </c>
      <c r="Q77" s="429">
        <v>2918.9001210994288</v>
      </c>
      <c r="R77" s="429">
        <v>14.713615986108836</v>
      </c>
      <c r="S77" s="429">
        <v>22.757978155654481</v>
      </c>
      <c r="T77" s="429">
        <v>3801.0986428193655</v>
      </c>
      <c r="U77" s="429">
        <v>3937.4659846698569</v>
      </c>
      <c r="V77" s="429">
        <v>4048.8478662424718</v>
      </c>
      <c r="W77" s="429">
        <v>867.47118509093218</v>
      </c>
      <c r="X77" s="429">
        <v>9.5692439388489596</v>
      </c>
      <c r="Y77" s="429">
        <v>10.393239550912419</v>
      </c>
      <c r="Z77" s="429">
        <v>14.338461620955334</v>
      </c>
      <c r="AA77" s="429">
        <v>7.5067790538088026</v>
      </c>
      <c r="AB77" s="429">
        <v>8.1809572818607244</v>
      </c>
      <c r="AC77" s="429">
        <v>4.6574560856020231</v>
      </c>
      <c r="AD77" s="429">
        <v>3.2129991240409663</v>
      </c>
      <c r="AE77" s="429">
        <v>0</v>
      </c>
      <c r="AF77" s="429">
        <v>0</v>
      </c>
      <c r="AG77" s="429">
        <v>0</v>
      </c>
      <c r="AH77" s="429">
        <v>2.8579517090954449</v>
      </c>
      <c r="AI77" s="429">
        <v>6.2812906867302143</v>
      </c>
      <c r="AJ77" s="429">
        <v>6.0123363906682146</v>
      </c>
      <c r="AK77" s="429">
        <v>6.9268228459401371</v>
      </c>
      <c r="AL77" s="429">
        <v>0</v>
      </c>
      <c r="AM77" s="429">
        <v>0</v>
      </c>
      <c r="AN77" s="429">
        <v>0</v>
      </c>
      <c r="AO77" s="432"/>
      <c r="AP77" s="428">
        <v>41801.640906018518</v>
      </c>
      <c r="AQ77" s="431">
        <v>99.714560518038923</v>
      </c>
      <c r="AR77" s="431">
        <v>123.46134694292465</v>
      </c>
      <c r="AS77" s="431">
        <v>78.891947368920228</v>
      </c>
      <c r="AT77" s="431">
        <v>106.77660311530514</v>
      </c>
      <c r="AU77" s="431">
        <v>8.5776375708632155</v>
      </c>
      <c r="AV77" s="431">
        <v>58.495387469660386</v>
      </c>
      <c r="AW77" s="431">
        <v>11.473347216630579</v>
      </c>
      <c r="AX77" s="431">
        <v>6.0981019583965796</v>
      </c>
      <c r="AY77" s="431">
        <v>116.40327669092113</v>
      </c>
      <c r="AZ77" s="431">
        <v>-91.632620391413283</v>
      </c>
      <c r="BA77" s="431">
        <v>2.4008735198358209</v>
      </c>
      <c r="BB77" s="431">
        <v>2.9704652294477878</v>
      </c>
      <c r="BC77" s="431">
        <v>1.9539213531530961</v>
      </c>
      <c r="BD77" s="431">
        <v>80.040517835257177</v>
      </c>
      <c r="BE77" s="431">
        <v>363837.84176954377</v>
      </c>
      <c r="BF77" s="431">
        <v>8157.3992281795099</v>
      </c>
      <c r="BG77" s="431">
        <v>749.39596276107363</v>
      </c>
      <c r="BH77" s="431">
        <v>465256.62402762001</v>
      </c>
      <c r="BI77" s="431">
        <v>448112.43192235444</v>
      </c>
      <c r="BJ77" s="431">
        <v>42467.275208807056</v>
      </c>
      <c r="BK77" s="431">
        <v>385605.46416897461</v>
      </c>
      <c r="BL77" s="431">
        <v>3315.1054049520785</v>
      </c>
      <c r="BM77" s="431">
        <v>314.17002419316412</v>
      </c>
      <c r="BN77" s="431">
        <v>147.8368059516699</v>
      </c>
      <c r="BO77" s="431">
        <v>2712.3589676880647</v>
      </c>
      <c r="BP77" s="431">
        <v>257.0482016125888</v>
      </c>
      <c r="BQ77" s="431">
        <v>1642.936879686453</v>
      </c>
      <c r="BR77" s="431">
        <v>867.60859276926192</v>
      </c>
      <c r="BS77" s="431">
        <v>0</v>
      </c>
      <c r="BT77" s="431">
        <v>0</v>
      </c>
      <c r="BU77" s="431">
        <v>0</v>
      </c>
      <c r="BV77" s="431">
        <v>763.79426468382519</v>
      </c>
      <c r="BW77" s="431">
        <v>1344.6612708062298</v>
      </c>
      <c r="BX77" s="431">
        <v>1179.8376316032288</v>
      </c>
      <c r="BY77" s="431">
        <v>1034.3548236970996</v>
      </c>
      <c r="BZ77" s="431">
        <v>0</v>
      </c>
      <c r="CA77" s="431">
        <v>0</v>
      </c>
      <c r="CB77" s="431">
        <v>0</v>
      </c>
      <c r="CC77" s="432"/>
      <c r="CD77" s="428">
        <v>41801.640906018518</v>
      </c>
      <c r="CE77" s="433">
        <v>0.28867948499398594</v>
      </c>
      <c r="CF77" s="433">
        <v>0.21647902720720727</v>
      </c>
      <c r="CG77" s="433">
        <v>0.17973960391015936</v>
      </c>
      <c r="CH77" s="433">
        <v>0.18197778689994615</v>
      </c>
      <c r="CI77" s="433">
        <v>0.1207127188701978</v>
      </c>
      <c r="CJ77" s="433">
        <v>0.25964397429176683</v>
      </c>
      <c r="CK77" s="433">
        <v>0.24306585314092802</v>
      </c>
      <c r="CL77" s="433">
        <v>0.26123057689286194</v>
      </c>
      <c r="CM77" s="433">
        <v>0.19945374499368468</v>
      </c>
      <c r="CN77" s="433">
        <v>0.1874651959252118</v>
      </c>
      <c r="CO77" s="433">
        <v>0.6061180812254181</v>
      </c>
      <c r="CP77" s="433">
        <v>0.62118636882734224</v>
      </c>
      <c r="CQ77" s="433">
        <v>0.70077118864502774</v>
      </c>
      <c r="CR77" s="433">
        <v>0.38975168317710257</v>
      </c>
      <c r="CS77" s="433">
        <v>0.39443520669059223</v>
      </c>
      <c r="CT77" s="433">
        <v>0.447221292916757</v>
      </c>
      <c r="CU77" s="433">
        <v>0.3622790598707698</v>
      </c>
      <c r="CV77" s="433">
        <v>0.47604249083347333</v>
      </c>
      <c r="CW77" s="433">
        <v>0.4759898508915783</v>
      </c>
      <c r="CX77" s="433">
        <v>0.4007797062399322</v>
      </c>
      <c r="CY77" s="433">
        <v>0.43383847945766757</v>
      </c>
      <c r="CZ77" s="433">
        <v>0.29816004259848461</v>
      </c>
      <c r="DA77" s="433">
        <v>0.25104840798869349</v>
      </c>
      <c r="DB77" s="433">
        <v>0.78134770554504784</v>
      </c>
      <c r="DC77" s="433">
        <v>0.29816004259848461</v>
      </c>
      <c r="DD77" s="433">
        <v>0.25104840798869349</v>
      </c>
      <c r="DE77" s="433">
        <v>0.37034376886796982</v>
      </c>
      <c r="DF77" s="433">
        <v>0.39133505591051104</v>
      </c>
      <c r="DG77" s="433">
        <v>0</v>
      </c>
      <c r="DH77" s="433">
        <v>0</v>
      </c>
      <c r="DI77" s="433">
        <v>0</v>
      </c>
      <c r="DJ77" s="433">
        <v>0.34760074846819372</v>
      </c>
      <c r="DK77" s="433">
        <v>0.31679504526088992</v>
      </c>
      <c r="DL77" s="433">
        <v>0.28139108209329972</v>
      </c>
      <c r="DM77" s="433">
        <v>0.40065255724171372</v>
      </c>
      <c r="DN77" s="433">
        <v>0</v>
      </c>
      <c r="DO77" s="433">
        <v>0</v>
      </c>
      <c r="DP77" s="433">
        <v>0</v>
      </c>
      <c r="DR77" s="409" t="s">
        <v>711</v>
      </c>
      <c r="DS77" s="409" t="s">
        <v>2423</v>
      </c>
    </row>
    <row r="78" spans="2:123" s="1471" customFormat="1">
      <c r="B78" s="428">
        <v>41801.687334027774</v>
      </c>
      <c r="C78" s="429">
        <v>1.3988468986734504</v>
      </c>
      <c r="D78" s="429">
        <v>1.3907838359615508</v>
      </c>
      <c r="E78" s="429">
        <v>1.4170485076449286</v>
      </c>
      <c r="F78" s="429">
        <v>1.380617304489139</v>
      </c>
      <c r="G78" s="429">
        <v>1.352726662194849</v>
      </c>
      <c r="H78" s="429">
        <v>1.468336345957445</v>
      </c>
      <c r="I78" s="429">
        <v>1.4233524757727452</v>
      </c>
      <c r="J78" s="429">
        <v>1.4593609610058667</v>
      </c>
      <c r="K78" s="429">
        <v>1.343788462614175</v>
      </c>
      <c r="L78" s="429">
        <v>1.4475966602287462</v>
      </c>
      <c r="M78" s="429">
        <v>1.3369872673677481</v>
      </c>
      <c r="N78" s="429">
        <v>1.34051420158193</v>
      </c>
      <c r="O78" s="429">
        <v>1.1144762094710536</v>
      </c>
      <c r="P78" s="429">
        <v>1.121768886049755</v>
      </c>
      <c r="Q78" s="429">
        <v>2918.9001210994288</v>
      </c>
      <c r="R78" s="429">
        <v>14.713615986108836</v>
      </c>
      <c r="S78" s="429">
        <v>22.757978155654481</v>
      </c>
      <c r="T78" s="429">
        <v>3801.0986428193655</v>
      </c>
      <c r="U78" s="429">
        <v>3937.4659846698569</v>
      </c>
      <c r="V78" s="429">
        <v>4048.8478662424718</v>
      </c>
      <c r="W78" s="429">
        <v>867.47118509093218</v>
      </c>
      <c r="X78" s="429">
        <v>9.5692439388489596</v>
      </c>
      <c r="Y78" s="429">
        <v>10.393239550912419</v>
      </c>
      <c r="Z78" s="429">
        <v>14.338461620955334</v>
      </c>
      <c r="AA78" s="429">
        <v>7.5067790538088026</v>
      </c>
      <c r="AB78" s="429">
        <v>8.1809572818607244</v>
      </c>
      <c r="AC78" s="429">
        <v>4.6574560856020231</v>
      </c>
      <c r="AD78" s="429">
        <v>3.2129991240409663</v>
      </c>
      <c r="AE78" s="429">
        <v>0</v>
      </c>
      <c r="AF78" s="429">
        <v>0</v>
      </c>
      <c r="AG78" s="429">
        <v>0</v>
      </c>
      <c r="AH78" s="429">
        <v>2.8579517090954449</v>
      </c>
      <c r="AI78" s="429">
        <v>6.2812906867302143</v>
      </c>
      <c r="AJ78" s="429">
        <v>6.0123363906682146</v>
      </c>
      <c r="AK78" s="429">
        <v>6.9268228459401371</v>
      </c>
      <c r="AL78" s="429">
        <v>0</v>
      </c>
      <c r="AM78" s="429">
        <v>0</v>
      </c>
      <c r="AN78" s="429">
        <v>0</v>
      </c>
      <c r="AO78" s="432"/>
      <c r="AP78" s="428">
        <v>41801.687334027774</v>
      </c>
      <c r="AQ78" s="431">
        <v>99.714560518038923</v>
      </c>
      <c r="AR78" s="431">
        <v>123.46134694292465</v>
      </c>
      <c r="AS78" s="431">
        <v>78.891947368920228</v>
      </c>
      <c r="AT78" s="431">
        <v>106.77660311530514</v>
      </c>
      <c r="AU78" s="431">
        <v>8.5776375708632155</v>
      </c>
      <c r="AV78" s="431">
        <v>58.495387469660386</v>
      </c>
      <c r="AW78" s="431">
        <v>11.473347216630579</v>
      </c>
      <c r="AX78" s="431">
        <v>6.0981019583965796</v>
      </c>
      <c r="AY78" s="431">
        <v>116.40327669092113</v>
      </c>
      <c r="AZ78" s="431">
        <v>-91.632620391413283</v>
      </c>
      <c r="BA78" s="431">
        <v>2.4008735198358209</v>
      </c>
      <c r="BB78" s="431">
        <v>3.0896042244733031</v>
      </c>
      <c r="BC78" s="431">
        <v>1.9539213531530961</v>
      </c>
      <c r="BD78" s="431">
        <v>80.040517835257177</v>
      </c>
      <c r="BE78" s="431">
        <v>363837.84176954377</v>
      </c>
      <c r="BF78" s="431">
        <v>8157.3992281795099</v>
      </c>
      <c r="BG78" s="431">
        <v>749.39596276107363</v>
      </c>
      <c r="BH78" s="431">
        <v>465256.62402762001</v>
      </c>
      <c r="BI78" s="431">
        <v>448112.43192235444</v>
      </c>
      <c r="BJ78" s="431">
        <v>42467.275208807056</v>
      </c>
      <c r="BK78" s="431">
        <v>385605.46416897461</v>
      </c>
      <c r="BL78" s="431">
        <v>3315.1054049520785</v>
      </c>
      <c r="BM78" s="431">
        <v>314.17002419316412</v>
      </c>
      <c r="BN78" s="431">
        <v>147.8368059516699</v>
      </c>
      <c r="BO78" s="431">
        <v>2712.3589676880647</v>
      </c>
      <c r="BP78" s="431">
        <v>257.0482016125888</v>
      </c>
      <c r="BQ78" s="431">
        <v>1642.936879686453</v>
      </c>
      <c r="BR78" s="431">
        <v>867.60859276926192</v>
      </c>
      <c r="BS78" s="431">
        <v>0</v>
      </c>
      <c r="BT78" s="431">
        <v>0</v>
      </c>
      <c r="BU78" s="431">
        <v>0</v>
      </c>
      <c r="BV78" s="431">
        <v>763.79426468382519</v>
      </c>
      <c r="BW78" s="431">
        <v>1344.6612708062298</v>
      </c>
      <c r="BX78" s="431">
        <v>1179.8376316032288</v>
      </c>
      <c r="BY78" s="431">
        <v>1034.3548236970996</v>
      </c>
      <c r="BZ78" s="431">
        <v>0</v>
      </c>
      <c r="CA78" s="431">
        <v>0</v>
      </c>
      <c r="CB78" s="431">
        <v>0</v>
      </c>
      <c r="CC78" s="432"/>
      <c r="CD78" s="428">
        <v>41801.687334027774</v>
      </c>
      <c r="CE78" s="433">
        <v>0.28867948499398594</v>
      </c>
      <c r="CF78" s="433">
        <v>0.21647902720720727</v>
      </c>
      <c r="CG78" s="433">
        <v>0.17973960391015936</v>
      </c>
      <c r="CH78" s="433">
        <v>0.18197778689994615</v>
      </c>
      <c r="CI78" s="433">
        <v>0.1207127188701978</v>
      </c>
      <c r="CJ78" s="433">
        <v>0.25964397429176683</v>
      </c>
      <c r="CK78" s="433">
        <v>0.24306585314092802</v>
      </c>
      <c r="CL78" s="433">
        <v>0.26123057689286194</v>
      </c>
      <c r="CM78" s="433">
        <v>0.19945374499368468</v>
      </c>
      <c r="CN78" s="433">
        <v>0.1874651959252118</v>
      </c>
      <c r="CO78" s="433">
        <v>0.6061180812254181</v>
      </c>
      <c r="CP78" s="433">
        <v>0.62118636882734224</v>
      </c>
      <c r="CQ78" s="433">
        <v>0.70077118864502774</v>
      </c>
      <c r="CR78" s="433">
        <v>0.38975168317710257</v>
      </c>
      <c r="CS78" s="433">
        <v>0.39443520669059223</v>
      </c>
      <c r="CT78" s="433">
        <v>0.447221292916757</v>
      </c>
      <c r="CU78" s="433">
        <v>0.3622790598707698</v>
      </c>
      <c r="CV78" s="433">
        <v>0.47604249083347333</v>
      </c>
      <c r="CW78" s="433">
        <v>0.4759898508915783</v>
      </c>
      <c r="CX78" s="433">
        <v>0.4007797062399322</v>
      </c>
      <c r="CY78" s="433">
        <v>0.43383847945766757</v>
      </c>
      <c r="CZ78" s="433">
        <v>0.29816004259848461</v>
      </c>
      <c r="DA78" s="433">
        <v>0.25104840798869349</v>
      </c>
      <c r="DB78" s="433">
        <v>0.78134770554504784</v>
      </c>
      <c r="DC78" s="433">
        <v>0.29816004259848461</v>
      </c>
      <c r="DD78" s="433">
        <v>0.25104840798869349</v>
      </c>
      <c r="DE78" s="433">
        <v>0.37034376886796982</v>
      </c>
      <c r="DF78" s="433">
        <v>0.39133505591051104</v>
      </c>
      <c r="DG78" s="433">
        <v>0</v>
      </c>
      <c r="DH78" s="433">
        <v>0</v>
      </c>
      <c r="DI78" s="433">
        <v>0</v>
      </c>
      <c r="DJ78" s="433">
        <v>0.34760074846819372</v>
      </c>
      <c r="DK78" s="433">
        <v>0.31679504526088992</v>
      </c>
      <c r="DL78" s="433">
        <v>0.28139108209329972</v>
      </c>
      <c r="DM78" s="433">
        <v>0.40065255724171372</v>
      </c>
      <c r="DN78" s="433">
        <v>0</v>
      </c>
      <c r="DO78" s="433">
        <v>0</v>
      </c>
      <c r="DP78" s="433">
        <v>0</v>
      </c>
      <c r="DR78" s="409" t="s">
        <v>711</v>
      </c>
      <c r="DS78" s="409" t="s">
        <v>2429</v>
      </c>
    </row>
    <row r="79" spans="2:123" s="1471" customFormat="1">
      <c r="B79" s="428">
        <v>41803.523753587964</v>
      </c>
      <c r="C79" s="429">
        <v>1.3988468986734504</v>
      </c>
      <c r="D79" s="429">
        <v>1.3907838359615508</v>
      </c>
      <c r="E79" s="429">
        <v>1.4170485076449286</v>
      </c>
      <c r="F79" s="429">
        <v>1.380617304489139</v>
      </c>
      <c r="G79" s="429">
        <v>1.352726662194849</v>
      </c>
      <c r="H79" s="429">
        <v>1.468336345957445</v>
      </c>
      <c r="I79" s="429">
        <v>1.4233524757727452</v>
      </c>
      <c r="J79" s="429">
        <v>1.4593609610058667</v>
      </c>
      <c r="K79" s="429">
        <v>1.343788462614175</v>
      </c>
      <c r="L79" s="429">
        <v>1.4475966602287462</v>
      </c>
      <c r="M79" s="429">
        <v>1.3369872673677481</v>
      </c>
      <c r="N79" s="429">
        <v>1.34051420158193</v>
      </c>
      <c r="O79" s="429">
        <v>1.1144762094710536</v>
      </c>
      <c r="P79" s="429">
        <v>1.121768886049755</v>
      </c>
      <c r="Q79" s="429">
        <v>2918.9001210994288</v>
      </c>
      <c r="R79" s="429">
        <v>14.713615986108836</v>
      </c>
      <c r="S79" s="429">
        <v>22.757978155654481</v>
      </c>
      <c r="T79" s="429">
        <v>3801.0986428193655</v>
      </c>
      <c r="U79" s="429">
        <v>3937.4659846698569</v>
      </c>
      <c r="V79" s="429">
        <v>4048.8478662424718</v>
      </c>
      <c r="W79" s="429">
        <v>873.20761136580973</v>
      </c>
      <c r="X79" s="429">
        <v>9.5692439388489596</v>
      </c>
      <c r="Y79" s="429">
        <v>10.393239550912419</v>
      </c>
      <c r="Z79" s="429">
        <v>14.338461620955334</v>
      </c>
      <c r="AA79" s="429">
        <v>7.5067790538088026</v>
      </c>
      <c r="AB79" s="429">
        <v>8.1809572818607244</v>
      </c>
      <c r="AC79" s="429">
        <v>4.6574560856020231</v>
      </c>
      <c r="AD79" s="429">
        <v>3.2129991240409663</v>
      </c>
      <c r="AE79" s="429">
        <v>0</v>
      </c>
      <c r="AF79" s="429">
        <v>0</v>
      </c>
      <c r="AG79" s="429">
        <v>0</v>
      </c>
      <c r="AH79" s="429">
        <v>2.8579517090954449</v>
      </c>
      <c r="AI79" s="429">
        <v>6.2812906867302143</v>
      </c>
      <c r="AJ79" s="429">
        <v>6.0123363906682146</v>
      </c>
      <c r="AK79" s="429">
        <v>6.9268228459401371</v>
      </c>
      <c r="AL79" s="429">
        <v>0</v>
      </c>
      <c r="AM79" s="429">
        <v>0</v>
      </c>
      <c r="AN79" s="429">
        <v>0</v>
      </c>
      <c r="AO79" s="432"/>
      <c r="AP79" s="428">
        <v>41803.523753587964</v>
      </c>
      <c r="AQ79" s="431">
        <v>99.714560518038923</v>
      </c>
      <c r="AR79" s="431">
        <v>123.46134694292465</v>
      </c>
      <c r="AS79" s="431">
        <v>78.891947368920228</v>
      </c>
      <c r="AT79" s="431">
        <v>106.77660311530514</v>
      </c>
      <c r="AU79" s="431">
        <v>8.5776375708632155</v>
      </c>
      <c r="AV79" s="431">
        <v>58.495387469660386</v>
      </c>
      <c r="AW79" s="431">
        <v>11.473347216630579</v>
      </c>
      <c r="AX79" s="431">
        <v>6.0981019583965796</v>
      </c>
      <c r="AY79" s="431">
        <v>116.40327669092113</v>
      </c>
      <c r="AZ79" s="431">
        <v>-91.632620391413283</v>
      </c>
      <c r="BA79" s="431">
        <v>2.4008735198358209</v>
      </c>
      <c r="BB79" s="431">
        <v>3.0896042244733031</v>
      </c>
      <c r="BC79" s="431">
        <v>1.9539213531530961</v>
      </c>
      <c r="BD79" s="431">
        <v>80.040517835257177</v>
      </c>
      <c r="BE79" s="431">
        <v>363837.84176954377</v>
      </c>
      <c r="BF79" s="431">
        <v>8157.3992281795099</v>
      </c>
      <c r="BG79" s="431">
        <v>749.39596276107363</v>
      </c>
      <c r="BH79" s="431">
        <v>465256.62402762001</v>
      </c>
      <c r="BI79" s="431">
        <v>448112.43192235444</v>
      </c>
      <c r="BJ79" s="431">
        <v>42467.275208807056</v>
      </c>
      <c r="BK79" s="431">
        <v>412771.76700794103</v>
      </c>
      <c r="BL79" s="431">
        <v>3315.1054049520785</v>
      </c>
      <c r="BM79" s="431">
        <v>314.17002419316412</v>
      </c>
      <c r="BN79" s="431">
        <v>147.8368059516699</v>
      </c>
      <c r="BO79" s="431">
        <v>2712.3589676880647</v>
      </c>
      <c r="BP79" s="431">
        <v>257.0482016125888</v>
      </c>
      <c r="BQ79" s="431">
        <v>1642.936879686453</v>
      </c>
      <c r="BR79" s="431">
        <v>867.60859276926192</v>
      </c>
      <c r="BS79" s="431">
        <v>0</v>
      </c>
      <c r="BT79" s="431">
        <v>0</v>
      </c>
      <c r="BU79" s="431">
        <v>0</v>
      </c>
      <c r="BV79" s="431">
        <v>763.79426468382519</v>
      </c>
      <c r="BW79" s="431">
        <v>1344.6612708062298</v>
      </c>
      <c r="BX79" s="431">
        <v>1179.8376316032288</v>
      </c>
      <c r="BY79" s="431">
        <v>1034.3548236970996</v>
      </c>
      <c r="BZ79" s="431">
        <v>0</v>
      </c>
      <c r="CA79" s="431">
        <v>0</v>
      </c>
      <c r="CB79" s="431">
        <v>0</v>
      </c>
      <c r="CC79" s="432"/>
      <c r="CD79" s="428">
        <v>41803.523753587964</v>
      </c>
      <c r="CE79" s="433">
        <v>0.28867948499398594</v>
      </c>
      <c r="CF79" s="433">
        <v>0.21647902720720727</v>
      </c>
      <c r="CG79" s="433">
        <v>0.17973960391015936</v>
      </c>
      <c r="CH79" s="433">
        <v>0.18197778689994615</v>
      </c>
      <c r="CI79" s="433">
        <v>0.1207127188701978</v>
      </c>
      <c r="CJ79" s="433">
        <v>0.25964397429176683</v>
      </c>
      <c r="CK79" s="433">
        <v>0.24306585314092802</v>
      </c>
      <c r="CL79" s="433">
        <v>0.26123057689286194</v>
      </c>
      <c r="CM79" s="433">
        <v>0.19945374499368468</v>
      </c>
      <c r="CN79" s="433">
        <v>0.1874651959252118</v>
      </c>
      <c r="CO79" s="433">
        <v>0.6061180812254181</v>
      </c>
      <c r="CP79" s="433">
        <v>0.62118636882734224</v>
      </c>
      <c r="CQ79" s="433">
        <v>0.70077118864502774</v>
      </c>
      <c r="CR79" s="433">
        <v>0.38975168317710257</v>
      </c>
      <c r="CS79" s="433">
        <v>0.39443520669059223</v>
      </c>
      <c r="CT79" s="433">
        <v>0.447221292916757</v>
      </c>
      <c r="CU79" s="433">
        <v>0.3622790598707698</v>
      </c>
      <c r="CV79" s="433">
        <v>0.47604249083347333</v>
      </c>
      <c r="CW79" s="433">
        <v>0.4759898508915783</v>
      </c>
      <c r="CX79" s="433">
        <v>0.4007797062399322</v>
      </c>
      <c r="CY79" s="433">
        <v>0.43383847945766757</v>
      </c>
      <c r="CZ79" s="433">
        <v>0.29816004259848461</v>
      </c>
      <c r="DA79" s="433">
        <v>0.25104840798869349</v>
      </c>
      <c r="DB79" s="433">
        <v>0.78134770554504784</v>
      </c>
      <c r="DC79" s="433">
        <v>0.29816004259848461</v>
      </c>
      <c r="DD79" s="433">
        <v>0.25104840798869349</v>
      </c>
      <c r="DE79" s="433">
        <v>0.37034376886796982</v>
      </c>
      <c r="DF79" s="433">
        <v>0.39133505591051104</v>
      </c>
      <c r="DG79" s="433">
        <v>0</v>
      </c>
      <c r="DH79" s="433">
        <v>0</v>
      </c>
      <c r="DI79" s="433">
        <v>0</v>
      </c>
      <c r="DJ79" s="433">
        <v>0.34760074846819372</v>
      </c>
      <c r="DK79" s="433">
        <v>0.31679504526088992</v>
      </c>
      <c r="DL79" s="433">
        <v>0.28139108209329972</v>
      </c>
      <c r="DM79" s="433">
        <v>0.40065255724171372</v>
      </c>
      <c r="DN79" s="433">
        <v>0</v>
      </c>
      <c r="DO79" s="433">
        <v>0</v>
      </c>
      <c r="DP79" s="433">
        <v>0</v>
      </c>
      <c r="DR79" s="409" t="s">
        <v>711</v>
      </c>
      <c r="DS79" s="409" t="s">
        <v>2430</v>
      </c>
    </row>
    <row r="80" spans="2:123" s="1471" customFormat="1">
      <c r="B80" s="428">
        <v>41803.533745138891</v>
      </c>
      <c r="C80" s="429">
        <v>1.3988468986734504</v>
      </c>
      <c r="D80" s="429">
        <v>1.3907838359615508</v>
      </c>
      <c r="E80" s="429">
        <v>1.4170485076449286</v>
      </c>
      <c r="F80" s="429">
        <v>1.380617304489139</v>
      </c>
      <c r="G80" s="429">
        <v>1.352726662194849</v>
      </c>
      <c r="H80" s="429">
        <v>1.468336345957445</v>
      </c>
      <c r="I80" s="429">
        <v>1.4233524757727452</v>
      </c>
      <c r="J80" s="429">
        <v>1.4593609610058667</v>
      </c>
      <c r="K80" s="429">
        <v>1.343788462614175</v>
      </c>
      <c r="L80" s="429">
        <v>1.4475966602287462</v>
      </c>
      <c r="M80" s="429">
        <v>1.3369872673677481</v>
      </c>
      <c r="N80" s="429">
        <v>1.34051420158193</v>
      </c>
      <c r="O80" s="429">
        <v>1.1144762094710536</v>
      </c>
      <c r="P80" s="429">
        <v>1.121768886049755</v>
      </c>
      <c r="Q80" s="429">
        <v>2918.9001210994288</v>
      </c>
      <c r="R80" s="429">
        <v>14.713615986108836</v>
      </c>
      <c r="S80" s="429">
        <v>22.757978155654481</v>
      </c>
      <c r="T80" s="429">
        <v>3801.0986428193655</v>
      </c>
      <c r="U80" s="429">
        <v>3937.4659846698569</v>
      </c>
      <c r="V80" s="429">
        <v>4048.8478662424718</v>
      </c>
      <c r="W80" s="429">
        <v>873.84499206301848</v>
      </c>
      <c r="X80" s="429">
        <v>9.5692439388489596</v>
      </c>
      <c r="Y80" s="429">
        <v>10.393239550912419</v>
      </c>
      <c r="Z80" s="429">
        <v>14.338461620955334</v>
      </c>
      <c r="AA80" s="429">
        <v>7.5067790538088026</v>
      </c>
      <c r="AB80" s="429">
        <v>8.1809572818607244</v>
      </c>
      <c r="AC80" s="429">
        <v>4.6574560856020231</v>
      </c>
      <c r="AD80" s="429">
        <v>3.2129991240409663</v>
      </c>
      <c r="AE80" s="429">
        <v>0</v>
      </c>
      <c r="AF80" s="429">
        <v>0</v>
      </c>
      <c r="AG80" s="429">
        <v>0</v>
      </c>
      <c r="AH80" s="429">
        <v>2.8579517090954449</v>
      </c>
      <c r="AI80" s="429">
        <v>6.2812906867302143</v>
      </c>
      <c r="AJ80" s="429">
        <v>6.0123363906682146</v>
      </c>
      <c r="AK80" s="429">
        <v>6.9268228459401371</v>
      </c>
      <c r="AL80" s="429">
        <v>0</v>
      </c>
      <c r="AM80" s="429">
        <v>0</v>
      </c>
      <c r="AN80" s="429">
        <v>0</v>
      </c>
      <c r="AO80" s="432"/>
      <c r="AP80" s="428">
        <v>41803.533745138891</v>
      </c>
      <c r="AQ80" s="431">
        <v>99.714560518038923</v>
      </c>
      <c r="AR80" s="431">
        <v>123.46134694292465</v>
      </c>
      <c r="AS80" s="431">
        <v>78.891947368920228</v>
      </c>
      <c r="AT80" s="431">
        <v>106.77660311530514</v>
      </c>
      <c r="AU80" s="431">
        <v>8.5776375708632155</v>
      </c>
      <c r="AV80" s="431">
        <v>58.495387469660386</v>
      </c>
      <c r="AW80" s="431">
        <v>11.473347216630579</v>
      </c>
      <c r="AX80" s="431">
        <v>6.0981019583965796</v>
      </c>
      <c r="AY80" s="431">
        <v>116.40327669092113</v>
      </c>
      <c r="AZ80" s="431">
        <v>-91.632620391413283</v>
      </c>
      <c r="BA80" s="431">
        <v>2.4008735198358209</v>
      </c>
      <c r="BB80" s="431">
        <v>3.0896042244733031</v>
      </c>
      <c r="BC80" s="431">
        <v>1.9539213531530961</v>
      </c>
      <c r="BD80" s="431">
        <v>80.040517835257177</v>
      </c>
      <c r="BE80" s="431">
        <v>363837.84176954377</v>
      </c>
      <c r="BF80" s="431">
        <v>8157.3992281795099</v>
      </c>
      <c r="BG80" s="431">
        <v>749.39596276107363</v>
      </c>
      <c r="BH80" s="431">
        <v>465256.62402762001</v>
      </c>
      <c r="BI80" s="431">
        <v>448112.43192235444</v>
      </c>
      <c r="BJ80" s="431">
        <v>42467.275208807056</v>
      </c>
      <c r="BK80" s="431">
        <v>415790.24510115944</v>
      </c>
      <c r="BL80" s="431">
        <v>3315.1054049520785</v>
      </c>
      <c r="BM80" s="431">
        <v>314.17002419316412</v>
      </c>
      <c r="BN80" s="431">
        <v>147.8368059516699</v>
      </c>
      <c r="BO80" s="431">
        <v>2712.3589676880647</v>
      </c>
      <c r="BP80" s="431">
        <v>257.0482016125888</v>
      </c>
      <c r="BQ80" s="431">
        <v>1642.936879686453</v>
      </c>
      <c r="BR80" s="431">
        <v>867.60859276926192</v>
      </c>
      <c r="BS80" s="431">
        <v>0</v>
      </c>
      <c r="BT80" s="431">
        <v>0</v>
      </c>
      <c r="BU80" s="431">
        <v>0</v>
      </c>
      <c r="BV80" s="431">
        <v>763.79426468382519</v>
      </c>
      <c r="BW80" s="431">
        <v>1344.6612708062298</v>
      </c>
      <c r="BX80" s="431">
        <v>1179.8376316032288</v>
      </c>
      <c r="BY80" s="431">
        <v>1034.3548236970996</v>
      </c>
      <c r="BZ80" s="431">
        <v>0</v>
      </c>
      <c r="CA80" s="431">
        <v>0</v>
      </c>
      <c r="CB80" s="431">
        <v>0</v>
      </c>
      <c r="CC80" s="432"/>
      <c r="CD80" s="428">
        <v>41803.533745138891</v>
      </c>
      <c r="CE80" s="433">
        <v>0.28867948499398594</v>
      </c>
      <c r="CF80" s="433">
        <v>0.21647902720720727</v>
      </c>
      <c r="CG80" s="433">
        <v>0.17973960391015936</v>
      </c>
      <c r="CH80" s="433">
        <v>0.18197778689994615</v>
      </c>
      <c r="CI80" s="433">
        <v>0.1207127188701978</v>
      </c>
      <c r="CJ80" s="433">
        <v>0.25964397429176683</v>
      </c>
      <c r="CK80" s="433">
        <v>0.24306585314092802</v>
      </c>
      <c r="CL80" s="433">
        <v>0.26123057689286194</v>
      </c>
      <c r="CM80" s="433">
        <v>0.19945374499368468</v>
      </c>
      <c r="CN80" s="433">
        <v>0.1874651959252118</v>
      </c>
      <c r="CO80" s="433">
        <v>0.6061180812254181</v>
      </c>
      <c r="CP80" s="433">
        <v>0.62118636882734224</v>
      </c>
      <c r="CQ80" s="433">
        <v>0.70077118864502774</v>
      </c>
      <c r="CR80" s="433">
        <v>0.38975168317710257</v>
      </c>
      <c r="CS80" s="433">
        <v>0.39443520669059223</v>
      </c>
      <c r="CT80" s="433">
        <v>0.447221292916757</v>
      </c>
      <c r="CU80" s="433">
        <v>0.3622790598707698</v>
      </c>
      <c r="CV80" s="433">
        <v>0.47604249083347333</v>
      </c>
      <c r="CW80" s="433">
        <v>0.4759898508915783</v>
      </c>
      <c r="CX80" s="433">
        <v>0.4007797062399322</v>
      </c>
      <c r="CY80" s="433">
        <v>0.43383847945766757</v>
      </c>
      <c r="CZ80" s="433">
        <v>0.29816004259848461</v>
      </c>
      <c r="DA80" s="433">
        <v>0.25104840798869349</v>
      </c>
      <c r="DB80" s="433">
        <v>0.78134770554504784</v>
      </c>
      <c r="DC80" s="433">
        <v>0.29816004259848461</v>
      </c>
      <c r="DD80" s="433">
        <v>0.25104840798869349</v>
      </c>
      <c r="DE80" s="433">
        <v>0.37034376886796982</v>
      </c>
      <c r="DF80" s="433">
        <v>0.39133505591051104</v>
      </c>
      <c r="DG80" s="433">
        <v>0</v>
      </c>
      <c r="DH80" s="433">
        <v>0</v>
      </c>
      <c r="DI80" s="433">
        <v>0</v>
      </c>
      <c r="DJ80" s="433">
        <v>0.34760074846819372</v>
      </c>
      <c r="DK80" s="433">
        <v>0.31679504526088992</v>
      </c>
      <c r="DL80" s="433">
        <v>0.28139108209329972</v>
      </c>
      <c r="DM80" s="433">
        <v>0.40065255724171372</v>
      </c>
      <c r="DN80" s="433">
        <v>0</v>
      </c>
      <c r="DO80" s="433">
        <v>0</v>
      </c>
      <c r="DP80" s="433">
        <v>0</v>
      </c>
      <c r="DR80" s="409" t="s">
        <v>711</v>
      </c>
      <c r="DS80" s="409" t="s">
        <v>2433</v>
      </c>
    </row>
    <row r="81" spans="2:123" s="1471" customFormat="1">
      <c r="B81" s="428">
        <v>41803.536002199071</v>
      </c>
      <c r="C81" s="429">
        <v>1.3988468986734504</v>
      </c>
      <c r="D81" s="429">
        <v>1.3907838359615508</v>
      </c>
      <c r="E81" s="429">
        <v>1.4170485076449286</v>
      </c>
      <c r="F81" s="429">
        <v>1.380617304489139</v>
      </c>
      <c r="G81" s="429">
        <v>1.352726662194849</v>
      </c>
      <c r="H81" s="429">
        <v>1.468336345957445</v>
      </c>
      <c r="I81" s="429">
        <v>1.4233524757727452</v>
      </c>
      <c r="J81" s="429">
        <v>1.4593609610058667</v>
      </c>
      <c r="K81" s="429">
        <v>1.343788462614175</v>
      </c>
      <c r="L81" s="429">
        <v>1.4475966602287462</v>
      </c>
      <c r="M81" s="429">
        <v>1.3369872673677481</v>
      </c>
      <c r="N81" s="429">
        <v>1.34051420158193</v>
      </c>
      <c r="O81" s="429">
        <v>1.1144762094710536</v>
      </c>
      <c r="P81" s="429">
        <v>1.121768886049755</v>
      </c>
      <c r="Q81" s="429">
        <v>2918.9001210994288</v>
      </c>
      <c r="R81" s="429">
        <v>14.713615986108836</v>
      </c>
      <c r="S81" s="429">
        <v>22.757978155654481</v>
      </c>
      <c r="T81" s="429">
        <v>3801.0986428193655</v>
      </c>
      <c r="U81" s="429">
        <v>3937.4659846698569</v>
      </c>
      <c r="V81" s="429">
        <v>4048.8478662424718</v>
      </c>
      <c r="W81" s="429">
        <v>873.84499206301848</v>
      </c>
      <c r="X81" s="429">
        <v>9.5692439388489596</v>
      </c>
      <c r="Y81" s="429">
        <v>10.393239550912419</v>
      </c>
      <c r="Z81" s="429">
        <v>14.338461620955334</v>
      </c>
      <c r="AA81" s="429">
        <v>7.5067790538088026</v>
      </c>
      <c r="AB81" s="429">
        <v>8.1809572818607244</v>
      </c>
      <c r="AC81" s="429">
        <v>4.6574560856020231</v>
      </c>
      <c r="AD81" s="429">
        <v>3.2129991240409663</v>
      </c>
      <c r="AE81" s="429">
        <v>0</v>
      </c>
      <c r="AF81" s="429">
        <v>0</v>
      </c>
      <c r="AG81" s="429">
        <v>0</v>
      </c>
      <c r="AH81" s="429">
        <v>2.8579517090954449</v>
      </c>
      <c r="AI81" s="429">
        <v>6.2812906867302143</v>
      </c>
      <c r="AJ81" s="429">
        <v>6.0123363906682146</v>
      </c>
      <c r="AK81" s="429">
        <v>6.9268228459401371</v>
      </c>
      <c r="AL81" s="429">
        <v>0</v>
      </c>
      <c r="AM81" s="429">
        <v>0</v>
      </c>
      <c r="AN81" s="429">
        <v>0</v>
      </c>
      <c r="AO81" s="432"/>
      <c r="AP81" s="428">
        <v>41803.536002199071</v>
      </c>
      <c r="AQ81" s="431">
        <v>99.714560518038923</v>
      </c>
      <c r="AR81" s="431">
        <v>123.46134694292465</v>
      </c>
      <c r="AS81" s="431">
        <v>78.891947368920228</v>
      </c>
      <c r="AT81" s="431">
        <v>106.77660311530514</v>
      </c>
      <c r="AU81" s="431">
        <v>8.5776375708632155</v>
      </c>
      <c r="AV81" s="431">
        <v>58.495387469660386</v>
      </c>
      <c r="AW81" s="431">
        <v>11.473347216630579</v>
      </c>
      <c r="AX81" s="431">
        <v>6.0981019583965796</v>
      </c>
      <c r="AY81" s="431">
        <v>116.40327669092113</v>
      </c>
      <c r="AZ81" s="431">
        <v>-91.632620391413283</v>
      </c>
      <c r="BA81" s="431">
        <v>2.4008735198358209</v>
      </c>
      <c r="BB81" s="431">
        <v>3.0896042244733031</v>
      </c>
      <c r="BC81" s="431">
        <v>1.9539213531530961</v>
      </c>
      <c r="BD81" s="431">
        <v>80.040517835257177</v>
      </c>
      <c r="BE81" s="431">
        <v>363837.84176954377</v>
      </c>
      <c r="BF81" s="431">
        <v>8157.3992281795099</v>
      </c>
      <c r="BG81" s="431">
        <v>749.39596276107363</v>
      </c>
      <c r="BH81" s="431">
        <v>465256.62402762001</v>
      </c>
      <c r="BI81" s="431">
        <v>448112.43192235444</v>
      </c>
      <c r="BJ81" s="431">
        <v>42467.275208807056</v>
      </c>
      <c r="BK81" s="431">
        <v>415790.24510115944</v>
      </c>
      <c r="BL81" s="431">
        <v>3315.1054049520785</v>
      </c>
      <c r="BM81" s="431">
        <v>314.17002419316412</v>
      </c>
      <c r="BN81" s="431">
        <v>147.8368059516699</v>
      </c>
      <c r="BO81" s="431">
        <v>2712.3589676880647</v>
      </c>
      <c r="BP81" s="431">
        <v>257.0482016125888</v>
      </c>
      <c r="BQ81" s="431">
        <v>1642.936879686453</v>
      </c>
      <c r="BR81" s="431">
        <v>867.60859276926192</v>
      </c>
      <c r="BS81" s="431">
        <v>0</v>
      </c>
      <c r="BT81" s="431">
        <v>0</v>
      </c>
      <c r="BU81" s="431">
        <v>0</v>
      </c>
      <c r="BV81" s="431">
        <v>763.79426468382519</v>
      </c>
      <c r="BW81" s="431">
        <v>1344.6612708062298</v>
      </c>
      <c r="BX81" s="431">
        <v>1179.8376316032288</v>
      </c>
      <c r="BY81" s="431">
        <v>1034.3548236970996</v>
      </c>
      <c r="BZ81" s="431">
        <v>0</v>
      </c>
      <c r="CA81" s="431">
        <v>0</v>
      </c>
      <c r="CB81" s="431">
        <v>0</v>
      </c>
      <c r="CC81" s="432"/>
      <c r="CD81" s="428">
        <v>41803.536002199071</v>
      </c>
      <c r="CE81" s="433">
        <v>0.28867948499398594</v>
      </c>
      <c r="CF81" s="433">
        <v>0.21647902720720727</v>
      </c>
      <c r="CG81" s="433">
        <v>0.17973960391015936</v>
      </c>
      <c r="CH81" s="433">
        <v>0.18197778689994615</v>
      </c>
      <c r="CI81" s="433">
        <v>0.1207127188701978</v>
      </c>
      <c r="CJ81" s="433">
        <v>0.25964397429176683</v>
      </c>
      <c r="CK81" s="433">
        <v>0.24306585314092802</v>
      </c>
      <c r="CL81" s="433">
        <v>0.26123057689286194</v>
      </c>
      <c r="CM81" s="433">
        <v>0.19945374499368468</v>
      </c>
      <c r="CN81" s="433">
        <v>0.1874651959252118</v>
      </c>
      <c r="CO81" s="433">
        <v>0.6061180812254181</v>
      </c>
      <c r="CP81" s="433">
        <v>0.62118636882734224</v>
      </c>
      <c r="CQ81" s="433">
        <v>0.70077118864502774</v>
      </c>
      <c r="CR81" s="433">
        <v>0.38975168317710257</v>
      </c>
      <c r="CS81" s="433">
        <v>0.39443520669059223</v>
      </c>
      <c r="CT81" s="433">
        <v>0.447221292916757</v>
      </c>
      <c r="CU81" s="433">
        <v>0.3622790598707698</v>
      </c>
      <c r="CV81" s="433">
        <v>0.47604249083347333</v>
      </c>
      <c r="CW81" s="433">
        <v>0.4759898508915783</v>
      </c>
      <c r="CX81" s="433">
        <v>0.4007797062399322</v>
      </c>
      <c r="CY81" s="433">
        <v>0.43383847945766757</v>
      </c>
      <c r="CZ81" s="433">
        <v>0.29816004259848461</v>
      </c>
      <c r="DA81" s="433">
        <v>0.25104840798869349</v>
      </c>
      <c r="DB81" s="433">
        <v>0.78134770554504784</v>
      </c>
      <c r="DC81" s="433">
        <v>0.29816004259848461</v>
      </c>
      <c r="DD81" s="433">
        <v>0.25104840798869349</v>
      </c>
      <c r="DE81" s="433">
        <v>0.37034376886796982</v>
      </c>
      <c r="DF81" s="433">
        <v>0.39133505591051104</v>
      </c>
      <c r="DG81" s="433">
        <v>0</v>
      </c>
      <c r="DH81" s="433">
        <v>0</v>
      </c>
      <c r="DI81" s="433">
        <v>0</v>
      </c>
      <c r="DJ81" s="433">
        <v>0.34760074846819372</v>
      </c>
      <c r="DK81" s="433">
        <v>0.31679504526088992</v>
      </c>
      <c r="DL81" s="433">
        <v>0.28139108209329972</v>
      </c>
      <c r="DM81" s="433">
        <v>0.40065255724171372</v>
      </c>
      <c r="DN81" s="433">
        <v>0</v>
      </c>
      <c r="DO81" s="433">
        <v>0</v>
      </c>
      <c r="DP81" s="433">
        <v>0</v>
      </c>
      <c r="DR81" s="409" t="s">
        <v>711</v>
      </c>
      <c r="DS81" s="409" t="s">
        <v>2434</v>
      </c>
    </row>
    <row r="82" spans="2:123" s="1471" customFormat="1">
      <c r="B82" s="428">
        <v>41803.643128124997</v>
      </c>
      <c r="C82" s="429">
        <v>1.3988468986734504</v>
      </c>
      <c r="D82" s="429">
        <v>1.3907838359615508</v>
      </c>
      <c r="E82" s="429">
        <v>1.4170485076449286</v>
      </c>
      <c r="F82" s="429">
        <v>1.380617304489139</v>
      </c>
      <c r="G82" s="429">
        <v>1.352726662194849</v>
      </c>
      <c r="H82" s="429">
        <v>1.468336345957445</v>
      </c>
      <c r="I82" s="429">
        <v>1.4830267057727453</v>
      </c>
      <c r="J82" s="429">
        <v>1.4593609610058667</v>
      </c>
      <c r="K82" s="429">
        <v>1.343788462614175</v>
      </c>
      <c r="L82" s="429">
        <v>1.4475966602287462</v>
      </c>
      <c r="M82" s="429">
        <v>1.3369872673677481</v>
      </c>
      <c r="N82" s="429">
        <v>1.34051420158193</v>
      </c>
      <c r="O82" s="429">
        <v>1.1144762094710536</v>
      </c>
      <c r="P82" s="429">
        <v>1.121768886049755</v>
      </c>
      <c r="Q82" s="429">
        <v>2918.9001210994288</v>
      </c>
      <c r="R82" s="429">
        <v>14.713615986108836</v>
      </c>
      <c r="S82" s="429">
        <v>22.757978155654481</v>
      </c>
      <c r="T82" s="429">
        <v>3801.0986428193655</v>
      </c>
      <c r="U82" s="429">
        <v>3937.4659846698569</v>
      </c>
      <c r="V82" s="429">
        <v>4321.3798318312738</v>
      </c>
      <c r="W82" s="429">
        <v>873.84499206301848</v>
      </c>
      <c r="X82" s="429">
        <v>9.5692439388489596</v>
      </c>
      <c r="Y82" s="429">
        <v>12.409412564166821</v>
      </c>
      <c r="Z82" s="429">
        <v>14.338461620955334</v>
      </c>
      <c r="AA82" s="429">
        <v>7.5067790538088026</v>
      </c>
      <c r="AB82" s="429">
        <v>9.8305533836143226</v>
      </c>
      <c r="AC82" s="429">
        <v>4.6574560856020231</v>
      </c>
      <c r="AD82" s="429">
        <v>3.2129991240409663</v>
      </c>
      <c r="AE82" s="429">
        <v>0</v>
      </c>
      <c r="AF82" s="429">
        <v>0</v>
      </c>
      <c r="AG82" s="429">
        <v>0</v>
      </c>
      <c r="AH82" s="429">
        <v>2.8579517090954449</v>
      </c>
      <c r="AI82" s="429">
        <v>6.2812906867302143</v>
      </c>
      <c r="AJ82" s="429">
        <v>6.0123363906682146</v>
      </c>
      <c r="AK82" s="429">
        <v>6.9268228459401371</v>
      </c>
      <c r="AL82" s="429">
        <v>0</v>
      </c>
      <c r="AM82" s="429">
        <v>0</v>
      </c>
      <c r="AN82" s="429">
        <v>0</v>
      </c>
      <c r="AO82" s="432"/>
      <c r="AP82" s="428">
        <v>41803.643128124997</v>
      </c>
      <c r="AQ82" s="431">
        <v>99.714560518038923</v>
      </c>
      <c r="AR82" s="431">
        <v>123.46134694292465</v>
      </c>
      <c r="AS82" s="431">
        <v>78.891947368920228</v>
      </c>
      <c r="AT82" s="431">
        <v>106.77660311530514</v>
      </c>
      <c r="AU82" s="431">
        <v>8.5776375708632155</v>
      </c>
      <c r="AV82" s="431">
        <v>58.495387469660386</v>
      </c>
      <c r="AW82" s="431">
        <v>11.473347216630579</v>
      </c>
      <c r="AX82" s="431">
        <v>6.0981019583965796</v>
      </c>
      <c r="AY82" s="431">
        <v>116.40327669092113</v>
      </c>
      <c r="AZ82" s="431">
        <v>-91.632620391413283</v>
      </c>
      <c r="BA82" s="431">
        <v>2.4008735198358209</v>
      </c>
      <c r="BB82" s="431">
        <v>3.0896042244733031</v>
      </c>
      <c r="BC82" s="431">
        <v>1.9539213531530961</v>
      </c>
      <c r="BD82" s="431">
        <v>80.040517835257177</v>
      </c>
      <c r="BE82" s="431">
        <v>363837.84176954377</v>
      </c>
      <c r="BF82" s="431">
        <v>8157.3992281795099</v>
      </c>
      <c r="BG82" s="431">
        <v>749.39596276107363</v>
      </c>
      <c r="BH82" s="431">
        <v>465256.62402762001</v>
      </c>
      <c r="BI82" s="431">
        <v>448112.43192235444</v>
      </c>
      <c r="BJ82" s="431">
        <v>42467.275208807056</v>
      </c>
      <c r="BK82" s="431">
        <v>415790.24510115944</v>
      </c>
      <c r="BL82" s="431">
        <v>3315.1054049520785</v>
      </c>
      <c r="BM82" s="431">
        <v>314.17002419316412</v>
      </c>
      <c r="BN82" s="431">
        <v>147.8368059516699</v>
      </c>
      <c r="BO82" s="431">
        <v>2712.3589676880647</v>
      </c>
      <c r="BP82" s="431">
        <v>257.0482016125888</v>
      </c>
      <c r="BQ82" s="431">
        <v>1642.936879686453</v>
      </c>
      <c r="BR82" s="431">
        <v>867.60859276926192</v>
      </c>
      <c r="BS82" s="431">
        <v>0</v>
      </c>
      <c r="BT82" s="431">
        <v>0</v>
      </c>
      <c r="BU82" s="431">
        <v>0</v>
      </c>
      <c r="BV82" s="431">
        <v>763.79426468382519</v>
      </c>
      <c r="BW82" s="431">
        <v>1344.6612708062298</v>
      </c>
      <c r="BX82" s="431">
        <v>1179.8376316032288</v>
      </c>
      <c r="BY82" s="431">
        <v>1034.3548236970996</v>
      </c>
      <c r="BZ82" s="431">
        <v>0</v>
      </c>
      <c r="CA82" s="431">
        <v>0</v>
      </c>
      <c r="CB82" s="431">
        <v>0</v>
      </c>
      <c r="CC82" s="432"/>
      <c r="CD82" s="428">
        <v>41803.643128124997</v>
      </c>
      <c r="CE82" s="433">
        <v>0.28867948499398594</v>
      </c>
      <c r="CF82" s="433">
        <v>0.21647902720720727</v>
      </c>
      <c r="CG82" s="433">
        <v>0.17973960391015936</v>
      </c>
      <c r="CH82" s="433">
        <v>0.18197778689994615</v>
      </c>
      <c r="CI82" s="433">
        <v>0.1207127188701978</v>
      </c>
      <c r="CJ82" s="433">
        <v>0.25964397429176683</v>
      </c>
      <c r="CK82" s="433">
        <v>0.24306585314092802</v>
      </c>
      <c r="CL82" s="433">
        <v>0.26123057689286194</v>
      </c>
      <c r="CM82" s="433">
        <v>0.19945374499368468</v>
      </c>
      <c r="CN82" s="433">
        <v>0.1874651959252118</v>
      </c>
      <c r="CO82" s="433">
        <v>0.6061180812254181</v>
      </c>
      <c r="CP82" s="433">
        <v>0.62118636882734224</v>
      </c>
      <c r="CQ82" s="433">
        <v>0.70077118864502774</v>
      </c>
      <c r="CR82" s="433">
        <v>0.38975168317710257</v>
      </c>
      <c r="CS82" s="433">
        <v>0.39443520669059223</v>
      </c>
      <c r="CT82" s="433">
        <v>0.447221292916757</v>
      </c>
      <c r="CU82" s="433">
        <v>0.3622790598707698</v>
      </c>
      <c r="CV82" s="433">
        <v>0.47604249083347333</v>
      </c>
      <c r="CW82" s="433">
        <v>0.4759898508915783</v>
      </c>
      <c r="CX82" s="433">
        <v>0.4007797062399322</v>
      </c>
      <c r="CY82" s="433">
        <v>0.43383847945766757</v>
      </c>
      <c r="CZ82" s="433">
        <v>0.29816004259848461</v>
      </c>
      <c r="DA82" s="433">
        <v>0.25104840798869349</v>
      </c>
      <c r="DB82" s="433">
        <v>0.78134770554504784</v>
      </c>
      <c r="DC82" s="433">
        <v>0.29816004259848461</v>
      </c>
      <c r="DD82" s="433">
        <v>0.25104840798869349</v>
      </c>
      <c r="DE82" s="433">
        <v>0.37034376886796982</v>
      </c>
      <c r="DF82" s="433">
        <v>0.39133505591051104</v>
      </c>
      <c r="DG82" s="433">
        <v>0</v>
      </c>
      <c r="DH82" s="433">
        <v>0</v>
      </c>
      <c r="DI82" s="433">
        <v>0</v>
      </c>
      <c r="DJ82" s="433">
        <v>0.34760074846819372</v>
      </c>
      <c r="DK82" s="433">
        <v>0.31679504526088992</v>
      </c>
      <c r="DL82" s="433">
        <v>0.28139108209329972</v>
      </c>
      <c r="DM82" s="433">
        <v>0.40065255724171372</v>
      </c>
      <c r="DN82" s="433">
        <v>0</v>
      </c>
      <c r="DO82" s="433">
        <v>0</v>
      </c>
      <c r="DP82" s="433">
        <v>0</v>
      </c>
      <c r="DR82" s="409" t="s">
        <v>711</v>
      </c>
      <c r="DS82" s="409" t="s">
        <v>2440</v>
      </c>
    </row>
    <row r="83" spans="2:123" s="1471" customFormat="1">
      <c r="B83" s="428">
        <v>41803.68570775463</v>
      </c>
      <c r="C83" s="429">
        <v>1.3988468986734504</v>
      </c>
      <c r="D83" s="429">
        <v>1.3907838359615508</v>
      </c>
      <c r="E83" s="429">
        <v>1.3870054169748067</v>
      </c>
      <c r="F83" s="429">
        <v>1.3777653618879402</v>
      </c>
      <c r="G83" s="429">
        <v>1.352726662194849</v>
      </c>
      <c r="H83" s="429">
        <v>1.230374342726728</v>
      </c>
      <c r="I83" s="429">
        <v>1.4239497157727452</v>
      </c>
      <c r="J83" s="429">
        <v>1.4593609610058667</v>
      </c>
      <c r="K83" s="429">
        <v>1.343788462614175</v>
      </c>
      <c r="L83" s="429">
        <v>1.4475966602287462</v>
      </c>
      <c r="M83" s="429">
        <v>1.3369872673677481</v>
      </c>
      <c r="N83" s="429">
        <v>1.34051420158193</v>
      </c>
      <c r="O83" s="429">
        <v>1.1144762094710536</v>
      </c>
      <c r="P83" s="429">
        <v>1.121768886049755</v>
      </c>
      <c r="Q83" s="429">
        <v>2918.9001210994288</v>
      </c>
      <c r="R83" s="429">
        <v>14.713615986108836</v>
      </c>
      <c r="S83" s="429">
        <v>34.820538884690109</v>
      </c>
      <c r="T83" s="429">
        <v>3801.0986428193655</v>
      </c>
      <c r="U83" s="429">
        <v>3937.4659846698569</v>
      </c>
      <c r="V83" s="429">
        <v>4051.5754588922346</v>
      </c>
      <c r="W83" s="429">
        <v>873.84499206301848</v>
      </c>
      <c r="X83" s="429">
        <v>9.5692439388489596</v>
      </c>
      <c r="Y83" s="429">
        <v>10.413418096499619</v>
      </c>
      <c r="Z83" s="429">
        <v>14.338461620955334</v>
      </c>
      <c r="AA83" s="429">
        <v>7.5067790538088026</v>
      </c>
      <c r="AB83" s="429">
        <v>8.1974670009775252</v>
      </c>
      <c r="AC83" s="429">
        <v>4.6574560856020231</v>
      </c>
      <c r="AD83" s="429">
        <v>3.2129991240409663</v>
      </c>
      <c r="AE83" s="429">
        <v>0</v>
      </c>
      <c r="AF83" s="429">
        <v>0</v>
      </c>
      <c r="AG83" s="429">
        <v>0</v>
      </c>
      <c r="AH83" s="429">
        <v>2.8579517090954449</v>
      </c>
      <c r="AI83" s="429">
        <v>6.2812906867302143</v>
      </c>
      <c r="AJ83" s="429">
        <v>6.0123363906682146</v>
      </c>
      <c r="AK83" s="429">
        <v>6.9268228459401371</v>
      </c>
      <c r="AL83" s="429">
        <v>0</v>
      </c>
      <c r="AM83" s="429">
        <v>0</v>
      </c>
      <c r="AN83" s="429">
        <v>0</v>
      </c>
      <c r="AO83" s="432"/>
      <c r="AP83" s="428">
        <v>41803.68570775463</v>
      </c>
      <c r="AQ83" s="431">
        <v>99.714560518038923</v>
      </c>
      <c r="AR83" s="431">
        <v>123.46134694292465</v>
      </c>
      <c r="AS83" s="431">
        <v>78.891947368920228</v>
      </c>
      <c r="AT83" s="431">
        <v>106.77660311530514</v>
      </c>
      <c r="AU83" s="431">
        <v>8.5776375708632155</v>
      </c>
      <c r="AV83" s="431">
        <v>58.495387469660386</v>
      </c>
      <c r="AW83" s="431">
        <v>11.473347216630579</v>
      </c>
      <c r="AX83" s="431">
        <v>6.0981019583965796</v>
      </c>
      <c r="AY83" s="431">
        <v>116.40327669092113</v>
      </c>
      <c r="AZ83" s="431">
        <v>-91.632620391413283</v>
      </c>
      <c r="BA83" s="431">
        <v>2.4008735198358209</v>
      </c>
      <c r="BB83" s="431">
        <v>3.0896042244733031</v>
      </c>
      <c r="BC83" s="431">
        <v>1.9539213531530961</v>
      </c>
      <c r="BD83" s="431">
        <v>80.040517835257177</v>
      </c>
      <c r="BE83" s="431">
        <v>363837.84176954377</v>
      </c>
      <c r="BF83" s="431">
        <v>8157.3992281795099</v>
      </c>
      <c r="BG83" s="431">
        <v>1149.5304526038235</v>
      </c>
      <c r="BH83" s="431">
        <v>465256.62402762001</v>
      </c>
      <c r="BI83" s="431">
        <v>448112.43192235444</v>
      </c>
      <c r="BJ83" s="431">
        <v>42467.275208807056</v>
      </c>
      <c r="BK83" s="431">
        <v>415790.24510115944</v>
      </c>
      <c r="BL83" s="431">
        <v>3315.1054049520785</v>
      </c>
      <c r="BM83" s="431">
        <v>314.17002419316412</v>
      </c>
      <c r="BN83" s="431">
        <v>147.8368059516699</v>
      </c>
      <c r="BO83" s="431">
        <v>2712.3589676880647</v>
      </c>
      <c r="BP83" s="431">
        <v>257.0482016125888</v>
      </c>
      <c r="BQ83" s="431">
        <v>1642.936879686453</v>
      </c>
      <c r="BR83" s="431">
        <v>867.60859276926192</v>
      </c>
      <c r="BS83" s="431">
        <v>0</v>
      </c>
      <c r="BT83" s="431">
        <v>0</v>
      </c>
      <c r="BU83" s="431">
        <v>0</v>
      </c>
      <c r="BV83" s="431">
        <v>763.79426468382519</v>
      </c>
      <c r="BW83" s="431">
        <v>1344.6612708062298</v>
      </c>
      <c r="BX83" s="431">
        <v>1179.8376316032288</v>
      </c>
      <c r="BY83" s="431">
        <v>1034.3548236970996</v>
      </c>
      <c r="BZ83" s="431">
        <v>0</v>
      </c>
      <c r="CA83" s="431">
        <v>0</v>
      </c>
      <c r="CB83" s="431">
        <v>0</v>
      </c>
      <c r="CC83" s="432"/>
      <c r="CD83" s="428">
        <v>41803.68570775463</v>
      </c>
      <c r="CE83" s="433">
        <v>0.28867948499398594</v>
      </c>
      <c r="CF83" s="433">
        <v>0.21647902720720727</v>
      </c>
      <c r="CG83" s="433">
        <v>0.17973960391015936</v>
      </c>
      <c r="CH83" s="433">
        <v>0.18197778689994615</v>
      </c>
      <c r="CI83" s="433">
        <v>0.1207127188701978</v>
      </c>
      <c r="CJ83" s="433">
        <v>0.25964397429176683</v>
      </c>
      <c r="CK83" s="433">
        <v>0.24306585314092802</v>
      </c>
      <c r="CL83" s="433">
        <v>0.26123057689286194</v>
      </c>
      <c r="CM83" s="433">
        <v>0.19945374499368468</v>
      </c>
      <c r="CN83" s="433">
        <v>0.1874651959252118</v>
      </c>
      <c r="CO83" s="433">
        <v>0.6061180812254181</v>
      </c>
      <c r="CP83" s="433">
        <v>0.62118636882734224</v>
      </c>
      <c r="CQ83" s="433">
        <v>0.70077118864502774</v>
      </c>
      <c r="CR83" s="433">
        <v>0.38975168317710257</v>
      </c>
      <c r="CS83" s="433">
        <v>0.39443520669059223</v>
      </c>
      <c r="CT83" s="433">
        <v>0.447221292916757</v>
      </c>
      <c r="CU83" s="433">
        <v>0.3622790598707698</v>
      </c>
      <c r="CV83" s="433">
        <v>0.47604249083347333</v>
      </c>
      <c r="CW83" s="433">
        <v>0.4759898508915783</v>
      </c>
      <c r="CX83" s="433">
        <v>0.4007797062399322</v>
      </c>
      <c r="CY83" s="433">
        <v>0.43383847945766757</v>
      </c>
      <c r="CZ83" s="433">
        <v>0.29816004259848461</v>
      </c>
      <c r="DA83" s="433">
        <v>0.25104840798869349</v>
      </c>
      <c r="DB83" s="433">
        <v>0.78134770554504784</v>
      </c>
      <c r="DC83" s="433">
        <v>0.29816004259848461</v>
      </c>
      <c r="DD83" s="433">
        <v>0.25104840798869349</v>
      </c>
      <c r="DE83" s="433">
        <v>0.37034376886796982</v>
      </c>
      <c r="DF83" s="433">
        <v>0.39133505591051104</v>
      </c>
      <c r="DG83" s="433">
        <v>0</v>
      </c>
      <c r="DH83" s="433">
        <v>0</v>
      </c>
      <c r="DI83" s="433">
        <v>0</v>
      </c>
      <c r="DJ83" s="433">
        <v>0.34760074846819372</v>
      </c>
      <c r="DK83" s="433">
        <v>0.31679504526088992</v>
      </c>
      <c r="DL83" s="433">
        <v>0.28139108209329972</v>
      </c>
      <c r="DM83" s="433">
        <v>0.40065255724171372</v>
      </c>
      <c r="DN83" s="433">
        <v>0</v>
      </c>
      <c r="DO83" s="433">
        <v>0</v>
      </c>
      <c r="DP83" s="433">
        <v>0</v>
      </c>
      <c r="DR83" s="409" t="s">
        <v>711</v>
      </c>
      <c r="DS83" s="409" t="s">
        <v>2443</v>
      </c>
    </row>
    <row r="84" spans="2:123" s="1471" customFormat="1">
      <c r="B84" s="428">
        <v>41803.694523148151</v>
      </c>
      <c r="C84" s="429">
        <v>1.3988468986734504</v>
      </c>
      <c r="D84" s="429">
        <v>1.3907838359615508</v>
      </c>
      <c r="E84" s="429">
        <v>1.3870054169748067</v>
      </c>
      <c r="F84" s="429">
        <v>1.3777653618879402</v>
      </c>
      <c r="G84" s="429">
        <v>1.352726662194849</v>
      </c>
      <c r="H84" s="429">
        <v>1.3728538671482</v>
      </c>
      <c r="I84" s="429">
        <v>1.4239497157727452</v>
      </c>
      <c r="J84" s="429">
        <v>1.4593609610058667</v>
      </c>
      <c r="K84" s="429">
        <v>1.343788462614175</v>
      </c>
      <c r="L84" s="429">
        <v>1.4475966602287462</v>
      </c>
      <c r="M84" s="429">
        <v>1.3369872673677481</v>
      </c>
      <c r="N84" s="429">
        <v>1.34051420158193</v>
      </c>
      <c r="O84" s="429">
        <v>1.1144762094710536</v>
      </c>
      <c r="P84" s="429">
        <v>1.121768886049755</v>
      </c>
      <c r="Q84" s="429">
        <v>2918.9001210994288</v>
      </c>
      <c r="R84" s="429">
        <v>14.713615986108836</v>
      </c>
      <c r="S84" s="429">
        <v>18.577882853513408</v>
      </c>
      <c r="T84" s="429">
        <v>3801.0986428193655</v>
      </c>
      <c r="U84" s="429">
        <v>3937.4659846698569</v>
      </c>
      <c r="V84" s="429">
        <v>4051.5754588922346</v>
      </c>
      <c r="W84" s="429">
        <v>873.84499206301848</v>
      </c>
      <c r="X84" s="429">
        <v>9.5692439388489596</v>
      </c>
      <c r="Y84" s="429">
        <v>10.413418096499619</v>
      </c>
      <c r="Z84" s="429">
        <v>14.338461620955334</v>
      </c>
      <c r="AA84" s="429">
        <v>7.5067790538088026</v>
      </c>
      <c r="AB84" s="429">
        <v>8.1974670009775252</v>
      </c>
      <c r="AC84" s="429">
        <v>4.6574560856020231</v>
      </c>
      <c r="AD84" s="429">
        <v>3.2129991240409663</v>
      </c>
      <c r="AE84" s="429">
        <v>0</v>
      </c>
      <c r="AF84" s="429">
        <v>0</v>
      </c>
      <c r="AG84" s="429">
        <v>0</v>
      </c>
      <c r="AH84" s="429">
        <v>2.8579517090954449</v>
      </c>
      <c r="AI84" s="429">
        <v>6.2812906867302143</v>
      </c>
      <c r="AJ84" s="429">
        <v>6.0123363906682146</v>
      </c>
      <c r="AK84" s="429">
        <v>6.9268228459401371</v>
      </c>
      <c r="AL84" s="429">
        <v>0</v>
      </c>
      <c r="AM84" s="429">
        <v>0</v>
      </c>
      <c r="AN84" s="429">
        <v>0</v>
      </c>
      <c r="AO84" s="432"/>
      <c r="AP84" s="428">
        <v>41803.694523148151</v>
      </c>
      <c r="AQ84" s="431">
        <v>99.714560518038923</v>
      </c>
      <c r="AR84" s="431">
        <v>123.46134694292465</v>
      </c>
      <c r="AS84" s="431">
        <v>78.891947368920228</v>
      </c>
      <c r="AT84" s="431">
        <v>106.77660311530514</v>
      </c>
      <c r="AU84" s="431">
        <v>8.5776375708632155</v>
      </c>
      <c r="AV84" s="431">
        <v>58.495387469660386</v>
      </c>
      <c r="AW84" s="431">
        <v>11.473347216630579</v>
      </c>
      <c r="AX84" s="431">
        <v>6.0981019583965796</v>
      </c>
      <c r="AY84" s="431">
        <v>116.40327669092113</v>
      </c>
      <c r="AZ84" s="431">
        <v>-91.632620391413283</v>
      </c>
      <c r="BA84" s="431">
        <v>2.4008735198358209</v>
      </c>
      <c r="BB84" s="431">
        <v>3.0896042244733031</v>
      </c>
      <c r="BC84" s="431">
        <v>1.9539213531530961</v>
      </c>
      <c r="BD84" s="431">
        <v>80.040517835257177</v>
      </c>
      <c r="BE84" s="431">
        <v>363837.84176954377</v>
      </c>
      <c r="BF84" s="431">
        <v>8157.3992281795099</v>
      </c>
      <c r="BG84" s="431">
        <v>610.73549598388297</v>
      </c>
      <c r="BH84" s="431">
        <v>465256.62402762001</v>
      </c>
      <c r="BI84" s="431">
        <v>448112.43192235444</v>
      </c>
      <c r="BJ84" s="431">
        <v>42467.275208807056</v>
      </c>
      <c r="BK84" s="431">
        <v>415790.24510115944</v>
      </c>
      <c r="BL84" s="431">
        <v>3315.1054049520785</v>
      </c>
      <c r="BM84" s="431">
        <v>314.17002419316412</v>
      </c>
      <c r="BN84" s="431">
        <v>147.8368059516699</v>
      </c>
      <c r="BO84" s="431">
        <v>2712.3589676880647</v>
      </c>
      <c r="BP84" s="431">
        <v>257.0482016125888</v>
      </c>
      <c r="BQ84" s="431">
        <v>1642.936879686453</v>
      </c>
      <c r="BR84" s="431">
        <v>867.60859276926192</v>
      </c>
      <c r="BS84" s="431">
        <v>0</v>
      </c>
      <c r="BT84" s="431">
        <v>0</v>
      </c>
      <c r="BU84" s="431">
        <v>0</v>
      </c>
      <c r="BV84" s="431">
        <v>763.79426468382519</v>
      </c>
      <c r="BW84" s="431">
        <v>1344.6612708062298</v>
      </c>
      <c r="BX84" s="431">
        <v>1179.8376316032288</v>
      </c>
      <c r="BY84" s="431">
        <v>1034.3548236970996</v>
      </c>
      <c r="BZ84" s="431">
        <v>0</v>
      </c>
      <c r="CA84" s="431">
        <v>0</v>
      </c>
      <c r="CB84" s="431">
        <v>0</v>
      </c>
      <c r="CC84" s="432"/>
      <c r="CD84" s="428">
        <v>41803.694523148151</v>
      </c>
      <c r="CE84" s="433">
        <v>0.28867948499398594</v>
      </c>
      <c r="CF84" s="433">
        <v>0.21647902720720727</v>
      </c>
      <c r="CG84" s="433">
        <v>0.17973960391015936</v>
      </c>
      <c r="CH84" s="433">
        <v>0.18197778689994615</v>
      </c>
      <c r="CI84" s="433">
        <v>0.1207127188701978</v>
      </c>
      <c r="CJ84" s="433">
        <v>0.26042892738430146</v>
      </c>
      <c r="CK84" s="433">
        <v>0.24306585314092802</v>
      </c>
      <c r="CL84" s="433">
        <v>0.26123057689286194</v>
      </c>
      <c r="CM84" s="433">
        <v>0.19945374499368468</v>
      </c>
      <c r="CN84" s="433">
        <v>0.1874651959252118</v>
      </c>
      <c r="CO84" s="433">
        <v>0.6061180812254181</v>
      </c>
      <c r="CP84" s="433">
        <v>0.62118636882734224</v>
      </c>
      <c r="CQ84" s="433">
        <v>0.70077118864502774</v>
      </c>
      <c r="CR84" s="433">
        <v>0.38975168317710257</v>
      </c>
      <c r="CS84" s="433">
        <v>0.39443520669059223</v>
      </c>
      <c r="CT84" s="433">
        <v>0.447221292916757</v>
      </c>
      <c r="CU84" s="433">
        <v>0.51158194515084476</v>
      </c>
      <c r="CV84" s="433">
        <v>0.47604249083347333</v>
      </c>
      <c r="CW84" s="433">
        <v>0.4759898508915783</v>
      </c>
      <c r="CX84" s="433">
        <v>0.4007797062399322</v>
      </c>
      <c r="CY84" s="433">
        <v>0.43383847945766757</v>
      </c>
      <c r="CZ84" s="433">
        <v>0.29816004259848461</v>
      </c>
      <c r="DA84" s="433">
        <v>0.25104840798869349</v>
      </c>
      <c r="DB84" s="433">
        <v>0.78134770554504784</v>
      </c>
      <c r="DC84" s="433">
        <v>0.29816004259848461</v>
      </c>
      <c r="DD84" s="433">
        <v>0.25104840798869349</v>
      </c>
      <c r="DE84" s="433">
        <v>0.37034376886796982</v>
      </c>
      <c r="DF84" s="433">
        <v>0.39133505591051104</v>
      </c>
      <c r="DG84" s="433">
        <v>0</v>
      </c>
      <c r="DH84" s="433">
        <v>0</v>
      </c>
      <c r="DI84" s="433">
        <v>0</v>
      </c>
      <c r="DJ84" s="433">
        <v>0.34760074846819372</v>
      </c>
      <c r="DK84" s="433">
        <v>0.31679504526088992</v>
      </c>
      <c r="DL84" s="433">
        <v>0.28139108209329972</v>
      </c>
      <c r="DM84" s="433">
        <v>0.40065255724171372</v>
      </c>
      <c r="DN84" s="433">
        <v>0</v>
      </c>
      <c r="DO84" s="433">
        <v>0</v>
      </c>
      <c r="DP84" s="433">
        <v>0</v>
      </c>
      <c r="DR84" s="409" t="s">
        <v>711</v>
      </c>
      <c r="DS84" s="409" t="s">
        <v>2445</v>
      </c>
    </row>
    <row r="85" spans="2:123" s="1471" customFormat="1">
      <c r="B85" s="428">
        <v>41803.715267129628</v>
      </c>
      <c r="C85" s="429">
        <v>1.3988468986734504</v>
      </c>
      <c r="D85" s="429">
        <v>1.3907838359615508</v>
      </c>
      <c r="E85" s="429">
        <v>1.3870054169748067</v>
      </c>
      <c r="F85" s="429">
        <v>1.3349957256852503</v>
      </c>
      <c r="G85" s="429">
        <v>1.352726662194849</v>
      </c>
      <c r="H85" s="429">
        <v>1.3728538671482</v>
      </c>
      <c r="I85" s="429">
        <v>1.4239497157727452</v>
      </c>
      <c r="J85" s="429">
        <v>1.4593609610058667</v>
      </c>
      <c r="K85" s="429">
        <v>1.343788462614175</v>
      </c>
      <c r="L85" s="429">
        <v>1.4475966602287462</v>
      </c>
      <c r="M85" s="429">
        <v>1.3369872673677481</v>
      </c>
      <c r="N85" s="429">
        <v>1.34051420158193</v>
      </c>
      <c r="O85" s="429">
        <v>1.1144762094710536</v>
      </c>
      <c r="P85" s="429">
        <v>1.121768886049755</v>
      </c>
      <c r="Q85" s="429">
        <v>2918.9001210994288</v>
      </c>
      <c r="R85" s="429">
        <v>14.713615986108836</v>
      </c>
      <c r="S85" s="429">
        <v>18.577882853513408</v>
      </c>
      <c r="T85" s="429">
        <v>3801.0986428193655</v>
      </c>
      <c r="U85" s="429">
        <v>3937.4659846698569</v>
      </c>
      <c r="V85" s="429">
        <v>4051.5754588922346</v>
      </c>
      <c r="W85" s="429">
        <v>873.84499206301848</v>
      </c>
      <c r="X85" s="429">
        <v>9.5692439388489596</v>
      </c>
      <c r="Y85" s="429">
        <v>10.413418096499619</v>
      </c>
      <c r="Z85" s="429">
        <v>14.338461620955334</v>
      </c>
      <c r="AA85" s="429">
        <v>7.5067790538088026</v>
      </c>
      <c r="AB85" s="429">
        <v>8.1974670009775252</v>
      </c>
      <c r="AC85" s="429">
        <v>4.6574560856020231</v>
      </c>
      <c r="AD85" s="429">
        <v>3.2129991240409663</v>
      </c>
      <c r="AE85" s="429">
        <v>0</v>
      </c>
      <c r="AF85" s="429">
        <v>0</v>
      </c>
      <c r="AG85" s="429">
        <v>0</v>
      </c>
      <c r="AH85" s="429">
        <v>2.8579517090954449</v>
      </c>
      <c r="AI85" s="429">
        <v>6.2812906867302143</v>
      </c>
      <c r="AJ85" s="429">
        <v>6.0123363906682146</v>
      </c>
      <c r="AK85" s="429">
        <v>6.9268228459401371</v>
      </c>
      <c r="AL85" s="429">
        <v>0</v>
      </c>
      <c r="AM85" s="429">
        <v>0</v>
      </c>
      <c r="AN85" s="429">
        <v>0</v>
      </c>
      <c r="AO85" s="432"/>
      <c r="AP85" s="428">
        <v>41803.715267129628</v>
      </c>
      <c r="AQ85" s="431">
        <v>99.714560518038923</v>
      </c>
      <c r="AR85" s="431">
        <v>123.46134694292465</v>
      </c>
      <c r="AS85" s="431">
        <v>78.891947368920228</v>
      </c>
      <c r="AT85" s="431">
        <v>88.770430167324136</v>
      </c>
      <c r="AU85" s="431">
        <v>8.5776375708632155</v>
      </c>
      <c r="AV85" s="431">
        <v>58.495387469660386</v>
      </c>
      <c r="AW85" s="431">
        <v>11.473347216630579</v>
      </c>
      <c r="AX85" s="431">
        <v>6.0981019583965796</v>
      </c>
      <c r="AY85" s="431">
        <v>116.40327669092113</v>
      </c>
      <c r="AZ85" s="431">
        <v>-91.632620391413283</v>
      </c>
      <c r="BA85" s="431">
        <v>2.4008735198358209</v>
      </c>
      <c r="BB85" s="431">
        <v>3.0896042244733031</v>
      </c>
      <c r="BC85" s="431">
        <v>1.9539213531530961</v>
      </c>
      <c r="BD85" s="431">
        <v>80.040517835257177</v>
      </c>
      <c r="BE85" s="431">
        <v>363837.84176954377</v>
      </c>
      <c r="BF85" s="431">
        <v>8157.3992281795099</v>
      </c>
      <c r="BG85" s="431">
        <v>610.73549598388297</v>
      </c>
      <c r="BH85" s="431">
        <v>465256.62402762001</v>
      </c>
      <c r="BI85" s="431">
        <v>448112.43192235444</v>
      </c>
      <c r="BJ85" s="431">
        <v>42467.275208807056</v>
      </c>
      <c r="BK85" s="431">
        <v>415790.24510115944</v>
      </c>
      <c r="BL85" s="431">
        <v>3315.1054049520785</v>
      </c>
      <c r="BM85" s="431">
        <v>314.17002419316412</v>
      </c>
      <c r="BN85" s="431">
        <v>147.8368059516699</v>
      </c>
      <c r="BO85" s="431">
        <v>2712.3589676880647</v>
      </c>
      <c r="BP85" s="431">
        <v>257.0482016125888</v>
      </c>
      <c r="BQ85" s="431">
        <v>1642.936879686453</v>
      </c>
      <c r="BR85" s="431">
        <v>867.60859276926192</v>
      </c>
      <c r="BS85" s="431">
        <v>0</v>
      </c>
      <c r="BT85" s="431">
        <v>0</v>
      </c>
      <c r="BU85" s="431">
        <v>0</v>
      </c>
      <c r="BV85" s="431">
        <v>763.79426468382519</v>
      </c>
      <c r="BW85" s="431">
        <v>1344.6612708062298</v>
      </c>
      <c r="BX85" s="431">
        <v>1179.8376316032288</v>
      </c>
      <c r="BY85" s="431">
        <v>1034.3548236970996</v>
      </c>
      <c r="BZ85" s="431">
        <v>0</v>
      </c>
      <c r="CA85" s="431">
        <v>0</v>
      </c>
      <c r="CB85" s="431">
        <v>0</v>
      </c>
      <c r="CC85" s="432"/>
      <c r="CD85" s="428">
        <v>41803.715267129628</v>
      </c>
      <c r="CE85" s="433">
        <v>0.28867948499398594</v>
      </c>
      <c r="CF85" s="433">
        <v>0.21647902720720727</v>
      </c>
      <c r="CG85" s="433">
        <v>0.17973960391015936</v>
      </c>
      <c r="CH85" s="433">
        <v>0.14512519794382084</v>
      </c>
      <c r="CI85" s="433">
        <v>0.1207127188701978</v>
      </c>
      <c r="CJ85" s="433">
        <v>0.26042892738430146</v>
      </c>
      <c r="CK85" s="433">
        <v>0.24306585314092802</v>
      </c>
      <c r="CL85" s="433">
        <v>0.26123057689286194</v>
      </c>
      <c r="CM85" s="433">
        <v>0.19945374499368468</v>
      </c>
      <c r="CN85" s="433">
        <v>0.1874651959252118</v>
      </c>
      <c r="CO85" s="433">
        <v>0.6061180812254181</v>
      </c>
      <c r="CP85" s="433">
        <v>0.62118636882734224</v>
      </c>
      <c r="CQ85" s="433">
        <v>0.70077118864502774</v>
      </c>
      <c r="CR85" s="433">
        <v>0.38975168317710257</v>
      </c>
      <c r="CS85" s="433">
        <v>0.39443520669059223</v>
      </c>
      <c r="CT85" s="433">
        <v>0.447221292916757</v>
      </c>
      <c r="CU85" s="433">
        <v>0.51158194515084476</v>
      </c>
      <c r="CV85" s="433">
        <v>0.47604249083347333</v>
      </c>
      <c r="CW85" s="433">
        <v>0.4759898508915783</v>
      </c>
      <c r="CX85" s="433">
        <v>0.4007797062399322</v>
      </c>
      <c r="CY85" s="433">
        <v>0.43383847945766757</v>
      </c>
      <c r="CZ85" s="433">
        <v>0.29816004259848461</v>
      </c>
      <c r="DA85" s="433">
        <v>0.25104840798869349</v>
      </c>
      <c r="DB85" s="433">
        <v>0.78134770554504784</v>
      </c>
      <c r="DC85" s="433">
        <v>0.29816004259848461</v>
      </c>
      <c r="DD85" s="433">
        <v>0.25104840798869349</v>
      </c>
      <c r="DE85" s="433">
        <v>0.37034376886796982</v>
      </c>
      <c r="DF85" s="433">
        <v>0.39133505591051104</v>
      </c>
      <c r="DG85" s="433">
        <v>0</v>
      </c>
      <c r="DH85" s="433">
        <v>0</v>
      </c>
      <c r="DI85" s="433">
        <v>0</v>
      </c>
      <c r="DJ85" s="433">
        <v>0.34760074846819372</v>
      </c>
      <c r="DK85" s="433">
        <v>0.31679504526088992</v>
      </c>
      <c r="DL85" s="433">
        <v>0.28139108209329972</v>
      </c>
      <c r="DM85" s="433">
        <v>0.40065255724171372</v>
      </c>
      <c r="DN85" s="433">
        <v>0</v>
      </c>
      <c r="DO85" s="433">
        <v>0</v>
      </c>
      <c r="DP85" s="433">
        <v>0</v>
      </c>
      <c r="DR85" s="409" t="s">
        <v>711</v>
      </c>
      <c r="DS85" s="409" t="s">
        <v>2460</v>
      </c>
    </row>
    <row r="86" spans="2:123" s="1471" customFormat="1">
      <c r="B86" s="428">
        <v>41806.551298726852</v>
      </c>
      <c r="C86" s="429">
        <v>1.3988468986734504</v>
      </c>
      <c r="D86" s="429">
        <v>1.3907838359615508</v>
      </c>
      <c r="E86" s="429">
        <v>1.3870054169748067</v>
      </c>
      <c r="F86" s="429">
        <v>1.3349957256852503</v>
      </c>
      <c r="G86" s="429">
        <v>1.352726662194849</v>
      </c>
      <c r="H86" s="429">
        <v>1.3728538671482</v>
      </c>
      <c r="I86" s="429">
        <v>1.4233524757727452</v>
      </c>
      <c r="J86" s="429">
        <v>1.4593609610058667</v>
      </c>
      <c r="K86" s="429">
        <v>1.343788462614175</v>
      </c>
      <c r="L86" s="429">
        <v>1.4475966602287462</v>
      </c>
      <c r="M86" s="429">
        <v>1.3369872673677481</v>
      </c>
      <c r="N86" s="429">
        <v>1.34051420158193</v>
      </c>
      <c r="O86" s="429">
        <v>1.1144762094710536</v>
      </c>
      <c r="P86" s="429">
        <v>1.121768886049755</v>
      </c>
      <c r="Q86" s="429">
        <v>2918.9001210994288</v>
      </c>
      <c r="R86" s="429">
        <v>14.713615986108836</v>
      </c>
      <c r="S86" s="429">
        <v>18.577882853513408</v>
      </c>
      <c r="T86" s="429">
        <v>3801.0986428193655</v>
      </c>
      <c r="U86" s="429">
        <v>3937.4659846698569</v>
      </c>
      <c r="V86" s="429">
        <v>4048.8478662424718</v>
      </c>
      <c r="W86" s="429">
        <v>873.84499206301848</v>
      </c>
      <c r="X86" s="429">
        <v>9.5692439388489596</v>
      </c>
      <c r="Y86" s="429">
        <v>10.393239550912419</v>
      </c>
      <c r="Z86" s="429">
        <v>14.338461620955334</v>
      </c>
      <c r="AA86" s="429">
        <v>7.5067790538088026</v>
      </c>
      <c r="AB86" s="429">
        <v>8.1809572818607244</v>
      </c>
      <c r="AC86" s="429">
        <v>4.6574560856020231</v>
      </c>
      <c r="AD86" s="429">
        <v>3.2129991240409663</v>
      </c>
      <c r="AE86" s="429">
        <v>0</v>
      </c>
      <c r="AF86" s="429">
        <v>0</v>
      </c>
      <c r="AG86" s="429">
        <v>0</v>
      </c>
      <c r="AH86" s="429">
        <v>2.8579517090954449</v>
      </c>
      <c r="AI86" s="429">
        <v>6.2812906867302143</v>
      </c>
      <c r="AJ86" s="429">
        <v>6.0123363906682146</v>
      </c>
      <c r="AK86" s="429">
        <v>6.9268228459401371</v>
      </c>
      <c r="AL86" s="429">
        <v>0</v>
      </c>
      <c r="AM86" s="429">
        <v>0</v>
      </c>
      <c r="AN86" s="429">
        <v>0</v>
      </c>
      <c r="AO86" s="432"/>
      <c r="AP86" s="428">
        <v>41806.551298726852</v>
      </c>
      <c r="AQ86" s="431">
        <v>99.714560518038923</v>
      </c>
      <c r="AR86" s="431">
        <v>123.46134694292465</v>
      </c>
      <c r="AS86" s="431">
        <v>78.891947368920228</v>
      </c>
      <c r="AT86" s="431">
        <v>88.770430167324136</v>
      </c>
      <c r="AU86" s="431">
        <v>8.5776375708632155</v>
      </c>
      <c r="AV86" s="431">
        <v>58.495387469660386</v>
      </c>
      <c r="AW86" s="431">
        <v>11.473347216630579</v>
      </c>
      <c r="AX86" s="431">
        <v>6.0981019583965796</v>
      </c>
      <c r="AY86" s="431">
        <v>116.40327669092113</v>
      </c>
      <c r="AZ86" s="431">
        <v>-91.632620391413283</v>
      </c>
      <c r="BA86" s="431">
        <v>2.4008735198358209</v>
      </c>
      <c r="BB86" s="431">
        <v>3.0896042244733031</v>
      </c>
      <c r="BC86" s="431">
        <v>1.9539213531530961</v>
      </c>
      <c r="BD86" s="431">
        <v>80.040517835257177</v>
      </c>
      <c r="BE86" s="431">
        <v>363837.84176954377</v>
      </c>
      <c r="BF86" s="431">
        <v>8157.3992281795099</v>
      </c>
      <c r="BG86" s="431">
        <v>610.73549598388297</v>
      </c>
      <c r="BH86" s="431">
        <v>465256.62402762001</v>
      </c>
      <c r="BI86" s="431">
        <v>448112.43192235444</v>
      </c>
      <c r="BJ86" s="431">
        <v>42467.275208807056</v>
      </c>
      <c r="BK86" s="431">
        <v>415790.24510115944</v>
      </c>
      <c r="BL86" s="431">
        <v>3315.1054049520785</v>
      </c>
      <c r="BM86" s="431">
        <v>314.17002419316412</v>
      </c>
      <c r="BN86" s="431">
        <v>147.8368059516699</v>
      </c>
      <c r="BO86" s="431">
        <v>2712.3589676880647</v>
      </c>
      <c r="BP86" s="431">
        <v>257.0482016125888</v>
      </c>
      <c r="BQ86" s="431">
        <v>1642.936879686453</v>
      </c>
      <c r="BR86" s="431">
        <v>867.60859276926192</v>
      </c>
      <c r="BS86" s="431">
        <v>0</v>
      </c>
      <c r="BT86" s="431">
        <v>0</v>
      </c>
      <c r="BU86" s="431">
        <v>0</v>
      </c>
      <c r="BV86" s="431">
        <v>763.79426468382519</v>
      </c>
      <c r="BW86" s="431">
        <v>1344.6612708062298</v>
      </c>
      <c r="BX86" s="431">
        <v>1179.8376316032288</v>
      </c>
      <c r="BY86" s="431">
        <v>1034.3548236970996</v>
      </c>
      <c r="BZ86" s="431">
        <v>0</v>
      </c>
      <c r="CA86" s="431">
        <v>0</v>
      </c>
      <c r="CB86" s="431">
        <v>0</v>
      </c>
      <c r="CC86" s="432"/>
      <c r="CD86" s="428">
        <v>41806.551298726852</v>
      </c>
      <c r="CE86" s="433">
        <v>0.28867948499398594</v>
      </c>
      <c r="CF86" s="433">
        <v>0.21647902720720727</v>
      </c>
      <c r="CG86" s="433">
        <v>0.17973960391015936</v>
      </c>
      <c r="CH86" s="433">
        <v>0.14512519794382084</v>
      </c>
      <c r="CI86" s="433">
        <v>0.1207127188701978</v>
      </c>
      <c r="CJ86" s="433">
        <v>0.26042892738430146</v>
      </c>
      <c r="CK86" s="433">
        <v>0.24306585314092802</v>
      </c>
      <c r="CL86" s="433">
        <v>0.26123057689286194</v>
      </c>
      <c r="CM86" s="433">
        <v>0.19945374499368468</v>
      </c>
      <c r="CN86" s="433">
        <v>0.1874651959252118</v>
      </c>
      <c r="CO86" s="433">
        <v>0.6061180812254181</v>
      </c>
      <c r="CP86" s="433">
        <v>0.62118636882734224</v>
      </c>
      <c r="CQ86" s="433">
        <v>0.70077118864502774</v>
      </c>
      <c r="CR86" s="433">
        <v>0.38975168317710257</v>
      </c>
      <c r="CS86" s="433">
        <v>0.39443520669059223</v>
      </c>
      <c r="CT86" s="433">
        <v>0.447221292916757</v>
      </c>
      <c r="CU86" s="433">
        <v>0.51158194515084476</v>
      </c>
      <c r="CV86" s="433">
        <v>0.47604249083347333</v>
      </c>
      <c r="CW86" s="433">
        <v>0.4759898508915783</v>
      </c>
      <c r="CX86" s="433">
        <v>0.4007797062399322</v>
      </c>
      <c r="CY86" s="433">
        <v>0.43383847945766757</v>
      </c>
      <c r="CZ86" s="433">
        <v>0.29816004259848461</v>
      </c>
      <c r="DA86" s="433">
        <v>0.25104840798869349</v>
      </c>
      <c r="DB86" s="433">
        <v>0.78134770554504784</v>
      </c>
      <c r="DC86" s="433">
        <v>0.29816004259848461</v>
      </c>
      <c r="DD86" s="433">
        <v>0.25104840798869349</v>
      </c>
      <c r="DE86" s="433">
        <v>0.37034376886796982</v>
      </c>
      <c r="DF86" s="433">
        <v>0.39133505591051104</v>
      </c>
      <c r="DG86" s="433">
        <v>0</v>
      </c>
      <c r="DH86" s="433">
        <v>0</v>
      </c>
      <c r="DI86" s="433">
        <v>0</v>
      </c>
      <c r="DJ86" s="433">
        <v>0.34760074846819372</v>
      </c>
      <c r="DK86" s="433">
        <v>0.31679504526088992</v>
      </c>
      <c r="DL86" s="433">
        <v>0.28139108209329972</v>
      </c>
      <c r="DM86" s="433">
        <v>0.40065255724171372</v>
      </c>
      <c r="DN86" s="433">
        <v>0</v>
      </c>
      <c r="DO86" s="433">
        <v>0</v>
      </c>
      <c r="DP86" s="433">
        <v>0</v>
      </c>
      <c r="DR86" s="409" t="s">
        <v>711</v>
      </c>
      <c r="DS86" s="409" t="s">
        <v>2473</v>
      </c>
    </row>
    <row r="87" spans="2:123" s="1471" customFormat="1">
      <c r="B87" s="428">
        <v>41806.557595254628</v>
      </c>
      <c r="C87" s="429">
        <v>1.3988468986734504</v>
      </c>
      <c r="D87" s="429">
        <v>1.3907838359615508</v>
      </c>
      <c r="E87" s="429">
        <v>1.3870054169748067</v>
      </c>
      <c r="F87" s="429">
        <v>1.3349957256852503</v>
      </c>
      <c r="G87" s="429">
        <v>1.352726662194849</v>
      </c>
      <c r="H87" s="429">
        <v>1.3728538671482</v>
      </c>
      <c r="I87" s="429">
        <v>1.4198233828346805</v>
      </c>
      <c r="J87" s="429">
        <v>1.4593609610058667</v>
      </c>
      <c r="K87" s="429">
        <v>1.343788462614175</v>
      </c>
      <c r="L87" s="429">
        <v>1.4475966602287462</v>
      </c>
      <c r="M87" s="429">
        <v>1.3369872673677481</v>
      </c>
      <c r="N87" s="429">
        <v>1.34051420158193</v>
      </c>
      <c r="O87" s="429">
        <v>1.1144762094710536</v>
      </c>
      <c r="P87" s="429">
        <v>1.121768886049755</v>
      </c>
      <c r="Q87" s="429">
        <v>2918.9001210994288</v>
      </c>
      <c r="R87" s="429">
        <v>14.713615986108836</v>
      </c>
      <c r="S87" s="429">
        <v>18.109458042981711</v>
      </c>
      <c r="T87" s="429">
        <v>3801.0986428193655</v>
      </c>
      <c r="U87" s="429">
        <v>3937.4659846698569</v>
      </c>
      <c r="V87" s="429">
        <v>4032.6246140413928</v>
      </c>
      <c r="W87" s="429">
        <v>873.84499206301848</v>
      </c>
      <c r="X87" s="429">
        <v>9.5692439388489596</v>
      </c>
      <c r="Y87" s="429">
        <v>10.273221030500078</v>
      </c>
      <c r="Z87" s="429">
        <v>14.338461620955334</v>
      </c>
      <c r="AA87" s="429">
        <v>7.5067790538088026</v>
      </c>
      <c r="AB87" s="429">
        <v>8.0827603106142618</v>
      </c>
      <c r="AC87" s="429">
        <v>4.6574560856020231</v>
      </c>
      <c r="AD87" s="429">
        <v>3.2129991240409663</v>
      </c>
      <c r="AE87" s="429">
        <v>0</v>
      </c>
      <c r="AF87" s="429">
        <v>0</v>
      </c>
      <c r="AG87" s="429">
        <v>0</v>
      </c>
      <c r="AH87" s="429">
        <v>2.8579517090954449</v>
      </c>
      <c r="AI87" s="429">
        <v>6.2812906867302143</v>
      </c>
      <c r="AJ87" s="429">
        <v>6.0123363906682146</v>
      </c>
      <c r="AK87" s="429">
        <v>6.9268228459401371</v>
      </c>
      <c r="AL87" s="429">
        <v>0</v>
      </c>
      <c r="AM87" s="429">
        <v>0</v>
      </c>
      <c r="AN87" s="429">
        <v>0</v>
      </c>
      <c r="AO87" s="432"/>
      <c r="AP87" s="428">
        <v>41806.557595254628</v>
      </c>
      <c r="AQ87" s="431">
        <v>99.714560518038923</v>
      </c>
      <c r="AR87" s="431">
        <v>123.46134694292465</v>
      </c>
      <c r="AS87" s="431">
        <v>78.891947368920228</v>
      </c>
      <c r="AT87" s="431">
        <v>88.770430167324136</v>
      </c>
      <c r="AU87" s="431">
        <v>8.5776375708632155</v>
      </c>
      <c r="AV87" s="431">
        <v>58.495387469660386</v>
      </c>
      <c r="AW87" s="431">
        <v>-10.277532970714979</v>
      </c>
      <c r="AX87" s="431">
        <v>6.0981019583965796</v>
      </c>
      <c r="AY87" s="431">
        <v>116.40327669092113</v>
      </c>
      <c r="AZ87" s="431">
        <v>-91.632620391413283</v>
      </c>
      <c r="BA87" s="431">
        <v>2.4008735198358209</v>
      </c>
      <c r="BB87" s="431">
        <v>3.0896042244733031</v>
      </c>
      <c r="BC87" s="431">
        <v>1.9539213531530961</v>
      </c>
      <c r="BD87" s="431">
        <v>80.040517835257177</v>
      </c>
      <c r="BE87" s="431">
        <v>363837.84176954377</v>
      </c>
      <c r="BF87" s="431">
        <v>8157.3992281795099</v>
      </c>
      <c r="BG87" s="431">
        <v>-2276.3100166917611</v>
      </c>
      <c r="BH87" s="431">
        <v>465256.62402762001</v>
      </c>
      <c r="BI87" s="431">
        <v>448112.43192235444</v>
      </c>
      <c r="BJ87" s="431">
        <v>-57521.594755116748</v>
      </c>
      <c r="BK87" s="431">
        <v>415790.24510115944</v>
      </c>
      <c r="BL87" s="431">
        <v>3315.1054049520785</v>
      </c>
      <c r="BM87" s="431">
        <v>-425.54086003842889</v>
      </c>
      <c r="BN87" s="431">
        <v>147.8368059516699</v>
      </c>
      <c r="BO87" s="431">
        <v>2712.3589676880647</v>
      </c>
      <c r="BP87" s="431">
        <v>-348.16979457689638</v>
      </c>
      <c r="BQ87" s="431">
        <v>1642.936879686453</v>
      </c>
      <c r="BR87" s="431">
        <v>867.60859276926192</v>
      </c>
      <c r="BS87" s="431">
        <v>0</v>
      </c>
      <c r="BT87" s="431">
        <v>0</v>
      </c>
      <c r="BU87" s="431">
        <v>0</v>
      </c>
      <c r="BV87" s="431">
        <v>763.79426468382519</v>
      </c>
      <c r="BW87" s="431">
        <v>1344.6612708062298</v>
      </c>
      <c r="BX87" s="431">
        <v>1179.8376316032288</v>
      </c>
      <c r="BY87" s="431">
        <v>1034.3548236970996</v>
      </c>
      <c r="BZ87" s="431">
        <v>0</v>
      </c>
      <c r="CA87" s="431">
        <v>0</v>
      </c>
      <c r="CB87" s="431">
        <v>0</v>
      </c>
      <c r="CC87" s="432"/>
      <c r="CD87" s="428">
        <v>41806.557595254628</v>
      </c>
      <c r="CE87" s="433">
        <v>0.28867948499398594</v>
      </c>
      <c r="CF87" s="433">
        <v>0.21647902720720727</v>
      </c>
      <c r="CG87" s="433">
        <v>0.17973960391015936</v>
      </c>
      <c r="CH87" s="433">
        <v>0.14512519794382084</v>
      </c>
      <c r="CI87" s="433">
        <v>0.1207127188701978</v>
      </c>
      <c r="CJ87" s="433">
        <v>0.26042892738430146</v>
      </c>
      <c r="CK87" s="433">
        <v>0.24306585314092802</v>
      </c>
      <c r="CL87" s="433">
        <v>0.26123057689286194</v>
      </c>
      <c r="CM87" s="433">
        <v>0.19945374499368468</v>
      </c>
      <c r="CN87" s="433">
        <v>0.1874651959252118</v>
      </c>
      <c r="CO87" s="433">
        <v>0.6061180812254181</v>
      </c>
      <c r="CP87" s="433">
        <v>0.62118636882734224</v>
      </c>
      <c r="CQ87" s="433">
        <v>0.70077118864502774</v>
      </c>
      <c r="CR87" s="433">
        <v>0.38975168317710257</v>
      </c>
      <c r="CS87" s="433">
        <v>0.39443520669059223</v>
      </c>
      <c r="CT87" s="433">
        <v>0.447221292916757</v>
      </c>
      <c r="CU87" s="433">
        <v>0.51158194515084476</v>
      </c>
      <c r="CV87" s="433">
        <v>0.47604249083347333</v>
      </c>
      <c r="CW87" s="433">
        <v>0.4759898508915783</v>
      </c>
      <c r="CX87" s="433">
        <v>0.4007797062399322</v>
      </c>
      <c r="CY87" s="433">
        <v>0.43383847945766757</v>
      </c>
      <c r="CZ87" s="433">
        <v>0.29816004259848461</v>
      </c>
      <c r="DA87" s="433">
        <v>0.25104840798869349</v>
      </c>
      <c r="DB87" s="433">
        <v>0.78134770554504784</v>
      </c>
      <c r="DC87" s="433">
        <v>0.29816004259848461</v>
      </c>
      <c r="DD87" s="433">
        <v>0.25104840798869349</v>
      </c>
      <c r="DE87" s="433">
        <v>0.37034376886796982</v>
      </c>
      <c r="DF87" s="433">
        <v>0.39133505591051104</v>
      </c>
      <c r="DG87" s="433">
        <v>0</v>
      </c>
      <c r="DH87" s="433">
        <v>0</v>
      </c>
      <c r="DI87" s="433">
        <v>0</v>
      </c>
      <c r="DJ87" s="433">
        <v>0.34760074846819372</v>
      </c>
      <c r="DK87" s="433">
        <v>0.31679504526088992</v>
      </c>
      <c r="DL87" s="433">
        <v>0.28139108209329972</v>
      </c>
      <c r="DM87" s="433">
        <v>0.40065255724171372</v>
      </c>
      <c r="DN87" s="433">
        <v>0</v>
      </c>
      <c r="DO87" s="433">
        <v>0</v>
      </c>
      <c r="DP87" s="433">
        <v>0</v>
      </c>
      <c r="DR87" s="409" t="s">
        <v>711</v>
      </c>
      <c r="DS87" s="409" t="s">
        <v>2478</v>
      </c>
    </row>
    <row r="88" spans="2:123" s="1471" customFormat="1">
      <c r="B88" s="428">
        <v>41815.580313773149</v>
      </c>
      <c r="C88" s="429">
        <v>1.3988468986734504</v>
      </c>
      <c r="D88" s="429">
        <v>1.3907838359615508</v>
      </c>
      <c r="E88" s="429">
        <v>1.3870054169748067</v>
      </c>
      <c r="F88" s="429">
        <v>1.3349957256852503</v>
      </c>
      <c r="G88" s="429">
        <v>1.352726662194849</v>
      </c>
      <c r="H88" s="429">
        <v>1.3728538671482</v>
      </c>
      <c r="I88" s="429">
        <v>1.4198233828346805</v>
      </c>
      <c r="J88" s="429">
        <v>1.4593609610058667</v>
      </c>
      <c r="K88" s="429">
        <v>1.343788462614175</v>
      </c>
      <c r="L88" s="429">
        <v>1.4475966602287462</v>
      </c>
      <c r="M88" s="429">
        <v>1.3369872673677481</v>
      </c>
      <c r="N88" s="429">
        <v>1.34051420158193</v>
      </c>
      <c r="O88" s="429">
        <v>1.1144762094710536</v>
      </c>
      <c r="P88" s="429">
        <v>1.121768886049755</v>
      </c>
      <c r="Q88" s="429">
        <v>2918.9001210994288</v>
      </c>
      <c r="R88" s="429">
        <v>14.713615986108836</v>
      </c>
      <c r="S88" s="429">
        <v>18.109458042981711</v>
      </c>
      <c r="T88" s="429">
        <v>3801.0986428193655</v>
      </c>
      <c r="U88" s="429">
        <v>3937.4659846698569</v>
      </c>
      <c r="V88" s="429">
        <v>4032.6246140413928</v>
      </c>
      <c r="W88" s="429">
        <v>873.84499206301848</v>
      </c>
      <c r="X88" s="429">
        <v>85.988102757015668</v>
      </c>
      <c r="Y88" s="429">
        <v>86.692079848666779</v>
      </c>
      <c r="Z88" s="429">
        <v>120.77521472277927</v>
      </c>
      <c r="AA88" s="429">
        <v>36.806779053808803</v>
      </c>
      <c r="AB88" s="429">
        <v>37.382760310614266</v>
      </c>
      <c r="AC88" s="429">
        <v>33.957456085602026</v>
      </c>
      <c r="AD88" s="429">
        <v>3.2129991240409663</v>
      </c>
      <c r="AE88" s="429">
        <v>0</v>
      </c>
      <c r="AF88" s="429">
        <v>0</v>
      </c>
      <c r="AG88" s="429">
        <v>0</v>
      </c>
      <c r="AH88" s="429">
        <v>2.8579517090954449</v>
      </c>
      <c r="AI88" s="429">
        <v>6.2812906867302143</v>
      </c>
      <c r="AJ88" s="429">
        <v>6.0123363906682146</v>
      </c>
      <c r="AK88" s="429">
        <v>6.9268228459401371</v>
      </c>
      <c r="AL88" s="429">
        <v>0</v>
      </c>
      <c r="AM88" s="429">
        <v>0</v>
      </c>
      <c r="AN88" s="429">
        <v>0</v>
      </c>
      <c r="AO88" s="432"/>
      <c r="AP88" s="428">
        <v>41815.580313773149</v>
      </c>
      <c r="AQ88" s="431">
        <v>99.714560518038923</v>
      </c>
      <c r="AR88" s="431">
        <v>123.46134694292465</v>
      </c>
      <c r="AS88" s="431">
        <v>78.891947368920228</v>
      </c>
      <c r="AT88" s="431">
        <v>88.770430167324136</v>
      </c>
      <c r="AU88" s="431">
        <v>8.5776375708632155</v>
      </c>
      <c r="AV88" s="431">
        <v>58.495387469660386</v>
      </c>
      <c r="AW88" s="431">
        <v>-10.277532970714979</v>
      </c>
      <c r="AX88" s="431">
        <v>6.0981019583965796</v>
      </c>
      <c r="AY88" s="431">
        <v>116.40327669092113</v>
      </c>
      <c r="AZ88" s="431">
        <v>-91.632620391413283</v>
      </c>
      <c r="BA88" s="431">
        <v>2.4008735198358209</v>
      </c>
      <c r="BB88" s="431">
        <v>3.0896042244733031</v>
      </c>
      <c r="BC88" s="431">
        <v>1.9539213531530961</v>
      </c>
      <c r="BD88" s="431">
        <v>80.040517835257177</v>
      </c>
      <c r="BE88" s="431">
        <v>363837.84176954377</v>
      </c>
      <c r="BF88" s="431">
        <v>8157.3992281795099</v>
      </c>
      <c r="BG88" s="431">
        <v>-2276.3100166917611</v>
      </c>
      <c r="BH88" s="431">
        <v>465256.62402762001</v>
      </c>
      <c r="BI88" s="431">
        <v>448112.43192235444</v>
      </c>
      <c r="BJ88" s="431">
        <v>-57521.594755116748</v>
      </c>
      <c r="BK88" s="431">
        <v>415790.24510115944</v>
      </c>
      <c r="BL88" s="431">
        <v>3315.1054049520785</v>
      </c>
      <c r="BM88" s="431">
        <v>-425.54086003842889</v>
      </c>
      <c r="BN88" s="431">
        <v>147.8368059516699</v>
      </c>
      <c r="BO88" s="431">
        <v>2712.3589676880647</v>
      </c>
      <c r="BP88" s="431">
        <v>-348.16979457689638</v>
      </c>
      <c r="BQ88" s="431">
        <v>1642.936879686453</v>
      </c>
      <c r="BR88" s="431">
        <v>867.60859276926192</v>
      </c>
      <c r="BS88" s="431">
        <v>0</v>
      </c>
      <c r="BT88" s="431">
        <v>0</v>
      </c>
      <c r="BU88" s="431">
        <v>0</v>
      </c>
      <c r="BV88" s="431">
        <v>763.79426468382519</v>
      </c>
      <c r="BW88" s="431">
        <v>1344.6612708062298</v>
      </c>
      <c r="BX88" s="431">
        <v>1179.8376316032288</v>
      </c>
      <c r="BY88" s="431">
        <v>1034.3548236970996</v>
      </c>
      <c r="BZ88" s="431">
        <v>0</v>
      </c>
      <c r="CA88" s="431">
        <v>0</v>
      </c>
      <c r="CB88" s="431">
        <v>0</v>
      </c>
      <c r="CC88" s="432"/>
      <c r="CD88" s="428">
        <v>41815.580313773149</v>
      </c>
      <c r="CE88" s="433">
        <v>0.28867948499398594</v>
      </c>
      <c r="CF88" s="433">
        <v>0.21647902720720727</v>
      </c>
      <c r="CG88" s="433">
        <v>0.17973960391015936</v>
      </c>
      <c r="CH88" s="433">
        <v>0.14512519794382084</v>
      </c>
      <c r="CI88" s="433">
        <v>0.1207127188701978</v>
      </c>
      <c r="CJ88" s="433">
        <v>0.26042892738430146</v>
      </c>
      <c r="CK88" s="433">
        <v>0.24306585314092802</v>
      </c>
      <c r="CL88" s="433">
        <v>0.26123057689286194</v>
      </c>
      <c r="CM88" s="433">
        <v>0.19945374499368468</v>
      </c>
      <c r="CN88" s="433">
        <v>0.1874651959252118</v>
      </c>
      <c r="CO88" s="433">
        <v>0.6061180812254181</v>
      </c>
      <c r="CP88" s="433">
        <v>0.62118636882734224</v>
      </c>
      <c r="CQ88" s="433">
        <v>0.70077118864502774</v>
      </c>
      <c r="CR88" s="433">
        <v>0.38975168317710257</v>
      </c>
      <c r="CS88" s="433">
        <v>0.39443520669059223</v>
      </c>
      <c r="CT88" s="433">
        <v>0.447221292916757</v>
      </c>
      <c r="CU88" s="433">
        <v>0.51158194515084476</v>
      </c>
      <c r="CV88" s="433">
        <v>0.47604249083347333</v>
      </c>
      <c r="CW88" s="433">
        <v>0.4759898508915783</v>
      </c>
      <c r="CX88" s="433">
        <v>0.4007797062399322</v>
      </c>
      <c r="CY88" s="433">
        <v>0.43383847945766757</v>
      </c>
      <c r="CZ88" s="433">
        <v>0.29816004259848461</v>
      </c>
      <c r="DA88" s="433">
        <v>0.25104840798869349</v>
      </c>
      <c r="DB88" s="433">
        <v>0.78134770554504784</v>
      </c>
      <c r="DC88" s="433">
        <v>0.29816004259848461</v>
      </c>
      <c r="DD88" s="433">
        <v>0.25104840798869349</v>
      </c>
      <c r="DE88" s="433">
        <v>0.37034376886796982</v>
      </c>
      <c r="DF88" s="433">
        <v>0.39133505591051104</v>
      </c>
      <c r="DG88" s="433">
        <v>0</v>
      </c>
      <c r="DH88" s="433">
        <v>0</v>
      </c>
      <c r="DI88" s="433">
        <v>0</v>
      </c>
      <c r="DJ88" s="433">
        <v>0.34760074846819372</v>
      </c>
      <c r="DK88" s="433">
        <v>0.31679504526088992</v>
      </c>
      <c r="DL88" s="433">
        <v>0.28139108209329972</v>
      </c>
      <c r="DM88" s="433">
        <v>0.40065255724171372</v>
      </c>
      <c r="DN88" s="433">
        <v>0</v>
      </c>
      <c r="DO88" s="433">
        <v>0</v>
      </c>
      <c r="DP88" s="433">
        <v>0</v>
      </c>
      <c r="DR88" s="409" t="s">
        <v>855</v>
      </c>
      <c r="DS88" s="409" t="s">
        <v>2480</v>
      </c>
    </row>
    <row r="89" spans="2:123" s="1471" customFormat="1">
      <c r="B89" s="428">
        <v>41815.613991550927</v>
      </c>
      <c r="C89" s="429">
        <v>1.3988468986734504</v>
      </c>
      <c r="D89" s="429">
        <v>1.3907838359615508</v>
      </c>
      <c r="E89" s="429">
        <v>1.3870054169748067</v>
      </c>
      <c r="F89" s="429">
        <v>1.3349957256852503</v>
      </c>
      <c r="G89" s="429">
        <v>1.352726662194849</v>
      </c>
      <c r="H89" s="429">
        <v>1.3728538671482</v>
      </c>
      <c r="I89" s="429">
        <v>1.4198233828346805</v>
      </c>
      <c r="J89" s="429">
        <v>1.4593609610058667</v>
      </c>
      <c r="K89" s="429">
        <v>1.343788462614175</v>
      </c>
      <c r="L89" s="429">
        <v>1.4475966602287462</v>
      </c>
      <c r="M89" s="429">
        <v>1.3369872673677481</v>
      </c>
      <c r="N89" s="429">
        <v>1.34051420158193</v>
      </c>
      <c r="O89" s="429">
        <v>1.1144762094710536</v>
      </c>
      <c r="P89" s="429">
        <v>1.121768886049755</v>
      </c>
      <c r="Q89" s="429">
        <v>2918.9001210994288</v>
      </c>
      <c r="R89" s="429">
        <v>14.713615986108836</v>
      </c>
      <c r="S89" s="429">
        <v>18.109458042981711</v>
      </c>
      <c r="T89" s="429">
        <v>3801.0986428193655</v>
      </c>
      <c r="U89" s="429">
        <v>3937.4659846698569</v>
      </c>
      <c r="V89" s="429">
        <v>4032.6246140413928</v>
      </c>
      <c r="W89" s="429">
        <v>873.84499206301848</v>
      </c>
      <c r="X89" s="429">
        <v>85.988102757015668</v>
      </c>
      <c r="Y89" s="429">
        <v>86.692079848666779</v>
      </c>
      <c r="Z89" s="429">
        <v>120.77521472277927</v>
      </c>
      <c r="AA89" s="429">
        <v>36.806779053808803</v>
      </c>
      <c r="AB89" s="429">
        <v>37.382760310614266</v>
      </c>
      <c r="AC89" s="429">
        <v>33.957456085602026</v>
      </c>
      <c r="AD89" s="429">
        <v>3.2129991240409663</v>
      </c>
      <c r="AE89" s="429">
        <v>0</v>
      </c>
      <c r="AF89" s="429">
        <v>0</v>
      </c>
      <c r="AG89" s="429">
        <v>0</v>
      </c>
      <c r="AH89" s="429">
        <v>2.8579517090954449</v>
      </c>
      <c r="AI89" s="429">
        <v>6.2812906867302143</v>
      </c>
      <c r="AJ89" s="429">
        <v>6.0123363906682146</v>
      </c>
      <c r="AK89" s="429">
        <v>6.9268228459401371</v>
      </c>
      <c r="AL89" s="429">
        <v>0</v>
      </c>
      <c r="AM89" s="429">
        <v>0</v>
      </c>
      <c r="AN89" s="429">
        <v>0</v>
      </c>
      <c r="AO89" s="432"/>
      <c r="AP89" s="428">
        <v>41815.613991550927</v>
      </c>
      <c r="AQ89" s="431">
        <v>99.714560518038923</v>
      </c>
      <c r="AR89" s="431">
        <v>123.46134694292465</v>
      </c>
      <c r="AS89" s="431">
        <v>78.891947368920228</v>
      </c>
      <c r="AT89" s="431">
        <v>88.770430167324136</v>
      </c>
      <c r="AU89" s="431">
        <v>8.5776375708632155</v>
      </c>
      <c r="AV89" s="431">
        <v>58.495387469660386</v>
      </c>
      <c r="AW89" s="431">
        <v>-10.277532970714979</v>
      </c>
      <c r="AX89" s="431">
        <v>6.0981019583965796</v>
      </c>
      <c r="AY89" s="431">
        <v>116.40327669092113</v>
      </c>
      <c r="AZ89" s="431">
        <v>-91.632620391413283</v>
      </c>
      <c r="BA89" s="431">
        <v>2.4008735198358209</v>
      </c>
      <c r="BB89" s="431">
        <v>3.0896042244733031</v>
      </c>
      <c r="BC89" s="431">
        <v>1.9539213531530961</v>
      </c>
      <c r="BD89" s="431">
        <v>80.040517835257177</v>
      </c>
      <c r="BE89" s="431">
        <v>363837.84176954377</v>
      </c>
      <c r="BF89" s="431">
        <v>8157.3992281795099</v>
      </c>
      <c r="BG89" s="431">
        <v>-2276.3100166917611</v>
      </c>
      <c r="BH89" s="431">
        <v>465256.62402762001</v>
      </c>
      <c r="BI89" s="431">
        <v>448112.43192235444</v>
      </c>
      <c r="BJ89" s="431">
        <v>-57521.594755116748</v>
      </c>
      <c r="BK89" s="431">
        <v>415790.24510115944</v>
      </c>
      <c r="BL89" s="431">
        <v>3315.1054049520785</v>
      </c>
      <c r="BM89" s="431">
        <v>-425.54086003842889</v>
      </c>
      <c r="BN89" s="431">
        <v>147.8368059516699</v>
      </c>
      <c r="BO89" s="431">
        <v>2712.3589676880647</v>
      </c>
      <c r="BP89" s="431">
        <v>-348.16979457689638</v>
      </c>
      <c r="BQ89" s="431">
        <v>1642.936879686453</v>
      </c>
      <c r="BR89" s="431">
        <v>867.60859276926192</v>
      </c>
      <c r="BS89" s="431">
        <v>0</v>
      </c>
      <c r="BT89" s="431">
        <v>0</v>
      </c>
      <c r="BU89" s="431">
        <v>0</v>
      </c>
      <c r="BV89" s="431">
        <v>763.79426468382519</v>
      </c>
      <c r="BW89" s="431">
        <v>1344.6612708062298</v>
      </c>
      <c r="BX89" s="431">
        <v>1179.8376316032288</v>
      </c>
      <c r="BY89" s="431">
        <v>1034.3548236970996</v>
      </c>
      <c r="BZ89" s="431">
        <v>0</v>
      </c>
      <c r="CA89" s="431">
        <v>0</v>
      </c>
      <c r="CB89" s="431">
        <v>0</v>
      </c>
      <c r="CC89" s="432"/>
      <c r="CD89" s="428">
        <v>41815.613991550927</v>
      </c>
      <c r="CE89" s="433">
        <v>0.28867948499398594</v>
      </c>
      <c r="CF89" s="433">
        <v>0.21647902720720727</v>
      </c>
      <c r="CG89" s="433">
        <v>0.17973960391015936</v>
      </c>
      <c r="CH89" s="433">
        <v>0.14512519794382084</v>
      </c>
      <c r="CI89" s="433">
        <v>0.1207127188701978</v>
      </c>
      <c r="CJ89" s="433">
        <v>0.26042892738430146</v>
      </c>
      <c r="CK89" s="433">
        <v>0.24306585314092802</v>
      </c>
      <c r="CL89" s="433">
        <v>0.26123057689286194</v>
      </c>
      <c r="CM89" s="433">
        <v>0.19945374499368468</v>
      </c>
      <c r="CN89" s="433">
        <v>0.1874651959252118</v>
      </c>
      <c r="CO89" s="433">
        <v>0.6061180812254181</v>
      </c>
      <c r="CP89" s="433">
        <v>0.62118636882734224</v>
      </c>
      <c r="CQ89" s="433">
        <v>0.70077118864502774</v>
      </c>
      <c r="CR89" s="433">
        <v>0.38975168317710257</v>
      </c>
      <c r="CS89" s="433">
        <v>0.39443520669059223</v>
      </c>
      <c r="CT89" s="433">
        <v>0.447221292916757</v>
      </c>
      <c r="CU89" s="433">
        <v>0.51158194515084476</v>
      </c>
      <c r="CV89" s="433">
        <v>0.47604249083347333</v>
      </c>
      <c r="CW89" s="433">
        <v>0.4759898508915783</v>
      </c>
      <c r="CX89" s="433">
        <v>0.4007797062399322</v>
      </c>
      <c r="CY89" s="433">
        <v>0.43383847945766757</v>
      </c>
      <c r="CZ89" s="433">
        <v>0.29816004259848461</v>
      </c>
      <c r="DA89" s="433">
        <v>0.25104840798869349</v>
      </c>
      <c r="DB89" s="433">
        <v>0.78134770554504784</v>
      </c>
      <c r="DC89" s="433">
        <v>0.29816004259848461</v>
      </c>
      <c r="DD89" s="433">
        <v>0.25104840798869349</v>
      </c>
      <c r="DE89" s="433">
        <v>0.37034376886796982</v>
      </c>
      <c r="DF89" s="433">
        <v>0.39133505591051104</v>
      </c>
      <c r="DG89" s="433">
        <v>0</v>
      </c>
      <c r="DH89" s="433">
        <v>0</v>
      </c>
      <c r="DI89" s="433">
        <v>0</v>
      </c>
      <c r="DJ89" s="433">
        <v>0.34760074846819372</v>
      </c>
      <c r="DK89" s="433">
        <v>0.31679504526088992</v>
      </c>
      <c r="DL89" s="433">
        <v>0.28139108209329972</v>
      </c>
      <c r="DM89" s="433">
        <v>0.40065255724171372</v>
      </c>
      <c r="DN89" s="433">
        <v>0</v>
      </c>
      <c r="DO89" s="433">
        <v>0</v>
      </c>
      <c r="DP89" s="433">
        <v>0</v>
      </c>
      <c r="DR89" s="409" t="s">
        <v>855</v>
      </c>
      <c r="DS89" s="409" t="s">
        <v>2483</v>
      </c>
    </row>
    <row r="90" spans="2:123" s="1471" customFormat="1">
      <c r="B90" s="428">
        <v>41815.617350347224</v>
      </c>
      <c r="C90" s="429">
        <v>1.3988468986734504</v>
      </c>
      <c r="D90" s="429">
        <v>1.3907838359615508</v>
      </c>
      <c r="E90" s="429">
        <v>1.3870054169748067</v>
      </c>
      <c r="F90" s="429">
        <v>1.3349957256852503</v>
      </c>
      <c r="G90" s="429">
        <v>1.352726662194849</v>
      </c>
      <c r="H90" s="429">
        <v>1.3728538671482</v>
      </c>
      <c r="I90" s="429">
        <v>1.4198233828346805</v>
      </c>
      <c r="J90" s="429">
        <v>1.4593609610058667</v>
      </c>
      <c r="K90" s="429">
        <v>1.343788462614175</v>
      </c>
      <c r="L90" s="429">
        <v>1.4475966602287462</v>
      </c>
      <c r="M90" s="429">
        <v>1.3369872673677481</v>
      </c>
      <c r="N90" s="429">
        <v>1.34051420158193</v>
      </c>
      <c r="O90" s="429">
        <v>1.1144762094710536</v>
      </c>
      <c r="P90" s="429">
        <v>1.121768886049755</v>
      </c>
      <c r="Q90" s="429">
        <v>2918.9001210994288</v>
      </c>
      <c r="R90" s="429">
        <v>14.713615986108836</v>
      </c>
      <c r="S90" s="429">
        <v>18.109458042981711</v>
      </c>
      <c r="T90" s="429">
        <v>3801.0986428193655</v>
      </c>
      <c r="U90" s="429">
        <v>3937.4659846698569</v>
      </c>
      <c r="V90" s="429">
        <v>4032.6246140413928</v>
      </c>
      <c r="W90" s="429">
        <v>873.84499206301848</v>
      </c>
      <c r="X90" s="429">
        <v>51.697274393764076</v>
      </c>
      <c r="Y90" s="429">
        <v>52.401251485415195</v>
      </c>
      <c r="Z90" s="429">
        <v>56.717903257973973</v>
      </c>
      <c r="AA90" s="429">
        <v>36.806779053808803</v>
      </c>
      <c r="AB90" s="429">
        <v>37.382760310614266</v>
      </c>
      <c r="AC90" s="429">
        <v>33.957456085602026</v>
      </c>
      <c r="AD90" s="429">
        <v>3.2129991240409663</v>
      </c>
      <c r="AE90" s="429">
        <v>0</v>
      </c>
      <c r="AF90" s="429">
        <v>0</v>
      </c>
      <c r="AG90" s="429">
        <v>0</v>
      </c>
      <c r="AH90" s="429">
        <v>2.8579517090954449</v>
      </c>
      <c r="AI90" s="429">
        <v>6.2812906867302143</v>
      </c>
      <c r="AJ90" s="429">
        <v>6.0123363906682146</v>
      </c>
      <c r="AK90" s="429">
        <v>6.9268228459401371</v>
      </c>
      <c r="AL90" s="429">
        <v>0</v>
      </c>
      <c r="AM90" s="429">
        <v>0</v>
      </c>
      <c r="AN90" s="429">
        <v>0</v>
      </c>
      <c r="AO90" s="432"/>
      <c r="AP90" s="428">
        <v>41815.617350347224</v>
      </c>
      <c r="AQ90" s="431">
        <v>99.714560518038923</v>
      </c>
      <c r="AR90" s="431">
        <v>123.46134694292465</v>
      </c>
      <c r="AS90" s="431">
        <v>78.891947368920228</v>
      </c>
      <c r="AT90" s="431">
        <v>88.770430167324136</v>
      </c>
      <c r="AU90" s="431">
        <v>8.5776375708632155</v>
      </c>
      <c r="AV90" s="431">
        <v>58.495387469660386</v>
      </c>
      <c r="AW90" s="431">
        <v>-10.277532970714979</v>
      </c>
      <c r="AX90" s="431">
        <v>6.0981019583965796</v>
      </c>
      <c r="AY90" s="431">
        <v>116.40327669092113</v>
      </c>
      <c r="AZ90" s="431">
        <v>-91.632620391413283</v>
      </c>
      <c r="BA90" s="431">
        <v>2.4008735198358209</v>
      </c>
      <c r="BB90" s="431">
        <v>3.0896042244733031</v>
      </c>
      <c r="BC90" s="431">
        <v>1.9539213531530961</v>
      </c>
      <c r="BD90" s="431">
        <v>80.040517835257177</v>
      </c>
      <c r="BE90" s="431">
        <v>363837.84176954377</v>
      </c>
      <c r="BF90" s="431">
        <v>8157.3992281795099</v>
      </c>
      <c r="BG90" s="431">
        <v>-2276.3100166917611</v>
      </c>
      <c r="BH90" s="431">
        <v>465256.62402762001</v>
      </c>
      <c r="BI90" s="431">
        <v>448112.43192235444</v>
      </c>
      <c r="BJ90" s="431">
        <v>-57521.594755116748</v>
      </c>
      <c r="BK90" s="431">
        <v>415790.24510115944</v>
      </c>
      <c r="BL90" s="431">
        <v>3315.1054049520785</v>
      </c>
      <c r="BM90" s="431">
        <v>-425.54086003842889</v>
      </c>
      <c r="BN90" s="431">
        <v>147.8368059516699</v>
      </c>
      <c r="BO90" s="431">
        <v>2712.3589676880647</v>
      </c>
      <c r="BP90" s="431">
        <v>-348.16979457689638</v>
      </c>
      <c r="BQ90" s="431">
        <v>1642.936879686453</v>
      </c>
      <c r="BR90" s="431">
        <v>867.60859276926192</v>
      </c>
      <c r="BS90" s="431">
        <v>0</v>
      </c>
      <c r="BT90" s="431">
        <v>0</v>
      </c>
      <c r="BU90" s="431">
        <v>0</v>
      </c>
      <c r="BV90" s="431">
        <v>763.79426468382519</v>
      </c>
      <c r="BW90" s="431">
        <v>1344.6612708062298</v>
      </c>
      <c r="BX90" s="431">
        <v>1179.8376316032288</v>
      </c>
      <c r="BY90" s="431">
        <v>1034.3548236970996</v>
      </c>
      <c r="BZ90" s="431">
        <v>0</v>
      </c>
      <c r="CA90" s="431">
        <v>0</v>
      </c>
      <c r="CB90" s="431">
        <v>0</v>
      </c>
      <c r="CC90" s="432"/>
      <c r="CD90" s="428">
        <v>41815.617350347224</v>
      </c>
      <c r="CE90" s="433">
        <v>0.28867948499398594</v>
      </c>
      <c r="CF90" s="433">
        <v>0.21647902720720727</v>
      </c>
      <c r="CG90" s="433">
        <v>0.17973960391015936</v>
      </c>
      <c r="CH90" s="433">
        <v>0.14512519794382084</v>
      </c>
      <c r="CI90" s="433">
        <v>0.1207127188701978</v>
      </c>
      <c r="CJ90" s="433">
        <v>0.26042892738430146</v>
      </c>
      <c r="CK90" s="433">
        <v>0.24306585314092802</v>
      </c>
      <c r="CL90" s="433">
        <v>0.26123057689286194</v>
      </c>
      <c r="CM90" s="433">
        <v>0.19945374499368468</v>
      </c>
      <c r="CN90" s="433">
        <v>0.1874651959252118</v>
      </c>
      <c r="CO90" s="433">
        <v>0.6061180812254181</v>
      </c>
      <c r="CP90" s="433">
        <v>0.62118636882734224</v>
      </c>
      <c r="CQ90" s="433">
        <v>0.70077118864502774</v>
      </c>
      <c r="CR90" s="433">
        <v>0.38975168317710257</v>
      </c>
      <c r="CS90" s="433">
        <v>0.39443520669059223</v>
      </c>
      <c r="CT90" s="433">
        <v>0.447221292916757</v>
      </c>
      <c r="CU90" s="433">
        <v>0.51158194515084476</v>
      </c>
      <c r="CV90" s="433">
        <v>0.47604249083347333</v>
      </c>
      <c r="CW90" s="433">
        <v>0.4759898508915783</v>
      </c>
      <c r="CX90" s="433">
        <v>0.4007797062399322</v>
      </c>
      <c r="CY90" s="433">
        <v>0.43383847945766757</v>
      </c>
      <c r="CZ90" s="433">
        <v>0.29816004259848461</v>
      </c>
      <c r="DA90" s="433">
        <v>0.25104840798869349</v>
      </c>
      <c r="DB90" s="433">
        <v>0.78134770554504784</v>
      </c>
      <c r="DC90" s="433">
        <v>0.29816004259848461</v>
      </c>
      <c r="DD90" s="433">
        <v>0.25104840798869349</v>
      </c>
      <c r="DE90" s="433">
        <v>0.37034376886796982</v>
      </c>
      <c r="DF90" s="433">
        <v>0.39133505591051104</v>
      </c>
      <c r="DG90" s="433">
        <v>0</v>
      </c>
      <c r="DH90" s="433">
        <v>0</v>
      </c>
      <c r="DI90" s="433">
        <v>0</v>
      </c>
      <c r="DJ90" s="433">
        <v>0.34760074846819372</v>
      </c>
      <c r="DK90" s="433">
        <v>0.31679504526088992</v>
      </c>
      <c r="DL90" s="433">
        <v>0.28139108209329972</v>
      </c>
      <c r="DM90" s="433">
        <v>0.40065255724171372</v>
      </c>
      <c r="DN90" s="433">
        <v>0</v>
      </c>
      <c r="DO90" s="433">
        <v>0</v>
      </c>
      <c r="DP90" s="433">
        <v>0</v>
      </c>
      <c r="DR90" s="409" t="s">
        <v>855</v>
      </c>
      <c r="DS90" s="409" t="s">
        <v>2484</v>
      </c>
    </row>
    <row r="91" spans="2:123" s="1471" customFormat="1">
      <c r="B91" s="428">
        <v>41815.649186226852</v>
      </c>
      <c r="C91" s="429">
        <v>1.3988468986734504</v>
      </c>
      <c r="D91" s="429">
        <v>1.3907838359615508</v>
      </c>
      <c r="E91" s="429">
        <v>1.3870054169748067</v>
      </c>
      <c r="F91" s="429">
        <v>1.3349957256852503</v>
      </c>
      <c r="G91" s="429">
        <v>1.352726662194849</v>
      </c>
      <c r="H91" s="429">
        <v>1.3728538671482</v>
      </c>
      <c r="I91" s="429">
        <v>1.4198233828346805</v>
      </c>
      <c r="J91" s="429">
        <v>1.4593609610058667</v>
      </c>
      <c r="K91" s="429">
        <v>1.343788462614175</v>
      </c>
      <c r="L91" s="429">
        <v>1.4475966602287462</v>
      </c>
      <c r="M91" s="429">
        <v>1.3369872673677481</v>
      </c>
      <c r="N91" s="429">
        <v>1.34051420158193</v>
      </c>
      <c r="O91" s="429">
        <v>1.1144762094710536</v>
      </c>
      <c r="P91" s="429">
        <v>1.121768886049755</v>
      </c>
      <c r="Q91" s="429">
        <v>2918.9001210994288</v>
      </c>
      <c r="R91" s="429">
        <v>14.713615986108836</v>
      </c>
      <c r="S91" s="429">
        <v>18.109458042981711</v>
      </c>
      <c r="T91" s="429">
        <v>3801.0986428193655</v>
      </c>
      <c r="U91" s="429">
        <v>3937.4659846698569</v>
      </c>
      <c r="V91" s="429">
        <v>4032.6246140413928</v>
      </c>
      <c r="W91" s="429">
        <v>873.84499206301848</v>
      </c>
      <c r="X91" s="429">
        <v>51.697274393764076</v>
      </c>
      <c r="Y91" s="429">
        <v>52.401251485415195</v>
      </c>
      <c r="Z91" s="429">
        <v>56.717903257973973</v>
      </c>
      <c r="AA91" s="429">
        <v>36.806779053808803</v>
      </c>
      <c r="AB91" s="429">
        <v>37.382760310614266</v>
      </c>
      <c r="AC91" s="429">
        <v>33.957456085602026</v>
      </c>
      <c r="AD91" s="429">
        <v>3.2129991240409663</v>
      </c>
      <c r="AE91" s="429">
        <v>0</v>
      </c>
      <c r="AF91" s="429">
        <v>0</v>
      </c>
      <c r="AG91" s="429">
        <v>0</v>
      </c>
      <c r="AH91" s="429">
        <v>2.8579517090954449</v>
      </c>
      <c r="AI91" s="429">
        <v>6.2812906867302143</v>
      </c>
      <c r="AJ91" s="429">
        <v>6.0123363906682146</v>
      </c>
      <c r="AK91" s="429">
        <v>6.9268228459401371</v>
      </c>
      <c r="AL91" s="429">
        <v>0</v>
      </c>
      <c r="AM91" s="429">
        <v>0</v>
      </c>
      <c r="AN91" s="429">
        <v>0</v>
      </c>
      <c r="AO91" s="432"/>
      <c r="AP91" s="428">
        <v>41815.649186226852</v>
      </c>
      <c r="AQ91" s="431">
        <v>99.714560518038923</v>
      </c>
      <c r="AR91" s="431">
        <v>123.46134694292465</v>
      </c>
      <c r="AS91" s="431">
        <v>78.891947368920228</v>
      </c>
      <c r="AT91" s="431">
        <v>88.770430167324136</v>
      </c>
      <c r="AU91" s="431">
        <v>8.5776375708632155</v>
      </c>
      <c r="AV91" s="431">
        <v>58.495387469660386</v>
      </c>
      <c r="AW91" s="431">
        <v>-10.277532970714979</v>
      </c>
      <c r="AX91" s="431">
        <v>6.0981019583965796</v>
      </c>
      <c r="AY91" s="431">
        <v>116.40327669092113</v>
      </c>
      <c r="AZ91" s="431">
        <v>-91.632620391413283</v>
      </c>
      <c r="BA91" s="431">
        <v>2.4008735198358209</v>
      </c>
      <c r="BB91" s="431">
        <v>3.0896042244733031</v>
      </c>
      <c r="BC91" s="431">
        <v>1.9539213531530961</v>
      </c>
      <c r="BD91" s="431">
        <v>80.040517835257177</v>
      </c>
      <c r="BE91" s="431">
        <v>363837.84176954377</v>
      </c>
      <c r="BF91" s="431">
        <v>8157.3992281795099</v>
      </c>
      <c r="BG91" s="431">
        <v>-2276.3100166917611</v>
      </c>
      <c r="BH91" s="431">
        <v>465256.62402762001</v>
      </c>
      <c r="BI91" s="431">
        <v>448112.43192235444</v>
      </c>
      <c r="BJ91" s="431">
        <v>-57521.594755116748</v>
      </c>
      <c r="BK91" s="431">
        <v>415790.24510115944</v>
      </c>
      <c r="BL91" s="431">
        <v>3315.1054049520785</v>
      </c>
      <c r="BM91" s="431">
        <v>-425.54086003842889</v>
      </c>
      <c r="BN91" s="431">
        <v>147.8368059516699</v>
      </c>
      <c r="BO91" s="431">
        <v>2712.3589676880647</v>
      </c>
      <c r="BP91" s="431">
        <v>-348.16979457689638</v>
      </c>
      <c r="BQ91" s="431">
        <v>1642.936879686453</v>
      </c>
      <c r="BR91" s="431">
        <v>867.60859276926192</v>
      </c>
      <c r="BS91" s="431">
        <v>0</v>
      </c>
      <c r="BT91" s="431">
        <v>0</v>
      </c>
      <c r="BU91" s="431">
        <v>0</v>
      </c>
      <c r="BV91" s="431">
        <v>763.79426468382519</v>
      </c>
      <c r="BW91" s="431">
        <v>1344.6612708062298</v>
      </c>
      <c r="BX91" s="431">
        <v>1179.8376316032288</v>
      </c>
      <c r="BY91" s="431">
        <v>1034.3548236970996</v>
      </c>
      <c r="BZ91" s="431">
        <v>0</v>
      </c>
      <c r="CA91" s="431">
        <v>0</v>
      </c>
      <c r="CB91" s="431">
        <v>0</v>
      </c>
      <c r="CC91" s="432"/>
      <c r="CD91" s="428">
        <v>41815.649186226852</v>
      </c>
      <c r="CE91" s="433">
        <v>0.28867948499398594</v>
      </c>
      <c r="CF91" s="433">
        <v>0.21647902720720727</v>
      </c>
      <c r="CG91" s="433">
        <v>0.17973960391015936</v>
      </c>
      <c r="CH91" s="433">
        <v>0.14512519794382084</v>
      </c>
      <c r="CI91" s="433">
        <v>0.1207127188701978</v>
      </c>
      <c r="CJ91" s="433">
        <v>0.26042892738430146</v>
      </c>
      <c r="CK91" s="433">
        <v>0.24306585314092802</v>
      </c>
      <c r="CL91" s="433">
        <v>0.26123057689286194</v>
      </c>
      <c r="CM91" s="433">
        <v>0.19945374499368468</v>
      </c>
      <c r="CN91" s="433">
        <v>0.1874651959252118</v>
      </c>
      <c r="CO91" s="433">
        <v>0.6061180812254181</v>
      </c>
      <c r="CP91" s="433">
        <v>0.62118636882734224</v>
      </c>
      <c r="CQ91" s="433">
        <v>0.70077118864502774</v>
      </c>
      <c r="CR91" s="433">
        <v>0.38975168317710257</v>
      </c>
      <c r="CS91" s="433">
        <v>0.39443520669059223</v>
      </c>
      <c r="CT91" s="433">
        <v>0.447221292916757</v>
      </c>
      <c r="CU91" s="433">
        <v>0.3622790598707698</v>
      </c>
      <c r="CV91" s="433">
        <v>0.47604249083347333</v>
      </c>
      <c r="CW91" s="433">
        <v>0.4759898508915783</v>
      </c>
      <c r="CX91" s="433">
        <v>0.4007797062399322</v>
      </c>
      <c r="CY91" s="433">
        <v>0.43383847945766757</v>
      </c>
      <c r="CZ91" s="433">
        <v>0.29816004259848461</v>
      </c>
      <c r="DA91" s="433">
        <v>0.25104840798869349</v>
      </c>
      <c r="DB91" s="433">
        <v>0.78134770554504784</v>
      </c>
      <c r="DC91" s="433">
        <v>0.29816004259848461</v>
      </c>
      <c r="DD91" s="433">
        <v>0.25104840798869349</v>
      </c>
      <c r="DE91" s="433">
        <v>0.37034376886796982</v>
      </c>
      <c r="DF91" s="433">
        <v>0.39133505591051104</v>
      </c>
      <c r="DG91" s="433">
        <v>0</v>
      </c>
      <c r="DH91" s="433">
        <v>0</v>
      </c>
      <c r="DI91" s="433">
        <v>0</v>
      </c>
      <c r="DJ91" s="433">
        <v>0.34760074846819372</v>
      </c>
      <c r="DK91" s="433">
        <v>0.31679504526088992</v>
      </c>
      <c r="DL91" s="433">
        <v>0.28139108209329972</v>
      </c>
      <c r="DM91" s="433">
        <v>0.40065255724171372</v>
      </c>
      <c r="DN91" s="433">
        <v>0</v>
      </c>
      <c r="DO91" s="433">
        <v>0</v>
      </c>
      <c r="DP91" s="433">
        <v>0</v>
      </c>
      <c r="DR91" s="409" t="s">
        <v>855</v>
      </c>
      <c r="DS91" s="409" t="s">
        <v>2485</v>
      </c>
    </row>
    <row r="92" spans="2:123" s="1471" customFormat="1">
      <c r="B92" s="428">
        <v>41822.587811342593</v>
      </c>
      <c r="C92" s="429">
        <v>1.3988468986734504</v>
      </c>
      <c r="D92" s="429">
        <v>1.3907838359615508</v>
      </c>
      <c r="E92" s="429">
        <v>1.3870054169748067</v>
      </c>
      <c r="F92" s="429">
        <v>1.3349957256852503</v>
      </c>
      <c r="G92" s="429">
        <v>1.352726662194849</v>
      </c>
      <c r="H92" s="429">
        <v>1.3728538671482</v>
      </c>
      <c r="I92" s="429">
        <v>1.4198233828346805</v>
      </c>
      <c r="J92" s="429">
        <v>1.4593609610058667</v>
      </c>
      <c r="K92" s="429">
        <v>1.343788462614175</v>
      </c>
      <c r="L92" s="429">
        <v>1.4475966602287462</v>
      </c>
      <c r="M92" s="429">
        <v>1.3369872673677481</v>
      </c>
      <c r="N92" s="429">
        <v>1.34051420158193</v>
      </c>
      <c r="O92" s="429">
        <v>1.1144762094710536</v>
      </c>
      <c r="P92" s="429">
        <v>1.121768886049755</v>
      </c>
      <c r="Q92" s="429">
        <v>2918.9001210994288</v>
      </c>
      <c r="R92" s="429">
        <v>14.713615986108836</v>
      </c>
      <c r="S92" s="429">
        <v>18.109458042981711</v>
      </c>
      <c r="T92" s="429">
        <v>3801.0986428193655</v>
      </c>
      <c r="U92" s="429">
        <v>3937.4659846698569</v>
      </c>
      <c r="V92" s="429">
        <v>4032.6246140413928</v>
      </c>
      <c r="W92" s="429">
        <v>873.84499206301848</v>
      </c>
      <c r="X92" s="429">
        <v>40.204854196248547</v>
      </c>
      <c r="Y92" s="429">
        <v>40.908831287899666</v>
      </c>
      <c r="Z92" s="429">
        <v>42.926999020955336</v>
      </c>
      <c r="AA92" s="429">
        <v>36.806779053808803</v>
      </c>
      <c r="AB92" s="429">
        <v>37.382760310614266</v>
      </c>
      <c r="AC92" s="429">
        <v>33.957456085602026</v>
      </c>
      <c r="AD92" s="429">
        <v>3.2129991240409663</v>
      </c>
      <c r="AE92" s="429">
        <v>0</v>
      </c>
      <c r="AF92" s="429">
        <v>0</v>
      </c>
      <c r="AG92" s="429">
        <v>0</v>
      </c>
      <c r="AH92" s="429">
        <v>2.8579517090954449</v>
      </c>
      <c r="AI92" s="429">
        <v>6.2812906867302143</v>
      </c>
      <c r="AJ92" s="429">
        <v>6.0123363906682146</v>
      </c>
      <c r="AK92" s="429">
        <v>6.9268228459401371</v>
      </c>
      <c r="AL92" s="429">
        <v>0</v>
      </c>
      <c r="AM92" s="429">
        <v>0</v>
      </c>
      <c r="AN92" s="429">
        <v>0</v>
      </c>
      <c r="AO92" s="432"/>
      <c r="AP92" s="428">
        <v>41822.587811342593</v>
      </c>
      <c r="AQ92" s="431">
        <v>99.714560518038923</v>
      </c>
      <c r="AR92" s="431">
        <v>123.46134694292465</v>
      </c>
      <c r="AS92" s="431">
        <v>78.891947368920228</v>
      </c>
      <c r="AT92" s="431">
        <v>88.770430167324136</v>
      </c>
      <c r="AU92" s="431">
        <v>8.5776375708632155</v>
      </c>
      <c r="AV92" s="431">
        <v>58.495387469660386</v>
      </c>
      <c r="AW92" s="431">
        <v>-10.277532970714979</v>
      </c>
      <c r="AX92" s="431">
        <v>6.0981019583965796</v>
      </c>
      <c r="AY92" s="431">
        <v>116.40327669092113</v>
      </c>
      <c r="AZ92" s="431">
        <v>-91.632620391413283</v>
      </c>
      <c r="BA92" s="431">
        <v>2.4008735198358209</v>
      </c>
      <c r="BB92" s="431">
        <v>3.0896042244733031</v>
      </c>
      <c r="BC92" s="431">
        <v>1.9539213531530961</v>
      </c>
      <c r="BD92" s="431">
        <v>80.040517835257177</v>
      </c>
      <c r="BE92" s="431">
        <v>363837.84176954377</v>
      </c>
      <c r="BF92" s="431">
        <v>8157.3992281795099</v>
      </c>
      <c r="BG92" s="431">
        <v>-2276.3100166917611</v>
      </c>
      <c r="BH92" s="431">
        <v>465256.62402762001</v>
      </c>
      <c r="BI92" s="431">
        <v>448112.43192235444</v>
      </c>
      <c r="BJ92" s="431">
        <v>-57521.594755116748</v>
      </c>
      <c r="BK92" s="431">
        <v>415790.24510115944</v>
      </c>
      <c r="BL92" s="431">
        <v>3315.1054049520785</v>
      </c>
      <c r="BM92" s="431">
        <v>-425.54086003842889</v>
      </c>
      <c r="BN92" s="431">
        <v>147.8368059516699</v>
      </c>
      <c r="BO92" s="431">
        <v>2712.3589676880647</v>
      </c>
      <c r="BP92" s="431">
        <v>-348.16979457689638</v>
      </c>
      <c r="BQ92" s="431">
        <v>1642.936879686453</v>
      </c>
      <c r="BR92" s="431">
        <v>867.60859276926192</v>
      </c>
      <c r="BS92" s="431">
        <v>0</v>
      </c>
      <c r="BT92" s="431">
        <v>0</v>
      </c>
      <c r="BU92" s="431">
        <v>0</v>
      </c>
      <c r="BV92" s="431">
        <v>763.79426468382519</v>
      </c>
      <c r="BW92" s="431">
        <v>1344.6612708062298</v>
      </c>
      <c r="BX92" s="431">
        <v>1179.8376316032288</v>
      </c>
      <c r="BY92" s="431">
        <v>1034.3548236970996</v>
      </c>
      <c r="BZ92" s="431">
        <v>0</v>
      </c>
      <c r="CA92" s="431">
        <v>0</v>
      </c>
      <c r="CB92" s="431">
        <v>0</v>
      </c>
      <c r="CC92" s="432"/>
      <c r="CD92" s="428">
        <v>41822.587811342593</v>
      </c>
      <c r="CE92" s="433">
        <v>0.28867948499398594</v>
      </c>
      <c r="CF92" s="433">
        <v>0.21647902720720727</v>
      </c>
      <c r="CG92" s="433">
        <v>0.17973960391015936</v>
      </c>
      <c r="CH92" s="433">
        <v>0.14512519794382084</v>
      </c>
      <c r="CI92" s="433">
        <v>0.1207127188701978</v>
      </c>
      <c r="CJ92" s="433">
        <v>0.26042892738430146</v>
      </c>
      <c r="CK92" s="433">
        <v>0.24306585314092802</v>
      </c>
      <c r="CL92" s="433">
        <v>0.26123057689286194</v>
      </c>
      <c r="CM92" s="433">
        <v>0.19945374499368468</v>
      </c>
      <c r="CN92" s="433">
        <v>0.1874651959252118</v>
      </c>
      <c r="CO92" s="433">
        <v>0.6061180812254181</v>
      </c>
      <c r="CP92" s="433">
        <v>0.62118636882734224</v>
      </c>
      <c r="CQ92" s="433">
        <v>0.70077118864502774</v>
      </c>
      <c r="CR92" s="433">
        <v>0.38975168317710257</v>
      </c>
      <c r="CS92" s="433">
        <v>0.39443520669059223</v>
      </c>
      <c r="CT92" s="433">
        <v>0.447221292916757</v>
      </c>
      <c r="CU92" s="433">
        <v>0.3622790598707698</v>
      </c>
      <c r="CV92" s="433">
        <v>0.47604249083347333</v>
      </c>
      <c r="CW92" s="433">
        <v>0.4759898508915783</v>
      </c>
      <c r="CX92" s="433">
        <v>0.4007797062399322</v>
      </c>
      <c r="CY92" s="433">
        <v>0.43383847945766757</v>
      </c>
      <c r="CZ92" s="433">
        <v>0.29816004259848461</v>
      </c>
      <c r="DA92" s="433">
        <v>0.25104840798869349</v>
      </c>
      <c r="DB92" s="433">
        <v>0.78134770554504784</v>
      </c>
      <c r="DC92" s="433">
        <v>0.29816004259848461</v>
      </c>
      <c r="DD92" s="433">
        <v>0.25104840798869349</v>
      </c>
      <c r="DE92" s="433">
        <v>0.37034376886796982</v>
      </c>
      <c r="DF92" s="433">
        <v>0.39133505591051104</v>
      </c>
      <c r="DG92" s="433">
        <v>0</v>
      </c>
      <c r="DH92" s="433">
        <v>0</v>
      </c>
      <c r="DI92" s="433">
        <v>0</v>
      </c>
      <c r="DJ92" s="433">
        <v>0.34760074846819372</v>
      </c>
      <c r="DK92" s="433">
        <v>0.31679504526088992</v>
      </c>
      <c r="DL92" s="433">
        <v>0.28139108209329972</v>
      </c>
      <c r="DM92" s="433">
        <v>0.40065255724171372</v>
      </c>
      <c r="DN92" s="433">
        <v>0</v>
      </c>
      <c r="DO92" s="433">
        <v>0</v>
      </c>
      <c r="DP92" s="433">
        <v>0</v>
      </c>
      <c r="DR92" s="409" t="s">
        <v>711</v>
      </c>
      <c r="DS92" s="409" t="s">
        <v>2496</v>
      </c>
    </row>
    <row r="93" spans="2:123" s="1471" customFormat="1">
      <c r="B93" s="428">
        <v>41822.664265162035</v>
      </c>
      <c r="C93" s="429">
        <v>1.3988468986734504</v>
      </c>
      <c r="D93" s="429">
        <v>1.3907838359615508</v>
      </c>
      <c r="E93" s="429">
        <v>1.4258814142324305</v>
      </c>
      <c r="F93" s="429">
        <v>1.3378088642964412</v>
      </c>
      <c r="G93" s="429">
        <v>1.352726662194849</v>
      </c>
      <c r="H93" s="429">
        <v>1.3799172259953889</v>
      </c>
      <c r="I93" s="429">
        <v>1.4198233828346805</v>
      </c>
      <c r="J93" s="429">
        <v>1.4593609610058667</v>
      </c>
      <c r="K93" s="429">
        <v>1.349108862543716</v>
      </c>
      <c r="L93" s="429">
        <v>1.4779215388758291</v>
      </c>
      <c r="M93" s="429">
        <v>1.3369872673677481</v>
      </c>
      <c r="N93" s="429">
        <v>1.34051420158193</v>
      </c>
      <c r="O93" s="429">
        <v>1.1144762094710536</v>
      </c>
      <c r="P93" s="429">
        <v>1.121768886049755</v>
      </c>
      <c r="Q93" s="429">
        <v>2918.9001210994288</v>
      </c>
      <c r="R93" s="429">
        <v>14.713615986108836</v>
      </c>
      <c r="S93" s="429">
        <v>18.109458042981711</v>
      </c>
      <c r="T93" s="429">
        <v>3801.0986428193655</v>
      </c>
      <c r="U93" s="429">
        <v>3937.4659846698569</v>
      </c>
      <c r="V93" s="429">
        <v>4032.6246140413928</v>
      </c>
      <c r="W93" s="429">
        <v>895.61809290644533</v>
      </c>
      <c r="X93" s="429">
        <v>40.204854196248547</v>
      </c>
      <c r="Y93" s="429">
        <v>40.908831287899666</v>
      </c>
      <c r="Z93" s="429">
        <v>42.926999020955336</v>
      </c>
      <c r="AA93" s="429">
        <v>36.806779053808803</v>
      </c>
      <c r="AB93" s="429">
        <v>37.382760310614266</v>
      </c>
      <c r="AC93" s="429">
        <v>34.070050680118783</v>
      </c>
      <c r="AD93" s="429">
        <v>3.2129991240409663</v>
      </c>
      <c r="AE93" s="429">
        <v>0</v>
      </c>
      <c r="AF93" s="429">
        <v>0</v>
      </c>
      <c r="AG93" s="429">
        <v>0</v>
      </c>
      <c r="AH93" s="429">
        <v>2.8987607887974272</v>
      </c>
      <c r="AI93" s="429">
        <v>6.2812906867302143</v>
      </c>
      <c r="AJ93" s="429">
        <v>6.0754880721940925</v>
      </c>
      <c r="AK93" s="429">
        <v>6.9268228459401371</v>
      </c>
      <c r="AL93" s="429">
        <v>0</v>
      </c>
      <c r="AM93" s="429">
        <v>0</v>
      </c>
      <c r="AN93" s="429">
        <v>0</v>
      </c>
      <c r="AO93" s="432"/>
      <c r="AP93" s="428">
        <v>41822.664265162035</v>
      </c>
      <c r="AQ93" s="431">
        <v>99.714560518038923</v>
      </c>
      <c r="AR93" s="431">
        <v>123.46134694292465</v>
      </c>
      <c r="AS93" s="431">
        <v>78.891947368920228</v>
      </c>
      <c r="AT93" s="431">
        <v>88.770430167324136</v>
      </c>
      <c r="AU93" s="431">
        <v>8.5776375708632155</v>
      </c>
      <c r="AV93" s="431">
        <v>58.495387469660386</v>
      </c>
      <c r="AW93" s="431">
        <v>-10.277532970714979</v>
      </c>
      <c r="AX93" s="431">
        <v>6.0981019583965796</v>
      </c>
      <c r="AY93" s="431">
        <v>116.40327669092113</v>
      </c>
      <c r="AZ93" s="431">
        <v>-91.632620391413283</v>
      </c>
      <c r="BA93" s="431">
        <v>2.4008735198358209</v>
      </c>
      <c r="BB93" s="431">
        <v>3.0896042244733031</v>
      </c>
      <c r="BC93" s="431">
        <v>1.9539213531530961</v>
      </c>
      <c r="BD93" s="431">
        <v>80.040517835257177</v>
      </c>
      <c r="BE93" s="431">
        <v>363837.84176954377</v>
      </c>
      <c r="BF93" s="431">
        <v>8157.3992281795099</v>
      </c>
      <c r="BG93" s="431">
        <v>-2276.3100166917611</v>
      </c>
      <c r="BH93" s="431">
        <v>465256.62402762001</v>
      </c>
      <c r="BI93" s="431">
        <v>448112.43192235444</v>
      </c>
      <c r="BJ93" s="431">
        <v>-57521.594755116748</v>
      </c>
      <c r="BK93" s="431">
        <v>415790.24510115944</v>
      </c>
      <c r="BL93" s="431">
        <v>3315.1054049520785</v>
      </c>
      <c r="BM93" s="431">
        <v>-425.54086003842889</v>
      </c>
      <c r="BN93" s="431">
        <v>147.8368059516699</v>
      </c>
      <c r="BO93" s="431">
        <v>2712.3589676880647</v>
      </c>
      <c r="BP93" s="431">
        <v>-348.16979457689638</v>
      </c>
      <c r="BQ93" s="431">
        <v>1642.936879686453</v>
      </c>
      <c r="BR93" s="431">
        <v>867.60859276926192</v>
      </c>
      <c r="BS93" s="431">
        <v>0</v>
      </c>
      <c r="BT93" s="431">
        <v>0</v>
      </c>
      <c r="BU93" s="431">
        <v>0</v>
      </c>
      <c r="BV93" s="431">
        <v>763.79426468382519</v>
      </c>
      <c r="BW93" s="431">
        <v>1344.6612708062298</v>
      </c>
      <c r="BX93" s="431">
        <v>1179.8376316032288</v>
      </c>
      <c r="BY93" s="431">
        <v>1034.3548236970996</v>
      </c>
      <c r="BZ93" s="431">
        <v>0</v>
      </c>
      <c r="CA93" s="431">
        <v>0</v>
      </c>
      <c r="CB93" s="431">
        <v>0</v>
      </c>
      <c r="CC93" s="432"/>
      <c r="CD93" s="428">
        <v>41822.664265162035</v>
      </c>
      <c r="CE93" s="433">
        <v>0.28867948499398594</v>
      </c>
      <c r="CF93" s="433">
        <v>0.21647902720720727</v>
      </c>
      <c r="CG93" s="433">
        <v>0.17973960391015936</v>
      </c>
      <c r="CH93" s="433">
        <v>0.14512519794382084</v>
      </c>
      <c r="CI93" s="433">
        <v>0.1207127188701978</v>
      </c>
      <c r="CJ93" s="433">
        <v>0.26042892738430146</v>
      </c>
      <c r="CK93" s="433">
        <v>0.24306585314092802</v>
      </c>
      <c r="CL93" s="433">
        <v>0.26123057689286194</v>
      </c>
      <c r="CM93" s="433">
        <v>0.19945374499368468</v>
      </c>
      <c r="CN93" s="433">
        <v>0.1874651959252118</v>
      </c>
      <c r="CO93" s="433">
        <v>0.6061180812254181</v>
      </c>
      <c r="CP93" s="433">
        <v>0.62118636882734224</v>
      </c>
      <c r="CQ93" s="433">
        <v>0.70077118864502774</v>
      </c>
      <c r="CR93" s="433">
        <v>0.38975168317710257</v>
      </c>
      <c r="CS93" s="433">
        <v>0.39443520669059223</v>
      </c>
      <c r="CT93" s="433">
        <v>0.447221292916757</v>
      </c>
      <c r="CU93" s="433">
        <v>0.3622790598707698</v>
      </c>
      <c r="CV93" s="433">
        <v>0.47604249083347333</v>
      </c>
      <c r="CW93" s="433">
        <v>0.4759898508915783</v>
      </c>
      <c r="CX93" s="433">
        <v>0.4007797062399322</v>
      </c>
      <c r="CY93" s="433">
        <v>0.43383847945766757</v>
      </c>
      <c r="CZ93" s="433">
        <v>0.29816004259848461</v>
      </c>
      <c r="DA93" s="433">
        <v>0.25104840798869349</v>
      </c>
      <c r="DB93" s="433">
        <v>0.78134770554504784</v>
      </c>
      <c r="DC93" s="433">
        <v>0.29816004259848461</v>
      </c>
      <c r="DD93" s="433">
        <v>0.25104840798869349</v>
      </c>
      <c r="DE93" s="433">
        <v>0.37034376886796982</v>
      </c>
      <c r="DF93" s="433">
        <v>0.39133505591051104</v>
      </c>
      <c r="DG93" s="433">
        <v>0</v>
      </c>
      <c r="DH93" s="433">
        <v>0</v>
      </c>
      <c r="DI93" s="433">
        <v>0</v>
      </c>
      <c r="DJ93" s="433">
        <v>0.34760074846819372</v>
      </c>
      <c r="DK93" s="433">
        <v>0.31679504526088992</v>
      </c>
      <c r="DL93" s="433">
        <v>0.28139108209329972</v>
      </c>
      <c r="DM93" s="433">
        <v>0.40065255724171372</v>
      </c>
      <c r="DN93" s="433">
        <v>0</v>
      </c>
      <c r="DO93" s="433">
        <v>0</v>
      </c>
      <c r="DP93" s="433">
        <v>0</v>
      </c>
      <c r="DR93" s="409" t="s">
        <v>711</v>
      </c>
      <c r="DS93" s="409" t="s">
        <v>2505</v>
      </c>
    </row>
    <row r="94" spans="2:123" s="1471" customFormat="1">
      <c r="B94" s="428">
        <v>41824.615822106483</v>
      </c>
      <c r="C94" s="429">
        <v>1.3988468986734504</v>
      </c>
      <c r="D94" s="429">
        <v>1.3907838359615508</v>
      </c>
      <c r="E94" s="429">
        <v>1.4282529942324307</v>
      </c>
      <c r="F94" s="429">
        <v>1.3392039113552647</v>
      </c>
      <c r="G94" s="429">
        <v>1.352726662194849</v>
      </c>
      <c r="H94" s="429">
        <v>1.3817848890388671</v>
      </c>
      <c r="I94" s="429">
        <v>1.4198233828346805</v>
      </c>
      <c r="J94" s="429">
        <v>1.4593609610058667</v>
      </c>
      <c r="K94" s="429">
        <v>1.349108862543716</v>
      </c>
      <c r="L94" s="429">
        <v>1.4779215388758291</v>
      </c>
      <c r="M94" s="429">
        <v>1.3369872673677481</v>
      </c>
      <c r="N94" s="429">
        <v>1.34051420158193</v>
      </c>
      <c r="O94" s="429">
        <v>1.1144762094710536</v>
      </c>
      <c r="P94" s="429">
        <v>1.121768886049755</v>
      </c>
      <c r="Q94" s="429">
        <v>2918.9001210994288</v>
      </c>
      <c r="R94" s="429">
        <v>14.713615986108836</v>
      </c>
      <c r="S94" s="429">
        <v>18.109458042981711</v>
      </c>
      <c r="T94" s="429">
        <v>3801.0986428193655</v>
      </c>
      <c r="U94" s="429">
        <v>3937.4659846698569</v>
      </c>
      <c r="V94" s="429">
        <v>4032.6246140413928</v>
      </c>
      <c r="W94" s="429">
        <v>895.61809290644533</v>
      </c>
      <c r="X94" s="429">
        <v>40.204854196248547</v>
      </c>
      <c r="Y94" s="429">
        <v>40.908831287899666</v>
      </c>
      <c r="Z94" s="429">
        <v>42.926999020955336</v>
      </c>
      <c r="AA94" s="429">
        <v>36.806779053808803</v>
      </c>
      <c r="AB94" s="429">
        <v>37.382760310614266</v>
      </c>
      <c r="AC94" s="429">
        <v>34.070050680118783</v>
      </c>
      <c r="AD94" s="429">
        <v>3.2129991240409663</v>
      </c>
      <c r="AE94" s="429">
        <v>0</v>
      </c>
      <c r="AF94" s="429">
        <v>0</v>
      </c>
      <c r="AG94" s="429">
        <v>0</v>
      </c>
      <c r="AH94" s="429">
        <v>2.8987607887974272</v>
      </c>
      <c r="AI94" s="429">
        <v>6.2812906867302143</v>
      </c>
      <c r="AJ94" s="429">
        <v>6.0754880721940925</v>
      </c>
      <c r="AK94" s="429">
        <v>6.9268228459401371</v>
      </c>
      <c r="AL94" s="429">
        <v>0</v>
      </c>
      <c r="AM94" s="429">
        <v>0</v>
      </c>
      <c r="AN94" s="429">
        <v>0</v>
      </c>
      <c r="AO94" s="432"/>
      <c r="AP94" s="428">
        <v>41824.615822106483</v>
      </c>
      <c r="AQ94" s="431">
        <v>99.714560518038923</v>
      </c>
      <c r="AR94" s="431">
        <v>123.46134694292465</v>
      </c>
      <c r="AS94" s="431">
        <v>78.891947368920228</v>
      </c>
      <c r="AT94" s="431">
        <v>88.770430167324136</v>
      </c>
      <c r="AU94" s="431">
        <v>8.5776375708632155</v>
      </c>
      <c r="AV94" s="431">
        <v>58.495387469660386</v>
      </c>
      <c r="AW94" s="431">
        <v>-10.277532970714979</v>
      </c>
      <c r="AX94" s="431">
        <v>6.0981019583965796</v>
      </c>
      <c r="AY94" s="431">
        <v>116.40327669092113</v>
      </c>
      <c r="AZ94" s="431">
        <v>-91.632620391413283</v>
      </c>
      <c r="BA94" s="431">
        <v>2.4008735198358209</v>
      </c>
      <c r="BB94" s="431">
        <v>3.0896042244733031</v>
      </c>
      <c r="BC94" s="431">
        <v>1.9539213531530961</v>
      </c>
      <c r="BD94" s="431">
        <v>80.040517835257177</v>
      </c>
      <c r="BE94" s="431">
        <v>363837.84176954377</v>
      </c>
      <c r="BF94" s="431">
        <v>8157.3992281795099</v>
      </c>
      <c r="BG94" s="431">
        <v>-2276.3100166917611</v>
      </c>
      <c r="BH94" s="431">
        <v>465256.62402762001</v>
      </c>
      <c r="BI94" s="431">
        <v>448112.43192235444</v>
      </c>
      <c r="BJ94" s="431">
        <v>-57521.594755116748</v>
      </c>
      <c r="BK94" s="431">
        <v>415790.24510115944</v>
      </c>
      <c r="BL94" s="431">
        <v>3315.1054049520785</v>
      </c>
      <c r="BM94" s="431">
        <v>-425.54086003842889</v>
      </c>
      <c r="BN94" s="431">
        <v>147.8368059516699</v>
      </c>
      <c r="BO94" s="431">
        <v>2712.3589676880647</v>
      </c>
      <c r="BP94" s="431">
        <v>-348.16979457689638</v>
      </c>
      <c r="BQ94" s="431">
        <v>1642.936879686453</v>
      </c>
      <c r="BR94" s="431">
        <v>867.60859276926192</v>
      </c>
      <c r="BS94" s="431">
        <v>0</v>
      </c>
      <c r="BT94" s="431">
        <v>0</v>
      </c>
      <c r="BU94" s="431">
        <v>0</v>
      </c>
      <c r="BV94" s="431">
        <v>763.79426468382519</v>
      </c>
      <c r="BW94" s="431">
        <v>1344.6612708062298</v>
      </c>
      <c r="BX94" s="431">
        <v>1179.8376316032288</v>
      </c>
      <c r="BY94" s="431">
        <v>1034.3548236970996</v>
      </c>
      <c r="BZ94" s="431">
        <v>0</v>
      </c>
      <c r="CA94" s="431">
        <v>0</v>
      </c>
      <c r="CB94" s="431">
        <v>0</v>
      </c>
      <c r="CC94" s="432"/>
      <c r="CD94" s="428">
        <v>41824.615822106483</v>
      </c>
      <c r="CE94" s="433">
        <v>0.28867948499398594</v>
      </c>
      <c r="CF94" s="433">
        <v>0.21647902720720727</v>
      </c>
      <c r="CG94" s="433">
        <v>0.17973960391015936</v>
      </c>
      <c r="CH94" s="433" t="e">
        <v>#REF!</v>
      </c>
      <c r="CI94" s="433">
        <v>0.1207127188701978</v>
      </c>
      <c r="CJ94" s="433">
        <v>0.25244030997987504</v>
      </c>
      <c r="CK94" s="433">
        <v>0.24306585314092802</v>
      </c>
      <c r="CL94" s="433">
        <v>0.26123057689286194</v>
      </c>
      <c r="CM94" s="433">
        <v>0.19945374499368468</v>
      </c>
      <c r="CN94" s="433">
        <v>0.1874651959252118</v>
      </c>
      <c r="CO94" s="433">
        <v>0.6061180812254181</v>
      </c>
      <c r="CP94" s="433">
        <v>0.62118636882734224</v>
      </c>
      <c r="CQ94" s="433">
        <v>0.70077118864502774</v>
      </c>
      <c r="CR94" s="433">
        <v>0.38975168317710257</v>
      </c>
      <c r="CS94" s="433">
        <v>0.39443520669059223</v>
      </c>
      <c r="CT94" s="433">
        <v>0.447221292916757</v>
      </c>
      <c r="CU94" s="433">
        <v>0.3622790598707698</v>
      </c>
      <c r="CV94" s="433">
        <v>0.47604249083347333</v>
      </c>
      <c r="CW94" s="433">
        <v>0.4759898508915783</v>
      </c>
      <c r="CX94" s="433">
        <v>0.4007797062399322</v>
      </c>
      <c r="CY94" s="433">
        <v>0.43383847945766757</v>
      </c>
      <c r="CZ94" s="433">
        <v>0.29816004259848461</v>
      </c>
      <c r="DA94" s="433">
        <v>0.25104840798869349</v>
      </c>
      <c r="DB94" s="433">
        <v>0.78134770554504784</v>
      </c>
      <c r="DC94" s="433">
        <v>0.29816004259848461</v>
      </c>
      <c r="DD94" s="433">
        <v>0.25104840798869349</v>
      </c>
      <c r="DE94" s="433">
        <v>0.37034376886796982</v>
      </c>
      <c r="DF94" s="433">
        <v>0.39133505591051104</v>
      </c>
      <c r="DG94" s="433">
        <v>0</v>
      </c>
      <c r="DH94" s="433">
        <v>0</v>
      </c>
      <c r="DI94" s="433">
        <v>0</v>
      </c>
      <c r="DJ94" s="433">
        <v>0.34760074846819372</v>
      </c>
      <c r="DK94" s="433">
        <v>0.31679504526088992</v>
      </c>
      <c r="DL94" s="433">
        <v>0.28139108209329972</v>
      </c>
      <c r="DM94" s="433">
        <v>0.40065255724171372</v>
      </c>
      <c r="DN94" s="433">
        <v>0</v>
      </c>
      <c r="DO94" s="433">
        <v>0</v>
      </c>
      <c r="DP94" s="433">
        <v>0</v>
      </c>
      <c r="DR94" s="409" t="s">
        <v>711</v>
      </c>
      <c r="DS94" s="409" t="s">
        <v>2523</v>
      </c>
    </row>
    <row r="95" spans="2:123" s="1471" customFormat="1">
      <c r="B95" s="428">
        <v>41824.683917013892</v>
      </c>
      <c r="C95" s="429">
        <v>1.3988468986734504</v>
      </c>
      <c r="D95" s="429">
        <v>1.3907838359615508</v>
      </c>
      <c r="E95" s="429">
        <v>1.4312407371865503</v>
      </c>
      <c r="F95" s="429">
        <v>1.3415654375729764</v>
      </c>
      <c r="G95" s="429">
        <v>1.3713256631777542</v>
      </c>
      <c r="H95" s="429">
        <v>1.3817848890388671</v>
      </c>
      <c r="I95" s="429">
        <v>1.4351696430354224</v>
      </c>
      <c r="J95" s="429">
        <v>1.479226699822751</v>
      </c>
      <c r="K95" s="429">
        <v>1.349108862543716</v>
      </c>
      <c r="L95" s="429">
        <v>1.4779215388758291</v>
      </c>
      <c r="M95" s="429">
        <v>1.3395714473347582</v>
      </c>
      <c r="N95" s="429">
        <v>1.34051420158193</v>
      </c>
      <c r="O95" s="429">
        <v>1.1144762094710536</v>
      </c>
      <c r="P95" s="429">
        <v>1.121768886049755</v>
      </c>
      <c r="Q95" s="429">
        <v>2918.9001210994288</v>
      </c>
      <c r="R95" s="429">
        <v>14.713615986108836</v>
      </c>
      <c r="S95" s="429">
        <v>20.258132594905938</v>
      </c>
      <c r="T95" s="429">
        <v>3801.0986428193655</v>
      </c>
      <c r="U95" s="429">
        <v>3937.4659846698569</v>
      </c>
      <c r="V95" s="429">
        <v>4102.7109219325102</v>
      </c>
      <c r="W95" s="429">
        <v>895.61809290644533</v>
      </c>
      <c r="X95" s="429">
        <v>40.204854196248547</v>
      </c>
      <c r="Y95" s="429">
        <v>41.427325044268471</v>
      </c>
      <c r="Z95" s="429">
        <v>42.926999020955336</v>
      </c>
      <c r="AA95" s="429">
        <v>36.806779053808803</v>
      </c>
      <c r="AB95" s="429">
        <v>37.806982474916012</v>
      </c>
      <c r="AC95" s="429">
        <v>34.070050680118783</v>
      </c>
      <c r="AD95" s="429">
        <v>3.2129991240409663</v>
      </c>
      <c r="AE95" s="429">
        <v>0</v>
      </c>
      <c r="AF95" s="429">
        <v>0</v>
      </c>
      <c r="AG95" s="429">
        <v>0</v>
      </c>
      <c r="AH95" s="429">
        <v>2.8987607887974272</v>
      </c>
      <c r="AI95" s="429">
        <v>6.2812906867302143</v>
      </c>
      <c r="AJ95" s="429">
        <v>6.0754880721940925</v>
      </c>
      <c r="AK95" s="429">
        <v>6.9268228459401371</v>
      </c>
      <c r="AL95" s="429">
        <v>0</v>
      </c>
      <c r="AM95" s="429">
        <v>0</v>
      </c>
      <c r="AN95" s="429">
        <v>0</v>
      </c>
      <c r="AO95" s="432"/>
      <c r="AP95" s="428">
        <v>41824.683917013892</v>
      </c>
      <c r="AQ95" s="431">
        <v>99.714560518038923</v>
      </c>
      <c r="AR95" s="431">
        <v>123.46134694292465</v>
      </c>
      <c r="AS95" s="431">
        <v>78.891947368920228</v>
      </c>
      <c r="AT95" s="431">
        <v>88.770430167324136</v>
      </c>
      <c r="AU95" s="431">
        <v>8.5776375708632155</v>
      </c>
      <c r="AV95" s="431">
        <v>58.495387469660386</v>
      </c>
      <c r="AW95" s="431">
        <v>-10.277532970714979</v>
      </c>
      <c r="AX95" s="431">
        <v>6.0981019583965796</v>
      </c>
      <c r="AY95" s="431">
        <v>116.40327669092113</v>
      </c>
      <c r="AZ95" s="431">
        <v>-91.632620391413283</v>
      </c>
      <c r="BA95" s="431">
        <v>2.4008735198358209</v>
      </c>
      <c r="BB95" s="431">
        <v>3.0896042244733031</v>
      </c>
      <c r="BC95" s="431">
        <v>1.9539213531530961</v>
      </c>
      <c r="BD95" s="431">
        <v>80.040517835257177</v>
      </c>
      <c r="BE95" s="431">
        <v>363837.84176954377</v>
      </c>
      <c r="BF95" s="431">
        <v>8157.3992281795099</v>
      </c>
      <c r="BG95" s="431">
        <v>-2554.0182081036614</v>
      </c>
      <c r="BH95" s="431">
        <v>465256.62402762001</v>
      </c>
      <c r="BI95" s="431">
        <v>448112.43192235444</v>
      </c>
      <c r="BJ95" s="431">
        <v>-57521.594755116748</v>
      </c>
      <c r="BK95" s="431">
        <v>415790.24510115944</v>
      </c>
      <c r="BL95" s="431">
        <v>3315.1054049520785</v>
      </c>
      <c r="BM95" s="431">
        <v>-425.54086003842889</v>
      </c>
      <c r="BN95" s="431">
        <v>147.8368059516699</v>
      </c>
      <c r="BO95" s="431">
        <v>2712.3589676880647</v>
      </c>
      <c r="BP95" s="431">
        <v>-348.16979457689638</v>
      </c>
      <c r="BQ95" s="431">
        <v>1642.936879686453</v>
      </c>
      <c r="BR95" s="431">
        <v>867.60859276926192</v>
      </c>
      <c r="BS95" s="431">
        <v>0</v>
      </c>
      <c r="BT95" s="431">
        <v>0</v>
      </c>
      <c r="BU95" s="431">
        <v>0</v>
      </c>
      <c r="BV95" s="431">
        <v>763.79426468382519</v>
      </c>
      <c r="BW95" s="431">
        <v>1344.6612708062298</v>
      </c>
      <c r="BX95" s="431">
        <v>1179.8376316032288</v>
      </c>
      <c r="BY95" s="431">
        <v>1034.3548236970996</v>
      </c>
      <c r="BZ95" s="431">
        <v>0</v>
      </c>
      <c r="CA95" s="431">
        <v>0</v>
      </c>
      <c r="CB95" s="431">
        <v>0</v>
      </c>
      <c r="CC95" s="432"/>
      <c r="CD95" s="428">
        <v>41824.683917013892</v>
      </c>
      <c r="CE95" s="433">
        <v>0.28867948499398594</v>
      </c>
      <c r="CF95" s="433">
        <v>0.21647902720720727</v>
      </c>
      <c r="CG95" s="433">
        <v>0.17973960391015936</v>
      </c>
      <c r="CH95" s="433" t="e">
        <v>#REF!</v>
      </c>
      <c r="CI95" s="433">
        <v>0.1207127188701978</v>
      </c>
      <c r="CJ95" s="433">
        <v>0.25244030997987504</v>
      </c>
      <c r="CK95" s="433">
        <v>0.24306585314092802</v>
      </c>
      <c r="CL95" s="433">
        <v>0.26123057689286194</v>
      </c>
      <c r="CM95" s="433">
        <v>0.19945374499368468</v>
      </c>
      <c r="CN95" s="433">
        <v>0.1874651959252118</v>
      </c>
      <c r="CO95" s="433">
        <v>0.6061180812254181</v>
      </c>
      <c r="CP95" s="433">
        <v>0.62118636882734224</v>
      </c>
      <c r="CQ95" s="433">
        <v>0.70077118864502774</v>
      </c>
      <c r="CR95" s="433">
        <v>0.38975168317710257</v>
      </c>
      <c r="CS95" s="433">
        <v>0.39443520669059223</v>
      </c>
      <c r="CT95" s="433">
        <v>0.447221292916757</v>
      </c>
      <c r="CU95" s="433">
        <v>0.3622790598707698</v>
      </c>
      <c r="CV95" s="433">
        <v>0.47604249083347333</v>
      </c>
      <c r="CW95" s="433">
        <v>0.4759898508915783</v>
      </c>
      <c r="CX95" s="433">
        <v>0.4007797062399322</v>
      </c>
      <c r="CY95" s="433">
        <v>0.43383847945766757</v>
      </c>
      <c r="CZ95" s="433">
        <v>0.29816004259848461</v>
      </c>
      <c r="DA95" s="433">
        <v>0.25104840798869349</v>
      </c>
      <c r="DB95" s="433">
        <v>0.78134770554504784</v>
      </c>
      <c r="DC95" s="433">
        <v>0.29816004259848461</v>
      </c>
      <c r="DD95" s="433">
        <v>0.25104840798869349</v>
      </c>
      <c r="DE95" s="433">
        <v>0.37034376886796982</v>
      </c>
      <c r="DF95" s="433">
        <v>0.39133505591051104</v>
      </c>
      <c r="DG95" s="433">
        <v>0</v>
      </c>
      <c r="DH95" s="433">
        <v>0</v>
      </c>
      <c r="DI95" s="433">
        <v>0</v>
      </c>
      <c r="DJ95" s="433">
        <v>0.34760074846819372</v>
      </c>
      <c r="DK95" s="433">
        <v>0.31679504526088992</v>
      </c>
      <c r="DL95" s="433">
        <v>0.28139108209329972</v>
      </c>
      <c r="DM95" s="433">
        <v>0.40065255724171372</v>
      </c>
      <c r="DN95" s="433">
        <v>0</v>
      </c>
      <c r="DO95" s="433">
        <v>0</v>
      </c>
      <c r="DP95" s="433">
        <v>0</v>
      </c>
      <c r="DR95" s="409" t="s">
        <v>711</v>
      </c>
      <c r="DS95" s="409" t="s">
        <v>2525</v>
      </c>
    </row>
    <row r="96" spans="2:123" s="1471" customFormat="1">
      <c r="B96" s="428">
        <v>41824.685373958331</v>
      </c>
      <c r="C96" s="429">
        <v>1.3988468986734504</v>
      </c>
      <c r="D96" s="429">
        <v>1.3907838359615508</v>
      </c>
      <c r="E96" s="429">
        <v>1.4313173553140952</v>
      </c>
      <c r="F96" s="429">
        <v>1.3416259969047954</v>
      </c>
      <c r="G96" s="429">
        <v>1.3718026187430081</v>
      </c>
      <c r="H96" s="429">
        <v>1.3817848890388671</v>
      </c>
      <c r="I96" s="429">
        <v>1.4355631848291619</v>
      </c>
      <c r="J96" s="429">
        <v>1.479736139802635</v>
      </c>
      <c r="K96" s="429">
        <v>1.349108862543716</v>
      </c>
      <c r="L96" s="429">
        <v>1.4779215388758291</v>
      </c>
      <c r="M96" s="429">
        <v>1.3396377164326529</v>
      </c>
      <c r="N96" s="429">
        <v>1.34051420158193</v>
      </c>
      <c r="O96" s="429">
        <v>1.1144762094710536</v>
      </c>
      <c r="P96" s="429">
        <v>1.121768886049755</v>
      </c>
      <c r="Q96" s="429">
        <v>2918.9001210994288</v>
      </c>
      <c r="R96" s="429">
        <v>14.713615986108836</v>
      </c>
      <c r="S96" s="429">
        <v>20.313233526746401</v>
      </c>
      <c r="T96" s="429">
        <v>3801.0986428193655</v>
      </c>
      <c r="U96" s="429">
        <v>3937.4659846698569</v>
      </c>
      <c r="V96" s="429">
        <v>4104.5082257031536</v>
      </c>
      <c r="W96" s="429">
        <v>895.61809290644533</v>
      </c>
      <c r="X96" s="429">
        <v>40.204854196248547</v>
      </c>
      <c r="Y96" s="429">
        <v>41.440621375769112</v>
      </c>
      <c r="Z96" s="429">
        <v>42.926999020955336</v>
      </c>
      <c r="AA96" s="429">
        <v>36.806779053808803</v>
      </c>
      <c r="AB96" s="429">
        <v>37.817861291598362</v>
      </c>
      <c r="AC96" s="429">
        <v>34.070050680118783</v>
      </c>
      <c r="AD96" s="429">
        <v>3.2129991240409663</v>
      </c>
      <c r="AE96" s="429">
        <v>0</v>
      </c>
      <c r="AF96" s="429">
        <v>0</v>
      </c>
      <c r="AG96" s="429">
        <v>0</v>
      </c>
      <c r="AH96" s="429">
        <v>2.8987607887974272</v>
      </c>
      <c r="AI96" s="429">
        <v>6.2812906867302143</v>
      </c>
      <c r="AJ96" s="429">
        <v>6.0754880721940925</v>
      </c>
      <c r="AK96" s="429">
        <v>6.9268228459401371</v>
      </c>
      <c r="AL96" s="429">
        <v>0</v>
      </c>
      <c r="AM96" s="429">
        <v>0</v>
      </c>
      <c r="AN96" s="429">
        <v>0</v>
      </c>
      <c r="AO96" s="432"/>
      <c r="AP96" s="428">
        <v>41824.685373958331</v>
      </c>
      <c r="AQ96" s="431">
        <v>99.714560518038923</v>
      </c>
      <c r="AR96" s="431">
        <v>123.46134694292465</v>
      </c>
      <c r="AS96" s="431">
        <v>78.891947368920228</v>
      </c>
      <c r="AT96" s="431">
        <v>88.770430167324136</v>
      </c>
      <c r="AU96" s="431">
        <v>8.5776375708632155</v>
      </c>
      <c r="AV96" s="431">
        <v>58.495387469660386</v>
      </c>
      <c r="AW96" s="431">
        <v>-10.277532970714979</v>
      </c>
      <c r="AX96" s="431">
        <v>6.0981019583965796</v>
      </c>
      <c r="AY96" s="431">
        <v>116.40327669092113</v>
      </c>
      <c r="AZ96" s="431">
        <v>-91.632620391413283</v>
      </c>
      <c r="BA96" s="431">
        <v>2.4008735198358209</v>
      </c>
      <c r="BB96" s="431">
        <v>3.0896042244733031</v>
      </c>
      <c r="BC96" s="431">
        <v>1.9539213531530961</v>
      </c>
      <c r="BD96" s="431">
        <v>80.040517835257177</v>
      </c>
      <c r="BE96" s="431">
        <v>363837.84176954377</v>
      </c>
      <c r="BF96" s="431">
        <v>8157.3992281795099</v>
      </c>
      <c r="BG96" s="431">
        <v>-2561.1397985338281</v>
      </c>
      <c r="BH96" s="431">
        <v>465256.62402762001</v>
      </c>
      <c r="BI96" s="431">
        <v>448112.43192235444</v>
      </c>
      <c r="BJ96" s="431">
        <v>-57521.594755116748</v>
      </c>
      <c r="BK96" s="431">
        <v>415790.24510115944</v>
      </c>
      <c r="BL96" s="431">
        <v>3315.1054049520785</v>
      </c>
      <c r="BM96" s="431">
        <v>-425.54086003842889</v>
      </c>
      <c r="BN96" s="431">
        <v>147.8368059516699</v>
      </c>
      <c r="BO96" s="431">
        <v>2712.3589676880647</v>
      </c>
      <c r="BP96" s="431">
        <v>-348.16979457689638</v>
      </c>
      <c r="BQ96" s="431">
        <v>1642.936879686453</v>
      </c>
      <c r="BR96" s="431">
        <v>867.60859276926192</v>
      </c>
      <c r="BS96" s="431">
        <v>0</v>
      </c>
      <c r="BT96" s="431">
        <v>0</v>
      </c>
      <c r="BU96" s="431">
        <v>0</v>
      </c>
      <c r="BV96" s="431">
        <v>763.79426468382519</v>
      </c>
      <c r="BW96" s="431">
        <v>1344.6612708062298</v>
      </c>
      <c r="BX96" s="431">
        <v>1179.8376316032288</v>
      </c>
      <c r="BY96" s="431">
        <v>1034.3548236970996</v>
      </c>
      <c r="BZ96" s="431">
        <v>0</v>
      </c>
      <c r="CA96" s="431">
        <v>0</v>
      </c>
      <c r="CB96" s="431">
        <v>0</v>
      </c>
      <c r="CC96" s="432"/>
      <c r="CD96" s="428">
        <v>41824.685373958331</v>
      </c>
      <c r="CE96" s="433">
        <v>0.28867948499398594</v>
      </c>
      <c r="CF96" s="433">
        <v>0.21647902720720727</v>
      </c>
      <c r="CG96" s="433">
        <v>0.17973960391015936</v>
      </c>
      <c r="CH96" s="433" t="e">
        <v>#REF!</v>
      </c>
      <c r="CI96" s="433">
        <v>0.1207127188701978</v>
      </c>
      <c r="CJ96" s="433">
        <v>0.25244030997987504</v>
      </c>
      <c r="CK96" s="433">
        <v>0.24306585314092802</v>
      </c>
      <c r="CL96" s="433">
        <v>0.26123057689286194</v>
      </c>
      <c r="CM96" s="433">
        <v>0.19945374499368468</v>
      </c>
      <c r="CN96" s="433">
        <v>0.1874651959252118</v>
      </c>
      <c r="CO96" s="433">
        <v>0.6061180812254181</v>
      </c>
      <c r="CP96" s="433">
        <v>0.62118636882734224</v>
      </c>
      <c r="CQ96" s="433">
        <v>0.70077118864502774</v>
      </c>
      <c r="CR96" s="433">
        <v>0.38975168317710257</v>
      </c>
      <c r="CS96" s="433">
        <v>0.39443520669059223</v>
      </c>
      <c r="CT96" s="433">
        <v>0.447221292916757</v>
      </c>
      <c r="CU96" s="433">
        <v>0.3622790598707698</v>
      </c>
      <c r="CV96" s="433">
        <v>0.47604249083347333</v>
      </c>
      <c r="CW96" s="433">
        <v>0.4759898508915783</v>
      </c>
      <c r="CX96" s="433">
        <v>0.4007797062399322</v>
      </c>
      <c r="CY96" s="433">
        <v>0.43383847945766757</v>
      </c>
      <c r="CZ96" s="433">
        <v>0.29816004259848461</v>
      </c>
      <c r="DA96" s="433">
        <v>0.25104840798869349</v>
      </c>
      <c r="DB96" s="433">
        <v>0.78134770554504784</v>
      </c>
      <c r="DC96" s="433">
        <v>0.29816004259848461</v>
      </c>
      <c r="DD96" s="433">
        <v>0.25104840798869349</v>
      </c>
      <c r="DE96" s="433">
        <v>0.37034376886796982</v>
      </c>
      <c r="DF96" s="433">
        <v>0.39133505591051104</v>
      </c>
      <c r="DG96" s="433">
        <v>0</v>
      </c>
      <c r="DH96" s="433">
        <v>0</v>
      </c>
      <c r="DI96" s="433">
        <v>0</v>
      </c>
      <c r="DJ96" s="433">
        <v>0.34760074846819372</v>
      </c>
      <c r="DK96" s="433">
        <v>0.31679504526088992</v>
      </c>
      <c r="DL96" s="433">
        <v>0.28139108209329972</v>
      </c>
      <c r="DM96" s="433">
        <v>0.40065255724171372</v>
      </c>
      <c r="DN96" s="433">
        <v>0</v>
      </c>
      <c r="DO96" s="433">
        <v>0</v>
      </c>
      <c r="DP96" s="433">
        <v>0</v>
      </c>
      <c r="DR96" s="409" t="s">
        <v>711</v>
      </c>
      <c r="DS96" s="409" t="s">
        <v>2526</v>
      </c>
    </row>
    <row r="97" spans="2:123" s="1471" customFormat="1">
      <c r="B97" s="428">
        <v>41824.690284143522</v>
      </c>
      <c r="C97" s="429">
        <v>1.3988468986734504</v>
      </c>
      <c r="D97" s="429">
        <v>1.3907838359615508</v>
      </c>
      <c r="E97" s="429">
        <v>1.4313173553140952</v>
      </c>
      <c r="F97" s="429">
        <v>1.3416259969047954</v>
      </c>
      <c r="G97" s="429">
        <v>1.3718026187430081</v>
      </c>
      <c r="H97" s="429">
        <v>1.3817848890388671</v>
      </c>
      <c r="I97" s="429">
        <v>1.4371917986781528</v>
      </c>
      <c r="J97" s="429">
        <v>1.479736139802635</v>
      </c>
      <c r="K97" s="429">
        <v>1.349108862543716</v>
      </c>
      <c r="L97" s="429">
        <v>1.4779215388758291</v>
      </c>
      <c r="M97" s="429">
        <v>1.3396377164326529</v>
      </c>
      <c r="N97" s="429">
        <v>1.34051420158193</v>
      </c>
      <c r="O97" s="429">
        <v>1.1144762094710536</v>
      </c>
      <c r="P97" s="429">
        <v>1.121768886049755</v>
      </c>
      <c r="Q97" s="429">
        <v>2918.9001210994288</v>
      </c>
      <c r="R97" s="429">
        <v>14.713615986108836</v>
      </c>
      <c r="S97" s="429">
        <v>20.373106088278309</v>
      </c>
      <c r="T97" s="429">
        <v>3801.0986428193655</v>
      </c>
      <c r="U97" s="429">
        <v>3937.4659846698569</v>
      </c>
      <c r="V97" s="429">
        <v>4111.9460985244805</v>
      </c>
      <c r="W97" s="429">
        <v>895.61809290644533</v>
      </c>
      <c r="X97" s="429">
        <v>40.204854196248547</v>
      </c>
      <c r="Y97" s="429">
        <v>41.495646254872668</v>
      </c>
      <c r="Z97" s="429">
        <v>42.926999020955336</v>
      </c>
      <c r="AA97" s="429">
        <v>36.806779053808803</v>
      </c>
      <c r="AB97" s="429">
        <v>37.862881647228541</v>
      </c>
      <c r="AC97" s="429">
        <v>34.070050680118783</v>
      </c>
      <c r="AD97" s="429">
        <v>3.2129991240409663</v>
      </c>
      <c r="AE97" s="429">
        <v>0</v>
      </c>
      <c r="AF97" s="429">
        <v>0</v>
      </c>
      <c r="AG97" s="429">
        <v>0</v>
      </c>
      <c r="AH97" s="429">
        <v>2.8987607887974272</v>
      </c>
      <c r="AI97" s="429">
        <v>6.2812906867302143</v>
      </c>
      <c r="AJ97" s="429">
        <v>6.0754880721940925</v>
      </c>
      <c r="AK97" s="429">
        <v>6.9268228459401371</v>
      </c>
      <c r="AL97" s="429">
        <v>0</v>
      </c>
      <c r="AM97" s="429">
        <v>0</v>
      </c>
      <c r="AN97" s="429">
        <v>0</v>
      </c>
      <c r="AO97" s="432"/>
      <c r="AP97" s="428">
        <v>41824.690284143522</v>
      </c>
      <c r="AQ97" s="431">
        <v>99.714560518038923</v>
      </c>
      <c r="AR97" s="431">
        <v>123.46134694292465</v>
      </c>
      <c r="AS97" s="431">
        <v>78.891947368920228</v>
      </c>
      <c r="AT97" s="431">
        <v>88.770430167324136</v>
      </c>
      <c r="AU97" s="431">
        <v>8.5776375708632155</v>
      </c>
      <c r="AV97" s="431">
        <v>58.495387469660386</v>
      </c>
      <c r="AW97" s="431">
        <v>-10.277532970714979</v>
      </c>
      <c r="AX97" s="431">
        <v>6.0981019583965796</v>
      </c>
      <c r="AY97" s="431">
        <v>116.40327669092113</v>
      </c>
      <c r="AZ97" s="431">
        <v>-91.632620391413283</v>
      </c>
      <c r="BA97" s="431">
        <v>2.4008735198358209</v>
      </c>
      <c r="BB97" s="431">
        <v>3.0896042244733031</v>
      </c>
      <c r="BC97" s="431">
        <v>1.9539213531530961</v>
      </c>
      <c r="BD97" s="431">
        <v>80.040517835257177</v>
      </c>
      <c r="BE97" s="431">
        <v>363837.84176954377</v>
      </c>
      <c r="BF97" s="431">
        <v>8157.3992281795099</v>
      </c>
      <c r="BG97" s="431">
        <v>-2568.8781043481417</v>
      </c>
      <c r="BH97" s="431">
        <v>465256.62402762001</v>
      </c>
      <c r="BI97" s="431">
        <v>448112.43192235444</v>
      </c>
      <c r="BJ97" s="431">
        <v>-57521.594755116748</v>
      </c>
      <c r="BK97" s="431">
        <v>415790.24510115944</v>
      </c>
      <c r="BL97" s="431">
        <v>3315.1054049520785</v>
      </c>
      <c r="BM97" s="431">
        <v>-425.54086003842889</v>
      </c>
      <c r="BN97" s="431">
        <v>147.8368059516699</v>
      </c>
      <c r="BO97" s="431">
        <v>2712.3589676880647</v>
      </c>
      <c r="BP97" s="431">
        <v>-348.16979457689638</v>
      </c>
      <c r="BQ97" s="431">
        <v>1642.936879686453</v>
      </c>
      <c r="BR97" s="431">
        <v>867.60859276926192</v>
      </c>
      <c r="BS97" s="431">
        <v>0</v>
      </c>
      <c r="BT97" s="431">
        <v>0</v>
      </c>
      <c r="BU97" s="431">
        <v>0</v>
      </c>
      <c r="BV97" s="431">
        <v>763.79426468382519</v>
      </c>
      <c r="BW97" s="431">
        <v>1344.6612708062298</v>
      </c>
      <c r="BX97" s="431">
        <v>1179.8376316032288</v>
      </c>
      <c r="BY97" s="431">
        <v>1034.3548236970996</v>
      </c>
      <c r="BZ97" s="431">
        <v>0</v>
      </c>
      <c r="CA97" s="431">
        <v>0</v>
      </c>
      <c r="CB97" s="431">
        <v>0</v>
      </c>
      <c r="CC97" s="432"/>
      <c r="CD97" s="428">
        <v>41824.690284143522</v>
      </c>
      <c r="CE97" s="433">
        <v>0.28867948499398594</v>
      </c>
      <c r="CF97" s="433">
        <v>0.21647902720720727</v>
      </c>
      <c r="CG97" s="433">
        <v>0.17973960391015936</v>
      </c>
      <c r="CH97" s="433" t="e">
        <v>#REF!</v>
      </c>
      <c r="CI97" s="433">
        <v>0.1207127188701978</v>
      </c>
      <c r="CJ97" s="433">
        <v>0.25244030997987504</v>
      </c>
      <c r="CK97" s="433">
        <v>0.24306585314092802</v>
      </c>
      <c r="CL97" s="433">
        <v>0.26123057689286194</v>
      </c>
      <c r="CM97" s="433">
        <v>0.19945374499368468</v>
      </c>
      <c r="CN97" s="433">
        <v>0.1874651959252118</v>
      </c>
      <c r="CO97" s="433">
        <v>0.6061180812254181</v>
      </c>
      <c r="CP97" s="433">
        <v>0.62118636882734224</v>
      </c>
      <c r="CQ97" s="433">
        <v>0.70077118864502774</v>
      </c>
      <c r="CR97" s="433">
        <v>0.38975168317710257</v>
      </c>
      <c r="CS97" s="433">
        <v>0.39443520669059223</v>
      </c>
      <c r="CT97" s="433">
        <v>0.447221292916757</v>
      </c>
      <c r="CU97" s="433">
        <v>0.3622790598707698</v>
      </c>
      <c r="CV97" s="433">
        <v>0.47604249083347333</v>
      </c>
      <c r="CW97" s="433">
        <v>0.4759898508915783</v>
      </c>
      <c r="CX97" s="433">
        <v>0.4007797062399322</v>
      </c>
      <c r="CY97" s="433">
        <v>0.43383847945766757</v>
      </c>
      <c r="CZ97" s="433">
        <v>0.29816004259848461</v>
      </c>
      <c r="DA97" s="433">
        <v>0.25104840798869349</v>
      </c>
      <c r="DB97" s="433">
        <v>0.78134770554504784</v>
      </c>
      <c r="DC97" s="433">
        <v>0.29816004259848461</v>
      </c>
      <c r="DD97" s="433">
        <v>0.25104840798869349</v>
      </c>
      <c r="DE97" s="433">
        <v>0.37034376886796982</v>
      </c>
      <c r="DF97" s="433">
        <v>0.39133505591051104</v>
      </c>
      <c r="DG97" s="433">
        <v>0</v>
      </c>
      <c r="DH97" s="433">
        <v>0</v>
      </c>
      <c r="DI97" s="433">
        <v>0</v>
      </c>
      <c r="DJ97" s="433">
        <v>0.34760074846819372</v>
      </c>
      <c r="DK97" s="433">
        <v>0.31679504526088992</v>
      </c>
      <c r="DL97" s="433">
        <v>0.28139108209329972</v>
      </c>
      <c r="DM97" s="433">
        <v>0.40065255724171372</v>
      </c>
      <c r="DN97" s="433">
        <v>0</v>
      </c>
      <c r="DO97" s="433">
        <v>0</v>
      </c>
      <c r="DP97" s="433">
        <v>0</v>
      </c>
      <c r="DR97" s="409" t="s">
        <v>711</v>
      </c>
      <c r="DS97" s="409" t="s">
        <v>2528</v>
      </c>
    </row>
    <row r="98" spans="2:123" s="1471" customFormat="1">
      <c r="B98" s="428">
        <v>41842.401775115737</v>
      </c>
      <c r="C98" s="429">
        <v>1.3988467464014478</v>
      </c>
      <c r="D98" s="429">
        <v>1.3907851297126956</v>
      </c>
      <c r="E98" s="429">
        <v>1.4269825397854414</v>
      </c>
      <c r="F98" s="429">
        <v>1.3333156930043075</v>
      </c>
      <c r="G98" s="429">
        <v>1.3718026187430081</v>
      </c>
      <c r="H98" s="429">
        <v>1.3879114413765243</v>
      </c>
      <c r="I98" s="429">
        <v>1.437212022054515</v>
      </c>
      <c r="J98" s="429">
        <v>1.479736139802635</v>
      </c>
      <c r="K98" s="429">
        <v>1.3491059812968109</v>
      </c>
      <c r="L98" s="429">
        <v>1.4779100479357297</v>
      </c>
      <c r="M98" s="429">
        <v>1.3396332095127101</v>
      </c>
      <c r="N98" s="429">
        <v>1.3404806581884816</v>
      </c>
      <c r="O98" s="429">
        <v>1.1144559526243145</v>
      </c>
      <c r="P98" s="429">
        <v>1.2136328930805904</v>
      </c>
      <c r="Q98" s="429">
        <v>2918.9573122610873</v>
      </c>
      <c r="R98" s="429">
        <v>14.719454819389831</v>
      </c>
      <c r="S98" s="429">
        <v>20.373488844734329</v>
      </c>
      <c r="T98" s="429">
        <v>3801.1717758576115</v>
      </c>
      <c r="U98" s="429">
        <v>3937.4652080119722</v>
      </c>
      <c r="V98" s="429">
        <v>4112.0390654541825</v>
      </c>
      <c r="W98" s="429">
        <v>895.61804420344504</v>
      </c>
      <c r="X98" s="429">
        <v>40.204848450586148</v>
      </c>
      <c r="Y98" s="429">
        <v>41.496334017918677</v>
      </c>
      <c r="Z98" s="429">
        <v>42.925466355622746</v>
      </c>
      <c r="AA98" s="429">
        <v>36.806774352812297</v>
      </c>
      <c r="AB98" s="429">
        <v>37.863444362448007</v>
      </c>
      <c r="AC98" s="429">
        <v>34.070047781246444</v>
      </c>
      <c r="AD98" s="429">
        <v>3.2129976384997607</v>
      </c>
      <c r="AE98" s="429">
        <v>3.1173303877864642</v>
      </c>
      <c r="AF98" s="429">
        <v>2.8987490259444506</v>
      </c>
      <c r="AG98" s="429">
        <v>0</v>
      </c>
      <c r="AH98" s="429">
        <v>6.2812883878686421</v>
      </c>
      <c r="AI98" s="429">
        <v>6.1332441831567914</v>
      </c>
      <c r="AJ98" s="429">
        <v>6.0754698692855627</v>
      </c>
      <c r="AK98" s="429">
        <v>6.9268210775850818</v>
      </c>
      <c r="AL98" s="429">
        <v>0</v>
      </c>
      <c r="AM98" s="429">
        <v>0</v>
      </c>
      <c r="AN98" s="429">
        <v>0</v>
      </c>
      <c r="AO98" s="432"/>
      <c r="AP98" s="428">
        <v>41842.401775115737</v>
      </c>
      <c r="AQ98" s="431">
        <v>99.701198460902305</v>
      </c>
      <c r="AR98" s="431">
        <v>123.43806342019201</v>
      </c>
      <c r="AS98" s="431">
        <v>52.177496591868461</v>
      </c>
      <c r="AT98" s="431">
        <v>37.54980431803029</v>
      </c>
      <c r="AU98" s="431">
        <v>8.5776375708632155</v>
      </c>
      <c r="AV98" s="431">
        <v>42.070016402920906</v>
      </c>
      <c r="AW98" s="431">
        <v>-10.178567373672415</v>
      </c>
      <c r="AX98" s="431">
        <v>6.0981019583965796</v>
      </c>
      <c r="AY98" s="431">
        <v>116.36107115902827</v>
      </c>
      <c r="AZ98" s="431">
        <v>-91.800943778763894</v>
      </c>
      <c r="BA98" s="431">
        <v>2.0985383444854686</v>
      </c>
      <c r="BB98" s="431">
        <v>2.5329299146169211</v>
      </c>
      <c r="BC98" s="431">
        <v>1.6018704942876465</v>
      </c>
      <c r="BD98" s="431">
        <v>79.875026569726074</v>
      </c>
      <c r="BE98" s="431">
        <v>363731.09242256702</v>
      </c>
      <c r="BF98" s="431">
        <v>8157.163662760182</v>
      </c>
      <c r="BG98" s="431">
        <v>-2567.0050382234162</v>
      </c>
      <c r="BH98" s="431">
        <v>465120.11859830568</v>
      </c>
      <c r="BI98" s="431">
        <v>448051.0065003956</v>
      </c>
      <c r="BJ98" s="431">
        <v>-57066.649569985879</v>
      </c>
      <c r="BK98" s="431">
        <v>415786.39320909069</v>
      </c>
      <c r="BL98" s="431">
        <v>3314.6509838429301</v>
      </c>
      <c r="BM98" s="431">
        <v>-422.17520638826284</v>
      </c>
      <c r="BN98" s="431">
        <v>121.2000764726548</v>
      </c>
      <c r="BO98" s="431">
        <v>2711.9871685987609</v>
      </c>
      <c r="BP98" s="431">
        <v>-345.41607795403326</v>
      </c>
      <c r="BQ98" s="431">
        <v>1642.3278962289189</v>
      </c>
      <c r="BR98" s="431">
        <v>867.49110217629527</v>
      </c>
      <c r="BS98" s="431">
        <v>360.74863848769985</v>
      </c>
      <c r="BT98" s="431">
        <v>763.52112175435411</v>
      </c>
      <c r="BU98" s="431">
        <v>0</v>
      </c>
      <c r="BV98" s="431">
        <v>1344.4794551768773</v>
      </c>
      <c r="BW98" s="431">
        <v>560.30007852342465</v>
      </c>
      <c r="BX98" s="431">
        <v>1179.4149453917539</v>
      </c>
      <c r="BY98" s="431">
        <v>1034.2149655206747</v>
      </c>
      <c r="BZ98" s="431">
        <v>0</v>
      </c>
      <c r="CA98" s="431">
        <v>0</v>
      </c>
      <c r="CB98" s="431">
        <v>0</v>
      </c>
      <c r="CC98" s="432"/>
      <c r="CD98" s="428">
        <v>41842.401775115737</v>
      </c>
      <c r="CE98" s="433">
        <v>0.28867948499398594</v>
      </c>
      <c r="CF98" s="433">
        <v>0.21647902720720727</v>
      </c>
      <c r="CG98" s="433">
        <v>0.17973960391015936</v>
      </c>
      <c r="CH98" s="433">
        <v>0.18197778689994615</v>
      </c>
      <c r="CI98" s="433">
        <v>0.1207127188701978</v>
      </c>
      <c r="CJ98" s="433">
        <v>0.25244030997987504</v>
      </c>
      <c r="CK98" s="433">
        <v>0.24306585314092802</v>
      </c>
      <c r="CL98" s="433">
        <v>0.26123057689286194</v>
      </c>
      <c r="CM98" s="433">
        <v>0.19945374499368468</v>
      </c>
      <c r="CN98" s="433">
        <v>0.1874651959252118</v>
      </c>
      <c r="CO98" s="433">
        <v>0.6079976020925798</v>
      </c>
      <c r="CP98" s="433">
        <v>0.6236009607312033</v>
      </c>
      <c r="CQ98" s="433">
        <v>0.70349513193076929</v>
      </c>
      <c r="CR98" s="433">
        <v>0.39067782389425465</v>
      </c>
      <c r="CS98" s="433">
        <v>0.39443520669059223</v>
      </c>
      <c r="CT98" s="433">
        <v>0.447221292916757</v>
      </c>
      <c r="CU98" s="433">
        <v>0.3622790598707698</v>
      </c>
      <c r="CV98" s="433">
        <v>0.47604249083347333</v>
      </c>
      <c r="CW98" s="433">
        <v>0.4759898508915783</v>
      </c>
      <c r="CX98" s="433">
        <v>0.4007797062399322</v>
      </c>
      <c r="CY98" s="433">
        <v>0.43383847945766757</v>
      </c>
      <c r="CZ98" s="433">
        <v>0.29816004259848461</v>
      </c>
      <c r="DA98" s="433">
        <v>0.25104840798869349</v>
      </c>
      <c r="DB98" s="433">
        <v>0.78438485500386668</v>
      </c>
      <c r="DC98" s="433">
        <v>0.29816004259848461</v>
      </c>
      <c r="DD98" s="433">
        <v>0.25104840798869349</v>
      </c>
      <c r="DE98" s="433">
        <v>0.37034376886796982</v>
      </c>
      <c r="DF98" s="433">
        <v>0.39133505591051104</v>
      </c>
      <c r="DG98" s="433">
        <v>0.34220908639247161</v>
      </c>
      <c r="DH98" s="433">
        <v>0.34760074846819372</v>
      </c>
      <c r="DI98" s="433">
        <v>0</v>
      </c>
      <c r="DJ98" s="433">
        <v>0.31679504526088992</v>
      </c>
      <c r="DK98" s="433">
        <v>0.27702640327009609</v>
      </c>
      <c r="DL98" s="433">
        <v>0.28139108209329972</v>
      </c>
      <c r="DM98" s="433">
        <v>0.40065255724171372</v>
      </c>
      <c r="DN98" s="433">
        <v>0</v>
      </c>
      <c r="DO98" s="433">
        <v>0</v>
      </c>
      <c r="DP98" s="433">
        <v>0</v>
      </c>
      <c r="DR98" s="409" t="s">
        <v>2542</v>
      </c>
      <c r="DS98" s="409" t="s">
        <v>2543</v>
      </c>
    </row>
    <row r="99" spans="2:123" s="1471" customFormat="1">
      <c r="B99" s="428">
        <v>41845.356065972221</v>
      </c>
      <c r="C99" s="429">
        <v>1.3988467464014478</v>
      </c>
      <c r="D99" s="429">
        <v>1.3907851297126956</v>
      </c>
      <c r="E99" s="429">
        <v>1.4269825397854414</v>
      </c>
      <c r="F99" s="429">
        <v>1.3333156930043075</v>
      </c>
      <c r="G99" s="429">
        <v>1.423918098016135</v>
      </c>
      <c r="H99" s="429">
        <v>1.3879114413765243</v>
      </c>
      <c r="I99" s="429">
        <v>1.437212022054515</v>
      </c>
      <c r="J99" s="429">
        <v>1.479736139802635</v>
      </c>
      <c r="K99" s="429">
        <v>1.3491059812968109</v>
      </c>
      <c r="L99" s="429">
        <v>1.4779100479357297</v>
      </c>
      <c r="M99" s="429">
        <v>1.3396332095127101</v>
      </c>
      <c r="N99" s="429">
        <v>1.3404806581884816</v>
      </c>
      <c r="O99" s="429">
        <v>1.1144559526243145</v>
      </c>
      <c r="P99" s="429">
        <v>1.2136328930805904</v>
      </c>
      <c r="Q99" s="429">
        <v>2918.9573122610873</v>
      </c>
      <c r="R99" s="429">
        <v>14.719454819389831</v>
      </c>
      <c r="S99" s="429">
        <v>20.373488844734329</v>
      </c>
      <c r="T99" s="429">
        <v>3801.1717758576115</v>
      </c>
      <c r="U99" s="429">
        <v>3937.4652080119722</v>
      </c>
      <c r="V99" s="429">
        <v>4112.0390654541825</v>
      </c>
      <c r="W99" s="429">
        <v>895.61804420344504</v>
      </c>
      <c r="X99" s="429">
        <v>40.204848450586148</v>
      </c>
      <c r="Y99" s="429">
        <v>41.496334017918677</v>
      </c>
      <c r="Z99" s="429">
        <v>42.925466355622746</v>
      </c>
      <c r="AA99" s="429">
        <v>36.806774352812297</v>
      </c>
      <c r="AB99" s="429">
        <v>37.863444362448007</v>
      </c>
      <c r="AC99" s="429">
        <v>34.070047781246444</v>
      </c>
      <c r="AD99" s="429">
        <v>3.2129976384997607</v>
      </c>
      <c r="AE99" s="429">
        <v>3.1600656124274824</v>
      </c>
      <c r="AF99" s="429">
        <v>2.8987490259444506</v>
      </c>
      <c r="AG99" s="429">
        <v>0</v>
      </c>
      <c r="AH99" s="429">
        <v>6.2812883878686421</v>
      </c>
      <c r="AI99" s="429">
        <v>6.1332441831567914</v>
      </c>
      <c r="AJ99" s="429">
        <v>6.0754698692855627</v>
      </c>
      <c r="AK99" s="429">
        <v>6.9268210775850818</v>
      </c>
      <c r="AL99" s="429">
        <v>0</v>
      </c>
      <c r="AM99" s="429">
        <v>0</v>
      </c>
      <c r="AN99" s="429">
        <v>0</v>
      </c>
      <c r="AO99" s="432"/>
      <c r="AP99" s="428">
        <v>41845.356065972221</v>
      </c>
      <c r="AQ99" s="431">
        <v>99.701198460902305</v>
      </c>
      <c r="AR99" s="431">
        <v>123.43806342019201</v>
      </c>
      <c r="AS99" s="431">
        <v>52.177496591868461</v>
      </c>
      <c r="AT99" s="431">
        <v>37.54980431803029</v>
      </c>
      <c r="AU99" s="431">
        <v>34.331630889103536</v>
      </c>
      <c r="AV99" s="431">
        <v>42.070016402920906</v>
      </c>
      <c r="AW99" s="431">
        <v>-10.178567373672415</v>
      </c>
      <c r="AX99" s="431">
        <v>6.0981019583965796</v>
      </c>
      <c r="AY99" s="431">
        <v>116.36107115902827</v>
      </c>
      <c r="AZ99" s="431">
        <v>-91.800943778763894</v>
      </c>
      <c r="BA99" s="431">
        <v>2.0985383444854686</v>
      </c>
      <c r="BB99" s="431">
        <v>2.5329299146169211</v>
      </c>
      <c r="BC99" s="431">
        <v>1.6018704942876465</v>
      </c>
      <c r="BD99" s="431">
        <v>79.875026569726074</v>
      </c>
      <c r="BE99" s="431">
        <v>363731.09242256702</v>
      </c>
      <c r="BF99" s="431">
        <v>8157.163662760182</v>
      </c>
      <c r="BG99" s="431">
        <v>-2567.0050382234162</v>
      </c>
      <c r="BH99" s="431">
        <v>465120.11859830568</v>
      </c>
      <c r="BI99" s="431">
        <v>448051.0065003956</v>
      </c>
      <c r="BJ99" s="431">
        <v>-57066.649569985879</v>
      </c>
      <c r="BK99" s="431">
        <v>415786.39320909069</v>
      </c>
      <c r="BL99" s="431">
        <v>3314.6509838429301</v>
      </c>
      <c r="BM99" s="431">
        <v>-422.17520638826284</v>
      </c>
      <c r="BN99" s="431">
        <v>121.2000764726548</v>
      </c>
      <c r="BO99" s="431">
        <v>2711.9871685987609</v>
      </c>
      <c r="BP99" s="431">
        <v>-345.41607795403326</v>
      </c>
      <c r="BQ99" s="431">
        <v>1642.3278962289189</v>
      </c>
      <c r="BR99" s="431">
        <v>867.49110217629527</v>
      </c>
      <c r="BS99" s="431">
        <v>366.28840513426582</v>
      </c>
      <c r="BT99" s="431">
        <v>763.52112175435411</v>
      </c>
      <c r="BU99" s="431">
        <v>0</v>
      </c>
      <c r="BV99" s="431">
        <v>1344.4794551768773</v>
      </c>
      <c r="BW99" s="431">
        <v>560.30007852342465</v>
      </c>
      <c r="BX99" s="431">
        <v>1179.4149453917539</v>
      </c>
      <c r="BY99" s="431">
        <v>1034.2149655206747</v>
      </c>
      <c r="BZ99" s="431">
        <v>0</v>
      </c>
      <c r="CA99" s="431">
        <v>0</v>
      </c>
      <c r="CB99" s="431">
        <v>0</v>
      </c>
      <c r="CC99" s="432"/>
      <c r="CD99" s="428">
        <v>41845.356065972221</v>
      </c>
      <c r="CE99" s="433">
        <v>0.28867948499398594</v>
      </c>
      <c r="CF99" s="433">
        <v>0.21647902720720727</v>
      </c>
      <c r="CG99" s="433">
        <v>0.17973960391015936</v>
      </c>
      <c r="CH99" s="433">
        <v>0.18197778689994615</v>
      </c>
      <c r="CI99" s="433">
        <v>0.16617331458371132</v>
      </c>
      <c r="CJ99" s="433">
        <v>0.25244030997987504</v>
      </c>
      <c r="CK99" s="433">
        <v>0.24306585314092802</v>
      </c>
      <c r="CL99" s="433">
        <v>0.26123057689286194</v>
      </c>
      <c r="CM99" s="433">
        <v>0.19945374499368468</v>
      </c>
      <c r="CN99" s="433">
        <v>0.1874651959252118</v>
      </c>
      <c r="CO99" s="433">
        <v>0.6079976020925798</v>
      </c>
      <c r="CP99" s="433">
        <v>0.6236009607312033</v>
      </c>
      <c r="CQ99" s="433">
        <v>0.70349513193076929</v>
      </c>
      <c r="CR99" s="433">
        <v>0.39067782389425465</v>
      </c>
      <c r="CS99" s="433">
        <v>0.39443520669059223</v>
      </c>
      <c r="CT99" s="433">
        <v>0.447221292916757</v>
      </c>
      <c r="CU99" s="433">
        <v>0.3622790598707698</v>
      </c>
      <c r="CV99" s="433">
        <v>0.47604249083347333</v>
      </c>
      <c r="CW99" s="433">
        <v>0.4759898508915783</v>
      </c>
      <c r="CX99" s="433">
        <v>0.4007797062399322</v>
      </c>
      <c r="CY99" s="433">
        <v>0.43383847945766757</v>
      </c>
      <c r="CZ99" s="433">
        <v>0.29816004259848461</v>
      </c>
      <c r="DA99" s="433">
        <v>0.25104840798869349</v>
      </c>
      <c r="DB99" s="433">
        <v>0.78438485500386668</v>
      </c>
      <c r="DC99" s="433">
        <v>0.29816004259848461</v>
      </c>
      <c r="DD99" s="433">
        <v>0.25104840798869349</v>
      </c>
      <c r="DE99" s="433">
        <v>0.37034376886796982</v>
      </c>
      <c r="DF99" s="433">
        <v>0.39133505591051104</v>
      </c>
      <c r="DG99" s="433">
        <v>0.34220908639247161</v>
      </c>
      <c r="DH99" s="433">
        <v>0.34760074846819372</v>
      </c>
      <c r="DI99" s="433">
        <v>0</v>
      </c>
      <c r="DJ99" s="433">
        <v>0.31679504526088992</v>
      </c>
      <c r="DK99" s="433">
        <v>0.27702640327009609</v>
      </c>
      <c r="DL99" s="433">
        <v>0.28139108209329972</v>
      </c>
      <c r="DM99" s="433">
        <v>0.40065255724171372</v>
      </c>
      <c r="DN99" s="433">
        <v>0</v>
      </c>
      <c r="DO99" s="433">
        <v>0</v>
      </c>
      <c r="DP99" s="433">
        <v>0</v>
      </c>
      <c r="DR99" s="409" t="s">
        <v>2542</v>
      </c>
      <c r="DS99" s="409" t="s">
        <v>2544</v>
      </c>
    </row>
    <row r="100" spans="2:123" s="1471" customFormat="1">
      <c r="B100" s="428">
        <v>41845.563280092596</v>
      </c>
      <c r="C100" s="429">
        <v>1.3988467464014478</v>
      </c>
      <c r="D100" s="429">
        <v>1.3907851297126956</v>
      </c>
      <c r="E100" s="429">
        <v>1.4269825397854414</v>
      </c>
      <c r="F100" s="429">
        <v>1.3333156930043075</v>
      </c>
      <c r="G100" s="429">
        <v>1.423918098016135</v>
      </c>
      <c r="H100" s="429">
        <v>1.3884994444077621</v>
      </c>
      <c r="I100" s="429">
        <v>1.437212022054515</v>
      </c>
      <c r="J100" s="429">
        <v>1.479736139802635</v>
      </c>
      <c r="K100" s="429">
        <v>1.3491059812968109</v>
      </c>
      <c r="L100" s="429">
        <v>1.4779100479357297</v>
      </c>
      <c r="M100" s="429">
        <v>1.3396332095127101</v>
      </c>
      <c r="N100" s="429">
        <v>1.3404806581884816</v>
      </c>
      <c r="O100" s="429">
        <v>1.1144559526243145</v>
      </c>
      <c r="P100" s="429">
        <v>1.2136328930805904</v>
      </c>
      <c r="Q100" s="429">
        <v>2918.9573122610873</v>
      </c>
      <c r="R100" s="429">
        <v>14.719454819389831</v>
      </c>
      <c r="S100" s="429">
        <v>20.373488844734329</v>
      </c>
      <c r="T100" s="429">
        <v>3801.1717758576115</v>
      </c>
      <c r="U100" s="429">
        <v>3937.4652080119722</v>
      </c>
      <c r="V100" s="429">
        <v>4112.0390654541825</v>
      </c>
      <c r="W100" s="429">
        <v>895.61804420344504</v>
      </c>
      <c r="X100" s="429">
        <v>40.204848450586148</v>
      </c>
      <c r="Y100" s="429">
        <v>41.496334017918677</v>
      </c>
      <c r="Z100" s="429">
        <v>42.925466355622746</v>
      </c>
      <c r="AA100" s="429">
        <v>36.806774352812297</v>
      </c>
      <c r="AB100" s="429">
        <v>37.863444362448007</v>
      </c>
      <c r="AC100" s="429">
        <v>34.070047781246444</v>
      </c>
      <c r="AD100" s="429">
        <v>3.2129976384997607</v>
      </c>
      <c r="AE100" s="429">
        <v>3.1653152316912174</v>
      </c>
      <c r="AF100" s="429">
        <v>2.8987490259444506</v>
      </c>
      <c r="AG100" s="429">
        <v>0</v>
      </c>
      <c r="AH100" s="429">
        <v>6.2812883878686421</v>
      </c>
      <c r="AI100" s="429">
        <v>6.1412450575799875</v>
      </c>
      <c r="AJ100" s="429">
        <v>6.0754698692855627</v>
      </c>
      <c r="AK100" s="429">
        <v>6.9268210775850818</v>
      </c>
      <c r="AL100" s="429">
        <v>0</v>
      </c>
      <c r="AM100" s="429">
        <v>0</v>
      </c>
      <c r="AN100" s="429">
        <v>0</v>
      </c>
      <c r="AO100" s="432"/>
      <c r="AP100" s="428">
        <v>41845.563280092596</v>
      </c>
      <c r="AQ100" s="431">
        <v>99.701198460902305</v>
      </c>
      <c r="AR100" s="431">
        <v>123.43806342019201</v>
      </c>
      <c r="AS100" s="431">
        <v>52.177496591868461</v>
      </c>
      <c r="AT100" s="431">
        <v>37.54980431803029</v>
      </c>
      <c r="AU100" s="431">
        <v>34.331630889103536</v>
      </c>
      <c r="AV100" s="431">
        <v>45.694059097942542</v>
      </c>
      <c r="AW100" s="431">
        <v>-10.178567373672415</v>
      </c>
      <c r="AX100" s="431">
        <v>6.0981019583965796</v>
      </c>
      <c r="AY100" s="431">
        <v>116.36107115902827</v>
      </c>
      <c r="AZ100" s="431">
        <v>-91.800943778763894</v>
      </c>
      <c r="BA100" s="431">
        <v>2.0985383444854686</v>
      </c>
      <c r="BB100" s="431">
        <v>2.5329299146169211</v>
      </c>
      <c r="BC100" s="431">
        <v>1.6018704942876465</v>
      </c>
      <c r="BD100" s="431">
        <v>79.875026569726074</v>
      </c>
      <c r="BE100" s="431">
        <v>363731.09242256702</v>
      </c>
      <c r="BF100" s="431">
        <v>8157.163662760182</v>
      </c>
      <c r="BG100" s="431">
        <v>-2567.0050382234162</v>
      </c>
      <c r="BH100" s="431">
        <v>465120.11859830568</v>
      </c>
      <c r="BI100" s="431">
        <v>448051.0065003956</v>
      </c>
      <c r="BJ100" s="431">
        <v>-57066.649569985879</v>
      </c>
      <c r="BK100" s="431">
        <v>415786.39320909069</v>
      </c>
      <c r="BL100" s="431">
        <v>3314.6509838429301</v>
      </c>
      <c r="BM100" s="431">
        <v>-422.17520638826284</v>
      </c>
      <c r="BN100" s="431">
        <v>121.2000764726548</v>
      </c>
      <c r="BO100" s="431">
        <v>2711.9871685987609</v>
      </c>
      <c r="BP100" s="431">
        <v>-345.41607795403326</v>
      </c>
      <c r="BQ100" s="431">
        <v>1642.3278962289189</v>
      </c>
      <c r="BR100" s="431">
        <v>867.49110217629527</v>
      </c>
      <c r="BS100" s="431">
        <v>398.64341579524665</v>
      </c>
      <c r="BT100" s="431">
        <v>763.52112175435411</v>
      </c>
      <c r="BU100" s="431">
        <v>0</v>
      </c>
      <c r="BV100" s="431">
        <v>1344.4794551768773</v>
      </c>
      <c r="BW100" s="431">
        <v>609.61191701197743</v>
      </c>
      <c r="BX100" s="431">
        <v>1179.4149453917539</v>
      </c>
      <c r="BY100" s="431">
        <v>1034.2149655206747</v>
      </c>
      <c r="BZ100" s="431">
        <v>0</v>
      </c>
      <c r="CA100" s="431">
        <v>0</v>
      </c>
      <c r="CB100" s="431">
        <v>0</v>
      </c>
      <c r="CC100" s="432"/>
      <c r="CD100" s="428">
        <v>41845.563280092596</v>
      </c>
      <c r="CE100" s="433">
        <v>0.28867948499398594</v>
      </c>
      <c r="CF100" s="433">
        <v>0.21647902720720727</v>
      </c>
      <c r="CG100" s="433">
        <v>0.17973960391015936</v>
      </c>
      <c r="CH100" s="433">
        <v>0.18197778689994615</v>
      </c>
      <c r="CI100" s="433">
        <v>0.16617331458371132</v>
      </c>
      <c r="CJ100" s="433">
        <v>0.25244030997987504</v>
      </c>
      <c r="CK100" s="433">
        <v>0.24306585314092802</v>
      </c>
      <c r="CL100" s="433">
        <v>0.26123057689286194</v>
      </c>
      <c r="CM100" s="433">
        <v>0.19945374499368468</v>
      </c>
      <c r="CN100" s="433">
        <v>0.1874651959252118</v>
      </c>
      <c r="CO100" s="433">
        <v>0.6079976020925798</v>
      </c>
      <c r="CP100" s="433">
        <v>0.6236009607312033</v>
      </c>
      <c r="CQ100" s="433">
        <v>0.70349513193076929</v>
      </c>
      <c r="CR100" s="433">
        <v>0.39067782389425465</v>
      </c>
      <c r="CS100" s="433">
        <v>0.39443520669059223</v>
      </c>
      <c r="CT100" s="433">
        <v>0.447221292916757</v>
      </c>
      <c r="CU100" s="433">
        <v>0.3622790598707698</v>
      </c>
      <c r="CV100" s="433">
        <v>0.47604249083347333</v>
      </c>
      <c r="CW100" s="433">
        <v>0.4759898508915783</v>
      </c>
      <c r="CX100" s="433">
        <v>0.4007797062399322</v>
      </c>
      <c r="CY100" s="433">
        <v>0.43383847945766757</v>
      </c>
      <c r="CZ100" s="433">
        <v>0.29816004259848461</v>
      </c>
      <c r="DA100" s="433">
        <v>0.25104840798869349</v>
      </c>
      <c r="DB100" s="433">
        <v>0.78438485500386668</v>
      </c>
      <c r="DC100" s="433">
        <v>0.29816004259848461</v>
      </c>
      <c r="DD100" s="433">
        <v>0.25104840798869349</v>
      </c>
      <c r="DE100" s="433">
        <v>0.37034376886796982</v>
      </c>
      <c r="DF100" s="433">
        <v>0.39133505591051104</v>
      </c>
      <c r="DG100" s="433">
        <v>0.34220908639247161</v>
      </c>
      <c r="DH100" s="433">
        <v>0.34760074846819372</v>
      </c>
      <c r="DI100" s="433">
        <v>0</v>
      </c>
      <c r="DJ100" s="433">
        <v>0.31679504526088992</v>
      </c>
      <c r="DK100" s="433">
        <v>0.27702640327009609</v>
      </c>
      <c r="DL100" s="433">
        <v>0.28139108209329972</v>
      </c>
      <c r="DM100" s="433">
        <v>0.40065255724171372</v>
      </c>
      <c r="DN100" s="433">
        <v>0</v>
      </c>
      <c r="DO100" s="433">
        <v>0</v>
      </c>
      <c r="DP100" s="433">
        <v>0</v>
      </c>
      <c r="DR100" s="409" t="s">
        <v>2542</v>
      </c>
      <c r="DS100" s="409" t="s">
        <v>2546</v>
      </c>
    </row>
    <row r="101" spans="2:123" s="1471" customFormat="1">
      <c r="B101" s="428">
        <v>41845.628197337966</v>
      </c>
      <c r="C101" s="429">
        <v>1.3988467464014478</v>
      </c>
      <c r="D101" s="429">
        <v>1.3907851297126956</v>
      </c>
      <c r="E101" s="429">
        <v>1.4269825397854414</v>
      </c>
      <c r="F101" s="429">
        <v>1.3333156930043075</v>
      </c>
      <c r="G101" s="429">
        <v>1.423918098016135</v>
      </c>
      <c r="H101" s="429">
        <v>1.3884994444077621</v>
      </c>
      <c r="I101" s="429">
        <v>1.437212022054515</v>
      </c>
      <c r="J101" s="429">
        <v>1.479736139802635</v>
      </c>
      <c r="K101" s="429">
        <v>1.3491059812968109</v>
      </c>
      <c r="L101" s="429">
        <v>1.4779100479357297</v>
      </c>
      <c r="M101" s="429">
        <v>1.3396332095127101</v>
      </c>
      <c r="N101" s="429">
        <v>1.3404806581884816</v>
      </c>
      <c r="O101" s="429">
        <v>1.1144559526243145</v>
      </c>
      <c r="P101" s="429">
        <v>1.2136328930805904</v>
      </c>
      <c r="Q101" s="429">
        <v>2918.9573122610873</v>
      </c>
      <c r="R101" s="429">
        <v>16.182546644899762</v>
      </c>
      <c r="S101" s="429">
        <v>21.83658067024426</v>
      </c>
      <c r="T101" s="429">
        <v>3801.1717758576115</v>
      </c>
      <c r="U101" s="429">
        <v>3937.4652080119722</v>
      </c>
      <c r="V101" s="429">
        <v>4112.0390654541825</v>
      </c>
      <c r="W101" s="429">
        <v>895.61804420344504</v>
      </c>
      <c r="X101" s="429">
        <v>40.204848450586148</v>
      </c>
      <c r="Y101" s="429">
        <v>41.496334017918677</v>
      </c>
      <c r="Z101" s="429">
        <v>42.925466355622746</v>
      </c>
      <c r="AA101" s="429">
        <v>36.806774352812297</v>
      </c>
      <c r="AB101" s="429">
        <v>37.863444362448007</v>
      </c>
      <c r="AC101" s="429">
        <v>34.070047781246444</v>
      </c>
      <c r="AD101" s="429">
        <v>3.2129976384997607</v>
      </c>
      <c r="AE101" s="429">
        <v>3.1653152316912174</v>
      </c>
      <c r="AF101" s="429">
        <v>2.8987490259444506</v>
      </c>
      <c r="AG101" s="429">
        <v>0</v>
      </c>
      <c r="AH101" s="429">
        <v>6.2812883878686421</v>
      </c>
      <c r="AI101" s="429">
        <v>6.1412450575799875</v>
      </c>
      <c r="AJ101" s="429">
        <v>6.0754698692855627</v>
      </c>
      <c r="AK101" s="429">
        <v>6.9268210775850818</v>
      </c>
      <c r="AL101" s="429">
        <v>0</v>
      </c>
      <c r="AM101" s="429">
        <v>0</v>
      </c>
      <c r="AN101" s="429">
        <v>0</v>
      </c>
      <c r="AO101" s="432"/>
      <c r="AP101" s="428">
        <v>41845.628197337966</v>
      </c>
      <c r="AQ101" s="431">
        <v>99.701198460902305</v>
      </c>
      <c r="AR101" s="431">
        <v>123.43806342019201</v>
      </c>
      <c r="AS101" s="431">
        <v>52.177496591868461</v>
      </c>
      <c r="AT101" s="431">
        <v>37.54980431803029</v>
      </c>
      <c r="AU101" s="431">
        <v>34.331630889103536</v>
      </c>
      <c r="AV101" s="431">
        <v>45.694059097942542</v>
      </c>
      <c r="AW101" s="431">
        <v>-10.178567373672415</v>
      </c>
      <c r="AX101" s="431">
        <v>6.0981019583965796</v>
      </c>
      <c r="AY101" s="431">
        <v>116.36107115902827</v>
      </c>
      <c r="AZ101" s="431">
        <v>-91.800943778763894</v>
      </c>
      <c r="BA101" s="431">
        <v>2.0985383444854686</v>
      </c>
      <c r="BB101" s="431">
        <v>2.5329299146169211</v>
      </c>
      <c r="BC101" s="431">
        <v>1.6018704942876465</v>
      </c>
      <c r="BD101" s="431">
        <v>79.875026569726074</v>
      </c>
      <c r="BE101" s="431">
        <v>363731.09242256702</v>
      </c>
      <c r="BF101" s="431">
        <v>8157.110320501828</v>
      </c>
      <c r="BG101" s="431">
        <v>-2567.0583804817702</v>
      </c>
      <c r="BH101" s="431">
        <v>465120.11859830568</v>
      </c>
      <c r="BI101" s="431">
        <v>448051.0065003956</v>
      </c>
      <c r="BJ101" s="431">
        <v>-57066.649569985879</v>
      </c>
      <c r="BK101" s="431">
        <v>415786.39320909069</v>
      </c>
      <c r="BL101" s="431">
        <v>3314.6509838429301</v>
      </c>
      <c r="BM101" s="431">
        <v>-422.17520638826284</v>
      </c>
      <c r="BN101" s="431">
        <v>121.2000764726548</v>
      </c>
      <c r="BO101" s="431">
        <v>2711.9871685987609</v>
      </c>
      <c r="BP101" s="431">
        <v>-345.41607795403326</v>
      </c>
      <c r="BQ101" s="431">
        <v>1642.3278962289189</v>
      </c>
      <c r="BR101" s="431">
        <v>867.49110217629527</v>
      </c>
      <c r="BS101" s="431">
        <v>398.64341579524665</v>
      </c>
      <c r="BT101" s="431">
        <v>763.52112175435411</v>
      </c>
      <c r="BU101" s="431">
        <v>0</v>
      </c>
      <c r="BV101" s="431">
        <v>1344.4794551768773</v>
      </c>
      <c r="BW101" s="431">
        <v>609.61191701197743</v>
      </c>
      <c r="BX101" s="431">
        <v>1179.4149453917539</v>
      </c>
      <c r="BY101" s="431">
        <v>1034.2149655206747</v>
      </c>
      <c r="BZ101" s="431">
        <v>0</v>
      </c>
      <c r="CA101" s="431">
        <v>0</v>
      </c>
      <c r="CB101" s="431">
        <v>0</v>
      </c>
      <c r="CC101" s="432"/>
      <c r="CD101" s="428">
        <v>41845.628197337966</v>
      </c>
      <c r="CE101" s="433">
        <v>0.28867948499398594</v>
      </c>
      <c r="CF101" s="433">
        <v>0.21647902720720727</v>
      </c>
      <c r="CG101" s="433">
        <v>0.17973960391015936</v>
      </c>
      <c r="CH101" s="433">
        <v>0.18197778689994615</v>
      </c>
      <c r="CI101" s="433">
        <v>0.16617331458371132</v>
      </c>
      <c r="CJ101" s="433">
        <v>0.25244030997987504</v>
      </c>
      <c r="CK101" s="433">
        <v>0.24306585314092802</v>
      </c>
      <c r="CL101" s="433">
        <v>0.26123057689286194</v>
      </c>
      <c r="CM101" s="433">
        <v>0.19945374499368468</v>
      </c>
      <c r="CN101" s="433">
        <v>0.1874651959252118</v>
      </c>
      <c r="CO101" s="433">
        <v>0.6079976020925798</v>
      </c>
      <c r="CP101" s="433">
        <v>0.6236009607312033</v>
      </c>
      <c r="CQ101" s="433">
        <v>0.70349513193076929</v>
      </c>
      <c r="CR101" s="433">
        <v>0.39067782389425465</v>
      </c>
      <c r="CS101" s="433">
        <v>0.39443520669059223</v>
      </c>
      <c r="CT101" s="433">
        <v>0.447221292916757</v>
      </c>
      <c r="CU101" s="433">
        <v>0.3622790598707698</v>
      </c>
      <c r="CV101" s="433">
        <v>0.47604249083347333</v>
      </c>
      <c r="CW101" s="433">
        <v>0.4759898508915783</v>
      </c>
      <c r="CX101" s="433">
        <v>0.4007797062399322</v>
      </c>
      <c r="CY101" s="433">
        <v>0.43383847945766757</v>
      </c>
      <c r="CZ101" s="433">
        <v>0.29816004259848461</v>
      </c>
      <c r="DA101" s="433">
        <v>0.25104840798869349</v>
      </c>
      <c r="DB101" s="433">
        <v>0.78438485500386668</v>
      </c>
      <c r="DC101" s="433">
        <v>0.29816004259848461</v>
      </c>
      <c r="DD101" s="433">
        <v>0.25104840798869349</v>
      </c>
      <c r="DE101" s="433">
        <v>0.37034376886796982</v>
      </c>
      <c r="DF101" s="433">
        <v>0.39133505591051104</v>
      </c>
      <c r="DG101" s="433">
        <v>0.34220908639247161</v>
      </c>
      <c r="DH101" s="433">
        <v>0.34760074846819372</v>
      </c>
      <c r="DI101" s="433">
        <v>0</v>
      </c>
      <c r="DJ101" s="433">
        <v>0.31679504526088992</v>
      </c>
      <c r="DK101" s="433">
        <v>0.27702640327009609</v>
      </c>
      <c r="DL101" s="433">
        <v>0.28139108209329972</v>
      </c>
      <c r="DM101" s="433">
        <v>0.40065255724171372</v>
      </c>
      <c r="DN101" s="433">
        <v>0</v>
      </c>
      <c r="DO101" s="433">
        <v>0</v>
      </c>
      <c r="DP101" s="433">
        <v>0</v>
      </c>
      <c r="DR101" s="409" t="s">
        <v>2542</v>
      </c>
      <c r="DS101" s="409" t="s">
        <v>2547</v>
      </c>
    </row>
    <row r="102" spans="2:123" s="1471" customFormat="1">
      <c r="B102" s="428">
        <v>41848.35442708333</v>
      </c>
      <c r="C102" s="429">
        <v>1.3988467464014478</v>
      </c>
      <c r="D102" s="429">
        <v>1.3907851297126956</v>
      </c>
      <c r="E102" s="429">
        <v>1.4269825397854414</v>
      </c>
      <c r="F102" s="429">
        <v>1.3333156930043075</v>
      </c>
      <c r="G102" s="429">
        <v>1.423918098016135</v>
      </c>
      <c r="H102" s="429">
        <v>1.3884994444077621</v>
      </c>
      <c r="I102" s="429">
        <v>1.437212022054515</v>
      </c>
      <c r="J102" s="429">
        <v>1.479736139802635</v>
      </c>
      <c r="K102" s="429">
        <v>1.3491059812968109</v>
      </c>
      <c r="L102" s="429">
        <v>1.4779100479357297</v>
      </c>
      <c r="M102" s="429">
        <v>1.3396332095127101</v>
      </c>
      <c r="N102" s="429">
        <v>1.3404806581884816</v>
      </c>
      <c r="O102" s="429">
        <v>1.1144559526243145</v>
      </c>
      <c r="P102" s="429">
        <v>1.2136328930805904</v>
      </c>
      <c r="Q102" s="429">
        <v>2918.9573122610873</v>
      </c>
      <c r="R102" s="429">
        <v>16.182546644899762</v>
      </c>
      <c r="S102" s="429">
        <v>21.298518347385606</v>
      </c>
      <c r="T102" s="429">
        <v>3801.1717758576115</v>
      </c>
      <c r="U102" s="429">
        <v>3937.4652080119722</v>
      </c>
      <c r="V102" s="429">
        <v>4112.0390654541825</v>
      </c>
      <c r="W102" s="429">
        <v>895.61804420344504</v>
      </c>
      <c r="X102" s="429">
        <v>40.204848450586148</v>
      </c>
      <c r="Y102" s="429">
        <v>41.496334017918677</v>
      </c>
      <c r="Z102" s="429">
        <v>42.925466355622746</v>
      </c>
      <c r="AA102" s="429">
        <v>36.806774352812297</v>
      </c>
      <c r="AB102" s="429">
        <v>37.863444362448007</v>
      </c>
      <c r="AC102" s="429">
        <v>34.070047781246444</v>
      </c>
      <c r="AD102" s="429">
        <v>3.2129976384997607</v>
      </c>
      <c r="AE102" s="429">
        <v>3.1653152316912174</v>
      </c>
      <c r="AF102" s="429">
        <v>2.8987490259444506</v>
      </c>
      <c r="AG102" s="429">
        <v>0</v>
      </c>
      <c r="AH102" s="429">
        <v>6.2812883878686421</v>
      </c>
      <c r="AI102" s="429">
        <v>6.1412450575799875</v>
      </c>
      <c r="AJ102" s="429">
        <v>6.0754698692855627</v>
      </c>
      <c r="AK102" s="429">
        <v>6.9268210775850818</v>
      </c>
      <c r="AL102" s="429">
        <v>0</v>
      </c>
      <c r="AM102" s="429">
        <v>0</v>
      </c>
      <c r="AN102" s="429">
        <v>0</v>
      </c>
      <c r="AO102" s="432"/>
      <c r="AP102" s="428">
        <v>41848.35442708333</v>
      </c>
      <c r="AQ102" s="431">
        <v>99.701198460902305</v>
      </c>
      <c r="AR102" s="431">
        <v>123.43806342019201</v>
      </c>
      <c r="AS102" s="431">
        <v>52.177496591868461</v>
      </c>
      <c r="AT102" s="431">
        <v>37.54980431803029</v>
      </c>
      <c r="AU102" s="431">
        <v>34.331630889103536</v>
      </c>
      <c r="AV102" s="431">
        <v>45.694059097942542</v>
      </c>
      <c r="AW102" s="431">
        <v>-10.178567373672415</v>
      </c>
      <c r="AX102" s="431">
        <v>6.0981019583965796</v>
      </c>
      <c r="AY102" s="431">
        <v>116.36107115902827</v>
      </c>
      <c r="AZ102" s="431">
        <v>-91.800943778763894</v>
      </c>
      <c r="BA102" s="431">
        <v>2.0985383444854686</v>
      </c>
      <c r="BB102" s="431">
        <v>2.5329299146169211</v>
      </c>
      <c r="BC102" s="431">
        <v>1.6018704942876465</v>
      </c>
      <c r="BD102" s="431">
        <v>79.875026569726074</v>
      </c>
      <c r="BE102" s="431">
        <v>363731.09242256702</v>
      </c>
      <c r="BF102" s="431">
        <v>8157.110320501828</v>
      </c>
      <c r="BG102" s="431">
        <v>-4628.2170536163185</v>
      </c>
      <c r="BH102" s="431">
        <v>465120.11859830568</v>
      </c>
      <c r="BI102" s="431">
        <v>448051.0065003956</v>
      </c>
      <c r="BJ102" s="431">
        <v>-57066.649569985879</v>
      </c>
      <c r="BK102" s="431">
        <v>415786.39320909069</v>
      </c>
      <c r="BL102" s="431">
        <v>3314.6509838429301</v>
      </c>
      <c r="BM102" s="431">
        <v>-422.17520638826284</v>
      </c>
      <c r="BN102" s="431">
        <v>121.2000764726548</v>
      </c>
      <c r="BO102" s="431">
        <v>2711.9871685987609</v>
      </c>
      <c r="BP102" s="431">
        <v>-345.41607795403326</v>
      </c>
      <c r="BQ102" s="431">
        <v>1642.3278962289189</v>
      </c>
      <c r="BR102" s="431">
        <v>867.49110217629527</v>
      </c>
      <c r="BS102" s="431">
        <v>398.64341579524665</v>
      </c>
      <c r="BT102" s="431">
        <v>763.52112175435411</v>
      </c>
      <c r="BU102" s="431">
        <v>0</v>
      </c>
      <c r="BV102" s="431">
        <v>1344.4794551768773</v>
      </c>
      <c r="BW102" s="431">
        <v>609.61191701197743</v>
      </c>
      <c r="BX102" s="431">
        <v>1179.4149453917539</v>
      </c>
      <c r="BY102" s="431">
        <v>1034.2149655206747</v>
      </c>
      <c r="BZ102" s="431">
        <v>0</v>
      </c>
      <c r="CA102" s="431">
        <v>0</v>
      </c>
      <c r="CB102" s="431">
        <v>0</v>
      </c>
      <c r="CC102" s="432"/>
      <c r="CD102" s="428">
        <v>41848.35442708333</v>
      </c>
      <c r="CE102" s="433">
        <v>0.28867948499398594</v>
      </c>
      <c r="CF102" s="433">
        <v>0.21647902720720727</v>
      </c>
      <c r="CG102" s="433">
        <v>0.17973960391015936</v>
      </c>
      <c r="CH102" s="433">
        <v>0.18197778689994615</v>
      </c>
      <c r="CI102" s="433">
        <v>0.16617331458371132</v>
      </c>
      <c r="CJ102" s="433">
        <v>0.25244030997987504</v>
      </c>
      <c r="CK102" s="433">
        <v>0.24306585314092802</v>
      </c>
      <c r="CL102" s="433">
        <v>0.26123057689286194</v>
      </c>
      <c r="CM102" s="433">
        <v>0.19945374499368468</v>
      </c>
      <c r="CN102" s="433">
        <v>0.1874651959252118</v>
      </c>
      <c r="CO102" s="433">
        <v>0.6079976020925798</v>
      </c>
      <c r="CP102" s="433">
        <v>0.6236009607312033</v>
      </c>
      <c r="CQ102" s="433">
        <v>0.70349513193076929</v>
      </c>
      <c r="CR102" s="433">
        <v>0.39067782389425465</v>
      </c>
      <c r="CS102" s="433">
        <v>0.39443520669059223</v>
      </c>
      <c r="CT102" s="433">
        <v>0.447221292916757</v>
      </c>
      <c r="CU102" s="433">
        <v>0.3622790598707698</v>
      </c>
      <c r="CV102" s="433">
        <v>0.47604249083347333</v>
      </c>
      <c r="CW102" s="433">
        <v>0.4759898508915783</v>
      </c>
      <c r="CX102" s="433">
        <v>0.4007797062399322</v>
      </c>
      <c r="CY102" s="433">
        <v>0.43383847945766757</v>
      </c>
      <c r="CZ102" s="433">
        <v>0.29816004259848461</v>
      </c>
      <c r="DA102" s="433">
        <v>0.25104840798869349</v>
      </c>
      <c r="DB102" s="433">
        <v>0.78438485500386668</v>
      </c>
      <c r="DC102" s="433">
        <v>0.29816004259848461</v>
      </c>
      <c r="DD102" s="433">
        <v>0.25104840798869349</v>
      </c>
      <c r="DE102" s="433">
        <v>0.37034376886796982</v>
      </c>
      <c r="DF102" s="433">
        <v>0.39133505591051104</v>
      </c>
      <c r="DG102" s="433">
        <v>0.34220908639247161</v>
      </c>
      <c r="DH102" s="433">
        <v>0.34760074846819372</v>
      </c>
      <c r="DI102" s="433">
        <v>0</v>
      </c>
      <c r="DJ102" s="433">
        <v>0.31679504526088992</v>
      </c>
      <c r="DK102" s="433">
        <v>0.27702640327009609</v>
      </c>
      <c r="DL102" s="433">
        <v>0.28139108209329972</v>
      </c>
      <c r="DM102" s="433">
        <v>0.40065255724171372</v>
      </c>
      <c r="DN102" s="433">
        <v>0</v>
      </c>
      <c r="DO102" s="433">
        <v>0</v>
      </c>
      <c r="DP102" s="433">
        <v>0</v>
      </c>
      <c r="DR102" s="409" t="s">
        <v>2542</v>
      </c>
      <c r="DS102" s="409" t="s">
        <v>2549</v>
      </c>
    </row>
    <row r="103" spans="2:123" s="1471" customFormat="1">
      <c r="B103" s="428">
        <v>41858.661202662035</v>
      </c>
      <c r="C103" s="429">
        <v>1.3988467464014478</v>
      </c>
      <c r="D103" s="429">
        <v>1.3907851297126956</v>
      </c>
      <c r="E103" s="429">
        <v>1.4269825397854414</v>
      </c>
      <c r="F103" s="429">
        <v>1.3333156930043075</v>
      </c>
      <c r="G103" s="429">
        <v>1.423918098016135</v>
      </c>
      <c r="H103" s="429">
        <v>1.3884994444077621</v>
      </c>
      <c r="I103" s="429">
        <v>1.437212022054515</v>
      </c>
      <c r="J103" s="429">
        <v>1.479736139802635</v>
      </c>
      <c r="K103" s="429">
        <v>1.3491059812968109</v>
      </c>
      <c r="L103" s="429">
        <v>1.4779100479357297</v>
      </c>
      <c r="M103" s="429">
        <v>1.3396332095127101</v>
      </c>
      <c r="N103" s="429">
        <v>1.3404806581884816</v>
      </c>
      <c r="O103" s="429">
        <v>1.1144559526243145</v>
      </c>
      <c r="P103" s="429">
        <v>1.2136328930805904</v>
      </c>
      <c r="Q103" s="429">
        <v>2918.9573122610873</v>
      </c>
      <c r="R103" s="429">
        <v>16.182546644899762</v>
      </c>
      <c r="S103" s="429">
        <v>21.298518347385606</v>
      </c>
      <c r="T103" s="429">
        <v>3801.1717758576115</v>
      </c>
      <c r="U103" s="429">
        <v>2086.9681834995959</v>
      </c>
      <c r="V103" s="429">
        <v>2261.5420409418057</v>
      </c>
      <c r="W103" s="429">
        <v>895.61804420344504</v>
      </c>
      <c r="X103" s="429">
        <v>40.204848450586148</v>
      </c>
      <c r="Y103" s="429">
        <v>41.496334017918677</v>
      </c>
      <c r="Z103" s="429">
        <v>42.925466355622746</v>
      </c>
      <c r="AA103" s="429">
        <v>36.806774352812297</v>
      </c>
      <c r="AB103" s="429">
        <v>37.863444362448007</v>
      </c>
      <c r="AC103" s="429">
        <v>34.070047781246444</v>
      </c>
      <c r="AD103" s="429">
        <v>3.2129976384997607</v>
      </c>
      <c r="AE103" s="429">
        <v>3.1653152316912174</v>
      </c>
      <c r="AF103" s="429">
        <v>2.8987490259444506</v>
      </c>
      <c r="AG103" s="429">
        <v>0</v>
      </c>
      <c r="AH103" s="429">
        <v>6.2812883878686421</v>
      </c>
      <c r="AI103" s="429">
        <v>6.1412450575799875</v>
      </c>
      <c r="AJ103" s="429">
        <v>6.0754698692855627</v>
      </c>
      <c r="AK103" s="429">
        <v>6.9268210775850818</v>
      </c>
      <c r="AL103" s="429">
        <v>0</v>
      </c>
      <c r="AM103" s="429">
        <v>0</v>
      </c>
      <c r="AN103" s="429">
        <v>0</v>
      </c>
      <c r="AO103" s="432"/>
      <c r="AP103" s="428">
        <v>41858.661202662035</v>
      </c>
      <c r="AQ103" s="431">
        <v>99.701198460902305</v>
      </c>
      <c r="AR103" s="431">
        <v>123.43806342019201</v>
      </c>
      <c r="AS103" s="431">
        <v>52.177496591868461</v>
      </c>
      <c r="AT103" s="431">
        <v>37.54980431803029</v>
      </c>
      <c r="AU103" s="431">
        <v>34.331630889103536</v>
      </c>
      <c r="AV103" s="431">
        <v>45.694059097942542</v>
      </c>
      <c r="AW103" s="431">
        <v>-10.178567373672415</v>
      </c>
      <c r="AX103" s="431">
        <v>6.0981019583965796</v>
      </c>
      <c r="AY103" s="431">
        <v>116.36107115902827</v>
      </c>
      <c r="AZ103" s="431">
        <v>-91.800943778763894</v>
      </c>
      <c r="BA103" s="431">
        <v>2.0985383444854686</v>
      </c>
      <c r="BB103" s="431">
        <v>2.5329299146169211</v>
      </c>
      <c r="BC103" s="431">
        <v>1.6018704942876465</v>
      </c>
      <c r="BD103" s="431">
        <v>79.875026569726074</v>
      </c>
      <c r="BE103" s="431">
        <v>363731.09242256702</v>
      </c>
      <c r="BF103" s="431">
        <v>8157.110320501828</v>
      </c>
      <c r="BG103" s="431">
        <v>-4628.2170536163185</v>
      </c>
      <c r="BH103" s="431">
        <v>465120.11859830568</v>
      </c>
      <c r="BI103" s="431">
        <v>448051.0065003956</v>
      </c>
      <c r="BJ103" s="431">
        <v>-57066.649569985879</v>
      </c>
      <c r="BK103" s="431">
        <v>415786.39320909069</v>
      </c>
      <c r="BL103" s="431">
        <v>3314.6509838429301</v>
      </c>
      <c r="BM103" s="431">
        <v>-422.17520638826284</v>
      </c>
      <c r="BN103" s="431">
        <v>121.2000764726548</v>
      </c>
      <c r="BO103" s="431">
        <v>2711.9871685987609</v>
      </c>
      <c r="BP103" s="431">
        <v>-345.41607795403326</v>
      </c>
      <c r="BQ103" s="431">
        <v>1642.3278962289189</v>
      </c>
      <c r="BR103" s="431">
        <v>867.49110217629527</v>
      </c>
      <c r="BS103" s="431">
        <v>398.64341579524665</v>
      </c>
      <c r="BT103" s="431">
        <v>763.52112175435411</v>
      </c>
      <c r="BU103" s="431">
        <v>0</v>
      </c>
      <c r="BV103" s="431">
        <v>1344.4794551768773</v>
      </c>
      <c r="BW103" s="431">
        <v>609.61191701197743</v>
      </c>
      <c r="BX103" s="431">
        <v>1179.4149453917539</v>
      </c>
      <c r="BY103" s="431">
        <v>1034.2149655206747</v>
      </c>
      <c r="BZ103" s="431">
        <v>0</v>
      </c>
      <c r="CA103" s="431">
        <v>0</v>
      </c>
      <c r="CB103" s="431">
        <v>0</v>
      </c>
      <c r="CC103" s="432"/>
      <c r="CD103" s="428">
        <v>41858.661202662035</v>
      </c>
      <c r="CE103" s="433">
        <v>0.28867948499398594</v>
      </c>
      <c r="CF103" s="433">
        <v>0.21647902720720727</v>
      </c>
      <c r="CG103" s="433">
        <v>0.17973960391015936</v>
      </c>
      <c r="CH103" s="433">
        <v>0.18197778689994615</v>
      </c>
      <c r="CI103" s="433">
        <v>0.16617331458371132</v>
      </c>
      <c r="CJ103" s="433">
        <v>0.25244030997987504</v>
      </c>
      <c r="CK103" s="433">
        <v>0.24306585314092802</v>
      </c>
      <c r="CL103" s="433">
        <v>0.26123057689286194</v>
      </c>
      <c r="CM103" s="433">
        <v>0.19945374499368468</v>
      </c>
      <c r="CN103" s="433">
        <v>0.1874651959252118</v>
      </c>
      <c r="CO103" s="433">
        <v>0.6079976020925798</v>
      </c>
      <c r="CP103" s="433">
        <v>0.6236009607312033</v>
      </c>
      <c r="CQ103" s="433">
        <v>0.70349513193076929</v>
      </c>
      <c r="CR103" s="433">
        <v>0.39067782389425465</v>
      </c>
      <c r="CS103" s="433">
        <v>0.39443520669059223</v>
      </c>
      <c r="CT103" s="433">
        <v>0.447221292916757</v>
      </c>
      <c r="CU103" s="433">
        <v>0.3622790598707698</v>
      </c>
      <c r="CV103" s="433">
        <v>0.47604249083347333</v>
      </c>
      <c r="CW103" s="433">
        <v>0.4759898508915783</v>
      </c>
      <c r="CX103" s="433">
        <v>0.4007797062399322</v>
      </c>
      <c r="CY103" s="433">
        <v>0.43383847945766757</v>
      </c>
      <c r="CZ103" s="433">
        <v>0.29816004259848461</v>
      </c>
      <c r="DA103" s="433">
        <v>0.25104840798869349</v>
      </c>
      <c r="DB103" s="433">
        <v>0.78438485500386668</v>
      </c>
      <c r="DC103" s="433">
        <v>0.29816004259848461</v>
      </c>
      <c r="DD103" s="433">
        <v>0.25104840798869349</v>
      </c>
      <c r="DE103" s="433">
        <v>0.37034376886796982</v>
      </c>
      <c r="DF103" s="433">
        <v>0.39133505591051104</v>
      </c>
      <c r="DG103" s="433">
        <v>0.34220908639247161</v>
      </c>
      <c r="DH103" s="433">
        <v>0.34760074846819372</v>
      </c>
      <c r="DI103" s="433">
        <v>0</v>
      </c>
      <c r="DJ103" s="433">
        <v>0.31679504526088992</v>
      </c>
      <c r="DK103" s="433">
        <v>0.27702640327009609</v>
      </c>
      <c r="DL103" s="433">
        <v>0.28139108209329972</v>
      </c>
      <c r="DM103" s="433">
        <v>0.40065255724171372</v>
      </c>
      <c r="DN103" s="433">
        <v>0</v>
      </c>
      <c r="DO103" s="433">
        <v>0</v>
      </c>
      <c r="DP103" s="433">
        <v>0</v>
      </c>
      <c r="DR103" s="409" t="s">
        <v>855</v>
      </c>
      <c r="DS103" s="409" t="s">
        <v>2554</v>
      </c>
    </row>
    <row r="104" spans="2:123" s="1471" customFormat="1">
      <c r="B104" s="428">
        <v>41858.667395833334</v>
      </c>
      <c r="C104" s="429">
        <v>1.3988467464014478</v>
      </c>
      <c r="D104" s="429">
        <v>1.3907851297126956</v>
      </c>
      <c r="E104" s="429">
        <v>1.4269825397854414</v>
      </c>
      <c r="F104" s="429">
        <v>1.3333156930043075</v>
      </c>
      <c r="G104" s="429">
        <v>1.423918098016135</v>
      </c>
      <c r="H104" s="429">
        <v>1.3884994444077621</v>
      </c>
      <c r="I104" s="429">
        <v>1.437212022054515</v>
      </c>
      <c r="J104" s="429">
        <v>1.479736139802635</v>
      </c>
      <c r="K104" s="429">
        <v>1.3491059812968109</v>
      </c>
      <c r="L104" s="429">
        <v>1.4779100479357297</v>
      </c>
      <c r="M104" s="429">
        <v>1.3396332095127101</v>
      </c>
      <c r="N104" s="429">
        <v>1.3404806581884816</v>
      </c>
      <c r="O104" s="429">
        <v>1.1144559526243145</v>
      </c>
      <c r="P104" s="429">
        <v>1.2136328930805904</v>
      </c>
      <c r="Q104" s="429">
        <v>2918.9573122610873</v>
      </c>
      <c r="R104" s="429">
        <v>16.182546644899762</v>
      </c>
      <c r="S104" s="429">
        <v>21.298518347385606</v>
      </c>
      <c r="T104" s="429">
        <v>3801.1717758576115</v>
      </c>
      <c r="U104" s="429">
        <v>2086.9681834995959</v>
      </c>
      <c r="V104" s="429">
        <v>2261.5420409418057</v>
      </c>
      <c r="W104" s="429">
        <v>895.61804420344504</v>
      </c>
      <c r="X104" s="429">
        <v>51.697268648101677</v>
      </c>
      <c r="Y104" s="429">
        <v>52.988754215434206</v>
      </c>
      <c r="Z104" s="429">
        <v>56.716370592641383</v>
      </c>
      <c r="AA104" s="429">
        <v>48.337662777879487</v>
      </c>
      <c r="AB104" s="429">
        <v>49.394332787515197</v>
      </c>
      <c r="AC104" s="429">
        <v>50.197164459662105</v>
      </c>
      <c r="AD104" s="429">
        <v>3.2129976384997607</v>
      </c>
      <c r="AE104" s="429">
        <v>3.1653152316912174</v>
      </c>
      <c r="AF104" s="429">
        <v>2.8987490259444506</v>
      </c>
      <c r="AG104" s="429">
        <v>0</v>
      </c>
      <c r="AH104" s="429">
        <v>6.2812883878686421</v>
      </c>
      <c r="AI104" s="429">
        <v>6.1412450575799875</v>
      </c>
      <c r="AJ104" s="429">
        <v>6.0754698692855627</v>
      </c>
      <c r="AK104" s="429">
        <v>6.9268210775850818</v>
      </c>
      <c r="AL104" s="429">
        <v>0</v>
      </c>
      <c r="AM104" s="429">
        <v>0</v>
      </c>
      <c r="AN104" s="429">
        <v>0</v>
      </c>
      <c r="AO104" s="432"/>
      <c r="AP104" s="428">
        <v>41858.667395833334</v>
      </c>
      <c r="AQ104" s="431">
        <v>99.701198460902305</v>
      </c>
      <c r="AR104" s="431">
        <v>123.43806342019201</v>
      </c>
      <c r="AS104" s="431">
        <v>52.177496591868461</v>
      </c>
      <c r="AT104" s="431">
        <v>37.54980431803029</v>
      </c>
      <c r="AU104" s="431">
        <v>34.331630889103536</v>
      </c>
      <c r="AV104" s="431">
        <v>45.694059097942542</v>
      </c>
      <c r="AW104" s="431">
        <v>-10.178567373672415</v>
      </c>
      <c r="AX104" s="431">
        <v>6.0981019583965796</v>
      </c>
      <c r="AY104" s="431">
        <v>116.36107115902827</v>
      </c>
      <c r="AZ104" s="431">
        <v>-91.800943778763894</v>
      </c>
      <c r="BA104" s="431">
        <v>2.0985383444854686</v>
      </c>
      <c r="BB104" s="431">
        <v>2.5329299146169211</v>
      </c>
      <c r="BC104" s="431">
        <v>1.6018704942876465</v>
      </c>
      <c r="BD104" s="431">
        <v>79.875026569726074</v>
      </c>
      <c r="BE104" s="431">
        <v>363731.09242256702</v>
      </c>
      <c r="BF104" s="431">
        <v>8157.110320501828</v>
      </c>
      <c r="BG104" s="431">
        <v>-4628.2170536163185</v>
      </c>
      <c r="BH104" s="431">
        <v>465120.11859830568</v>
      </c>
      <c r="BI104" s="431">
        <v>448051.0065003956</v>
      </c>
      <c r="BJ104" s="431">
        <v>-57066.649569985879</v>
      </c>
      <c r="BK104" s="431">
        <v>415786.39320909069</v>
      </c>
      <c r="BL104" s="431">
        <v>3314.6509838429301</v>
      </c>
      <c r="BM104" s="431">
        <v>-422.17520638826284</v>
      </c>
      <c r="BN104" s="431">
        <v>121.2000764726548</v>
      </c>
      <c r="BO104" s="431">
        <v>2711.9871685987609</v>
      </c>
      <c r="BP104" s="431">
        <v>-345.41607795403326</v>
      </c>
      <c r="BQ104" s="431">
        <v>1642.3278962289189</v>
      </c>
      <c r="BR104" s="431">
        <v>867.49110217629527</v>
      </c>
      <c r="BS104" s="431">
        <v>398.64341579524665</v>
      </c>
      <c r="BT104" s="431">
        <v>763.52112175435411</v>
      </c>
      <c r="BU104" s="431">
        <v>0</v>
      </c>
      <c r="BV104" s="431">
        <v>1344.4794551768773</v>
      </c>
      <c r="BW104" s="431">
        <v>609.61191701197743</v>
      </c>
      <c r="BX104" s="431">
        <v>1179.4149453917539</v>
      </c>
      <c r="BY104" s="431">
        <v>1034.2149655206747</v>
      </c>
      <c r="BZ104" s="431">
        <v>0</v>
      </c>
      <c r="CA104" s="431">
        <v>0</v>
      </c>
      <c r="CB104" s="431">
        <v>0</v>
      </c>
      <c r="CC104" s="432"/>
      <c r="CD104" s="428">
        <v>41858.667395833334</v>
      </c>
      <c r="CE104" s="433">
        <v>0.28867948499398594</v>
      </c>
      <c r="CF104" s="433">
        <v>0.21647902720720727</v>
      </c>
      <c r="CG104" s="433">
        <v>0.17973960391015936</v>
      </c>
      <c r="CH104" s="433">
        <v>0.18197778689994615</v>
      </c>
      <c r="CI104" s="433">
        <v>0.16617331458371132</v>
      </c>
      <c r="CJ104" s="433">
        <v>0.25244030997987504</v>
      </c>
      <c r="CK104" s="433">
        <v>0.24306585314092802</v>
      </c>
      <c r="CL104" s="433">
        <v>0.26123057689286194</v>
      </c>
      <c r="CM104" s="433">
        <v>0.19945374499368468</v>
      </c>
      <c r="CN104" s="433">
        <v>0.1874651959252118</v>
      </c>
      <c r="CO104" s="433">
        <v>0.6079976020925798</v>
      </c>
      <c r="CP104" s="433">
        <v>0.6236009607312033</v>
      </c>
      <c r="CQ104" s="433">
        <v>0.70349513193076929</v>
      </c>
      <c r="CR104" s="433">
        <v>0.39067782389425465</v>
      </c>
      <c r="CS104" s="433">
        <v>0.39443520669059223</v>
      </c>
      <c r="CT104" s="433">
        <v>0.447221292916757</v>
      </c>
      <c r="CU104" s="433">
        <v>0.3622790598707698</v>
      </c>
      <c r="CV104" s="433">
        <v>0.47604249083347333</v>
      </c>
      <c r="CW104" s="433">
        <v>0.4759898508915783</v>
      </c>
      <c r="CX104" s="433">
        <v>0.4007797062399322</v>
      </c>
      <c r="CY104" s="433">
        <v>0.43383847945766757</v>
      </c>
      <c r="CZ104" s="433">
        <v>0.29816004259848461</v>
      </c>
      <c r="DA104" s="433">
        <v>0.25104840798869349</v>
      </c>
      <c r="DB104" s="433">
        <v>0.78438485500386668</v>
      </c>
      <c r="DC104" s="433">
        <v>0.29816004259848461</v>
      </c>
      <c r="DD104" s="433">
        <v>0.25104840798869349</v>
      </c>
      <c r="DE104" s="433">
        <v>0.37034376886796982</v>
      </c>
      <c r="DF104" s="433">
        <v>0.39133505591051104</v>
      </c>
      <c r="DG104" s="433">
        <v>0.34220908639247161</v>
      </c>
      <c r="DH104" s="433">
        <v>0.34760074846819372</v>
      </c>
      <c r="DI104" s="433">
        <v>0</v>
      </c>
      <c r="DJ104" s="433">
        <v>0.31679504526088992</v>
      </c>
      <c r="DK104" s="433">
        <v>0.27702640327009609</v>
      </c>
      <c r="DL104" s="433">
        <v>0.28139108209329972</v>
      </c>
      <c r="DM104" s="433">
        <v>0.40065255724171372</v>
      </c>
      <c r="DN104" s="433">
        <v>0</v>
      </c>
      <c r="DO104" s="433">
        <v>0</v>
      </c>
      <c r="DP104" s="433">
        <v>0</v>
      </c>
      <c r="DR104" s="409" t="s">
        <v>855</v>
      </c>
      <c r="DS104" s="409" t="s">
        <v>2558</v>
      </c>
    </row>
    <row r="105" spans="2:123" s="1471" customFormat="1">
      <c r="B105" s="428">
        <v>41863.539545717591</v>
      </c>
      <c r="C105" s="429">
        <v>1.3988467464014478</v>
      </c>
      <c r="D105" s="429">
        <v>1.3907851297126956</v>
      </c>
      <c r="E105" s="429">
        <v>1.4269825397854414</v>
      </c>
      <c r="F105" s="429">
        <v>1.3333156930043075</v>
      </c>
      <c r="G105" s="429">
        <v>1.423918098016135</v>
      </c>
      <c r="H105" s="429">
        <v>1.3884994444077621</v>
      </c>
      <c r="I105" s="429">
        <v>1.437212022054515</v>
      </c>
      <c r="J105" s="429">
        <v>1.479736139802635</v>
      </c>
      <c r="K105" s="429">
        <v>1.3491059812968109</v>
      </c>
      <c r="L105" s="429">
        <v>1.4779100479357297</v>
      </c>
      <c r="M105" s="429">
        <v>1.3396332095127101</v>
      </c>
      <c r="N105" s="429">
        <v>1.3404806581884816</v>
      </c>
      <c r="O105" s="429">
        <v>1.1144559526243145</v>
      </c>
      <c r="P105" s="429">
        <v>1.2136328930805904</v>
      </c>
      <c r="Q105" s="429">
        <v>2918.9573122610873</v>
      </c>
      <c r="R105" s="429">
        <v>57.112870828361608</v>
      </c>
      <c r="S105" s="429">
        <v>62.228842530847444</v>
      </c>
      <c r="T105" s="429">
        <v>3801.1717758576115</v>
      </c>
      <c r="U105" s="429">
        <v>2086.9681834995959</v>
      </c>
      <c r="V105" s="429">
        <v>2261.5420409418057</v>
      </c>
      <c r="W105" s="429">
        <v>895.61804420344504</v>
      </c>
      <c r="X105" s="429">
        <v>51.697268648101677</v>
      </c>
      <c r="Y105" s="429">
        <v>52.988754215434206</v>
      </c>
      <c r="Z105" s="429">
        <v>56.716370592641383</v>
      </c>
      <c r="AA105" s="429">
        <v>48.337662777879487</v>
      </c>
      <c r="AB105" s="429">
        <v>49.394332787515197</v>
      </c>
      <c r="AC105" s="429">
        <v>50.197164459662105</v>
      </c>
      <c r="AD105" s="429">
        <v>3.2129976384997607</v>
      </c>
      <c r="AE105" s="429">
        <v>3.1653152316912174</v>
      </c>
      <c r="AF105" s="429">
        <v>2.8987490259444506</v>
      </c>
      <c r="AG105" s="429">
        <v>0</v>
      </c>
      <c r="AH105" s="429">
        <v>6.2812883878686421</v>
      </c>
      <c r="AI105" s="429">
        <v>6.1412450575799875</v>
      </c>
      <c r="AJ105" s="429">
        <v>6.0754698692855627</v>
      </c>
      <c r="AK105" s="429">
        <v>6.9268210775850818</v>
      </c>
      <c r="AL105" s="429">
        <v>0</v>
      </c>
      <c r="AM105" s="429">
        <v>0</v>
      </c>
      <c r="AN105" s="429">
        <v>0</v>
      </c>
      <c r="AO105" s="432"/>
      <c r="AP105" s="428">
        <v>41863.539545717591</v>
      </c>
      <c r="AQ105" s="431">
        <v>99.701198460902305</v>
      </c>
      <c r="AR105" s="431">
        <v>123.43806342019201</v>
      </c>
      <c r="AS105" s="431">
        <v>52.177496591868461</v>
      </c>
      <c r="AT105" s="431">
        <v>37.54980431803029</v>
      </c>
      <c r="AU105" s="431">
        <v>34.331630889103536</v>
      </c>
      <c r="AV105" s="431">
        <v>45.694059097942542</v>
      </c>
      <c r="AW105" s="431">
        <v>-10.178567373672415</v>
      </c>
      <c r="AX105" s="431">
        <v>6.0981019583965796</v>
      </c>
      <c r="AY105" s="431">
        <v>116.36107115902827</v>
      </c>
      <c r="AZ105" s="431">
        <v>-91.800943778763894</v>
      </c>
      <c r="BA105" s="431">
        <v>2.0985383444854686</v>
      </c>
      <c r="BB105" s="431">
        <v>2.5329299146169211</v>
      </c>
      <c r="BC105" s="431">
        <v>1.6018704942876465</v>
      </c>
      <c r="BD105" s="431">
        <v>79.875026569726074</v>
      </c>
      <c r="BE105" s="431">
        <v>363731.09242256702</v>
      </c>
      <c r="BF105" s="431">
        <v>8157.110320501828</v>
      </c>
      <c r="BG105" s="431">
        <v>-4628.2170536163185</v>
      </c>
      <c r="BH105" s="431">
        <v>465120.11859830568</v>
      </c>
      <c r="BI105" s="431">
        <v>448051.0065003956</v>
      </c>
      <c r="BJ105" s="431">
        <v>-57066.649569985879</v>
      </c>
      <c r="BK105" s="431">
        <v>415786.39320909069</v>
      </c>
      <c r="BL105" s="431">
        <v>3314.6509838429301</v>
      </c>
      <c r="BM105" s="431">
        <v>-422.17520638826284</v>
      </c>
      <c r="BN105" s="431">
        <v>121.2000764726548</v>
      </c>
      <c r="BO105" s="431">
        <v>2711.9871685987609</v>
      </c>
      <c r="BP105" s="431">
        <v>-345.41607795403326</v>
      </c>
      <c r="BQ105" s="431">
        <v>1642.3278962289189</v>
      </c>
      <c r="BR105" s="431">
        <v>867.49110217629527</v>
      </c>
      <c r="BS105" s="431">
        <v>398.64341579524665</v>
      </c>
      <c r="BT105" s="431">
        <v>763.52112175435411</v>
      </c>
      <c r="BU105" s="431">
        <v>0</v>
      </c>
      <c r="BV105" s="431">
        <v>1344.4794551768773</v>
      </c>
      <c r="BW105" s="431">
        <v>609.61191701197743</v>
      </c>
      <c r="BX105" s="431">
        <v>1179.4149453917539</v>
      </c>
      <c r="BY105" s="431">
        <v>1034.2149655206747</v>
      </c>
      <c r="BZ105" s="431">
        <v>0</v>
      </c>
      <c r="CA105" s="431">
        <v>0</v>
      </c>
      <c r="CB105" s="431">
        <v>0</v>
      </c>
      <c r="CC105" s="432"/>
      <c r="CD105" s="428">
        <v>41863.539545717591</v>
      </c>
      <c r="CE105" s="433">
        <v>0.28867948499398594</v>
      </c>
      <c r="CF105" s="433">
        <v>0.21647902720720727</v>
      </c>
      <c r="CG105" s="433">
        <v>0.17973960391015936</v>
      </c>
      <c r="CH105" s="433">
        <v>0.18197778689994615</v>
      </c>
      <c r="CI105" s="433">
        <v>0.16617331458371132</v>
      </c>
      <c r="CJ105" s="433">
        <v>0.25244030997987504</v>
      </c>
      <c r="CK105" s="433">
        <v>0.24306585314092802</v>
      </c>
      <c r="CL105" s="433">
        <v>0.26123057689286194</v>
      </c>
      <c r="CM105" s="433">
        <v>0.19945374499368468</v>
      </c>
      <c r="CN105" s="433">
        <v>0.1874651959252118</v>
      </c>
      <c r="CO105" s="433">
        <v>0.6079976020925798</v>
      </c>
      <c r="CP105" s="433">
        <v>0.6236009607312033</v>
      </c>
      <c r="CQ105" s="433">
        <v>0.70349513193076929</v>
      </c>
      <c r="CR105" s="433">
        <v>0.39067782389425465</v>
      </c>
      <c r="CS105" s="433">
        <v>0.39443520669059223</v>
      </c>
      <c r="CT105" s="433">
        <v>0.447221292916757</v>
      </c>
      <c r="CU105" s="433">
        <v>0.3622790598707698</v>
      </c>
      <c r="CV105" s="433">
        <v>0.47604249083347333</v>
      </c>
      <c r="CW105" s="433">
        <v>0.4759898508915783</v>
      </c>
      <c r="CX105" s="433">
        <v>0.4007797062399322</v>
      </c>
      <c r="CY105" s="433">
        <v>0.43383847945766757</v>
      </c>
      <c r="CZ105" s="433">
        <v>0.29816004259848461</v>
      </c>
      <c r="DA105" s="433">
        <v>0.25104840798869349</v>
      </c>
      <c r="DB105" s="433">
        <v>0.78438485500386668</v>
      </c>
      <c r="DC105" s="433">
        <v>0.29816004259848461</v>
      </c>
      <c r="DD105" s="433">
        <v>0.25104840798869349</v>
      </c>
      <c r="DE105" s="433">
        <v>0.37034376886796982</v>
      </c>
      <c r="DF105" s="433">
        <v>0.39133505591051104</v>
      </c>
      <c r="DG105" s="433">
        <v>0.34220908639247161</v>
      </c>
      <c r="DH105" s="433">
        <v>0.34760074846819372</v>
      </c>
      <c r="DI105" s="433">
        <v>0</v>
      </c>
      <c r="DJ105" s="433">
        <v>0.31679504526088992</v>
      </c>
      <c r="DK105" s="433">
        <v>0.27702640327009609</v>
      </c>
      <c r="DL105" s="433">
        <v>0.28139108209329972</v>
      </c>
      <c r="DM105" s="433">
        <v>0.40065255724171372</v>
      </c>
      <c r="DN105" s="433">
        <v>0</v>
      </c>
      <c r="DO105" s="433">
        <v>0</v>
      </c>
      <c r="DP105" s="433">
        <v>0</v>
      </c>
      <c r="DR105" s="409" t="s">
        <v>855</v>
      </c>
      <c r="DS105" s="409" t="s">
        <v>2559</v>
      </c>
    </row>
    <row r="106" spans="2:123" s="1471" customFormat="1">
      <c r="B106" s="428">
        <v>41863.639300347226</v>
      </c>
      <c r="C106" s="429">
        <v>1.3988467464014478</v>
      </c>
      <c r="D106" s="429">
        <v>1.3907851297126956</v>
      </c>
      <c r="E106" s="429">
        <v>1.4269825397854414</v>
      </c>
      <c r="F106" s="429">
        <v>1.3333156930043075</v>
      </c>
      <c r="G106" s="429">
        <v>1.423918098016135</v>
      </c>
      <c r="H106" s="429">
        <v>1.3884994444077621</v>
      </c>
      <c r="I106" s="429">
        <v>1.437212022054515</v>
      </c>
      <c r="J106" s="429">
        <v>1.479736139802635</v>
      </c>
      <c r="K106" s="429">
        <v>1.3491059812968109</v>
      </c>
      <c r="L106" s="429">
        <v>1.4779100479357297</v>
      </c>
      <c r="M106" s="429">
        <v>1.3396332095127101</v>
      </c>
      <c r="N106" s="429">
        <v>1.3404806581884816</v>
      </c>
      <c r="O106" s="429">
        <v>1.1144559526243145</v>
      </c>
      <c r="P106" s="429">
        <v>1.2136328930805904</v>
      </c>
      <c r="Q106" s="429">
        <v>2918.9573122610873</v>
      </c>
      <c r="R106" s="429">
        <v>57.112870828361608</v>
      </c>
      <c r="S106" s="429">
        <v>62.228842530847444</v>
      </c>
      <c r="T106" s="429">
        <v>3801.1717758576115</v>
      </c>
      <c r="U106" s="429">
        <v>2086.9681834995959</v>
      </c>
      <c r="V106" s="429">
        <v>2261.5420409418057</v>
      </c>
      <c r="W106" s="429">
        <v>895.61804420344504</v>
      </c>
      <c r="X106" s="429">
        <v>51.697268648101677</v>
      </c>
      <c r="Y106" s="429">
        <v>52.988754215434206</v>
      </c>
      <c r="Z106" s="429">
        <v>52.653264195955863</v>
      </c>
      <c r="AA106" s="429">
        <v>48.337662777879487</v>
      </c>
      <c r="AB106" s="429">
        <v>49.394332787515197</v>
      </c>
      <c r="AC106" s="429">
        <v>50.197164459662105</v>
      </c>
      <c r="AD106" s="429">
        <v>3.2129976384997607</v>
      </c>
      <c r="AE106" s="429">
        <v>3.1653152316912174</v>
      </c>
      <c r="AF106" s="429">
        <v>2.8987490259444506</v>
      </c>
      <c r="AG106" s="429">
        <v>0</v>
      </c>
      <c r="AH106" s="429">
        <v>6.2812883878686421</v>
      </c>
      <c r="AI106" s="429">
        <v>6.1412450575799875</v>
      </c>
      <c r="AJ106" s="429">
        <v>6.0754698692855627</v>
      </c>
      <c r="AK106" s="429">
        <v>6.9268210775850818</v>
      </c>
      <c r="AL106" s="429">
        <v>0</v>
      </c>
      <c r="AM106" s="429">
        <v>0</v>
      </c>
      <c r="AN106" s="429">
        <v>0</v>
      </c>
      <c r="AO106" s="432"/>
      <c r="AP106" s="428">
        <v>41863.639300347226</v>
      </c>
      <c r="AQ106" s="431">
        <v>99.701198460902305</v>
      </c>
      <c r="AR106" s="431">
        <v>123.43806342019201</v>
      </c>
      <c r="AS106" s="431">
        <v>52.177496591868461</v>
      </c>
      <c r="AT106" s="431">
        <v>37.54980431803029</v>
      </c>
      <c r="AU106" s="431">
        <v>34.331630889103536</v>
      </c>
      <c r="AV106" s="431">
        <v>45.694059097942542</v>
      </c>
      <c r="AW106" s="431">
        <v>-10.178567373672415</v>
      </c>
      <c r="AX106" s="431">
        <v>6.0981019583965796</v>
      </c>
      <c r="AY106" s="431">
        <v>116.36107115902827</v>
      </c>
      <c r="AZ106" s="431">
        <v>-91.800943778763894</v>
      </c>
      <c r="BA106" s="431">
        <v>2.0985383444854686</v>
      </c>
      <c r="BB106" s="431">
        <v>2.5329299146169211</v>
      </c>
      <c r="BC106" s="431">
        <v>1.6018704942876465</v>
      </c>
      <c r="BD106" s="431">
        <v>79.875026569726074</v>
      </c>
      <c r="BE106" s="431">
        <v>363731.09242256702</v>
      </c>
      <c r="BF106" s="431">
        <v>8157.110320501828</v>
      </c>
      <c r="BG106" s="431">
        <v>-4628.2170536163185</v>
      </c>
      <c r="BH106" s="431">
        <v>465120.11859830568</v>
      </c>
      <c r="BI106" s="431">
        <v>448051.0065003956</v>
      </c>
      <c r="BJ106" s="431">
        <v>-57066.649569985879</v>
      </c>
      <c r="BK106" s="431">
        <v>415786.39320909069</v>
      </c>
      <c r="BL106" s="431">
        <v>3314.6509838429301</v>
      </c>
      <c r="BM106" s="431">
        <v>-422.17520638826284</v>
      </c>
      <c r="BN106" s="431">
        <v>85.058281899025204</v>
      </c>
      <c r="BO106" s="431">
        <v>2711.9871685987609</v>
      </c>
      <c r="BP106" s="431">
        <v>-345.41607795403326</v>
      </c>
      <c r="BQ106" s="431">
        <v>1642.3278962289189</v>
      </c>
      <c r="BR106" s="431">
        <v>867.49110217629527</v>
      </c>
      <c r="BS106" s="431">
        <v>398.64341579524665</v>
      </c>
      <c r="BT106" s="431">
        <v>763.52112175435411</v>
      </c>
      <c r="BU106" s="431">
        <v>0</v>
      </c>
      <c r="BV106" s="431">
        <v>1344.4794551768773</v>
      </c>
      <c r="BW106" s="431">
        <v>609.61191701197743</v>
      </c>
      <c r="BX106" s="431">
        <v>1179.4149453917539</v>
      </c>
      <c r="BY106" s="431">
        <v>1034.2149655206747</v>
      </c>
      <c r="BZ106" s="431">
        <v>0</v>
      </c>
      <c r="CA106" s="431">
        <v>0</v>
      </c>
      <c r="CB106" s="431">
        <v>0</v>
      </c>
      <c r="CC106" s="432"/>
      <c r="CD106" s="428">
        <v>41863.639300347226</v>
      </c>
      <c r="CE106" s="433">
        <v>0.28867948499398594</v>
      </c>
      <c r="CF106" s="433">
        <v>0.21647902720720727</v>
      </c>
      <c r="CG106" s="433">
        <v>0.17973960391015936</v>
      </c>
      <c r="CH106" s="433">
        <v>0.18197778689994615</v>
      </c>
      <c r="CI106" s="433">
        <v>0.16617331458371132</v>
      </c>
      <c r="CJ106" s="433">
        <v>0.25244030997987504</v>
      </c>
      <c r="CK106" s="433">
        <v>0.24306585314092802</v>
      </c>
      <c r="CL106" s="433">
        <v>0.26123057689286194</v>
      </c>
      <c r="CM106" s="433">
        <v>0.19945374499368468</v>
      </c>
      <c r="CN106" s="433">
        <v>0.1874651959252118</v>
      </c>
      <c r="CO106" s="433">
        <v>0.6079976020925798</v>
      </c>
      <c r="CP106" s="433">
        <v>0.6236009607312033</v>
      </c>
      <c r="CQ106" s="433">
        <v>0.70349513193076929</v>
      </c>
      <c r="CR106" s="433">
        <v>0.39067782389425465</v>
      </c>
      <c r="CS106" s="433">
        <v>0.39443520669059223</v>
      </c>
      <c r="CT106" s="433">
        <v>0.447221292916757</v>
      </c>
      <c r="CU106" s="433">
        <v>0.3622790598707698</v>
      </c>
      <c r="CV106" s="433">
        <v>0.47604249083347333</v>
      </c>
      <c r="CW106" s="433">
        <v>0.4759898508915783</v>
      </c>
      <c r="CX106" s="433">
        <v>0.4007797062399322</v>
      </c>
      <c r="CY106" s="433">
        <v>0.43383847945766757</v>
      </c>
      <c r="CZ106" s="433">
        <v>0.29816004259848461</v>
      </c>
      <c r="DA106" s="433">
        <v>0.25104840798869349</v>
      </c>
      <c r="DB106" s="433">
        <v>0.742578194815812</v>
      </c>
      <c r="DC106" s="433">
        <v>0.29816004259848461</v>
      </c>
      <c r="DD106" s="433">
        <v>0.25104840798869349</v>
      </c>
      <c r="DE106" s="433">
        <v>0.37034376886796982</v>
      </c>
      <c r="DF106" s="433">
        <v>0.39133505591051104</v>
      </c>
      <c r="DG106" s="433">
        <v>0.34220908639247161</v>
      </c>
      <c r="DH106" s="433">
        <v>0.34760074846819372</v>
      </c>
      <c r="DI106" s="433">
        <v>0</v>
      </c>
      <c r="DJ106" s="433">
        <v>0.31679504526088992</v>
      </c>
      <c r="DK106" s="433">
        <v>0.27702640327009609</v>
      </c>
      <c r="DL106" s="433">
        <v>0.28139108209329972</v>
      </c>
      <c r="DM106" s="433">
        <v>0.40065255724171372</v>
      </c>
      <c r="DN106" s="433">
        <v>0</v>
      </c>
      <c r="DO106" s="433">
        <v>0</v>
      </c>
      <c r="DP106" s="433">
        <v>0</v>
      </c>
      <c r="DR106" s="409" t="s">
        <v>855</v>
      </c>
      <c r="DS106" s="409" t="s">
        <v>2570</v>
      </c>
    </row>
    <row r="107" spans="2:123" s="1471" customFormat="1">
      <c r="B107" s="428">
        <v>41865.659737499998</v>
      </c>
      <c r="C107" s="429">
        <v>1.3988467464014478</v>
      </c>
      <c r="D107" s="429">
        <v>1.3907851297126956</v>
      </c>
      <c r="E107" s="429">
        <v>1.4269825397854414</v>
      </c>
      <c r="F107" s="429">
        <v>1.3333156930043075</v>
      </c>
      <c r="G107" s="429">
        <v>1.423918098016135</v>
      </c>
      <c r="H107" s="429">
        <v>1.3884994444077621</v>
      </c>
      <c r="I107" s="429">
        <v>1.437212022054515</v>
      </c>
      <c r="J107" s="429">
        <v>1.479736139802635</v>
      </c>
      <c r="K107" s="429">
        <v>1.3491059812968109</v>
      </c>
      <c r="L107" s="429">
        <v>1.4779100479357297</v>
      </c>
      <c r="M107" s="429">
        <v>1.3396332095127101</v>
      </c>
      <c r="N107" s="429">
        <v>1.3404806581884816</v>
      </c>
      <c r="O107" s="429">
        <v>1.1144559526243145</v>
      </c>
      <c r="P107" s="429">
        <v>1.2136328930805904</v>
      </c>
      <c r="Q107" s="429">
        <v>2918.9573122610873</v>
      </c>
      <c r="R107" s="429">
        <v>57.112870828361608</v>
      </c>
      <c r="S107" s="429">
        <v>62.228842530847444</v>
      </c>
      <c r="T107" s="429">
        <v>3801.1717758576115</v>
      </c>
      <c r="U107" s="429">
        <v>2086.9681834995959</v>
      </c>
      <c r="V107" s="429">
        <v>2261.5420409418057</v>
      </c>
      <c r="W107" s="429">
        <v>895.61804420344504</v>
      </c>
      <c r="X107" s="429">
        <v>51.697268648101677</v>
      </c>
      <c r="Y107" s="429">
        <v>52.988754215434206</v>
      </c>
      <c r="Z107" s="429">
        <v>52.653264195955863</v>
      </c>
      <c r="AA107" s="429">
        <v>48.337662777879487</v>
      </c>
      <c r="AB107" s="429">
        <v>49.394332787515197</v>
      </c>
      <c r="AC107" s="429">
        <v>50.197164459662105</v>
      </c>
      <c r="AD107" s="429">
        <v>3.2129976384997607</v>
      </c>
      <c r="AE107" s="429">
        <v>3.1653152316912174</v>
      </c>
      <c r="AF107" s="429">
        <v>3.0419286424184904</v>
      </c>
      <c r="AG107" s="429">
        <v>0</v>
      </c>
      <c r="AH107" s="429">
        <v>6.2812883878686421</v>
      </c>
      <c r="AI107" s="429">
        <v>6.1412450575799875</v>
      </c>
      <c r="AJ107" s="429">
        <v>6.2981466657265548</v>
      </c>
      <c r="AK107" s="429">
        <v>6.9268210775850818</v>
      </c>
      <c r="AL107" s="429">
        <v>0</v>
      </c>
      <c r="AM107" s="429">
        <v>0</v>
      </c>
      <c r="AN107" s="429">
        <v>0</v>
      </c>
      <c r="AO107" s="432"/>
      <c r="AP107" s="428">
        <v>41865.659737499998</v>
      </c>
      <c r="AQ107" s="431">
        <v>99.701198460902305</v>
      </c>
      <c r="AR107" s="431">
        <v>123.43806342019201</v>
      </c>
      <c r="AS107" s="431">
        <v>52.177496591868461</v>
      </c>
      <c r="AT107" s="431">
        <v>37.54980431803029</v>
      </c>
      <c r="AU107" s="431">
        <v>34.331630889103536</v>
      </c>
      <c r="AV107" s="431">
        <v>45.694059097942542</v>
      </c>
      <c r="AW107" s="431">
        <v>-10.178567373672415</v>
      </c>
      <c r="AX107" s="431">
        <v>6.0981019583965796</v>
      </c>
      <c r="AY107" s="431">
        <v>116.36107115902827</v>
      </c>
      <c r="AZ107" s="431">
        <v>-91.800943778763894</v>
      </c>
      <c r="BA107" s="431">
        <v>2.0985383444854686</v>
      </c>
      <c r="BB107" s="431">
        <v>2.5329299146169211</v>
      </c>
      <c r="BC107" s="431">
        <v>1.6018704942876465</v>
      </c>
      <c r="BD107" s="431">
        <v>79.875026569726074</v>
      </c>
      <c r="BE107" s="431">
        <v>363731.09242256702</v>
      </c>
      <c r="BF107" s="431">
        <v>8157.110320501828</v>
      </c>
      <c r="BG107" s="431">
        <v>-4628.2170536163185</v>
      </c>
      <c r="BH107" s="431">
        <v>465120.11859830568</v>
      </c>
      <c r="BI107" s="431">
        <v>448051.0065003956</v>
      </c>
      <c r="BJ107" s="431">
        <v>-57066.649569985879</v>
      </c>
      <c r="BK107" s="431">
        <v>415786.39320909069</v>
      </c>
      <c r="BL107" s="431">
        <v>3314.6509838429301</v>
      </c>
      <c r="BM107" s="431">
        <v>-422.17520638826284</v>
      </c>
      <c r="BN107" s="431">
        <v>85.058281899025204</v>
      </c>
      <c r="BO107" s="431">
        <v>2711.9871685987609</v>
      </c>
      <c r="BP107" s="431">
        <v>-345.41607795403326</v>
      </c>
      <c r="BQ107" s="431">
        <v>1642.3278962289189</v>
      </c>
      <c r="BR107" s="431">
        <v>867.49110217629527</v>
      </c>
      <c r="BS107" s="431">
        <v>398.64341579524665</v>
      </c>
      <c r="BT107" s="431">
        <v>869.49282613076423</v>
      </c>
      <c r="BU107" s="431">
        <v>0</v>
      </c>
      <c r="BV107" s="431">
        <v>1344.4794551768773</v>
      </c>
      <c r="BW107" s="431">
        <v>609.61191701197743</v>
      </c>
      <c r="BX107" s="431">
        <v>1343.7340635956239</v>
      </c>
      <c r="BY107" s="431">
        <v>1034.2149655206747</v>
      </c>
      <c r="BZ107" s="431">
        <v>0</v>
      </c>
      <c r="CA107" s="431">
        <v>0</v>
      </c>
      <c r="CB107" s="431">
        <v>0</v>
      </c>
      <c r="CC107" s="432"/>
      <c r="CD107" s="428">
        <v>41865.659737499998</v>
      </c>
      <c r="CE107" s="433">
        <v>0.28867948499398594</v>
      </c>
      <c r="CF107" s="433">
        <v>0.21647902720720727</v>
      </c>
      <c r="CG107" s="433">
        <v>0.17973960391015936</v>
      </c>
      <c r="CH107" s="433">
        <v>0.18197778689994615</v>
      </c>
      <c r="CI107" s="433">
        <v>0.16617331458371132</v>
      </c>
      <c r="CJ107" s="433">
        <v>0.25244030997987504</v>
      </c>
      <c r="CK107" s="433">
        <v>0.24306585314092802</v>
      </c>
      <c r="CL107" s="433">
        <v>0.26123057689286194</v>
      </c>
      <c r="CM107" s="433">
        <v>0.19945374499368468</v>
      </c>
      <c r="CN107" s="433">
        <v>0.1874651959252118</v>
      </c>
      <c r="CO107" s="433">
        <v>0.6079976020925798</v>
      </c>
      <c r="CP107" s="433">
        <v>0.6236009607312033</v>
      </c>
      <c r="CQ107" s="433">
        <v>0.70349513193076929</v>
      </c>
      <c r="CR107" s="433">
        <v>0.39067782389425465</v>
      </c>
      <c r="CS107" s="433">
        <v>0.39443520669059223</v>
      </c>
      <c r="CT107" s="433">
        <v>0.447221292916757</v>
      </c>
      <c r="CU107" s="433">
        <v>0.3622790598707698</v>
      </c>
      <c r="CV107" s="433">
        <v>0.47604249083347333</v>
      </c>
      <c r="CW107" s="433">
        <v>0.4759898508915783</v>
      </c>
      <c r="CX107" s="433">
        <v>0.4007797062399322</v>
      </c>
      <c r="CY107" s="433">
        <v>0.43383847945766757</v>
      </c>
      <c r="CZ107" s="433">
        <v>0.29816004259848461</v>
      </c>
      <c r="DA107" s="433">
        <v>0.25104840798869349</v>
      </c>
      <c r="DB107" s="433">
        <v>0.742578194815812</v>
      </c>
      <c r="DC107" s="433">
        <v>0.29816004259848461</v>
      </c>
      <c r="DD107" s="433">
        <v>0.25104840798869349</v>
      </c>
      <c r="DE107" s="433">
        <v>0.37034376886796982</v>
      </c>
      <c r="DF107" s="433">
        <v>0.39133505591051104</v>
      </c>
      <c r="DG107" s="433">
        <v>0.34220908639247161</v>
      </c>
      <c r="DH107" s="433">
        <v>0.30448747734035569</v>
      </c>
      <c r="DI107" s="433">
        <v>0</v>
      </c>
      <c r="DJ107" s="433">
        <v>0.31679504526088992</v>
      </c>
      <c r="DK107" s="433">
        <v>0.27702640327009609</v>
      </c>
      <c r="DL107" s="433">
        <v>0.24648986260885944</v>
      </c>
      <c r="DM107" s="433">
        <v>0.40065255724171372</v>
      </c>
      <c r="DN107" s="433">
        <v>0</v>
      </c>
      <c r="DO107" s="433">
        <v>0</v>
      </c>
      <c r="DP107" s="433">
        <v>0</v>
      </c>
      <c r="DR107" s="409" t="s">
        <v>2542</v>
      </c>
      <c r="DS107" s="409" t="s">
        <v>2576</v>
      </c>
    </row>
    <row r="108" spans="2:123" s="1471" customFormat="1">
      <c r="B108" s="428">
        <v>41871.526069328705</v>
      </c>
      <c r="C108" s="429">
        <v>1.3988467464014478</v>
      </c>
      <c r="D108" s="429">
        <v>1.3907851297126956</v>
      </c>
      <c r="E108" s="429">
        <v>1.4269825397854414</v>
      </c>
      <c r="F108" s="429">
        <v>1.3333156930043075</v>
      </c>
      <c r="G108" s="429">
        <v>1.423918098016135</v>
      </c>
      <c r="H108" s="429">
        <v>1.3884994444077621</v>
      </c>
      <c r="I108" s="429">
        <v>1.437212022054515</v>
      </c>
      <c r="J108" s="429">
        <v>1.479736139802635</v>
      </c>
      <c r="K108" s="429">
        <v>1.3491059812968109</v>
      </c>
      <c r="L108" s="429">
        <v>1.4779100479357297</v>
      </c>
      <c r="M108" s="429">
        <v>1.3396332095127101</v>
      </c>
      <c r="N108" s="429">
        <v>1.3404806581884816</v>
      </c>
      <c r="O108" s="429">
        <v>1.1144559526243145</v>
      </c>
      <c r="P108" s="429">
        <v>1.2136328930805904</v>
      </c>
      <c r="Q108" s="429">
        <v>2918.9573122610873</v>
      </c>
      <c r="R108" s="429">
        <v>57.112870828361608</v>
      </c>
      <c r="S108" s="429">
        <v>62.228842530847444</v>
      </c>
      <c r="T108" s="429">
        <v>3801.1717758576115</v>
      </c>
      <c r="U108" s="429">
        <v>2086.9681834995959</v>
      </c>
      <c r="V108" s="429">
        <v>2261.5420409418057</v>
      </c>
      <c r="W108" s="429">
        <v>895.61804420344504</v>
      </c>
      <c r="X108" s="429">
        <v>51.697268648101677</v>
      </c>
      <c r="Y108" s="429">
        <v>52.988754215434206</v>
      </c>
      <c r="Z108" s="429">
        <v>52.653264195955863</v>
      </c>
      <c r="AA108" s="429">
        <v>48.337662777879487</v>
      </c>
      <c r="AB108" s="429">
        <v>49.394332787515197</v>
      </c>
      <c r="AC108" s="429">
        <v>50.197164459662105</v>
      </c>
      <c r="AD108" s="429">
        <v>3.2129976384997607</v>
      </c>
      <c r="AE108" s="429">
        <v>3.1653152316912174</v>
      </c>
      <c r="AF108" s="429">
        <v>3.0419286424184904</v>
      </c>
      <c r="AG108" s="429">
        <v>3.3675279658840234</v>
      </c>
      <c r="AH108" s="429">
        <v>6.2812883878686421</v>
      </c>
      <c r="AI108" s="429">
        <v>6.1412450575799875</v>
      </c>
      <c r="AJ108" s="429">
        <v>6.2981466657265548</v>
      </c>
      <c r="AK108" s="429">
        <v>6.9268210775850818</v>
      </c>
      <c r="AL108" s="429">
        <v>0</v>
      </c>
      <c r="AM108" s="429">
        <v>0</v>
      </c>
      <c r="AN108" s="429">
        <v>0</v>
      </c>
      <c r="AO108" s="432"/>
      <c r="AP108" s="428">
        <v>41871.526069328705</v>
      </c>
      <c r="AQ108" s="431">
        <v>99.701198460902305</v>
      </c>
      <c r="AR108" s="431">
        <v>123.43806342019201</v>
      </c>
      <c r="AS108" s="431">
        <v>52.177496591868461</v>
      </c>
      <c r="AT108" s="431">
        <v>37.54980431803029</v>
      </c>
      <c r="AU108" s="431">
        <v>34.331630889103536</v>
      </c>
      <c r="AV108" s="431">
        <v>45.694059097942542</v>
      </c>
      <c r="AW108" s="431">
        <v>-10.178567373672415</v>
      </c>
      <c r="AX108" s="431">
        <v>6.0981019583965796</v>
      </c>
      <c r="AY108" s="431">
        <v>116.36107115902827</v>
      </c>
      <c r="AZ108" s="431">
        <v>-91.800943778763894</v>
      </c>
      <c r="BA108" s="431">
        <v>2.0985383444854686</v>
      </c>
      <c r="BB108" s="431">
        <v>2.5329299146169211</v>
      </c>
      <c r="BC108" s="431">
        <v>1.6018704942876465</v>
      </c>
      <c r="BD108" s="431">
        <v>79.875026569726074</v>
      </c>
      <c r="BE108" s="431">
        <v>363731.09242256702</v>
      </c>
      <c r="BF108" s="431">
        <v>8157.110320501828</v>
      </c>
      <c r="BG108" s="431">
        <v>-4628.2170536163185</v>
      </c>
      <c r="BH108" s="431">
        <v>465120.11859830568</v>
      </c>
      <c r="BI108" s="431">
        <v>448051.0065003956</v>
      </c>
      <c r="BJ108" s="431">
        <v>-57066.649569985879</v>
      </c>
      <c r="BK108" s="431">
        <v>415786.39320909069</v>
      </c>
      <c r="BL108" s="431">
        <v>3314.6509838429301</v>
      </c>
      <c r="BM108" s="431">
        <v>-422.17520638826284</v>
      </c>
      <c r="BN108" s="431">
        <v>85.058281899025204</v>
      </c>
      <c r="BO108" s="431">
        <v>2711.9871685987609</v>
      </c>
      <c r="BP108" s="431">
        <v>-345.41607795403326</v>
      </c>
      <c r="BQ108" s="431">
        <v>1642.3278962289189</v>
      </c>
      <c r="BR108" s="431">
        <v>867.49110217629527</v>
      </c>
      <c r="BS108" s="431">
        <v>398.64341579524665</v>
      </c>
      <c r="BT108" s="431">
        <v>869.49282613076423</v>
      </c>
      <c r="BU108" s="431">
        <v>42.175254562965208</v>
      </c>
      <c r="BV108" s="431">
        <v>1344.4794551768773</v>
      </c>
      <c r="BW108" s="431">
        <v>609.61191701197743</v>
      </c>
      <c r="BX108" s="431">
        <v>1343.7340635956239</v>
      </c>
      <c r="BY108" s="431">
        <v>1034.2149655206747</v>
      </c>
      <c r="BZ108" s="431">
        <v>0</v>
      </c>
      <c r="CA108" s="431">
        <v>0</v>
      </c>
      <c r="CB108" s="431">
        <v>0</v>
      </c>
      <c r="CC108" s="432"/>
      <c r="CD108" s="428">
        <v>41871.526069328705</v>
      </c>
      <c r="CE108" s="433">
        <v>0.28867948499398594</v>
      </c>
      <c r="CF108" s="433">
        <v>0.21647902720720727</v>
      </c>
      <c r="CG108" s="433">
        <v>0.17973960391015936</v>
      </c>
      <c r="CH108" s="433">
        <v>0.18197778689994615</v>
      </c>
      <c r="CI108" s="433">
        <v>0.16617331458371132</v>
      </c>
      <c r="CJ108" s="433">
        <v>0.25244030997987504</v>
      </c>
      <c r="CK108" s="433">
        <v>0.24306585314092802</v>
      </c>
      <c r="CL108" s="433">
        <v>0.26123057689286194</v>
      </c>
      <c r="CM108" s="433">
        <v>0.19945374499368468</v>
      </c>
      <c r="CN108" s="433">
        <v>0.1874651959252118</v>
      </c>
      <c r="CO108" s="433">
        <v>0.6079976020925798</v>
      </c>
      <c r="CP108" s="433">
        <v>0.6236009607312033</v>
      </c>
      <c r="CQ108" s="433">
        <v>0.70349513193076929</v>
      </c>
      <c r="CR108" s="433">
        <v>0.39067782389425465</v>
      </c>
      <c r="CS108" s="433">
        <v>0.39443520669059223</v>
      </c>
      <c r="CT108" s="433">
        <v>0.447221292916757</v>
      </c>
      <c r="CU108" s="433">
        <v>0.3622790598707698</v>
      </c>
      <c r="CV108" s="433">
        <v>0.47604249083347333</v>
      </c>
      <c r="CW108" s="433">
        <v>0.4759898508915783</v>
      </c>
      <c r="CX108" s="433">
        <v>0.4007797062399322</v>
      </c>
      <c r="CY108" s="433">
        <v>0.43383847945766757</v>
      </c>
      <c r="CZ108" s="433">
        <v>0.29816004259848461</v>
      </c>
      <c r="DA108" s="433">
        <v>0.25104840798869349</v>
      </c>
      <c r="DB108" s="433">
        <v>0.742578194815812</v>
      </c>
      <c r="DC108" s="433">
        <v>0.29816004259848461</v>
      </c>
      <c r="DD108" s="433">
        <v>0.25104840798869349</v>
      </c>
      <c r="DE108" s="433">
        <v>0.37034376886796982</v>
      </c>
      <c r="DF108" s="433">
        <v>0.39133505591051104</v>
      </c>
      <c r="DG108" s="433">
        <v>0.34220908639247161</v>
      </c>
      <c r="DH108" s="433">
        <v>0.30448747734035569</v>
      </c>
      <c r="DI108" s="433">
        <v>0.3541252071169273</v>
      </c>
      <c r="DJ108" s="433">
        <v>0.31679504526088992</v>
      </c>
      <c r="DK108" s="433">
        <v>0.27702640327009609</v>
      </c>
      <c r="DL108" s="433">
        <v>0.24648986260885944</v>
      </c>
      <c r="DM108" s="433">
        <v>0.40065255724171372</v>
      </c>
      <c r="DN108" s="433">
        <v>0</v>
      </c>
      <c r="DO108" s="433">
        <v>0</v>
      </c>
      <c r="DP108" s="433">
        <v>0</v>
      </c>
      <c r="DR108" s="409" t="s">
        <v>711</v>
      </c>
      <c r="DS108" s="409" t="s">
        <v>2579</v>
      </c>
    </row>
    <row r="109" spans="2:123" s="1471" customFormat="1">
      <c r="B109" s="428">
        <v>41871.625864699075</v>
      </c>
      <c r="C109" s="429">
        <v>1.3993945821014249</v>
      </c>
      <c r="D109" s="429">
        <v>1.3907851297126956</v>
      </c>
      <c r="E109" s="429">
        <v>1.4269825397854414</v>
      </c>
      <c r="F109" s="429">
        <v>1.3333156930043075</v>
      </c>
      <c r="G109" s="429">
        <v>1.423918098016135</v>
      </c>
      <c r="H109" s="429">
        <v>1.3884994444077621</v>
      </c>
      <c r="I109" s="429">
        <v>1.437212022054515</v>
      </c>
      <c r="J109" s="429">
        <v>1.479736139802635</v>
      </c>
      <c r="K109" s="429">
        <v>1.3491059812968109</v>
      </c>
      <c r="L109" s="429">
        <v>1.4779100479357297</v>
      </c>
      <c r="M109" s="429">
        <v>1.3396332095127101</v>
      </c>
      <c r="N109" s="429">
        <v>1.3404806581884816</v>
      </c>
      <c r="O109" s="429">
        <v>1.1144559526243145</v>
      </c>
      <c r="P109" s="429">
        <v>1.2136328930805904</v>
      </c>
      <c r="Q109" s="429">
        <v>2918.9573122610873</v>
      </c>
      <c r="R109" s="429">
        <v>57.112870828361608</v>
      </c>
      <c r="S109" s="429">
        <v>62.228842530847444</v>
      </c>
      <c r="T109" s="429">
        <v>3801.1717758576115</v>
      </c>
      <c r="U109" s="429">
        <v>2089.4865860697346</v>
      </c>
      <c r="V109" s="429">
        <v>2261.5420409418057</v>
      </c>
      <c r="W109" s="429">
        <v>895.7759692868492</v>
      </c>
      <c r="X109" s="429">
        <v>51.715899619655623</v>
      </c>
      <c r="Y109" s="429">
        <v>52.988754215434206</v>
      </c>
      <c r="Z109" s="429">
        <v>52.653264195955863</v>
      </c>
      <c r="AA109" s="429">
        <v>48.352906300059985</v>
      </c>
      <c r="AB109" s="429">
        <v>49.394332787515197</v>
      </c>
      <c r="AC109" s="429">
        <v>50.197164459662105</v>
      </c>
      <c r="AD109" s="429">
        <v>3.2178146768180729</v>
      </c>
      <c r="AE109" s="429">
        <v>3.1653152316912174</v>
      </c>
      <c r="AF109" s="429">
        <v>3.0419286424184904</v>
      </c>
      <c r="AG109" s="429">
        <v>3.3675279658840234</v>
      </c>
      <c r="AH109" s="429">
        <v>6.2887427110731231</v>
      </c>
      <c r="AI109" s="429">
        <v>6.1412450575799875</v>
      </c>
      <c r="AJ109" s="429">
        <v>6.2981466657265548</v>
      </c>
      <c r="AK109" s="429">
        <v>6.9325551723577599</v>
      </c>
      <c r="AL109" s="429">
        <v>0</v>
      </c>
      <c r="AM109" s="429">
        <v>0</v>
      </c>
      <c r="AN109" s="429">
        <v>0</v>
      </c>
      <c r="AO109" s="432"/>
      <c r="AP109" s="428">
        <v>41871.625864699075</v>
      </c>
      <c r="AQ109" s="431">
        <v>99.701198460902305</v>
      </c>
      <c r="AR109" s="431">
        <v>123.43806342019201</v>
      </c>
      <c r="AS109" s="431">
        <v>52.177496591868461</v>
      </c>
      <c r="AT109" s="431">
        <v>37.54980431803029</v>
      </c>
      <c r="AU109" s="431">
        <v>34.331630889103536</v>
      </c>
      <c r="AV109" s="431">
        <v>45.694059097942542</v>
      </c>
      <c r="AW109" s="431">
        <v>-10.178567373672415</v>
      </c>
      <c r="AX109" s="431">
        <v>6.0981019583965796</v>
      </c>
      <c r="AY109" s="431">
        <v>116.36107115902827</v>
      </c>
      <c r="AZ109" s="431">
        <v>-91.800943778763894</v>
      </c>
      <c r="BA109" s="431">
        <v>2.0985383444854686</v>
      </c>
      <c r="BB109" s="431">
        <v>2.5329299146169211</v>
      </c>
      <c r="BC109" s="431">
        <v>1.6018704942876465</v>
      </c>
      <c r="BD109" s="431">
        <v>79.875026569726074</v>
      </c>
      <c r="BE109" s="431">
        <v>363731.09242256702</v>
      </c>
      <c r="BF109" s="431">
        <v>8157.110320501828</v>
      </c>
      <c r="BG109" s="431">
        <v>-4628.2170536163185</v>
      </c>
      <c r="BH109" s="431">
        <v>465120.11859830568</v>
      </c>
      <c r="BI109" s="431">
        <v>448051.0065003956</v>
      </c>
      <c r="BJ109" s="431">
        <v>-57066.649569985879</v>
      </c>
      <c r="BK109" s="431">
        <v>415786.39320909069</v>
      </c>
      <c r="BL109" s="431">
        <v>3314.6509838429301</v>
      </c>
      <c r="BM109" s="431">
        <v>-422.17520638826284</v>
      </c>
      <c r="BN109" s="431">
        <v>85.058281899025204</v>
      </c>
      <c r="BO109" s="431">
        <v>2711.9871685987609</v>
      </c>
      <c r="BP109" s="431">
        <v>-345.41607795403326</v>
      </c>
      <c r="BQ109" s="431">
        <v>1642.3278962289189</v>
      </c>
      <c r="BR109" s="431">
        <v>867.49110217629527</v>
      </c>
      <c r="BS109" s="431">
        <v>398.64341579524665</v>
      </c>
      <c r="BT109" s="431">
        <v>869.49282613076423</v>
      </c>
      <c r="BU109" s="431">
        <v>42.175254562965208</v>
      </c>
      <c r="BV109" s="431">
        <v>1344.4794551768773</v>
      </c>
      <c r="BW109" s="431">
        <v>609.61191701197743</v>
      </c>
      <c r="BX109" s="431">
        <v>1343.7340635956239</v>
      </c>
      <c r="BY109" s="431">
        <v>1034.2149655206747</v>
      </c>
      <c r="BZ109" s="431">
        <v>0</v>
      </c>
      <c r="CA109" s="431">
        <v>0</v>
      </c>
      <c r="CB109" s="431">
        <v>0</v>
      </c>
      <c r="CC109" s="432"/>
      <c r="CD109" s="428">
        <v>41871.625864699075</v>
      </c>
      <c r="CE109" s="433">
        <v>0.28867948499398594</v>
      </c>
      <c r="CF109" s="433">
        <v>0.21647902720720727</v>
      </c>
      <c r="CG109" s="433">
        <v>0.17973960391015936</v>
      </c>
      <c r="CH109" s="433">
        <v>0.18197778689994615</v>
      </c>
      <c r="CI109" s="433">
        <v>0.16617331458371132</v>
      </c>
      <c r="CJ109" s="433">
        <v>0.25244030997987504</v>
      </c>
      <c r="CK109" s="433">
        <v>0.24306585314092802</v>
      </c>
      <c r="CL109" s="433">
        <v>0.26123057689286194</v>
      </c>
      <c r="CM109" s="433">
        <v>0.19945374499368468</v>
      </c>
      <c r="CN109" s="433">
        <v>0.1874651959252118</v>
      </c>
      <c r="CO109" s="433">
        <v>0.6079976020925798</v>
      </c>
      <c r="CP109" s="433">
        <v>0.6236009607312033</v>
      </c>
      <c r="CQ109" s="433">
        <v>0.70349513193076929</v>
      </c>
      <c r="CR109" s="433">
        <v>0.39067782389425465</v>
      </c>
      <c r="CS109" s="433">
        <v>0.39443520669059223</v>
      </c>
      <c r="CT109" s="433">
        <v>0.447221292916757</v>
      </c>
      <c r="CU109" s="433">
        <v>0.3622790598707698</v>
      </c>
      <c r="CV109" s="433">
        <v>0.47604249083347333</v>
      </c>
      <c r="CW109" s="433">
        <v>0.4759898508915783</v>
      </c>
      <c r="CX109" s="433">
        <v>0.4007797062399322</v>
      </c>
      <c r="CY109" s="433">
        <v>0.43383847945766757</v>
      </c>
      <c r="CZ109" s="433">
        <v>0.29816004259848461</v>
      </c>
      <c r="DA109" s="433">
        <v>0.25104840798869349</v>
      </c>
      <c r="DB109" s="433">
        <v>0.742578194815812</v>
      </c>
      <c r="DC109" s="433">
        <v>0.29816004259848461</v>
      </c>
      <c r="DD109" s="433">
        <v>0.25104840798869349</v>
      </c>
      <c r="DE109" s="433">
        <v>0.37034376886796982</v>
      </c>
      <c r="DF109" s="433">
        <v>0.39133505591051104</v>
      </c>
      <c r="DG109" s="433">
        <v>0.34220908639247161</v>
      </c>
      <c r="DH109" s="433">
        <v>0.30448747734035569</v>
      </c>
      <c r="DI109" s="433">
        <v>0.3541252071169273</v>
      </c>
      <c r="DJ109" s="433">
        <v>0.31679504526088992</v>
      </c>
      <c r="DK109" s="433">
        <v>0.27702640327009609</v>
      </c>
      <c r="DL109" s="433">
        <v>0.24648986260885944</v>
      </c>
      <c r="DM109" s="433">
        <v>0.40065255724171372</v>
      </c>
      <c r="DN109" s="433">
        <v>0</v>
      </c>
      <c r="DO109" s="433">
        <v>0</v>
      </c>
      <c r="DP109" s="433">
        <v>0</v>
      </c>
      <c r="DR109" s="409" t="s">
        <v>711</v>
      </c>
      <c r="DS109" s="409" t="s">
        <v>2609</v>
      </c>
    </row>
    <row r="110" spans="2:123" s="1471" customFormat="1">
      <c r="B110" s="428">
        <v>41880.500331828705</v>
      </c>
      <c r="C110" s="429">
        <v>1.3993945821014249</v>
      </c>
      <c r="D110" s="429">
        <v>1.3907851297126956</v>
      </c>
      <c r="E110" s="429">
        <v>1.4269825397854414</v>
      </c>
      <c r="F110" s="429">
        <v>1.3333156930043075</v>
      </c>
      <c r="G110" s="429">
        <v>1.423918098016135</v>
      </c>
      <c r="H110" s="429">
        <v>1.3884994444077621</v>
      </c>
      <c r="I110" s="429">
        <v>1.437212022054515</v>
      </c>
      <c r="J110" s="429">
        <v>1.479736139802635</v>
      </c>
      <c r="K110" s="429">
        <v>1.3491059812968109</v>
      </c>
      <c r="L110" s="429">
        <v>1.4779100479357297</v>
      </c>
      <c r="M110" s="429">
        <v>1.3396332095127101</v>
      </c>
      <c r="N110" s="429">
        <v>1.3404806581884816</v>
      </c>
      <c r="O110" s="429">
        <v>1.1144559526243145</v>
      </c>
      <c r="P110" s="429">
        <v>1.2136328930805904</v>
      </c>
      <c r="Q110" s="429">
        <v>2918.9573122610873</v>
      </c>
      <c r="R110" s="429">
        <v>57.112870828361608</v>
      </c>
      <c r="S110" s="429">
        <v>62.228842530847444</v>
      </c>
      <c r="T110" s="429">
        <v>3801.1717758576115</v>
      </c>
      <c r="U110" s="429">
        <v>1185.9590354328743</v>
      </c>
      <c r="V110" s="429">
        <v>1358.0144903049452</v>
      </c>
      <c r="W110" s="429">
        <v>895.7759692868492</v>
      </c>
      <c r="X110" s="429">
        <v>51.715899619655623</v>
      </c>
      <c r="Y110" s="429">
        <v>52.988754215434206</v>
      </c>
      <c r="Z110" s="429">
        <v>52.653264195955863</v>
      </c>
      <c r="AA110" s="429">
        <v>48.352906300059985</v>
      </c>
      <c r="AB110" s="429">
        <v>49.394332787515197</v>
      </c>
      <c r="AC110" s="429">
        <v>50.197164459662105</v>
      </c>
      <c r="AD110" s="429">
        <v>3.2178146768180729</v>
      </c>
      <c r="AE110" s="429">
        <v>3.1653152316912174</v>
      </c>
      <c r="AF110" s="429">
        <v>3.0419286424184904</v>
      </c>
      <c r="AG110" s="429">
        <v>3.3675279658840234</v>
      </c>
      <c r="AH110" s="429">
        <v>6.2887427110731231</v>
      </c>
      <c r="AI110" s="429">
        <v>6.1412450575799875</v>
      </c>
      <c r="AJ110" s="429">
        <v>6.2981466657265548</v>
      </c>
      <c r="AK110" s="429">
        <v>6.9325551723577599</v>
      </c>
      <c r="AL110" s="429">
        <v>0</v>
      </c>
      <c r="AM110" s="429">
        <v>0</v>
      </c>
      <c r="AN110" s="429">
        <v>0</v>
      </c>
      <c r="AO110" s="432"/>
      <c r="AP110" s="428">
        <v>41880.500331828705</v>
      </c>
      <c r="AQ110" s="431">
        <v>99.701198460902305</v>
      </c>
      <c r="AR110" s="431">
        <v>123.43806342019201</v>
      </c>
      <c r="AS110" s="431">
        <v>52.177496591868461</v>
      </c>
      <c r="AT110" s="431">
        <v>37.54980431803029</v>
      </c>
      <c r="AU110" s="431">
        <v>34.331630889103536</v>
      </c>
      <c r="AV110" s="431">
        <v>45.694059097942542</v>
      </c>
      <c r="AW110" s="431">
        <v>-10.178567373672415</v>
      </c>
      <c r="AX110" s="431">
        <v>6.0981019583965796</v>
      </c>
      <c r="AY110" s="431">
        <v>116.36107115902827</v>
      </c>
      <c r="AZ110" s="431">
        <v>-91.800943778763894</v>
      </c>
      <c r="BA110" s="431">
        <v>2.0985383444854686</v>
      </c>
      <c r="BB110" s="431">
        <v>2.5329299146169211</v>
      </c>
      <c r="BC110" s="431">
        <v>1.6018704942876465</v>
      </c>
      <c r="BD110" s="431">
        <v>79.875026569726074</v>
      </c>
      <c r="BE110" s="431">
        <v>363731.09242256702</v>
      </c>
      <c r="BF110" s="431">
        <v>8157.110320501828</v>
      </c>
      <c r="BG110" s="431">
        <v>-4628.2170536163185</v>
      </c>
      <c r="BH110" s="431">
        <v>465120.11859830568</v>
      </c>
      <c r="BI110" s="431">
        <v>448051.0065003956</v>
      </c>
      <c r="BJ110" s="431">
        <v>-57066.649569985879</v>
      </c>
      <c r="BK110" s="431">
        <v>415786.39320909069</v>
      </c>
      <c r="BL110" s="431">
        <v>3314.6509838429301</v>
      </c>
      <c r="BM110" s="431">
        <v>-422.17520638826284</v>
      </c>
      <c r="BN110" s="431">
        <v>85.058281899025204</v>
      </c>
      <c r="BO110" s="431">
        <v>2711.9871685987609</v>
      </c>
      <c r="BP110" s="431">
        <v>-345.41607795403326</v>
      </c>
      <c r="BQ110" s="431">
        <v>1642.3278962289189</v>
      </c>
      <c r="BR110" s="431">
        <v>867.49110217629527</v>
      </c>
      <c r="BS110" s="431">
        <v>398.64341579524665</v>
      </c>
      <c r="BT110" s="431">
        <v>869.49282613076423</v>
      </c>
      <c r="BU110" s="431">
        <v>42.175254562965208</v>
      </c>
      <c r="BV110" s="431">
        <v>1344.4794551768773</v>
      </c>
      <c r="BW110" s="431">
        <v>609.61191701197743</v>
      </c>
      <c r="BX110" s="431">
        <v>1343.7340635956239</v>
      </c>
      <c r="BY110" s="431">
        <v>1034.2149655206747</v>
      </c>
      <c r="BZ110" s="431">
        <v>0</v>
      </c>
      <c r="CA110" s="431">
        <v>0</v>
      </c>
      <c r="CB110" s="431">
        <v>0</v>
      </c>
      <c r="CC110" s="432"/>
      <c r="CD110" s="428">
        <v>41880.500331828705</v>
      </c>
      <c r="CE110" s="433">
        <v>0.28867948499398594</v>
      </c>
      <c r="CF110" s="433">
        <v>0.21647902720720727</v>
      </c>
      <c r="CG110" s="433">
        <v>0.17973960391015936</v>
      </c>
      <c r="CH110" s="433">
        <v>0.18197778689994615</v>
      </c>
      <c r="CI110" s="433">
        <v>0.16617331458371132</v>
      </c>
      <c r="CJ110" s="433">
        <v>0.25244030997987504</v>
      </c>
      <c r="CK110" s="433">
        <v>0.24306585314092802</v>
      </c>
      <c r="CL110" s="433">
        <v>0.26123057689286194</v>
      </c>
      <c r="CM110" s="433">
        <v>0.19945374499368468</v>
      </c>
      <c r="CN110" s="433">
        <v>0.1874651959252118</v>
      </c>
      <c r="CO110" s="433">
        <v>0.6079976020925798</v>
      </c>
      <c r="CP110" s="433">
        <v>0.6236009607312033</v>
      </c>
      <c r="CQ110" s="433">
        <v>0.70349513193076929</v>
      </c>
      <c r="CR110" s="433">
        <v>0.39067782389425465</v>
      </c>
      <c r="CS110" s="433">
        <v>0.39443520669059223</v>
      </c>
      <c r="CT110" s="433">
        <v>0.447221292916757</v>
      </c>
      <c r="CU110" s="433">
        <v>0.3622790598707698</v>
      </c>
      <c r="CV110" s="433">
        <v>0.47604249083347333</v>
      </c>
      <c r="CW110" s="433">
        <v>0.4759898508915783</v>
      </c>
      <c r="CX110" s="433">
        <v>0.4007797062399322</v>
      </c>
      <c r="CY110" s="433">
        <v>0.43383847945766757</v>
      </c>
      <c r="CZ110" s="433">
        <v>0.29816004259848461</v>
      </c>
      <c r="DA110" s="433">
        <v>0.25104840798869349</v>
      </c>
      <c r="DB110" s="433">
        <v>0.742578194815812</v>
      </c>
      <c r="DC110" s="433">
        <v>0.29816004259848461</v>
      </c>
      <c r="DD110" s="433">
        <v>0.25104840798869349</v>
      </c>
      <c r="DE110" s="433">
        <v>0.37034376886796982</v>
      </c>
      <c r="DF110" s="433">
        <v>0.39133505591051104</v>
      </c>
      <c r="DG110" s="433">
        <v>0.34220908639247161</v>
      </c>
      <c r="DH110" s="433">
        <v>0.30448747734035569</v>
      </c>
      <c r="DI110" s="433">
        <v>0.3541252071169273</v>
      </c>
      <c r="DJ110" s="433">
        <v>0.31679504526088992</v>
      </c>
      <c r="DK110" s="433">
        <v>0.27702640327009609</v>
      </c>
      <c r="DL110" s="433">
        <v>0.24648986260885944</v>
      </c>
      <c r="DM110" s="433">
        <v>0.40065255724171372</v>
      </c>
      <c r="DN110" s="433">
        <v>0</v>
      </c>
      <c r="DO110" s="433">
        <v>0</v>
      </c>
      <c r="DP110" s="433">
        <v>0</v>
      </c>
      <c r="DR110" s="409" t="s">
        <v>711</v>
      </c>
      <c r="DS110" s="409" t="s">
        <v>2614</v>
      </c>
    </row>
    <row r="111" spans="2:123" s="1471" customFormat="1">
      <c r="B111" s="428">
        <v>41885.474665046298</v>
      </c>
      <c r="C111" s="429">
        <v>1.3993945821014249</v>
      </c>
      <c r="D111" s="429">
        <v>1.3907851297126956</v>
      </c>
      <c r="E111" s="429">
        <v>1.4269825397854414</v>
      </c>
      <c r="F111" s="429">
        <v>1.3333156930043075</v>
      </c>
      <c r="G111" s="429">
        <v>1.423918098016135</v>
      </c>
      <c r="H111" s="429">
        <v>1.3884994444077621</v>
      </c>
      <c r="I111" s="429">
        <v>1.437212022054515</v>
      </c>
      <c r="J111" s="429">
        <v>1.479736139802635</v>
      </c>
      <c r="K111" s="429">
        <v>1.3491059812968109</v>
      </c>
      <c r="L111" s="429">
        <v>1.4779100479357297</v>
      </c>
      <c r="M111" s="429">
        <v>1.3396332095127101</v>
      </c>
      <c r="N111" s="429">
        <v>1.3404806581884816</v>
      </c>
      <c r="O111" s="429">
        <v>1.1144559526243145</v>
      </c>
      <c r="P111" s="429">
        <v>1.2136328930805904</v>
      </c>
      <c r="Q111" s="429">
        <v>1028.3116473607015</v>
      </c>
      <c r="R111" s="429">
        <v>57.112870828361608</v>
      </c>
      <c r="S111" s="429">
        <v>62.228842530847444</v>
      </c>
      <c r="T111" s="429">
        <v>3195.2102193863666</v>
      </c>
      <c r="U111" s="429">
        <v>1593.3687737314465</v>
      </c>
      <c r="V111" s="429">
        <v>1765.5760605151736</v>
      </c>
      <c r="W111" s="429">
        <v>1039.0071018639287</v>
      </c>
      <c r="X111" s="429">
        <v>51.715899619655623</v>
      </c>
      <c r="Y111" s="429">
        <v>52.988754215434206</v>
      </c>
      <c r="Z111" s="429">
        <v>52.653264195955863</v>
      </c>
      <c r="AA111" s="429">
        <v>48.352906300059985</v>
      </c>
      <c r="AB111" s="429">
        <v>49.394332787515197</v>
      </c>
      <c r="AC111" s="429">
        <v>50.197164459662105</v>
      </c>
      <c r="AD111" s="429">
        <v>8.3101127744561918</v>
      </c>
      <c r="AE111" s="429">
        <v>8.2302750196138703</v>
      </c>
      <c r="AF111" s="429">
        <v>8.0560242658421153</v>
      </c>
      <c r="AG111" s="429">
        <v>8.5046217767435675</v>
      </c>
      <c r="AH111" s="429">
        <v>8.0722434264611866</v>
      </c>
      <c r="AI111" s="429">
        <v>7.9416923118800282</v>
      </c>
      <c r="AJ111" s="429">
        <v>7.9305632693034518</v>
      </c>
      <c r="AK111" s="429">
        <v>8.9320486349367965</v>
      </c>
      <c r="AL111" s="429">
        <v>0</v>
      </c>
      <c r="AM111" s="429">
        <v>0</v>
      </c>
      <c r="AN111" s="429">
        <v>0</v>
      </c>
      <c r="AO111" s="432"/>
      <c r="AP111" s="428">
        <v>41885.474665046298</v>
      </c>
      <c r="AQ111" s="431">
        <v>99.701198460902305</v>
      </c>
      <c r="AR111" s="431">
        <v>123.43806342019201</v>
      </c>
      <c r="AS111" s="431">
        <v>52.177496591868461</v>
      </c>
      <c r="AT111" s="431">
        <v>37.54980431803029</v>
      </c>
      <c r="AU111" s="431">
        <v>34.331630889103536</v>
      </c>
      <c r="AV111" s="431">
        <v>45.694059097942542</v>
      </c>
      <c r="AW111" s="431">
        <v>-10.178567373672415</v>
      </c>
      <c r="AX111" s="431">
        <v>6.0981019583965796</v>
      </c>
      <c r="AY111" s="431">
        <v>116.36107115902827</v>
      </c>
      <c r="AZ111" s="431">
        <v>-91.800943778763894</v>
      </c>
      <c r="BA111" s="431">
        <v>2.0985383444854686</v>
      </c>
      <c r="BB111" s="431">
        <v>2.5329299146169211</v>
      </c>
      <c r="BC111" s="431">
        <v>1.6018704942876465</v>
      </c>
      <c r="BD111" s="431">
        <v>79.875026569726074</v>
      </c>
      <c r="BE111" s="431">
        <v>363731.09242256702</v>
      </c>
      <c r="BF111" s="431">
        <v>8157.110320501828</v>
      </c>
      <c r="BG111" s="431">
        <v>-4628.2170536163185</v>
      </c>
      <c r="BH111" s="431">
        <v>465120.11859830568</v>
      </c>
      <c r="BI111" s="431">
        <v>448051.00650039566</v>
      </c>
      <c r="BJ111" s="431">
        <v>-57066.649569985879</v>
      </c>
      <c r="BK111" s="431">
        <v>436019.78009934188</v>
      </c>
      <c r="BL111" s="431">
        <v>3314.6509838429301</v>
      </c>
      <c r="BM111" s="431">
        <v>-422.17520638826284</v>
      </c>
      <c r="BN111" s="431">
        <v>85.058281899025204</v>
      </c>
      <c r="BO111" s="431">
        <v>2711.9871685987609</v>
      </c>
      <c r="BP111" s="431">
        <v>-345.41607795403326</v>
      </c>
      <c r="BQ111" s="431">
        <v>1642.3278962289189</v>
      </c>
      <c r="BR111" s="431">
        <v>1127.0531148584646</v>
      </c>
      <c r="BS111" s="431">
        <v>510.08843786333597</v>
      </c>
      <c r="BT111" s="431">
        <v>1089.197874139144</v>
      </c>
      <c r="BU111" s="431">
        <v>54.794512480750036</v>
      </c>
      <c r="BV111" s="431">
        <v>1190.0073475608103</v>
      </c>
      <c r="BW111" s="431">
        <v>539.57139888719689</v>
      </c>
      <c r="BX111" s="431">
        <v>1164.6808022188161</v>
      </c>
      <c r="BY111" s="431">
        <v>915.39026735446942</v>
      </c>
      <c r="BZ111" s="431">
        <v>0</v>
      </c>
      <c r="CA111" s="431">
        <v>0</v>
      </c>
      <c r="CB111" s="431">
        <v>0</v>
      </c>
      <c r="CC111" s="432"/>
      <c r="CD111" s="428">
        <v>41885.474665046298</v>
      </c>
      <c r="CE111" s="433">
        <v>0.28867948499398594</v>
      </c>
      <c r="CF111" s="433">
        <v>0.21647902720720727</v>
      </c>
      <c r="CG111" s="433">
        <v>0.17973960391015936</v>
      </c>
      <c r="CH111" s="433">
        <v>0.18197778689994615</v>
      </c>
      <c r="CI111" s="433">
        <v>0.16617331458371132</v>
      </c>
      <c r="CJ111" s="433">
        <v>0.25244030997987504</v>
      </c>
      <c r="CK111" s="433">
        <v>0.24306585314092802</v>
      </c>
      <c r="CL111" s="433">
        <v>0.26123057689286194</v>
      </c>
      <c r="CM111" s="433">
        <v>0.19945374499368468</v>
      </c>
      <c r="CN111" s="433">
        <v>0.1874651959252118</v>
      </c>
      <c r="CO111" s="433">
        <v>0.6079976020925798</v>
      </c>
      <c r="CP111" s="433">
        <v>0.6236009607312033</v>
      </c>
      <c r="CQ111" s="433">
        <v>0.70349513193076929</v>
      </c>
      <c r="CR111" s="433">
        <v>0.39067782389425465</v>
      </c>
      <c r="CS111" s="433">
        <v>0.3741130180554797</v>
      </c>
      <c r="CT111" s="433">
        <v>0.447221292916757</v>
      </c>
      <c r="CU111" s="433">
        <v>0.3622790598707698</v>
      </c>
      <c r="CV111" s="433">
        <v>0.47428587647615433</v>
      </c>
      <c r="CW111" s="433">
        <v>0.45146578363252743</v>
      </c>
      <c r="CX111" s="433">
        <v>0.38013063472405745</v>
      </c>
      <c r="CY111" s="433">
        <v>0.43383847945766757</v>
      </c>
      <c r="CZ111" s="433">
        <v>0.29816004259848461</v>
      </c>
      <c r="DA111" s="433">
        <v>0.25104840798869349</v>
      </c>
      <c r="DB111" s="433">
        <v>0.742578194815812</v>
      </c>
      <c r="DC111" s="433">
        <v>0.29816004259848461</v>
      </c>
      <c r="DD111" s="433">
        <v>0.25104840798869349</v>
      </c>
      <c r="DE111" s="433">
        <v>0.37034376886796982</v>
      </c>
      <c r="DF111" s="433">
        <v>0.39133505591051104</v>
      </c>
      <c r="DG111" s="433">
        <v>0.34220908639247161</v>
      </c>
      <c r="DH111" s="433">
        <v>0.31600438762042726</v>
      </c>
      <c r="DI111" s="433">
        <v>0.3541252071169273</v>
      </c>
      <c r="DJ111" s="433">
        <v>0.31679504526088992</v>
      </c>
      <c r="DK111" s="433">
        <v>0.27702640327009609</v>
      </c>
      <c r="DL111" s="433">
        <v>0.25178639558339838</v>
      </c>
      <c r="DM111" s="433">
        <v>0.40065255724171372</v>
      </c>
      <c r="DN111" s="433">
        <v>0</v>
      </c>
      <c r="DO111" s="433">
        <v>0</v>
      </c>
      <c r="DP111" s="433">
        <v>0</v>
      </c>
      <c r="DR111" s="409" t="s">
        <v>2542</v>
      </c>
      <c r="DS111" s="409" t="s">
        <v>2640</v>
      </c>
    </row>
    <row r="112" spans="2:123" s="1471" customFormat="1">
      <c r="B112" s="428">
        <v>41891.46704398148</v>
      </c>
      <c r="C112" s="429">
        <v>1.3993945821014249</v>
      </c>
      <c r="D112" s="429">
        <v>1.3907851297126956</v>
      </c>
      <c r="E112" s="429">
        <v>1.4269825397854414</v>
      </c>
      <c r="F112" s="429">
        <v>1.3333156930043075</v>
      </c>
      <c r="G112" s="429">
        <v>1.423918098016135</v>
      </c>
      <c r="H112" s="429">
        <v>1.3884994444077621</v>
      </c>
      <c r="I112" s="429">
        <v>1.437212022054515</v>
      </c>
      <c r="J112" s="429">
        <v>1.479736139802635</v>
      </c>
      <c r="K112" s="429">
        <v>1.3491059812968109</v>
      </c>
      <c r="L112" s="429">
        <v>1.4779100479357297</v>
      </c>
      <c r="M112" s="429">
        <v>1.3396332095127101</v>
      </c>
      <c r="N112" s="429">
        <v>1.3404806581884816</v>
      </c>
      <c r="O112" s="429">
        <v>1.1361041292571696</v>
      </c>
      <c r="P112" s="429">
        <v>1.2136328930805904</v>
      </c>
      <c r="Q112" s="429">
        <v>983.96336501741507</v>
      </c>
      <c r="R112" s="429">
        <v>57.112870828361608</v>
      </c>
      <c r="S112" s="429">
        <v>62.228842530847444</v>
      </c>
      <c r="T112" s="429">
        <v>3195.2102193863666</v>
      </c>
      <c r="U112" s="429">
        <v>1593.3687737314465</v>
      </c>
      <c r="V112" s="429">
        <v>1765.5760605151736</v>
      </c>
      <c r="W112" s="429">
        <v>1039.0071018639287</v>
      </c>
      <c r="X112" s="429">
        <v>51.715899619655623</v>
      </c>
      <c r="Y112" s="429">
        <v>52.988754215434206</v>
      </c>
      <c r="Z112" s="429">
        <v>52.653264195955863</v>
      </c>
      <c r="AA112" s="429">
        <v>48.352906300059985</v>
      </c>
      <c r="AB112" s="429">
        <v>49.394332787515197</v>
      </c>
      <c r="AC112" s="429">
        <v>50.475590600234852</v>
      </c>
      <c r="AD112" s="429">
        <v>8.3101127744561918</v>
      </c>
      <c r="AE112" s="429">
        <v>8.2302750196138703</v>
      </c>
      <c r="AF112" s="429">
        <v>8.0560242658421153</v>
      </c>
      <c r="AG112" s="429">
        <v>8.5046217767435675</v>
      </c>
      <c r="AH112" s="429">
        <v>8.0722434264611866</v>
      </c>
      <c r="AI112" s="429">
        <v>7.9416923118800282</v>
      </c>
      <c r="AJ112" s="429">
        <v>7.9305632693034518</v>
      </c>
      <c r="AK112" s="429">
        <v>8.9320486349367965</v>
      </c>
      <c r="AL112" s="429">
        <v>1118.6321141004171</v>
      </c>
      <c r="AM112" s="429">
        <v>0</v>
      </c>
      <c r="AN112" s="429">
        <v>0</v>
      </c>
      <c r="AO112" s="432"/>
      <c r="AP112" s="428">
        <v>41891.46704398148</v>
      </c>
      <c r="AQ112" s="431">
        <v>99.701198460902305</v>
      </c>
      <c r="AR112" s="431">
        <v>123.43806342019201</v>
      </c>
      <c r="AS112" s="431">
        <v>52.177496591868461</v>
      </c>
      <c r="AT112" s="431">
        <v>37.54980431803029</v>
      </c>
      <c r="AU112" s="431">
        <v>34.331630889103536</v>
      </c>
      <c r="AV112" s="431">
        <v>45.694059097942542</v>
      </c>
      <c r="AW112" s="431">
        <v>-10.178567373672415</v>
      </c>
      <c r="AX112" s="431">
        <v>6.0981019583965796</v>
      </c>
      <c r="AY112" s="431">
        <v>116.36107115902827</v>
      </c>
      <c r="AZ112" s="431">
        <v>-91.800943778763894</v>
      </c>
      <c r="BA112" s="431">
        <v>2.0985383444854686</v>
      </c>
      <c r="BB112" s="431">
        <v>2.5329299146169211</v>
      </c>
      <c r="BC112" s="431">
        <v>1.6018704942876465</v>
      </c>
      <c r="BD112" s="431">
        <v>79.875026569726074</v>
      </c>
      <c r="BE112" s="431">
        <v>350382.78401405021</v>
      </c>
      <c r="BF112" s="431">
        <v>8157.110320501828</v>
      </c>
      <c r="BG112" s="431">
        <v>-4628.2170536163185</v>
      </c>
      <c r="BH112" s="431">
        <v>465120.11859830568</v>
      </c>
      <c r="BI112" s="431">
        <v>448051.00650039566</v>
      </c>
      <c r="BJ112" s="431">
        <v>-57066.649569985879</v>
      </c>
      <c r="BK112" s="431">
        <v>436019.78009934188</v>
      </c>
      <c r="BL112" s="431">
        <v>3314.6509838429301</v>
      </c>
      <c r="BM112" s="431">
        <v>-422.17520638826284</v>
      </c>
      <c r="BN112" s="431">
        <v>85.058281899025204</v>
      </c>
      <c r="BO112" s="431">
        <v>2711.9871685987609</v>
      </c>
      <c r="BP112" s="431">
        <v>-345.41607795403326</v>
      </c>
      <c r="BQ112" s="431">
        <v>1927.3974477936001</v>
      </c>
      <c r="BR112" s="431">
        <v>1127.0531148584646</v>
      </c>
      <c r="BS112" s="431">
        <v>510.08843786333597</v>
      </c>
      <c r="BT112" s="431">
        <v>1089.197874139144</v>
      </c>
      <c r="BU112" s="431">
        <v>54.794512480750036</v>
      </c>
      <c r="BV112" s="431">
        <v>1190.0073475608103</v>
      </c>
      <c r="BW112" s="431">
        <v>539.57139888719689</v>
      </c>
      <c r="BX112" s="431">
        <v>1164.6808022188161</v>
      </c>
      <c r="BY112" s="431">
        <v>915.39026735446942</v>
      </c>
      <c r="BZ112" s="431">
        <v>-44626.998401058612</v>
      </c>
      <c r="CA112" s="431">
        <v>0</v>
      </c>
      <c r="CB112" s="431">
        <v>0</v>
      </c>
      <c r="CC112" s="432"/>
      <c r="CD112" s="428">
        <v>41891.46704398148</v>
      </c>
      <c r="CE112" s="433">
        <v>0.28867948499398594</v>
      </c>
      <c r="CF112" s="433">
        <v>0.21647902720720727</v>
      </c>
      <c r="CG112" s="433">
        <v>0.17973960391015936</v>
      </c>
      <c r="CH112" s="433">
        <v>0.18197778689994615</v>
      </c>
      <c r="CI112" s="433">
        <v>0.16617331458371132</v>
      </c>
      <c r="CJ112" s="433">
        <v>0.25244030997987504</v>
      </c>
      <c r="CK112" s="433">
        <v>0.24306585314092802</v>
      </c>
      <c r="CL112" s="433">
        <v>0.26123057689286194</v>
      </c>
      <c r="CM112" s="433">
        <v>0.19945374499368468</v>
      </c>
      <c r="CN112" s="433">
        <v>0.1874651959252118</v>
      </c>
      <c r="CO112" s="433">
        <v>0.6079976020925798</v>
      </c>
      <c r="CP112" s="433">
        <v>0.6236009607312033</v>
      </c>
      <c r="CQ112" s="433">
        <v>0.70349513193076929</v>
      </c>
      <c r="CR112" s="433">
        <v>0.39067782389425465</v>
      </c>
      <c r="CS112" s="433">
        <v>0.37407164929552272</v>
      </c>
      <c r="CT112" s="433">
        <v>0.447221292916757</v>
      </c>
      <c r="CU112" s="433">
        <v>0.3622790598707698</v>
      </c>
      <c r="CV112" s="433">
        <v>0.47428587647615433</v>
      </c>
      <c r="CW112" s="433">
        <v>0.45146578363252743</v>
      </c>
      <c r="CX112" s="433">
        <v>0.38013063472405745</v>
      </c>
      <c r="CY112" s="433">
        <v>0.40611005021873081</v>
      </c>
      <c r="CZ112" s="433">
        <v>0.29816004259848461</v>
      </c>
      <c r="DA112" s="433">
        <v>0.25104840798869349</v>
      </c>
      <c r="DB112" s="433">
        <v>0.742578194815812</v>
      </c>
      <c r="DC112" s="433">
        <v>0.29816004259848461</v>
      </c>
      <c r="DD112" s="433">
        <v>0.25104840798869349</v>
      </c>
      <c r="DE112" s="433">
        <v>0.35538529519575174</v>
      </c>
      <c r="DF112" s="433">
        <v>0.39133505591051104</v>
      </c>
      <c r="DG112" s="433">
        <v>0.34220908639247161</v>
      </c>
      <c r="DH112" s="433">
        <v>0.31600438762042726</v>
      </c>
      <c r="DI112" s="433">
        <v>0.3541252071169273</v>
      </c>
      <c r="DJ112" s="433">
        <v>0.31679504526088992</v>
      </c>
      <c r="DK112" s="433">
        <v>0.27702640327009609</v>
      </c>
      <c r="DL112" s="433">
        <v>0.25178639558339838</v>
      </c>
      <c r="DM112" s="433">
        <v>0.40065255724171372</v>
      </c>
      <c r="DN112" s="433">
        <v>0.31496538305707616</v>
      </c>
      <c r="DO112" s="433">
        <v>0</v>
      </c>
      <c r="DP112" s="433">
        <v>0</v>
      </c>
      <c r="DR112" s="409" t="s">
        <v>2542</v>
      </c>
      <c r="DS112" s="409" t="s">
        <v>2651</v>
      </c>
    </row>
    <row r="113" spans="2:123" s="1471" customFormat="1">
      <c r="B113" s="428">
        <v>41892.354571875003</v>
      </c>
      <c r="C113" s="429">
        <v>1.3807072525492807</v>
      </c>
      <c r="D113" s="429">
        <v>1.3588822619712242</v>
      </c>
      <c r="E113" s="429">
        <v>1.4247745297874364</v>
      </c>
      <c r="F113" s="429">
        <v>1.3291293151639754</v>
      </c>
      <c r="G113" s="429">
        <v>1.4306112892826708</v>
      </c>
      <c r="H113" s="429">
        <v>1.3795363270830998</v>
      </c>
      <c r="I113" s="429">
        <v>1.457889194409699</v>
      </c>
      <c r="J113" s="429">
        <v>1.4905896170088024</v>
      </c>
      <c r="K113" s="429">
        <v>1.347642053511767</v>
      </c>
      <c r="L113" s="429">
        <v>1.487501612164998</v>
      </c>
      <c r="M113" s="429">
        <v>1.3388051800881979</v>
      </c>
      <c r="N113" s="429">
        <v>1.3377162030289105</v>
      </c>
      <c r="O113" s="429">
        <v>1.135433360934913</v>
      </c>
      <c r="P113" s="429">
        <v>1.2033884393550123</v>
      </c>
      <c r="Q113" s="429">
        <v>917.27178513483682</v>
      </c>
      <c r="R113" s="429">
        <v>-12.569604506723739</v>
      </c>
      <c r="S113" s="429">
        <v>65.282035991688645</v>
      </c>
      <c r="T113" s="429">
        <v>2970.9166511675958</v>
      </c>
      <c r="U113" s="429">
        <v>1508.0871022144674</v>
      </c>
      <c r="V113" s="429">
        <v>1860.1125889868824</v>
      </c>
      <c r="W113" s="429">
        <v>1031.4006520296471</v>
      </c>
      <c r="X113" s="429">
        <v>51.084991592898902</v>
      </c>
      <c r="Y113" s="429">
        <v>53.688129046785178</v>
      </c>
      <c r="Z113" s="429">
        <v>52.937519019787864</v>
      </c>
      <c r="AA113" s="429">
        <v>47.836708823622679</v>
      </c>
      <c r="AB113" s="429">
        <v>49.966548558620538</v>
      </c>
      <c r="AC113" s="429">
        <v>50.418124102070216</v>
      </c>
      <c r="AD113" s="429">
        <v>8.0980500768413641</v>
      </c>
      <c r="AE113" s="429">
        <v>8.1286344233151038</v>
      </c>
      <c r="AF113" s="429">
        <v>8.041807796568099</v>
      </c>
      <c r="AG113" s="429">
        <v>8.6240931798309166</v>
      </c>
      <c r="AH113" s="429">
        <v>7.8486582218610712</v>
      </c>
      <c r="AI113" s="429">
        <v>7.8345197754635292</v>
      </c>
      <c r="AJ113" s="429">
        <v>7.9153552171336612</v>
      </c>
      <c r="AK113" s="429">
        <v>8.7600600160136288</v>
      </c>
      <c r="AL113" s="429">
        <v>1192.5611345832929</v>
      </c>
      <c r="AM113" s="429">
        <v>0</v>
      </c>
      <c r="AN113" s="429">
        <v>0</v>
      </c>
      <c r="AO113" s="432"/>
      <c r="AP113" s="428">
        <v>41892.354571875003</v>
      </c>
      <c r="AQ113" s="431">
        <v>99.076592787824438</v>
      </c>
      <c r="AR113" s="431">
        <v>122.0834805728008</v>
      </c>
      <c r="AS113" s="431">
        <v>51.893034193916328</v>
      </c>
      <c r="AT113" s="431">
        <v>37.265341920078143</v>
      </c>
      <c r="AU113" s="431">
        <v>34.047168491151389</v>
      </c>
      <c r="AV113" s="431">
        <v>45.694059097942542</v>
      </c>
      <c r="AW113" s="431">
        <v>-10.178567373672415</v>
      </c>
      <c r="AX113" s="431">
        <v>6.0981019583965796</v>
      </c>
      <c r="AY113" s="431">
        <v>116.36107115902827</v>
      </c>
      <c r="AZ113" s="431">
        <v>-91.800943778763894</v>
      </c>
      <c r="BA113" s="431">
        <v>2.0985383444854686</v>
      </c>
      <c r="BB113" s="431">
        <v>2.5329299146169211</v>
      </c>
      <c r="BC113" s="431">
        <v>1.6018704942876465</v>
      </c>
      <c r="BD113" s="431">
        <v>79.000338900754485</v>
      </c>
      <c r="BE113" s="431">
        <v>348137.37195711909</v>
      </c>
      <c r="BF113" s="431">
        <v>2999.2785046563567</v>
      </c>
      <c r="BG113" s="431">
        <v>-4628.2170536163185</v>
      </c>
      <c r="BH113" s="431">
        <v>450671.79245920572</v>
      </c>
      <c r="BI113" s="431">
        <v>445179.69210363645</v>
      </c>
      <c r="BJ113" s="431">
        <v>-57066.649569985879</v>
      </c>
      <c r="BK113" s="431">
        <v>435839.72446766315</v>
      </c>
      <c r="BL113" s="431">
        <v>3293.4091945107775</v>
      </c>
      <c r="BM113" s="431">
        <v>-422.17520638826284</v>
      </c>
      <c r="BN113" s="431">
        <v>85.058281899025204</v>
      </c>
      <c r="BO113" s="431">
        <v>2694.6075227815454</v>
      </c>
      <c r="BP113" s="431">
        <v>-345.41607795403326</v>
      </c>
      <c r="BQ113" s="431">
        <v>1926.0137868836362</v>
      </c>
      <c r="BR113" s="431">
        <v>1119.9177686452547</v>
      </c>
      <c r="BS113" s="431">
        <v>510.08843786333597</v>
      </c>
      <c r="BT113" s="431">
        <v>1089.197874139144</v>
      </c>
      <c r="BU113" s="431">
        <v>54.794512480750036</v>
      </c>
      <c r="BV113" s="431">
        <v>1182.484897967897</v>
      </c>
      <c r="BW113" s="431">
        <v>539.57139888719689</v>
      </c>
      <c r="BX113" s="431">
        <v>1164.6808022188161</v>
      </c>
      <c r="BY113" s="431">
        <v>909.60376766761306</v>
      </c>
      <c r="BZ113" s="431">
        <v>-44626.998401058612</v>
      </c>
      <c r="CA113" s="431">
        <v>0</v>
      </c>
      <c r="CB113" s="431">
        <v>0</v>
      </c>
      <c r="CC113" s="432"/>
      <c r="CD113" s="428">
        <v>41892.354571875003</v>
      </c>
      <c r="CE113" s="433">
        <v>0.28867948499398594</v>
      </c>
      <c r="CF113" s="433">
        <v>0.21647902720720727</v>
      </c>
      <c r="CG113" s="433">
        <v>0.17973960391015936</v>
      </c>
      <c r="CH113" s="433">
        <v>0.18197778689994615</v>
      </c>
      <c r="CI113" s="433">
        <v>0.16617331458371132</v>
      </c>
      <c r="CJ113" s="433">
        <v>0.25244030997987504</v>
      </c>
      <c r="CK113" s="433">
        <v>0.24306585314092802</v>
      </c>
      <c r="CL113" s="433">
        <v>0.26123057689286194</v>
      </c>
      <c r="CM113" s="433">
        <v>0.19945374499368468</v>
      </c>
      <c r="CN113" s="433">
        <v>0.1874651959252118</v>
      </c>
      <c r="CO113" s="433">
        <v>0.6079976020925798</v>
      </c>
      <c r="CP113" s="433">
        <v>0.6236009607312033</v>
      </c>
      <c r="CQ113" s="433">
        <v>0.70349513193076929</v>
      </c>
      <c r="CR113" s="433">
        <v>0.39067782389425465</v>
      </c>
      <c r="CS113" s="433">
        <v>0.37407164929552272</v>
      </c>
      <c r="CT113" s="433">
        <v>0.447221292916757</v>
      </c>
      <c r="CU113" s="433">
        <v>0.3622790598707698</v>
      </c>
      <c r="CV113" s="433">
        <v>0.47428587647615433</v>
      </c>
      <c r="CW113" s="433">
        <v>0.45146578363252743</v>
      </c>
      <c r="CX113" s="433">
        <v>0.38013063472405745</v>
      </c>
      <c r="CY113" s="433">
        <v>0.40611005021873081</v>
      </c>
      <c r="CZ113" s="433">
        <v>0.29816004259848461</v>
      </c>
      <c r="DA113" s="433">
        <v>0.25104840798869349</v>
      </c>
      <c r="DB113" s="433">
        <v>0.742578194815812</v>
      </c>
      <c r="DC113" s="433">
        <v>0.29816004259848461</v>
      </c>
      <c r="DD113" s="433">
        <v>0.25104840798869349</v>
      </c>
      <c r="DE113" s="433">
        <v>0.35538529519575174</v>
      </c>
      <c r="DF113" s="433">
        <v>0.39133505591051104</v>
      </c>
      <c r="DG113" s="433">
        <v>0.34220908639247161</v>
      </c>
      <c r="DH113" s="433">
        <v>0.31600438762042726</v>
      </c>
      <c r="DI113" s="433">
        <v>0.3541252071169273</v>
      </c>
      <c r="DJ113" s="433">
        <v>0.31679504526088992</v>
      </c>
      <c r="DK113" s="433">
        <v>0.27702640327009609</v>
      </c>
      <c r="DL113" s="433">
        <v>0.25178639558339838</v>
      </c>
      <c r="DM113" s="433">
        <v>0.40065255724171372</v>
      </c>
      <c r="DN113" s="433">
        <v>0.31496538305707616</v>
      </c>
      <c r="DO113" s="433">
        <v>0</v>
      </c>
      <c r="DP113" s="433">
        <v>0</v>
      </c>
      <c r="DR113" s="409" t="s">
        <v>2701</v>
      </c>
      <c r="DS113" s="409" t="s">
        <v>2702</v>
      </c>
    </row>
    <row r="114" spans="2:123" s="1471" customFormat="1">
      <c r="B114" s="428">
        <v>41892.480367708333</v>
      </c>
      <c r="C114" s="429">
        <v>1.4111232005067906</v>
      </c>
      <c r="D114" s="429">
        <v>1.4065396343457719</v>
      </c>
      <c r="E114" s="429">
        <v>1.4456019106643676</v>
      </c>
      <c r="F114" s="429">
        <v>1.345332552082944</v>
      </c>
      <c r="G114" s="429">
        <v>1.4417002383048159</v>
      </c>
      <c r="H114" s="429">
        <v>1.387197463148464</v>
      </c>
      <c r="I114" s="429">
        <v>1.4466786873557231</v>
      </c>
      <c r="J114" s="429">
        <v>1.4927797979878341</v>
      </c>
      <c r="K114" s="429">
        <v>1.3506642766906733</v>
      </c>
      <c r="L114" s="429">
        <v>1.4894176429468535</v>
      </c>
      <c r="M114" s="429">
        <v>1.3461050587895023</v>
      </c>
      <c r="N114" s="429">
        <v>1.3473551458480095</v>
      </c>
      <c r="O114" s="429">
        <v>1.1416394077937069</v>
      </c>
      <c r="P114" s="429">
        <v>1.2210408034920568</v>
      </c>
      <c r="Q114" s="429">
        <v>1025.7920934702042</v>
      </c>
      <c r="R114" s="429">
        <v>58.04129247681341</v>
      </c>
      <c r="S114" s="429">
        <v>62.35765064114478</v>
      </c>
      <c r="T114" s="429">
        <v>3234.1642897710803</v>
      </c>
      <c r="U114" s="429">
        <v>1646.8571434201594</v>
      </c>
      <c r="V114" s="429">
        <v>1808.6996140827482</v>
      </c>
      <c r="W114" s="429">
        <v>1051.099336817043</v>
      </c>
      <c r="X114" s="429">
        <v>52.111602953964919</v>
      </c>
      <c r="Y114" s="429">
        <v>53.307779342452726</v>
      </c>
      <c r="Z114" s="429">
        <v>53.267056073548623</v>
      </c>
      <c r="AA114" s="429">
        <v>48.676663573585785</v>
      </c>
      <c r="AB114" s="429">
        <v>49.655353345984899</v>
      </c>
      <c r="AC114" s="429">
        <v>50.549280458661443</v>
      </c>
      <c r="AD114" s="429">
        <v>8.443176308726148</v>
      </c>
      <c r="AE114" s="429">
        <v>8.2154096605906197</v>
      </c>
      <c r="AF114" s="429">
        <v>8.0711571561479207</v>
      </c>
      <c r="AG114" s="429">
        <v>8.6479288721133845</v>
      </c>
      <c r="AH114" s="429">
        <v>8.2125447893475325</v>
      </c>
      <c r="AI114" s="429">
        <v>7.9260394141204848</v>
      </c>
      <c r="AJ114" s="429">
        <v>7.9467516618511747</v>
      </c>
      <c r="AK114" s="429">
        <v>9.0399727602339865</v>
      </c>
      <c r="AL114" s="429">
        <v>1152.3553967989742</v>
      </c>
      <c r="AM114" s="429">
        <v>0</v>
      </c>
      <c r="AN114" s="429">
        <v>0</v>
      </c>
      <c r="AO114" s="432"/>
      <c r="AP114" s="428">
        <v>41892.480367708333</v>
      </c>
      <c r="AQ114" s="431">
        <v>99.701198460902305</v>
      </c>
      <c r="AR114" s="431">
        <v>123.43806342019201</v>
      </c>
      <c r="AS114" s="431">
        <v>52.177496591868461</v>
      </c>
      <c r="AT114" s="431">
        <v>37.54980431803029</v>
      </c>
      <c r="AU114" s="431">
        <v>34.331630889103536</v>
      </c>
      <c r="AV114" s="431">
        <v>45.694059097942542</v>
      </c>
      <c r="AW114" s="431">
        <v>-10.178567373672415</v>
      </c>
      <c r="AX114" s="431">
        <v>6.0981019583965796</v>
      </c>
      <c r="AY114" s="431">
        <v>116.36107115902827</v>
      </c>
      <c r="AZ114" s="431">
        <v>-91.800943778763894</v>
      </c>
      <c r="BA114" s="431">
        <v>2.0985383444854686</v>
      </c>
      <c r="BB114" s="431">
        <v>2.5329299146169211</v>
      </c>
      <c r="BC114" s="431">
        <v>1.6018704942876465</v>
      </c>
      <c r="BD114" s="431">
        <v>79.875026569726074</v>
      </c>
      <c r="BE114" s="431">
        <v>350382.78401405021</v>
      </c>
      <c r="BF114" s="431">
        <v>8157.1103205018071</v>
      </c>
      <c r="BG114" s="431">
        <v>-4628.2170536163185</v>
      </c>
      <c r="BH114" s="431">
        <v>465120.11859830568</v>
      </c>
      <c r="BI114" s="431">
        <v>448051.00650039566</v>
      </c>
      <c r="BJ114" s="431">
        <v>-57066.649569985879</v>
      </c>
      <c r="BK114" s="431">
        <v>436019.78009934188</v>
      </c>
      <c r="BL114" s="431">
        <v>3314.6509838429301</v>
      </c>
      <c r="BM114" s="431">
        <v>-422.17520638826284</v>
      </c>
      <c r="BN114" s="431">
        <v>85.058281899025204</v>
      </c>
      <c r="BO114" s="431">
        <v>2711.9871685987609</v>
      </c>
      <c r="BP114" s="431">
        <v>-345.41607795403326</v>
      </c>
      <c r="BQ114" s="431">
        <v>1927.3974477936001</v>
      </c>
      <c r="BR114" s="431">
        <v>1127.0531148584646</v>
      </c>
      <c r="BS114" s="431">
        <v>510.08843786333597</v>
      </c>
      <c r="BT114" s="431">
        <v>1089.197874139144</v>
      </c>
      <c r="BU114" s="431">
        <v>54.794512480750036</v>
      </c>
      <c r="BV114" s="431">
        <v>1190.0073475608103</v>
      </c>
      <c r="BW114" s="431">
        <v>539.57139888719689</v>
      </c>
      <c r="BX114" s="431">
        <v>1164.6808022188161</v>
      </c>
      <c r="BY114" s="431">
        <v>915.39026735446942</v>
      </c>
      <c r="BZ114" s="431">
        <v>-44626.998401058612</v>
      </c>
      <c r="CA114" s="431">
        <v>0</v>
      </c>
      <c r="CB114" s="431">
        <v>0</v>
      </c>
      <c r="CC114" s="432"/>
      <c r="CD114" s="428">
        <v>41892.480367708333</v>
      </c>
      <c r="CE114" s="433">
        <v>0.28867948499398594</v>
      </c>
      <c r="CF114" s="433">
        <v>0.21647902720720727</v>
      </c>
      <c r="CG114" s="433">
        <v>0.17973960391015936</v>
      </c>
      <c r="CH114" s="433">
        <v>0.18197778689994615</v>
      </c>
      <c r="CI114" s="433">
        <v>0.16617331458371132</v>
      </c>
      <c r="CJ114" s="433">
        <v>0.25244030997987504</v>
      </c>
      <c r="CK114" s="433">
        <v>0.24306585314092802</v>
      </c>
      <c r="CL114" s="433">
        <v>0.26123057689286194</v>
      </c>
      <c r="CM114" s="433">
        <v>0.19945374499368468</v>
      </c>
      <c r="CN114" s="433">
        <v>0.1874651959252118</v>
      </c>
      <c r="CO114" s="433">
        <v>0.6079976020925798</v>
      </c>
      <c r="CP114" s="433">
        <v>0.6236009607312033</v>
      </c>
      <c r="CQ114" s="433">
        <v>0.70349513193076929</v>
      </c>
      <c r="CR114" s="433">
        <v>0.39067782389425465</v>
      </c>
      <c r="CS114" s="433">
        <v>0.37407164929552272</v>
      </c>
      <c r="CT114" s="433">
        <v>0.447221292916757</v>
      </c>
      <c r="CU114" s="433">
        <v>0.3622790598707698</v>
      </c>
      <c r="CV114" s="433">
        <v>0.47428587647615433</v>
      </c>
      <c r="CW114" s="433">
        <v>0.45146578363252743</v>
      </c>
      <c r="CX114" s="433">
        <v>0.38013063472405745</v>
      </c>
      <c r="CY114" s="433">
        <v>0.40611005021873081</v>
      </c>
      <c r="CZ114" s="433">
        <v>0.29816004259848461</v>
      </c>
      <c r="DA114" s="433">
        <v>0.25104840798869349</v>
      </c>
      <c r="DB114" s="433">
        <v>0.742578194815812</v>
      </c>
      <c r="DC114" s="433">
        <v>0.29816004259848461</v>
      </c>
      <c r="DD114" s="433">
        <v>0.25104840798869349</v>
      </c>
      <c r="DE114" s="433">
        <v>0.35538529519575174</v>
      </c>
      <c r="DF114" s="433">
        <v>0.39133505591051104</v>
      </c>
      <c r="DG114" s="433">
        <v>0.34220908639247161</v>
      </c>
      <c r="DH114" s="433">
        <v>0.31600438762042726</v>
      </c>
      <c r="DI114" s="433">
        <v>0.3541252071169273</v>
      </c>
      <c r="DJ114" s="433">
        <v>0.31679504526088992</v>
      </c>
      <c r="DK114" s="433">
        <v>0.27702640327009609</v>
      </c>
      <c r="DL114" s="433">
        <v>0.25178639558339838</v>
      </c>
      <c r="DM114" s="433">
        <v>0.40065255724171372</v>
      </c>
      <c r="DN114" s="433">
        <v>0.31496538305707616</v>
      </c>
      <c r="DO114" s="433">
        <v>0</v>
      </c>
      <c r="DP114" s="433">
        <v>0</v>
      </c>
      <c r="DR114" s="409" t="s">
        <v>2704</v>
      </c>
      <c r="DS114" s="409" t="s">
        <v>2705</v>
      </c>
    </row>
    <row r="115" spans="2:123" s="1471" customFormat="1">
      <c r="B115" s="428">
        <v>41892.605928472221</v>
      </c>
      <c r="C115" s="429">
        <v>1.4111232005067906</v>
      </c>
      <c r="D115" s="429">
        <v>1.4065396343457719</v>
      </c>
      <c r="E115" s="429">
        <v>1.4456019106643676</v>
      </c>
      <c r="F115" s="429">
        <v>1.345332552082944</v>
      </c>
      <c r="G115" s="429">
        <v>1.4417002383048159</v>
      </c>
      <c r="H115" s="429">
        <v>1.387197463148464</v>
      </c>
      <c r="I115" s="429">
        <v>1.4466786873557231</v>
      </c>
      <c r="J115" s="429">
        <v>1.4927797979878341</v>
      </c>
      <c r="K115" s="429">
        <v>1.3506642766906733</v>
      </c>
      <c r="L115" s="429">
        <v>1.4894176429468535</v>
      </c>
      <c r="M115" s="429">
        <v>1.3461050587895023</v>
      </c>
      <c r="N115" s="429">
        <v>1.3473551458480095</v>
      </c>
      <c r="O115" s="429">
        <v>1.1416394077937069</v>
      </c>
      <c r="P115" s="429">
        <v>1.2210408034920568</v>
      </c>
      <c r="Q115" s="429">
        <v>1025.7920934702042</v>
      </c>
      <c r="R115" s="429">
        <v>58.04129247681341</v>
      </c>
      <c r="S115" s="429">
        <v>62.35765064114478</v>
      </c>
      <c r="T115" s="429">
        <v>3234.1642897710803</v>
      </c>
      <c r="U115" s="429">
        <v>1646.8571434201594</v>
      </c>
      <c r="V115" s="429">
        <v>1808.6996140827482</v>
      </c>
      <c r="W115" s="429">
        <v>1051.099336817043</v>
      </c>
      <c r="X115" s="429">
        <v>52.111602953964919</v>
      </c>
      <c r="Y115" s="429">
        <v>53.307779342452726</v>
      </c>
      <c r="Z115" s="429">
        <v>53.267056073548623</v>
      </c>
      <c r="AA115" s="429">
        <v>48.676663573585785</v>
      </c>
      <c r="AB115" s="429">
        <v>49.655353345984899</v>
      </c>
      <c r="AC115" s="429">
        <v>50.549280458661443</v>
      </c>
      <c r="AD115" s="429">
        <v>8.443176308726148</v>
      </c>
      <c r="AE115" s="429">
        <v>8.2154096605906197</v>
      </c>
      <c r="AF115" s="429">
        <v>8.0711571561479207</v>
      </c>
      <c r="AG115" s="429">
        <v>8.6479288721133845</v>
      </c>
      <c r="AH115" s="429">
        <v>8.2125447893475325</v>
      </c>
      <c r="AI115" s="429">
        <v>7.9260394141204848</v>
      </c>
      <c r="AJ115" s="429">
        <v>7.9467516618511747</v>
      </c>
      <c r="AK115" s="429">
        <v>9.0399727602339865</v>
      </c>
      <c r="AL115" s="429">
        <v>1152.3553967989742</v>
      </c>
      <c r="AM115" s="429">
        <v>1.4045375511551084</v>
      </c>
      <c r="AN115" s="429">
        <v>0</v>
      </c>
      <c r="AO115" s="432"/>
      <c r="AP115" s="428">
        <v>41892.605928472221</v>
      </c>
      <c r="AQ115" s="431">
        <v>99.701198460902305</v>
      </c>
      <c r="AR115" s="431">
        <v>123.43806342019201</v>
      </c>
      <c r="AS115" s="431">
        <v>52.177496591868461</v>
      </c>
      <c r="AT115" s="431">
        <v>37.54980431803029</v>
      </c>
      <c r="AU115" s="431">
        <v>34.331630889103536</v>
      </c>
      <c r="AV115" s="431">
        <v>45.694059097942542</v>
      </c>
      <c r="AW115" s="431">
        <v>-10.178567373672415</v>
      </c>
      <c r="AX115" s="431">
        <v>6.0981019583965796</v>
      </c>
      <c r="AY115" s="431">
        <v>116.36107115902827</v>
      </c>
      <c r="AZ115" s="431">
        <v>-91.800943778763894</v>
      </c>
      <c r="BA115" s="431">
        <v>2.0985383444854686</v>
      </c>
      <c r="BB115" s="431">
        <v>2.5329299146169211</v>
      </c>
      <c r="BC115" s="431">
        <v>1.6018704942876465</v>
      </c>
      <c r="BD115" s="431">
        <v>79.875026569726074</v>
      </c>
      <c r="BE115" s="431">
        <v>350382.78401405021</v>
      </c>
      <c r="BF115" s="431">
        <v>8157.1103205018071</v>
      </c>
      <c r="BG115" s="431">
        <v>-4628.2170536163185</v>
      </c>
      <c r="BH115" s="431">
        <v>465120.11859830568</v>
      </c>
      <c r="BI115" s="431">
        <v>448051.00650039566</v>
      </c>
      <c r="BJ115" s="431">
        <v>-57066.649569985879</v>
      </c>
      <c r="BK115" s="431">
        <v>436019.78009934188</v>
      </c>
      <c r="BL115" s="431">
        <v>3314.6509838429301</v>
      </c>
      <c r="BM115" s="431">
        <v>-422.17520638826284</v>
      </c>
      <c r="BN115" s="431">
        <v>85.058281899025204</v>
      </c>
      <c r="BO115" s="431">
        <v>2711.9871685987609</v>
      </c>
      <c r="BP115" s="431">
        <v>-345.41607795403326</v>
      </c>
      <c r="BQ115" s="431">
        <v>1927.3974477936001</v>
      </c>
      <c r="BR115" s="431">
        <v>1127.0531148584646</v>
      </c>
      <c r="BS115" s="431">
        <v>510.08843786333597</v>
      </c>
      <c r="BT115" s="431">
        <v>1089.197874139144</v>
      </c>
      <c r="BU115" s="431">
        <v>54.794512480750036</v>
      </c>
      <c r="BV115" s="431">
        <v>1190.0073475608103</v>
      </c>
      <c r="BW115" s="431">
        <v>539.57139888719689</v>
      </c>
      <c r="BX115" s="431">
        <v>1164.6808022188161</v>
      </c>
      <c r="BY115" s="431">
        <v>915.39026735446942</v>
      </c>
      <c r="BZ115" s="431">
        <v>-44626.998401058612</v>
      </c>
      <c r="CA115" s="431">
        <v>3.9952086258341941</v>
      </c>
      <c r="CB115" s="431">
        <v>0</v>
      </c>
      <c r="CC115" s="432"/>
      <c r="CD115" s="428">
        <v>41892.605928472221</v>
      </c>
      <c r="CE115" s="433">
        <v>0.28867948499398594</v>
      </c>
      <c r="CF115" s="433">
        <v>0.21647902720720727</v>
      </c>
      <c r="CG115" s="433">
        <v>0.17973960391015936</v>
      </c>
      <c r="CH115" s="433">
        <v>0.18197778689994615</v>
      </c>
      <c r="CI115" s="433">
        <v>0.16617331458371132</v>
      </c>
      <c r="CJ115" s="433">
        <v>0.25244030997987504</v>
      </c>
      <c r="CK115" s="433">
        <v>0.24306585314092802</v>
      </c>
      <c r="CL115" s="433">
        <v>0.26123057689286194</v>
      </c>
      <c r="CM115" s="433">
        <v>0.19945374499368468</v>
      </c>
      <c r="CN115" s="433">
        <v>0.1874651959252118</v>
      </c>
      <c r="CO115" s="433">
        <v>0.6079976020925798</v>
      </c>
      <c r="CP115" s="433">
        <v>0.6236009607312033</v>
      </c>
      <c r="CQ115" s="433">
        <v>0.70349513193076929</v>
      </c>
      <c r="CR115" s="433">
        <v>0.39067782389425465</v>
      </c>
      <c r="CS115" s="433">
        <v>0.37407164929552272</v>
      </c>
      <c r="CT115" s="433">
        <v>0.447221292916757</v>
      </c>
      <c r="CU115" s="433">
        <v>0.3622790598707698</v>
      </c>
      <c r="CV115" s="433">
        <v>0.47428587647615433</v>
      </c>
      <c r="CW115" s="433">
        <v>0.45146578363252743</v>
      </c>
      <c r="CX115" s="433">
        <v>0.38013063472405745</v>
      </c>
      <c r="CY115" s="433">
        <v>0.40611005021873081</v>
      </c>
      <c r="CZ115" s="433">
        <v>0.29816004259848461</v>
      </c>
      <c r="DA115" s="433">
        <v>0.25104840798869349</v>
      </c>
      <c r="DB115" s="433">
        <v>0.742578194815812</v>
      </c>
      <c r="DC115" s="433">
        <v>0.29816004259848461</v>
      </c>
      <c r="DD115" s="433">
        <v>0.25104840798869349</v>
      </c>
      <c r="DE115" s="433">
        <v>0.35538529519575174</v>
      </c>
      <c r="DF115" s="433">
        <v>0.39133505591051104</v>
      </c>
      <c r="DG115" s="433">
        <v>0.34220908639247161</v>
      </c>
      <c r="DH115" s="433">
        <v>0.31600438762042726</v>
      </c>
      <c r="DI115" s="433">
        <v>0.3541252071169273</v>
      </c>
      <c r="DJ115" s="433">
        <v>0.31679504526088992</v>
      </c>
      <c r="DK115" s="433">
        <v>0.27702640327009609</v>
      </c>
      <c r="DL115" s="433">
        <v>0.25178639558339838</v>
      </c>
      <c r="DM115" s="433">
        <v>0.40065255724171372</v>
      </c>
      <c r="DN115" s="433">
        <v>0.31496538305707616</v>
      </c>
      <c r="DO115" s="433">
        <v>0.42781370636549465</v>
      </c>
      <c r="DP115" s="433">
        <v>0</v>
      </c>
      <c r="DR115" s="409" t="s">
        <v>2542</v>
      </c>
      <c r="DS115" s="409" t="s">
        <v>2716</v>
      </c>
    </row>
    <row r="116" spans="2:123" s="1471" customFormat="1">
      <c r="B116" s="428"/>
      <c r="C116" s="429"/>
      <c r="D116" s="429"/>
      <c r="E116" s="429"/>
      <c r="F116" s="429"/>
      <c r="G116" s="429"/>
      <c r="H116" s="429"/>
      <c r="I116" s="429"/>
      <c r="J116" s="429"/>
      <c r="K116" s="429"/>
      <c r="L116" s="429"/>
      <c r="M116" s="429"/>
      <c r="N116" s="429"/>
      <c r="O116" s="429"/>
      <c r="P116" s="429"/>
      <c r="Q116" s="429"/>
      <c r="R116" s="429"/>
      <c r="S116" s="429"/>
      <c r="T116" s="429"/>
      <c r="U116" s="429"/>
      <c r="V116" s="429"/>
      <c r="W116" s="429"/>
      <c r="X116" s="429"/>
      <c r="Y116" s="429"/>
      <c r="Z116" s="429"/>
      <c r="AA116" s="429"/>
      <c r="AB116" s="429"/>
      <c r="AC116" s="429"/>
      <c r="AD116" s="429"/>
      <c r="AE116" s="429"/>
      <c r="AF116" s="429"/>
      <c r="AG116" s="429"/>
      <c r="AH116" s="429"/>
      <c r="AI116" s="429"/>
      <c r="AJ116" s="429"/>
      <c r="AK116" s="429"/>
      <c r="AL116" s="429"/>
      <c r="AM116" s="429"/>
      <c r="AN116" s="429"/>
      <c r="AO116" s="432"/>
      <c r="AP116" s="428"/>
      <c r="AQ116" s="431"/>
      <c r="AR116" s="431"/>
      <c r="AS116" s="431"/>
      <c r="AT116" s="431"/>
      <c r="AU116" s="431"/>
      <c r="AV116" s="431"/>
      <c r="AW116" s="431"/>
      <c r="AX116" s="431"/>
      <c r="AY116" s="431"/>
      <c r="AZ116" s="431"/>
      <c r="BA116" s="431"/>
      <c r="BB116" s="431"/>
      <c r="BC116" s="431"/>
      <c r="BD116" s="431"/>
      <c r="BE116" s="431"/>
      <c r="BF116" s="431"/>
      <c r="BG116" s="431"/>
      <c r="BH116" s="431"/>
      <c r="BI116" s="431"/>
      <c r="BJ116" s="431"/>
      <c r="BK116" s="431"/>
      <c r="BL116" s="431"/>
      <c r="BM116" s="431"/>
      <c r="BN116" s="431"/>
      <c r="BO116" s="431"/>
      <c r="BP116" s="431"/>
      <c r="BQ116" s="431"/>
      <c r="BR116" s="431"/>
      <c r="BS116" s="431"/>
      <c r="BT116" s="431"/>
      <c r="BU116" s="431"/>
      <c r="BV116" s="431"/>
      <c r="BW116" s="431"/>
      <c r="BX116" s="431"/>
      <c r="BY116" s="431"/>
      <c r="BZ116" s="431"/>
      <c r="CA116" s="431"/>
      <c r="CB116" s="431"/>
      <c r="CC116" s="432"/>
      <c r="CD116" s="428"/>
      <c r="CE116" s="433"/>
      <c r="CF116" s="433"/>
      <c r="CG116" s="433"/>
      <c r="CH116" s="433"/>
      <c r="CI116" s="433"/>
      <c r="CJ116" s="433"/>
      <c r="CK116" s="433"/>
      <c r="CL116" s="433"/>
      <c r="CM116" s="433"/>
      <c r="CN116" s="433"/>
      <c r="CO116" s="433"/>
      <c r="CP116" s="433"/>
      <c r="CQ116" s="433"/>
      <c r="CR116" s="433"/>
      <c r="CS116" s="433"/>
      <c r="CT116" s="433"/>
      <c r="CU116" s="433"/>
      <c r="CV116" s="433"/>
      <c r="CW116" s="433"/>
      <c r="CX116" s="433"/>
      <c r="CY116" s="433"/>
      <c r="CZ116" s="433"/>
      <c r="DA116" s="433"/>
      <c r="DB116" s="433"/>
      <c r="DC116" s="433"/>
      <c r="DD116" s="433"/>
      <c r="DE116" s="433"/>
      <c r="DF116" s="433"/>
      <c r="DG116" s="433"/>
      <c r="DH116" s="433"/>
      <c r="DI116" s="433"/>
      <c r="DJ116" s="433"/>
      <c r="DK116" s="433"/>
      <c r="DL116" s="433"/>
      <c r="DM116" s="433"/>
      <c r="DN116" s="433"/>
      <c r="DO116" s="433"/>
      <c r="DP116" s="433"/>
      <c r="DR116" s="409"/>
      <c r="DS116" s="409"/>
    </row>
    <row r="117" spans="2:123" s="1471" customFormat="1">
      <c r="B117" s="428"/>
      <c r="C117" s="429"/>
      <c r="D117" s="429"/>
      <c r="E117" s="429"/>
      <c r="F117" s="429"/>
      <c r="G117" s="429"/>
      <c r="H117" s="429"/>
      <c r="I117" s="429"/>
      <c r="J117" s="429"/>
      <c r="K117" s="429"/>
      <c r="L117" s="429"/>
      <c r="M117" s="429"/>
      <c r="N117" s="429"/>
      <c r="O117" s="429"/>
      <c r="P117" s="429"/>
      <c r="Q117" s="429"/>
      <c r="R117" s="429"/>
      <c r="S117" s="429"/>
      <c r="T117" s="429"/>
      <c r="U117" s="429"/>
      <c r="V117" s="429"/>
      <c r="W117" s="429"/>
      <c r="X117" s="429"/>
      <c r="Y117" s="429"/>
      <c r="Z117" s="429"/>
      <c r="AA117" s="429"/>
      <c r="AB117" s="429"/>
      <c r="AC117" s="429"/>
      <c r="AD117" s="429"/>
      <c r="AE117" s="429"/>
      <c r="AF117" s="429"/>
      <c r="AG117" s="429"/>
      <c r="AH117" s="429"/>
      <c r="AI117" s="429"/>
      <c r="AJ117" s="429"/>
      <c r="AK117" s="429"/>
      <c r="AL117" s="429"/>
      <c r="AM117" s="429"/>
      <c r="AN117" s="429"/>
      <c r="AO117" s="432"/>
      <c r="AP117" s="428"/>
      <c r="AQ117" s="431"/>
      <c r="AR117" s="431"/>
      <c r="AS117" s="431"/>
      <c r="AT117" s="431"/>
      <c r="AU117" s="431"/>
      <c r="AV117" s="431"/>
      <c r="AW117" s="431"/>
      <c r="AX117" s="431"/>
      <c r="AY117" s="431"/>
      <c r="AZ117" s="431"/>
      <c r="BA117" s="431"/>
      <c r="BB117" s="431"/>
      <c r="BC117" s="431"/>
      <c r="BD117" s="431"/>
      <c r="BE117" s="431"/>
      <c r="BF117" s="431"/>
      <c r="BG117" s="431"/>
      <c r="BH117" s="431"/>
      <c r="BI117" s="431"/>
      <c r="BJ117" s="431"/>
      <c r="BK117" s="431"/>
      <c r="BL117" s="431"/>
      <c r="BM117" s="431"/>
      <c r="BN117" s="431"/>
      <c r="BO117" s="431"/>
      <c r="BP117" s="431"/>
      <c r="BQ117" s="431"/>
      <c r="BR117" s="431"/>
      <c r="BS117" s="431"/>
      <c r="BT117" s="431"/>
      <c r="BU117" s="431"/>
      <c r="BV117" s="431"/>
      <c r="BW117" s="431"/>
      <c r="BX117" s="431"/>
      <c r="BY117" s="431"/>
      <c r="BZ117" s="431"/>
      <c r="CA117" s="431"/>
      <c r="CB117" s="431"/>
      <c r="CC117" s="432"/>
      <c r="CD117" s="428"/>
      <c r="CE117" s="433"/>
      <c r="CF117" s="433"/>
      <c r="CG117" s="433"/>
      <c r="CH117" s="433"/>
      <c r="CI117" s="433"/>
      <c r="CJ117" s="433"/>
      <c r="CK117" s="433"/>
      <c r="CL117" s="433"/>
      <c r="CM117" s="433"/>
      <c r="CN117" s="433"/>
      <c r="CO117" s="433"/>
      <c r="CP117" s="433"/>
      <c r="CQ117" s="433"/>
      <c r="CR117" s="433"/>
      <c r="CS117" s="433"/>
      <c r="CT117" s="433"/>
      <c r="CU117" s="433"/>
      <c r="CV117" s="433"/>
      <c r="CW117" s="433"/>
      <c r="CX117" s="433"/>
      <c r="CY117" s="433"/>
      <c r="CZ117" s="433"/>
      <c r="DA117" s="433"/>
      <c r="DB117" s="433"/>
      <c r="DC117" s="433"/>
      <c r="DD117" s="433"/>
      <c r="DE117" s="433"/>
      <c r="DF117" s="433"/>
      <c r="DG117" s="433"/>
      <c r="DH117" s="433"/>
      <c r="DI117" s="433"/>
      <c r="DJ117" s="433"/>
      <c r="DK117" s="433"/>
      <c r="DL117" s="433"/>
      <c r="DM117" s="433"/>
      <c r="DN117" s="433"/>
      <c r="DO117" s="433"/>
      <c r="DP117" s="433"/>
      <c r="DR117" s="409"/>
      <c r="DS117" s="409"/>
    </row>
    <row r="118" spans="2:123" s="1471" customFormat="1">
      <c r="B118" s="428"/>
      <c r="C118" s="429"/>
      <c r="D118" s="429"/>
      <c r="E118" s="429"/>
      <c r="F118" s="429"/>
      <c r="G118" s="429"/>
      <c r="H118" s="429"/>
      <c r="I118" s="429"/>
      <c r="J118" s="429"/>
      <c r="K118" s="429"/>
      <c r="L118" s="429"/>
      <c r="M118" s="429"/>
      <c r="N118" s="429"/>
      <c r="O118" s="429"/>
      <c r="P118" s="429"/>
      <c r="Q118" s="429"/>
      <c r="R118" s="429"/>
      <c r="S118" s="429"/>
      <c r="T118" s="429"/>
      <c r="U118" s="429"/>
      <c r="V118" s="429"/>
      <c r="W118" s="429"/>
      <c r="X118" s="429"/>
      <c r="Y118" s="429"/>
      <c r="Z118" s="429"/>
      <c r="AA118" s="429"/>
      <c r="AB118" s="429"/>
      <c r="AC118" s="429"/>
      <c r="AD118" s="429"/>
      <c r="AE118" s="429"/>
      <c r="AF118" s="429"/>
      <c r="AG118" s="429"/>
      <c r="AH118" s="429"/>
      <c r="AI118" s="429"/>
      <c r="AJ118" s="429"/>
      <c r="AK118" s="429"/>
      <c r="AL118" s="429"/>
      <c r="AM118" s="429"/>
      <c r="AN118" s="429"/>
      <c r="AO118" s="432"/>
      <c r="AP118" s="428"/>
      <c r="AQ118" s="431"/>
      <c r="AR118" s="431"/>
      <c r="AS118" s="431"/>
      <c r="AT118" s="431"/>
      <c r="AU118" s="431"/>
      <c r="AV118" s="431"/>
      <c r="AW118" s="431"/>
      <c r="AX118" s="431"/>
      <c r="AY118" s="431"/>
      <c r="AZ118" s="431"/>
      <c r="BA118" s="431"/>
      <c r="BB118" s="431"/>
      <c r="BC118" s="431"/>
      <c r="BD118" s="431"/>
      <c r="BE118" s="431"/>
      <c r="BF118" s="431"/>
      <c r="BG118" s="431"/>
      <c r="BH118" s="431"/>
      <c r="BI118" s="431"/>
      <c r="BJ118" s="431"/>
      <c r="BK118" s="431"/>
      <c r="BL118" s="431"/>
      <c r="BM118" s="431"/>
      <c r="BN118" s="431"/>
      <c r="BO118" s="431"/>
      <c r="BP118" s="431"/>
      <c r="BQ118" s="431"/>
      <c r="BR118" s="431"/>
      <c r="BS118" s="431"/>
      <c r="BT118" s="431"/>
      <c r="BU118" s="431"/>
      <c r="BV118" s="431"/>
      <c r="BW118" s="431"/>
      <c r="BX118" s="431"/>
      <c r="BY118" s="431"/>
      <c r="BZ118" s="431"/>
      <c r="CA118" s="431"/>
      <c r="CB118" s="431"/>
      <c r="CC118" s="432"/>
      <c r="CD118" s="428"/>
      <c r="CE118" s="433"/>
      <c r="CF118" s="433"/>
      <c r="CG118" s="433"/>
      <c r="CH118" s="433"/>
      <c r="CI118" s="433"/>
      <c r="CJ118" s="433"/>
      <c r="CK118" s="433"/>
      <c r="CL118" s="433"/>
      <c r="CM118" s="433"/>
      <c r="CN118" s="433"/>
      <c r="CO118" s="433"/>
      <c r="CP118" s="433"/>
      <c r="CQ118" s="433"/>
      <c r="CR118" s="433"/>
      <c r="CS118" s="433"/>
      <c r="CT118" s="433"/>
      <c r="CU118" s="433"/>
      <c r="CV118" s="433"/>
      <c r="CW118" s="433"/>
      <c r="CX118" s="433"/>
      <c r="CY118" s="433"/>
      <c r="CZ118" s="433"/>
      <c r="DA118" s="433"/>
      <c r="DB118" s="433"/>
      <c r="DC118" s="433"/>
      <c r="DD118" s="433"/>
      <c r="DE118" s="433"/>
      <c r="DF118" s="433"/>
      <c r="DG118" s="433"/>
      <c r="DH118" s="433"/>
      <c r="DI118" s="433"/>
      <c r="DJ118" s="433"/>
      <c r="DK118" s="433"/>
      <c r="DL118" s="433"/>
      <c r="DM118" s="433"/>
      <c r="DN118" s="433"/>
      <c r="DO118" s="433"/>
      <c r="DP118" s="433"/>
      <c r="DR118" s="409"/>
      <c r="DS118" s="409"/>
    </row>
    <row r="119" spans="2:123" s="1471" customFormat="1">
      <c r="B119" s="428"/>
      <c r="C119" s="429"/>
      <c r="D119" s="429"/>
      <c r="E119" s="429"/>
      <c r="F119" s="429"/>
      <c r="G119" s="429"/>
      <c r="H119" s="429"/>
      <c r="I119" s="429"/>
      <c r="J119" s="429"/>
      <c r="K119" s="429"/>
      <c r="L119" s="429"/>
      <c r="M119" s="429"/>
      <c r="N119" s="429"/>
      <c r="O119" s="429"/>
      <c r="P119" s="429"/>
      <c r="Q119" s="429"/>
      <c r="R119" s="429"/>
      <c r="S119" s="429"/>
      <c r="T119" s="429"/>
      <c r="U119" s="429"/>
      <c r="V119" s="429"/>
      <c r="W119" s="429"/>
      <c r="X119" s="429"/>
      <c r="Y119" s="429"/>
      <c r="Z119" s="429"/>
      <c r="AA119" s="429"/>
      <c r="AB119" s="429"/>
      <c r="AC119" s="429"/>
      <c r="AD119" s="429"/>
      <c r="AE119" s="429"/>
      <c r="AF119" s="429"/>
      <c r="AG119" s="429"/>
      <c r="AH119" s="429"/>
      <c r="AI119" s="429"/>
      <c r="AJ119" s="429"/>
      <c r="AK119" s="429"/>
      <c r="AL119" s="429"/>
      <c r="AM119" s="429"/>
      <c r="AN119" s="429"/>
      <c r="AO119" s="432"/>
      <c r="AP119" s="428"/>
      <c r="AQ119" s="431"/>
      <c r="AR119" s="431"/>
      <c r="AS119" s="431"/>
      <c r="AT119" s="431"/>
      <c r="AU119" s="431"/>
      <c r="AV119" s="431"/>
      <c r="AW119" s="431"/>
      <c r="AX119" s="431"/>
      <c r="AY119" s="431"/>
      <c r="AZ119" s="431"/>
      <c r="BA119" s="431"/>
      <c r="BB119" s="431"/>
      <c r="BC119" s="431"/>
      <c r="BD119" s="431"/>
      <c r="BE119" s="431"/>
      <c r="BF119" s="431"/>
      <c r="BG119" s="431"/>
      <c r="BH119" s="431"/>
      <c r="BI119" s="431"/>
      <c r="BJ119" s="431"/>
      <c r="BK119" s="431"/>
      <c r="BL119" s="431"/>
      <c r="BM119" s="431"/>
      <c r="BN119" s="431"/>
      <c r="BO119" s="431"/>
      <c r="BP119" s="431"/>
      <c r="BQ119" s="431"/>
      <c r="BR119" s="431"/>
      <c r="BS119" s="431"/>
      <c r="BT119" s="431"/>
      <c r="BU119" s="431"/>
      <c r="BV119" s="431"/>
      <c r="BW119" s="431"/>
      <c r="BX119" s="431"/>
      <c r="BY119" s="431"/>
      <c r="BZ119" s="431"/>
      <c r="CA119" s="431"/>
      <c r="CB119" s="431"/>
      <c r="CC119" s="432"/>
      <c r="CD119" s="428"/>
      <c r="CE119" s="433"/>
      <c r="CF119" s="433"/>
      <c r="CG119" s="433"/>
      <c r="CH119" s="433"/>
      <c r="CI119" s="433"/>
      <c r="CJ119" s="433"/>
      <c r="CK119" s="433"/>
      <c r="CL119" s="433"/>
      <c r="CM119" s="433"/>
      <c r="CN119" s="433"/>
      <c r="CO119" s="433"/>
      <c r="CP119" s="433"/>
      <c r="CQ119" s="433"/>
      <c r="CR119" s="433"/>
      <c r="CS119" s="433"/>
      <c r="CT119" s="433"/>
      <c r="CU119" s="433"/>
      <c r="CV119" s="433"/>
      <c r="CW119" s="433"/>
      <c r="CX119" s="433"/>
      <c r="CY119" s="433"/>
      <c r="CZ119" s="433"/>
      <c r="DA119" s="433"/>
      <c r="DB119" s="433"/>
      <c r="DC119" s="433"/>
      <c r="DD119" s="433"/>
      <c r="DE119" s="433"/>
      <c r="DF119" s="433"/>
      <c r="DG119" s="433"/>
      <c r="DH119" s="433"/>
      <c r="DI119" s="433"/>
      <c r="DJ119" s="433"/>
      <c r="DK119" s="433"/>
      <c r="DL119" s="433"/>
      <c r="DM119" s="433"/>
      <c r="DN119" s="433"/>
      <c r="DO119" s="433"/>
      <c r="DP119" s="433"/>
      <c r="DR119" s="409"/>
      <c r="DS119" s="409"/>
    </row>
    <row r="120" spans="2:123" s="1471" customFormat="1">
      <c r="B120" s="428"/>
      <c r="C120" s="429"/>
      <c r="D120" s="429"/>
      <c r="E120" s="429"/>
      <c r="F120" s="429"/>
      <c r="G120" s="429"/>
      <c r="H120" s="429"/>
      <c r="I120" s="429"/>
      <c r="J120" s="429"/>
      <c r="K120" s="429"/>
      <c r="L120" s="429"/>
      <c r="M120" s="429"/>
      <c r="N120" s="429"/>
      <c r="O120" s="429"/>
      <c r="P120" s="429"/>
      <c r="Q120" s="429"/>
      <c r="R120" s="429"/>
      <c r="S120" s="429"/>
      <c r="T120" s="429"/>
      <c r="U120" s="429"/>
      <c r="V120" s="429"/>
      <c r="W120" s="429"/>
      <c r="X120" s="429"/>
      <c r="Y120" s="429"/>
      <c r="Z120" s="429"/>
      <c r="AA120" s="429"/>
      <c r="AB120" s="429"/>
      <c r="AC120" s="429"/>
      <c r="AD120" s="429"/>
      <c r="AE120" s="429"/>
      <c r="AF120" s="429"/>
      <c r="AG120" s="429"/>
      <c r="AH120" s="429"/>
      <c r="AI120" s="429"/>
      <c r="AJ120" s="429"/>
      <c r="AK120" s="429"/>
      <c r="AL120" s="429"/>
      <c r="AM120" s="429"/>
      <c r="AN120" s="429"/>
      <c r="AO120" s="432"/>
      <c r="AP120" s="428"/>
      <c r="AQ120" s="431"/>
      <c r="AR120" s="431"/>
      <c r="AS120" s="431"/>
      <c r="AT120" s="431"/>
      <c r="AU120" s="431"/>
      <c r="AV120" s="431"/>
      <c r="AW120" s="431"/>
      <c r="AX120" s="431"/>
      <c r="AY120" s="431"/>
      <c r="AZ120" s="431"/>
      <c r="BA120" s="431"/>
      <c r="BB120" s="431"/>
      <c r="BC120" s="431"/>
      <c r="BD120" s="431"/>
      <c r="BE120" s="431"/>
      <c r="BF120" s="431"/>
      <c r="BG120" s="431"/>
      <c r="BH120" s="431"/>
      <c r="BI120" s="431"/>
      <c r="BJ120" s="431"/>
      <c r="BK120" s="431"/>
      <c r="BL120" s="431"/>
      <c r="BM120" s="431"/>
      <c r="BN120" s="431"/>
      <c r="BO120" s="431"/>
      <c r="BP120" s="431"/>
      <c r="BQ120" s="431"/>
      <c r="BR120" s="431"/>
      <c r="BS120" s="431"/>
      <c r="BT120" s="431"/>
      <c r="BU120" s="431"/>
      <c r="BV120" s="431"/>
      <c r="BW120" s="431"/>
      <c r="BX120" s="431"/>
      <c r="BY120" s="431"/>
      <c r="BZ120" s="431"/>
      <c r="CA120" s="431"/>
      <c r="CB120" s="431"/>
      <c r="CC120" s="432"/>
      <c r="CD120" s="428"/>
      <c r="CE120" s="433"/>
      <c r="CF120" s="433"/>
      <c r="CG120" s="433"/>
      <c r="CH120" s="433"/>
      <c r="CI120" s="433"/>
      <c r="CJ120" s="433"/>
      <c r="CK120" s="433"/>
      <c r="CL120" s="433"/>
      <c r="CM120" s="433"/>
      <c r="CN120" s="433"/>
      <c r="CO120" s="433"/>
      <c r="CP120" s="433"/>
      <c r="CQ120" s="433"/>
      <c r="CR120" s="433"/>
      <c r="CS120" s="433"/>
      <c r="CT120" s="433"/>
      <c r="CU120" s="433"/>
      <c r="CV120" s="433"/>
      <c r="CW120" s="433"/>
      <c r="CX120" s="433"/>
      <c r="CY120" s="433"/>
      <c r="CZ120" s="433"/>
      <c r="DA120" s="433"/>
      <c r="DB120" s="433"/>
      <c r="DC120" s="433"/>
      <c r="DD120" s="433"/>
      <c r="DE120" s="433"/>
      <c r="DF120" s="433"/>
      <c r="DG120" s="433"/>
      <c r="DH120" s="433"/>
      <c r="DI120" s="433"/>
      <c r="DJ120" s="433"/>
      <c r="DK120" s="433"/>
      <c r="DL120" s="433"/>
      <c r="DM120" s="433"/>
      <c r="DN120" s="433"/>
      <c r="DO120" s="433"/>
      <c r="DP120" s="433"/>
      <c r="DR120" s="409"/>
      <c r="DS120" s="409"/>
    </row>
    <row r="121" spans="2:123" s="1471" customFormat="1">
      <c r="B121" s="428"/>
      <c r="C121" s="429"/>
      <c r="D121" s="429"/>
      <c r="E121" s="429"/>
      <c r="F121" s="429"/>
      <c r="G121" s="429"/>
      <c r="H121" s="429"/>
      <c r="I121" s="429"/>
      <c r="J121" s="429"/>
      <c r="K121" s="429"/>
      <c r="L121" s="429"/>
      <c r="M121" s="429"/>
      <c r="N121" s="429"/>
      <c r="O121" s="429"/>
      <c r="P121" s="429"/>
      <c r="Q121" s="429"/>
      <c r="R121" s="429"/>
      <c r="S121" s="429"/>
      <c r="T121" s="429"/>
      <c r="U121" s="429"/>
      <c r="V121" s="429"/>
      <c r="W121" s="429"/>
      <c r="X121" s="429"/>
      <c r="Y121" s="429"/>
      <c r="Z121" s="429"/>
      <c r="AA121" s="429"/>
      <c r="AB121" s="429"/>
      <c r="AC121" s="429"/>
      <c r="AD121" s="429"/>
      <c r="AE121" s="429"/>
      <c r="AF121" s="429"/>
      <c r="AG121" s="429"/>
      <c r="AH121" s="429"/>
      <c r="AI121" s="429"/>
      <c r="AJ121" s="429"/>
      <c r="AK121" s="429"/>
      <c r="AL121" s="429"/>
      <c r="AM121" s="429"/>
      <c r="AN121" s="429"/>
      <c r="AO121" s="432"/>
      <c r="AP121" s="428"/>
      <c r="AQ121" s="431"/>
      <c r="AR121" s="431"/>
      <c r="AS121" s="431"/>
      <c r="AT121" s="431"/>
      <c r="AU121" s="431"/>
      <c r="AV121" s="431"/>
      <c r="AW121" s="431"/>
      <c r="AX121" s="431"/>
      <c r="AY121" s="431"/>
      <c r="AZ121" s="431"/>
      <c r="BA121" s="431"/>
      <c r="BB121" s="431"/>
      <c r="BC121" s="431"/>
      <c r="BD121" s="431"/>
      <c r="BE121" s="431"/>
      <c r="BF121" s="431"/>
      <c r="BG121" s="431"/>
      <c r="BH121" s="431"/>
      <c r="BI121" s="431"/>
      <c r="BJ121" s="431"/>
      <c r="BK121" s="431"/>
      <c r="BL121" s="431"/>
      <c r="BM121" s="431"/>
      <c r="BN121" s="431"/>
      <c r="BO121" s="431"/>
      <c r="BP121" s="431"/>
      <c r="BQ121" s="431"/>
      <c r="BR121" s="431"/>
      <c r="BS121" s="431"/>
      <c r="BT121" s="431"/>
      <c r="BU121" s="431"/>
      <c r="BV121" s="431"/>
      <c r="BW121" s="431"/>
      <c r="BX121" s="431"/>
      <c r="BY121" s="431"/>
      <c r="BZ121" s="431"/>
      <c r="CA121" s="431"/>
      <c r="CB121" s="431"/>
      <c r="CC121" s="432"/>
      <c r="CD121" s="428"/>
      <c r="CE121" s="433"/>
      <c r="CF121" s="433"/>
      <c r="CG121" s="433"/>
      <c r="CH121" s="433"/>
      <c r="CI121" s="433"/>
      <c r="CJ121" s="433"/>
      <c r="CK121" s="433"/>
      <c r="CL121" s="433"/>
      <c r="CM121" s="433"/>
      <c r="CN121" s="433"/>
      <c r="CO121" s="433"/>
      <c r="CP121" s="433"/>
      <c r="CQ121" s="433"/>
      <c r="CR121" s="433"/>
      <c r="CS121" s="433"/>
      <c r="CT121" s="433"/>
      <c r="CU121" s="433"/>
      <c r="CV121" s="433"/>
      <c r="CW121" s="433"/>
      <c r="CX121" s="433"/>
      <c r="CY121" s="433"/>
      <c r="CZ121" s="433"/>
      <c r="DA121" s="433"/>
      <c r="DB121" s="433"/>
      <c r="DC121" s="433"/>
      <c r="DD121" s="433"/>
      <c r="DE121" s="433"/>
      <c r="DF121" s="433"/>
      <c r="DG121" s="433"/>
      <c r="DH121" s="433"/>
      <c r="DI121" s="433"/>
      <c r="DJ121" s="433"/>
      <c r="DK121" s="433"/>
      <c r="DL121" s="433"/>
      <c r="DM121" s="433"/>
      <c r="DN121" s="433"/>
      <c r="DO121" s="433"/>
      <c r="DP121" s="433"/>
      <c r="DR121" s="409"/>
      <c r="DS121" s="409"/>
    </row>
    <row r="122" spans="2:123" s="1471" customFormat="1">
      <c r="B122" s="428"/>
      <c r="C122" s="429"/>
      <c r="D122" s="429"/>
      <c r="E122" s="429"/>
      <c r="F122" s="429"/>
      <c r="G122" s="429"/>
      <c r="H122" s="429"/>
      <c r="I122" s="429"/>
      <c r="J122" s="429"/>
      <c r="K122" s="429"/>
      <c r="L122" s="429"/>
      <c r="M122" s="429"/>
      <c r="N122" s="429"/>
      <c r="O122" s="429"/>
      <c r="P122" s="429"/>
      <c r="Q122" s="429"/>
      <c r="R122" s="429"/>
      <c r="S122" s="429"/>
      <c r="T122" s="429"/>
      <c r="U122" s="429"/>
      <c r="V122" s="429"/>
      <c r="W122" s="429"/>
      <c r="X122" s="429"/>
      <c r="Y122" s="429"/>
      <c r="Z122" s="429"/>
      <c r="AA122" s="429"/>
      <c r="AB122" s="429"/>
      <c r="AC122" s="429"/>
      <c r="AD122" s="429"/>
      <c r="AE122" s="429"/>
      <c r="AF122" s="429"/>
      <c r="AG122" s="429"/>
      <c r="AH122" s="429"/>
      <c r="AI122" s="429"/>
      <c r="AJ122" s="429"/>
      <c r="AK122" s="429"/>
      <c r="AL122" s="429"/>
      <c r="AM122" s="429"/>
      <c r="AN122" s="429"/>
      <c r="AO122" s="432"/>
      <c r="AP122" s="428"/>
      <c r="AQ122" s="431"/>
      <c r="AR122" s="431"/>
      <c r="AS122" s="431"/>
      <c r="AT122" s="431"/>
      <c r="AU122" s="431"/>
      <c r="AV122" s="431"/>
      <c r="AW122" s="431"/>
      <c r="AX122" s="431"/>
      <c r="AY122" s="431"/>
      <c r="AZ122" s="431"/>
      <c r="BA122" s="431"/>
      <c r="BB122" s="431"/>
      <c r="BC122" s="431"/>
      <c r="BD122" s="431"/>
      <c r="BE122" s="431"/>
      <c r="BF122" s="431"/>
      <c r="BG122" s="431"/>
      <c r="BH122" s="431"/>
      <c r="BI122" s="431"/>
      <c r="BJ122" s="431"/>
      <c r="BK122" s="431"/>
      <c r="BL122" s="431"/>
      <c r="BM122" s="431"/>
      <c r="BN122" s="431"/>
      <c r="BO122" s="431"/>
      <c r="BP122" s="431"/>
      <c r="BQ122" s="431"/>
      <c r="BR122" s="431"/>
      <c r="BS122" s="431"/>
      <c r="BT122" s="431"/>
      <c r="BU122" s="431"/>
      <c r="BV122" s="431"/>
      <c r="BW122" s="431"/>
      <c r="BX122" s="431"/>
      <c r="BY122" s="431"/>
      <c r="BZ122" s="431"/>
      <c r="CA122" s="431"/>
      <c r="CB122" s="431"/>
      <c r="CC122" s="432"/>
      <c r="CD122" s="428"/>
      <c r="CE122" s="433"/>
      <c r="CF122" s="433"/>
      <c r="CG122" s="433"/>
      <c r="CH122" s="433"/>
      <c r="CI122" s="433"/>
      <c r="CJ122" s="433"/>
      <c r="CK122" s="433"/>
      <c r="CL122" s="433"/>
      <c r="CM122" s="433"/>
      <c r="CN122" s="433"/>
      <c r="CO122" s="433"/>
      <c r="CP122" s="433"/>
      <c r="CQ122" s="433"/>
      <c r="CR122" s="433"/>
      <c r="CS122" s="433"/>
      <c r="CT122" s="433"/>
      <c r="CU122" s="433"/>
      <c r="CV122" s="433"/>
      <c r="CW122" s="433"/>
      <c r="CX122" s="433"/>
      <c r="CY122" s="433"/>
      <c r="CZ122" s="433"/>
      <c r="DA122" s="433"/>
      <c r="DB122" s="433"/>
      <c r="DC122" s="433"/>
      <c r="DD122" s="433"/>
      <c r="DE122" s="433"/>
      <c r="DF122" s="433"/>
      <c r="DG122" s="433"/>
      <c r="DH122" s="433"/>
      <c r="DI122" s="433"/>
      <c r="DJ122" s="433"/>
      <c r="DK122" s="433"/>
      <c r="DL122" s="433"/>
      <c r="DM122" s="433"/>
      <c r="DN122" s="433"/>
      <c r="DO122" s="433"/>
      <c r="DP122" s="433"/>
      <c r="DR122" s="409"/>
      <c r="DS122" s="409"/>
    </row>
    <row r="123" spans="2:123" s="1471" customFormat="1">
      <c r="B123" s="428"/>
      <c r="C123" s="429"/>
      <c r="D123" s="429"/>
      <c r="E123" s="429"/>
      <c r="F123" s="429"/>
      <c r="G123" s="429"/>
      <c r="H123" s="429"/>
      <c r="I123" s="429"/>
      <c r="J123" s="429"/>
      <c r="K123" s="429"/>
      <c r="L123" s="429"/>
      <c r="M123" s="429"/>
      <c r="N123" s="429"/>
      <c r="O123" s="429"/>
      <c r="P123" s="429"/>
      <c r="Q123" s="429"/>
      <c r="R123" s="429"/>
      <c r="S123" s="429"/>
      <c r="T123" s="429"/>
      <c r="U123" s="429"/>
      <c r="V123" s="429"/>
      <c r="W123" s="429"/>
      <c r="X123" s="429"/>
      <c r="Y123" s="429"/>
      <c r="Z123" s="429"/>
      <c r="AA123" s="429"/>
      <c r="AB123" s="429"/>
      <c r="AC123" s="429"/>
      <c r="AD123" s="429"/>
      <c r="AE123" s="429"/>
      <c r="AF123" s="429"/>
      <c r="AG123" s="429"/>
      <c r="AH123" s="429"/>
      <c r="AI123" s="429"/>
      <c r="AJ123" s="429"/>
      <c r="AK123" s="429"/>
      <c r="AL123" s="429"/>
      <c r="AM123" s="429"/>
      <c r="AN123" s="429"/>
      <c r="AO123" s="432"/>
      <c r="AP123" s="428"/>
      <c r="AQ123" s="431"/>
      <c r="AR123" s="431"/>
      <c r="AS123" s="431"/>
      <c r="AT123" s="431"/>
      <c r="AU123" s="431"/>
      <c r="AV123" s="431"/>
      <c r="AW123" s="431"/>
      <c r="AX123" s="431"/>
      <c r="AY123" s="431"/>
      <c r="AZ123" s="431"/>
      <c r="BA123" s="431"/>
      <c r="BB123" s="431"/>
      <c r="BC123" s="431"/>
      <c r="BD123" s="431"/>
      <c r="BE123" s="431"/>
      <c r="BF123" s="431"/>
      <c r="BG123" s="431"/>
      <c r="BH123" s="431"/>
      <c r="BI123" s="431"/>
      <c r="BJ123" s="431"/>
      <c r="BK123" s="431"/>
      <c r="BL123" s="431"/>
      <c r="BM123" s="431"/>
      <c r="BN123" s="431"/>
      <c r="BO123" s="431"/>
      <c r="BP123" s="431"/>
      <c r="BQ123" s="431"/>
      <c r="BR123" s="431"/>
      <c r="BS123" s="431"/>
      <c r="BT123" s="431"/>
      <c r="BU123" s="431"/>
      <c r="BV123" s="431"/>
      <c r="BW123" s="431"/>
      <c r="BX123" s="431"/>
      <c r="BY123" s="431"/>
      <c r="BZ123" s="431"/>
      <c r="CA123" s="431"/>
      <c r="CB123" s="431"/>
      <c r="CC123" s="432"/>
      <c r="CD123" s="428"/>
      <c r="CE123" s="433"/>
      <c r="CF123" s="433"/>
      <c r="CG123" s="433"/>
      <c r="CH123" s="433"/>
      <c r="CI123" s="433"/>
      <c r="CJ123" s="433"/>
      <c r="CK123" s="433"/>
      <c r="CL123" s="433"/>
      <c r="CM123" s="433"/>
      <c r="CN123" s="433"/>
      <c r="CO123" s="433"/>
      <c r="CP123" s="433"/>
      <c r="CQ123" s="433"/>
      <c r="CR123" s="433"/>
      <c r="CS123" s="433"/>
      <c r="CT123" s="433"/>
      <c r="CU123" s="433"/>
      <c r="CV123" s="433"/>
      <c r="CW123" s="433"/>
      <c r="CX123" s="433"/>
      <c r="CY123" s="433"/>
      <c r="CZ123" s="433"/>
      <c r="DA123" s="433"/>
      <c r="DB123" s="433"/>
      <c r="DC123" s="433"/>
      <c r="DD123" s="433"/>
      <c r="DE123" s="433"/>
      <c r="DF123" s="433"/>
      <c r="DG123" s="433"/>
      <c r="DH123" s="433"/>
      <c r="DI123" s="433"/>
      <c r="DJ123" s="433"/>
      <c r="DK123" s="433"/>
      <c r="DL123" s="433"/>
      <c r="DM123" s="433"/>
      <c r="DN123" s="433"/>
      <c r="DO123" s="433"/>
      <c r="DP123" s="433"/>
      <c r="DR123" s="409"/>
      <c r="DS123" s="409"/>
    </row>
    <row r="124" spans="2:123" s="1471" customFormat="1">
      <c r="B124" s="428"/>
      <c r="C124" s="429"/>
      <c r="D124" s="429"/>
      <c r="E124" s="429"/>
      <c r="F124" s="429"/>
      <c r="G124" s="429"/>
      <c r="H124" s="429"/>
      <c r="I124" s="429"/>
      <c r="J124" s="429"/>
      <c r="K124" s="429"/>
      <c r="L124" s="429"/>
      <c r="M124" s="429"/>
      <c r="N124" s="429"/>
      <c r="O124" s="429"/>
      <c r="P124" s="429"/>
      <c r="Q124" s="429"/>
      <c r="R124" s="429"/>
      <c r="S124" s="429"/>
      <c r="T124" s="429"/>
      <c r="U124" s="429"/>
      <c r="V124" s="429"/>
      <c r="W124" s="429"/>
      <c r="X124" s="429"/>
      <c r="Y124" s="429"/>
      <c r="Z124" s="429"/>
      <c r="AA124" s="429"/>
      <c r="AB124" s="429"/>
      <c r="AC124" s="429"/>
      <c r="AD124" s="429"/>
      <c r="AE124" s="429"/>
      <c r="AF124" s="429"/>
      <c r="AG124" s="429"/>
      <c r="AH124" s="429"/>
      <c r="AI124" s="429"/>
      <c r="AJ124" s="429"/>
      <c r="AK124" s="429"/>
      <c r="AL124" s="429"/>
      <c r="AM124" s="429"/>
      <c r="AN124" s="429"/>
      <c r="AO124" s="432"/>
      <c r="AP124" s="428"/>
      <c r="AQ124" s="431"/>
      <c r="AR124" s="431"/>
      <c r="AS124" s="431"/>
      <c r="AT124" s="431"/>
      <c r="AU124" s="431"/>
      <c r="AV124" s="431"/>
      <c r="AW124" s="431"/>
      <c r="AX124" s="431"/>
      <c r="AY124" s="431"/>
      <c r="AZ124" s="431"/>
      <c r="BA124" s="431"/>
      <c r="BB124" s="431"/>
      <c r="BC124" s="431"/>
      <c r="BD124" s="431"/>
      <c r="BE124" s="431"/>
      <c r="BF124" s="431"/>
      <c r="BG124" s="431"/>
      <c r="BH124" s="431"/>
      <c r="BI124" s="431"/>
      <c r="BJ124" s="431"/>
      <c r="BK124" s="431"/>
      <c r="BL124" s="431"/>
      <c r="BM124" s="431"/>
      <c r="BN124" s="431"/>
      <c r="BO124" s="431"/>
      <c r="BP124" s="431"/>
      <c r="BQ124" s="431"/>
      <c r="BR124" s="431"/>
      <c r="BS124" s="431"/>
      <c r="BT124" s="431"/>
      <c r="BU124" s="431"/>
      <c r="BV124" s="431"/>
      <c r="BW124" s="431"/>
      <c r="BX124" s="431"/>
      <c r="BY124" s="431"/>
      <c r="BZ124" s="431"/>
      <c r="CA124" s="431"/>
      <c r="CB124" s="431"/>
      <c r="CC124" s="432"/>
      <c r="CD124" s="428"/>
      <c r="CE124" s="433"/>
      <c r="CF124" s="433"/>
      <c r="CG124" s="433"/>
      <c r="CH124" s="433"/>
      <c r="CI124" s="433"/>
      <c r="CJ124" s="433"/>
      <c r="CK124" s="433"/>
      <c r="CL124" s="433"/>
      <c r="CM124" s="433"/>
      <c r="CN124" s="433"/>
      <c r="CO124" s="433"/>
      <c r="CP124" s="433"/>
      <c r="CQ124" s="433"/>
      <c r="CR124" s="433"/>
      <c r="CS124" s="433"/>
      <c r="CT124" s="433"/>
      <c r="CU124" s="433"/>
      <c r="CV124" s="433"/>
      <c r="CW124" s="433"/>
      <c r="CX124" s="433"/>
      <c r="CY124" s="433"/>
      <c r="CZ124" s="433"/>
      <c r="DA124" s="433"/>
      <c r="DB124" s="433"/>
      <c r="DC124" s="433"/>
      <c r="DD124" s="433"/>
      <c r="DE124" s="433"/>
      <c r="DF124" s="433"/>
      <c r="DG124" s="433"/>
      <c r="DH124" s="433"/>
      <c r="DI124" s="433"/>
      <c r="DJ124" s="433"/>
      <c r="DK124" s="433"/>
      <c r="DL124" s="433"/>
      <c r="DM124" s="433"/>
      <c r="DN124" s="433"/>
      <c r="DO124" s="433"/>
      <c r="DP124" s="433"/>
      <c r="DR124" s="409"/>
      <c r="DS124" s="409"/>
    </row>
    <row r="125" spans="2:123" s="1471" customFormat="1">
      <c r="B125" s="428"/>
      <c r="C125" s="429"/>
      <c r="D125" s="429"/>
      <c r="E125" s="429"/>
      <c r="F125" s="429"/>
      <c r="G125" s="429"/>
      <c r="H125" s="429"/>
      <c r="I125" s="429"/>
      <c r="J125" s="429"/>
      <c r="K125" s="429"/>
      <c r="L125" s="429"/>
      <c r="M125" s="429"/>
      <c r="N125" s="429"/>
      <c r="O125" s="429"/>
      <c r="P125" s="429"/>
      <c r="Q125" s="429"/>
      <c r="R125" s="429"/>
      <c r="S125" s="429"/>
      <c r="T125" s="429"/>
      <c r="U125" s="429"/>
      <c r="V125" s="429"/>
      <c r="W125" s="429"/>
      <c r="X125" s="429"/>
      <c r="Y125" s="429"/>
      <c r="Z125" s="429"/>
      <c r="AA125" s="429"/>
      <c r="AB125" s="429"/>
      <c r="AC125" s="429"/>
      <c r="AD125" s="429"/>
      <c r="AE125" s="429"/>
      <c r="AF125" s="429"/>
      <c r="AG125" s="429"/>
      <c r="AH125" s="429"/>
      <c r="AI125" s="429"/>
      <c r="AJ125" s="429"/>
      <c r="AK125" s="429"/>
      <c r="AL125" s="429"/>
      <c r="AM125" s="429"/>
      <c r="AN125" s="429"/>
      <c r="AO125" s="432"/>
      <c r="AP125" s="428"/>
      <c r="AQ125" s="431"/>
      <c r="AR125" s="431"/>
      <c r="AS125" s="431"/>
      <c r="AT125" s="431"/>
      <c r="AU125" s="431"/>
      <c r="AV125" s="431"/>
      <c r="AW125" s="431"/>
      <c r="AX125" s="431"/>
      <c r="AY125" s="431"/>
      <c r="AZ125" s="431"/>
      <c r="BA125" s="431"/>
      <c r="BB125" s="431"/>
      <c r="BC125" s="431"/>
      <c r="BD125" s="431"/>
      <c r="BE125" s="431"/>
      <c r="BF125" s="431"/>
      <c r="BG125" s="431"/>
      <c r="BH125" s="431"/>
      <c r="BI125" s="431"/>
      <c r="BJ125" s="431"/>
      <c r="BK125" s="431"/>
      <c r="BL125" s="431"/>
      <c r="BM125" s="431"/>
      <c r="BN125" s="431"/>
      <c r="BO125" s="431"/>
      <c r="BP125" s="431"/>
      <c r="BQ125" s="431"/>
      <c r="BR125" s="431"/>
      <c r="BS125" s="431"/>
      <c r="BT125" s="431"/>
      <c r="BU125" s="431"/>
      <c r="BV125" s="431"/>
      <c r="BW125" s="431"/>
      <c r="BX125" s="431"/>
      <c r="BY125" s="431"/>
      <c r="BZ125" s="431"/>
      <c r="CA125" s="431"/>
      <c r="CB125" s="431"/>
      <c r="CC125" s="432"/>
      <c r="CD125" s="428"/>
      <c r="CE125" s="433"/>
      <c r="CF125" s="433"/>
      <c r="CG125" s="433"/>
      <c r="CH125" s="433"/>
      <c r="CI125" s="433"/>
      <c r="CJ125" s="433"/>
      <c r="CK125" s="433"/>
      <c r="CL125" s="433"/>
      <c r="CM125" s="433"/>
      <c r="CN125" s="433"/>
      <c r="CO125" s="433"/>
      <c r="CP125" s="433"/>
      <c r="CQ125" s="433"/>
      <c r="CR125" s="433"/>
      <c r="CS125" s="433"/>
      <c r="CT125" s="433"/>
      <c r="CU125" s="433"/>
      <c r="CV125" s="433"/>
      <c r="CW125" s="433"/>
      <c r="CX125" s="433"/>
      <c r="CY125" s="433"/>
      <c r="CZ125" s="433"/>
      <c r="DA125" s="433"/>
      <c r="DB125" s="433"/>
      <c r="DC125" s="433"/>
      <c r="DD125" s="433"/>
      <c r="DE125" s="433"/>
      <c r="DF125" s="433"/>
      <c r="DG125" s="433"/>
      <c r="DH125" s="433"/>
      <c r="DI125" s="433"/>
      <c r="DJ125" s="433"/>
      <c r="DK125" s="433"/>
      <c r="DL125" s="433"/>
      <c r="DM125" s="433"/>
      <c r="DN125" s="433"/>
      <c r="DO125" s="433"/>
      <c r="DP125" s="433"/>
      <c r="DR125" s="409"/>
      <c r="DS125" s="409"/>
    </row>
    <row r="126" spans="2:123" s="1471" customFormat="1">
      <c r="B126" s="428"/>
      <c r="C126" s="429"/>
      <c r="D126" s="429"/>
      <c r="E126" s="429"/>
      <c r="F126" s="429"/>
      <c r="G126" s="429"/>
      <c r="H126" s="429"/>
      <c r="I126" s="429"/>
      <c r="J126" s="429"/>
      <c r="K126" s="429"/>
      <c r="L126" s="429"/>
      <c r="M126" s="429"/>
      <c r="N126" s="429"/>
      <c r="O126" s="429"/>
      <c r="P126" s="429"/>
      <c r="Q126" s="429"/>
      <c r="R126" s="429"/>
      <c r="S126" s="429"/>
      <c r="T126" s="429"/>
      <c r="U126" s="429"/>
      <c r="V126" s="429"/>
      <c r="W126" s="429"/>
      <c r="X126" s="429"/>
      <c r="Y126" s="429"/>
      <c r="Z126" s="429"/>
      <c r="AA126" s="429"/>
      <c r="AB126" s="429"/>
      <c r="AC126" s="429"/>
      <c r="AD126" s="429"/>
      <c r="AE126" s="429"/>
      <c r="AF126" s="429"/>
      <c r="AG126" s="429"/>
      <c r="AH126" s="429"/>
      <c r="AI126" s="429"/>
      <c r="AJ126" s="429"/>
      <c r="AK126" s="429"/>
      <c r="AL126" s="429"/>
      <c r="AM126" s="429"/>
      <c r="AN126" s="429"/>
      <c r="AO126" s="432"/>
      <c r="AP126" s="428"/>
      <c r="AQ126" s="431"/>
      <c r="AR126" s="431"/>
      <c r="AS126" s="431"/>
      <c r="AT126" s="431"/>
      <c r="AU126" s="431"/>
      <c r="AV126" s="431"/>
      <c r="AW126" s="431"/>
      <c r="AX126" s="431"/>
      <c r="AY126" s="431"/>
      <c r="AZ126" s="431"/>
      <c r="BA126" s="431"/>
      <c r="BB126" s="431"/>
      <c r="BC126" s="431"/>
      <c r="BD126" s="431"/>
      <c r="BE126" s="431"/>
      <c r="BF126" s="431"/>
      <c r="BG126" s="431"/>
      <c r="BH126" s="431"/>
      <c r="BI126" s="431"/>
      <c r="BJ126" s="431"/>
      <c r="BK126" s="431"/>
      <c r="BL126" s="431"/>
      <c r="BM126" s="431"/>
      <c r="BN126" s="431"/>
      <c r="BO126" s="431"/>
      <c r="BP126" s="431"/>
      <c r="BQ126" s="431"/>
      <c r="BR126" s="431"/>
      <c r="BS126" s="431"/>
      <c r="BT126" s="431"/>
      <c r="BU126" s="431"/>
      <c r="BV126" s="431"/>
      <c r="BW126" s="431"/>
      <c r="BX126" s="431"/>
      <c r="BY126" s="431"/>
      <c r="BZ126" s="431"/>
      <c r="CA126" s="431"/>
      <c r="CB126" s="431"/>
      <c r="CC126" s="432"/>
      <c r="CD126" s="428"/>
      <c r="CE126" s="433"/>
      <c r="CF126" s="433"/>
      <c r="CG126" s="433"/>
      <c r="CH126" s="433"/>
      <c r="CI126" s="433"/>
      <c r="CJ126" s="433"/>
      <c r="CK126" s="433"/>
      <c r="CL126" s="433"/>
      <c r="CM126" s="433"/>
      <c r="CN126" s="433"/>
      <c r="CO126" s="433"/>
      <c r="CP126" s="433"/>
      <c r="CQ126" s="433"/>
      <c r="CR126" s="433"/>
      <c r="CS126" s="433"/>
      <c r="CT126" s="433"/>
      <c r="CU126" s="433"/>
      <c r="CV126" s="433"/>
      <c r="CW126" s="433"/>
      <c r="CX126" s="433"/>
      <c r="CY126" s="433"/>
      <c r="CZ126" s="433"/>
      <c r="DA126" s="433"/>
      <c r="DB126" s="433"/>
      <c r="DC126" s="433"/>
      <c r="DD126" s="433"/>
      <c r="DE126" s="433"/>
      <c r="DF126" s="433"/>
      <c r="DG126" s="433"/>
      <c r="DH126" s="433"/>
      <c r="DI126" s="433"/>
      <c r="DJ126" s="433"/>
      <c r="DK126" s="433"/>
      <c r="DL126" s="433"/>
      <c r="DM126" s="433"/>
      <c r="DN126" s="433"/>
      <c r="DO126" s="433"/>
      <c r="DP126" s="433"/>
      <c r="DR126" s="409"/>
      <c r="DS126" s="409"/>
    </row>
    <row r="127" spans="2:123" s="1471" customFormat="1">
      <c r="B127" s="428"/>
      <c r="C127" s="429"/>
      <c r="D127" s="429"/>
      <c r="E127" s="429"/>
      <c r="F127" s="429"/>
      <c r="G127" s="429"/>
      <c r="H127" s="429"/>
      <c r="I127" s="429"/>
      <c r="J127" s="429"/>
      <c r="K127" s="429"/>
      <c r="L127" s="429"/>
      <c r="M127" s="429"/>
      <c r="N127" s="429"/>
      <c r="O127" s="429"/>
      <c r="P127" s="429"/>
      <c r="Q127" s="429"/>
      <c r="R127" s="429"/>
      <c r="S127" s="429"/>
      <c r="T127" s="429"/>
      <c r="U127" s="429"/>
      <c r="V127" s="429"/>
      <c r="W127" s="429"/>
      <c r="X127" s="429"/>
      <c r="Y127" s="429"/>
      <c r="Z127" s="429"/>
      <c r="AA127" s="429"/>
      <c r="AB127" s="429"/>
      <c r="AC127" s="429"/>
      <c r="AD127" s="429"/>
      <c r="AE127" s="429"/>
      <c r="AF127" s="429"/>
      <c r="AG127" s="429"/>
      <c r="AH127" s="429"/>
      <c r="AI127" s="429"/>
      <c r="AJ127" s="429"/>
      <c r="AK127" s="429"/>
      <c r="AL127" s="429"/>
      <c r="AM127" s="429"/>
      <c r="AN127" s="429"/>
      <c r="AO127" s="432"/>
      <c r="AP127" s="428"/>
      <c r="AQ127" s="431"/>
      <c r="AR127" s="431"/>
      <c r="AS127" s="431"/>
      <c r="AT127" s="431"/>
      <c r="AU127" s="431"/>
      <c r="AV127" s="431"/>
      <c r="AW127" s="431"/>
      <c r="AX127" s="431"/>
      <c r="AY127" s="431"/>
      <c r="AZ127" s="431"/>
      <c r="BA127" s="431"/>
      <c r="BB127" s="431"/>
      <c r="BC127" s="431"/>
      <c r="BD127" s="431"/>
      <c r="BE127" s="431"/>
      <c r="BF127" s="431"/>
      <c r="BG127" s="431"/>
      <c r="BH127" s="431"/>
      <c r="BI127" s="431"/>
      <c r="BJ127" s="431"/>
      <c r="BK127" s="431"/>
      <c r="BL127" s="431"/>
      <c r="BM127" s="431"/>
      <c r="BN127" s="431"/>
      <c r="BO127" s="431"/>
      <c r="BP127" s="431"/>
      <c r="BQ127" s="431"/>
      <c r="BR127" s="431"/>
      <c r="BS127" s="431"/>
      <c r="BT127" s="431"/>
      <c r="BU127" s="431"/>
      <c r="BV127" s="431"/>
      <c r="BW127" s="431"/>
      <c r="BX127" s="431"/>
      <c r="BY127" s="431"/>
      <c r="BZ127" s="431"/>
      <c r="CA127" s="431"/>
      <c r="CB127" s="431"/>
      <c r="CC127" s="432"/>
      <c r="CD127" s="428"/>
      <c r="CE127" s="433"/>
      <c r="CF127" s="433"/>
      <c r="CG127" s="433"/>
      <c r="CH127" s="433"/>
      <c r="CI127" s="433"/>
      <c r="CJ127" s="433"/>
      <c r="CK127" s="433"/>
      <c r="CL127" s="433"/>
      <c r="CM127" s="433"/>
      <c r="CN127" s="433"/>
      <c r="CO127" s="433"/>
      <c r="CP127" s="433"/>
      <c r="CQ127" s="433"/>
      <c r="CR127" s="433"/>
      <c r="CS127" s="433"/>
      <c r="CT127" s="433"/>
      <c r="CU127" s="433"/>
      <c r="CV127" s="433"/>
      <c r="CW127" s="433"/>
      <c r="CX127" s="433"/>
      <c r="CY127" s="433"/>
      <c r="CZ127" s="433"/>
      <c r="DA127" s="433"/>
      <c r="DB127" s="433"/>
      <c r="DC127" s="433"/>
      <c r="DD127" s="433"/>
      <c r="DE127" s="433"/>
      <c r="DF127" s="433"/>
      <c r="DG127" s="433"/>
      <c r="DH127" s="433"/>
      <c r="DI127" s="433"/>
      <c r="DJ127" s="433"/>
      <c r="DK127" s="433"/>
      <c r="DL127" s="433"/>
      <c r="DM127" s="433"/>
      <c r="DN127" s="433"/>
      <c r="DO127" s="433"/>
      <c r="DP127" s="433"/>
      <c r="DR127" s="409"/>
      <c r="DS127" s="409"/>
    </row>
    <row r="128" spans="2:123" s="1471" customFormat="1">
      <c r="B128" s="428"/>
      <c r="C128" s="429"/>
      <c r="D128" s="429"/>
      <c r="E128" s="429"/>
      <c r="F128" s="429"/>
      <c r="G128" s="429"/>
      <c r="H128" s="429"/>
      <c r="I128" s="429"/>
      <c r="J128" s="429"/>
      <c r="K128" s="429"/>
      <c r="L128" s="429"/>
      <c r="M128" s="429"/>
      <c r="N128" s="429"/>
      <c r="O128" s="429"/>
      <c r="P128" s="429"/>
      <c r="Q128" s="429"/>
      <c r="R128" s="429"/>
      <c r="S128" s="429"/>
      <c r="T128" s="429"/>
      <c r="U128" s="429"/>
      <c r="V128" s="429"/>
      <c r="W128" s="429"/>
      <c r="X128" s="429"/>
      <c r="Y128" s="429"/>
      <c r="Z128" s="429"/>
      <c r="AA128" s="429"/>
      <c r="AB128" s="429"/>
      <c r="AC128" s="429"/>
      <c r="AD128" s="429"/>
      <c r="AE128" s="429"/>
      <c r="AF128" s="429"/>
      <c r="AG128" s="429"/>
      <c r="AH128" s="429"/>
      <c r="AI128" s="429"/>
      <c r="AJ128" s="429"/>
      <c r="AK128" s="429"/>
      <c r="AL128" s="429"/>
      <c r="AM128" s="429"/>
      <c r="AN128" s="429"/>
      <c r="AO128" s="432"/>
      <c r="AP128" s="428"/>
      <c r="AQ128" s="431"/>
      <c r="AR128" s="431"/>
      <c r="AS128" s="431"/>
      <c r="AT128" s="431"/>
      <c r="AU128" s="431"/>
      <c r="AV128" s="431"/>
      <c r="AW128" s="431"/>
      <c r="AX128" s="431"/>
      <c r="AY128" s="431"/>
      <c r="AZ128" s="431"/>
      <c r="BA128" s="431"/>
      <c r="BB128" s="431"/>
      <c r="BC128" s="431"/>
      <c r="BD128" s="431"/>
      <c r="BE128" s="431"/>
      <c r="BF128" s="431"/>
      <c r="BG128" s="431"/>
      <c r="BH128" s="431"/>
      <c r="BI128" s="431"/>
      <c r="BJ128" s="431"/>
      <c r="BK128" s="431"/>
      <c r="BL128" s="431"/>
      <c r="BM128" s="431"/>
      <c r="BN128" s="431"/>
      <c r="BO128" s="431"/>
      <c r="BP128" s="431"/>
      <c r="BQ128" s="431"/>
      <c r="BR128" s="431"/>
      <c r="BS128" s="431"/>
      <c r="BT128" s="431"/>
      <c r="BU128" s="431"/>
      <c r="BV128" s="431"/>
      <c r="BW128" s="431"/>
      <c r="BX128" s="431"/>
      <c r="BY128" s="431"/>
      <c r="BZ128" s="431"/>
      <c r="CA128" s="431"/>
      <c r="CB128" s="431"/>
      <c r="CC128" s="432"/>
      <c r="CD128" s="428"/>
      <c r="CE128" s="433"/>
      <c r="CF128" s="433"/>
      <c r="CG128" s="433"/>
      <c r="CH128" s="433"/>
      <c r="CI128" s="433"/>
      <c r="CJ128" s="433"/>
      <c r="CK128" s="433"/>
      <c r="CL128" s="433"/>
      <c r="CM128" s="433"/>
      <c r="CN128" s="433"/>
      <c r="CO128" s="433"/>
      <c r="CP128" s="433"/>
      <c r="CQ128" s="433"/>
      <c r="CR128" s="433"/>
      <c r="CS128" s="433"/>
      <c r="CT128" s="433"/>
      <c r="CU128" s="433"/>
      <c r="CV128" s="433"/>
      <c r="CW128" s="433"/>
      <c r="CX128" s="433"/>
      <c r="CY128" s="433"/>
      <c r="CZ128" s="433"/>
      <c r="DA128" s="433"/>
      <c r="DB128" s="433"/>
      <c r="DC128" s="433"/>
      <c r="DD128" s="433"/>
      <c r="DE128" s="433"/>
      <c r="DF128" s="433"/>
      <c r="DG128" s="433"/>
      <c r="DH128" s="433"/>
      <c r="DI128" s="433"/>
      <c r="DJ128" s="433"/>
      <c r="DK128" s="433"/>
      <c r="DL128" s="433"/>
      <c r="DM128" s="433"/>
      <c r="DN128" s="433"/>
      <c r="DO128" s="433"/>
      <c r="DP128" s="433"/>
      <c r="DR128" s="409"/>
      <c r="DS128" s="409"/>
    </row>
    <row r="129" spans="2:123" s="1471" customFormat="1">
      <c r="B129" s="428"/>
      <c r="C129" s="429"/>
      <c r="D129" s="429"/>
      <c r="E129" s="429"/>
      <c r="F129" s="429"/>
      <c r="G129" s="429"/>
      <c r="H129" s="429"/>
      <c r="I129" s="429"/>
      <c r="J129" s="429"/>
      <c r="K129" s="429"/>
      <c r="L129" s="429"/>
      <c r="M129" s="429"/>
      <c r="N129" s="429"/>
      <c r="O129" s="429"/>
      <c r="P129" s="429"/>
      <c r="Q129" s="429"/>
      <c r="R129" s="429"/>
      <c r="S129" s="429"/>
      <c r="T129" s="429"/>
      <c r="U129" s="429"/>
      <c r="V129" s="429"/>
      <c r="W129" s="429"/>
      <c r="X129" s="429"/>
      <c r="Y129" s="429"/>
      <c r="Z129" s="429"/>
      <c r="AA129" s="429"/>
      <c r="AB129" s="429"/>
      <c r="AC129" s="429"/>
      <c r="AD129" s="429"/>
      <c r="AE129" s="429"/>
      <c r="AF129" s="429"/>
      <c r="AG129" s="429"/>
      <c r="AH129" s="429"/>
      <c r="AI129" s="429"/>
      <c r="AJ129" s="429"/>
      <c r="AK129" s="429"/>
      <c r="AL129" s="429"/>
      <c r="AM129" s="429"/>
      <c r="AN129" s="429"/>
      <c r="AO129" s="432"/>
      <c r="AP129" s="428"/>
      <c r="AQ129" s="431"/>
      <c r="AR129" s="431"/>
      <c r="AS129" s="431"/>
      <c r="AT129" s="431"/>
      <c r="AU129" s="431"/>
      <c r="AV129" s="431"/>
      <c r="AW129" s="431"/>
      <c r="AX129" s="431"/>
      <c r="AY129" s="431"/>
      <c r="AZ129" s="431"/>
      <c r="BA129" s="431"/>
      <c r="BB129" s="431"/>
      <c r="BC129" s="431"/>
      <c r="BD129" s="431"/>
      <c r="BE129" s="431"/>
      <c r="BF129" s="431"/>
      <c r="BG129" s="431"/>
      <c r="BH129" s="431"/>
      <c r="BI129" s="431"/>
      <c r="BJ129" s="431"/>
      <c r="BK129" s="431"/>
      <c r="BL129" s="431"/>
      <c r="BM129" s="431"/>
      <c r="BN129" s="431"/>
      <c r="BO129" s="431"/>
      <c r="BP129" s="431"/>
      <c r="BQ129" s="431"/>
      <c r="BR129" s="431"/>
      <c r="BS129" s="431"/>
      <c r="BT129" s="431"/>
      <c r="BU129" s="431"/>
      <c r="BV129" s="431"/>
      <c r="BW129" s="431"/>
      <c r="BX129" s="431"/>
      <c r="BY129" s="431"/>
      <c r="BZ129" s="431"/>
      <c r="CA129" s="431"/>
      <c r="CB129" s="431"/>
      <c r="CC129" s="432"/>
      <c r="CD129" s="428"/>
      <c r="CE129" s="433"/>
      <c r="CF129" s="433"/>
      <c r="CG129" s="433"/>
      <c r="CH129" s="433"/>
      <c r="CI129" s="433"/>
      <c r="CJ129" s="433"/>
      <c r="CK129" s="433"/>
      <c r="CL129" s="433"/>
      <c r="CM129" s="433"/>
      <c r="CN129" s="433"/>
      <c r="CO129" s="433"/>
      <c r="CP129" s="433"/>
      <c r="CQ129" s="433"/>
      <c r="CR129" s="433"/>
      <c r="CS129" s="433"/>
      <c r="CT129" s="433"/>
      <c r="CU129" s="433"/>
      <c r="CV129" s="433"/>
      <c r="CW129" s="433"/>
      <c r="CX129" s="433"/>
      <c r="CY129" s="433"/>
      <c r="CZ129" s="433"/>
      <c r="DA129" s="433"/>
      <c r="DB129" s="433"/>
      <c r="DC129" s="433"/>
      <c r="DD129" s="433"/>
      <c r="DE129" s="433"/>
      <c r="DF129" s="433"/>
      <c r="DG129" s="433"/>
      <c r="DH129" s="433"/>
      <c r="DI129" s="433"/>
      <c r="DJ129" s="433"/>
      <c r="DK129" s="433"/>
      <c r="DL129" s="433"/>
      <c r="DM129" s="433"/>
      <c r="DN129" s="433"/>
      <c r="DO129" s="433"/>
      <c r="DP129" s="433"/>
      <c r="DR129" s="409"/>
      <c r="DS129" s="409"/>
    </row>
    <row r="130" spans="2:123" s="1471" customFormat="1">
      <c r="B130" s="428"/>
      <c r="C130" s="429"/>
      <c r="D130" s="429"/>
      <c r="E130" s="429"/>
      <c r="F130" s="429"/>
      <c r="G130" s="429"/>
      <c r="H130" s="429"/>
      <c r="I130" s="429"/>
      <c r="J130" s="429"/>
      <c r="K130" s="429"/>
      <c r="L130" s="429"/>
      <c r="M130" s="429"/>
      <c r="N130" s="429"/>
      <c r="O130" s="429"/>
      <c r="P130" s="429"/>
      <c r="Q130" s="429"/>
      <c r="R130" s="429"/>
      <c r="S130" s="429"/>
      <c r="T130" s="429"/>
      <c r="U130" s="429"/>
      <c r="V130" s="429"/>
      <c r="W130" s="429"/>
      <c r="X130" s="429"/>
      <c r="Y130" s="429"/>
      <c r="Z130" s="429"/>
      <c r="AA130" s="429"/>
      <c r="AB130" s="429"/>
      <c r="AC130" s="429"/>
      <c r="AD130" s="429"/>
      <c r="AE130" s="429"/>
      <c r="AF130" s="429"/>
      <c r="AG130" s="429"/>
      <c r="AH130" s="429"/>
      <c r="AI130" s="429"/>
      <c r="AJ130" s="429"/>
      <c r="AK130" s="429"/>
      <c r="AL130" s="429"/>
      <c r="AM130" s="429"/>
      <c r="AN130" s="429"/>
      <c r="AO130" s="432"/>
      <c r="AP130" s="428"/>
      <c r="AQ130" s="431"/>
      <c r="AR130" s="431"/>
      <c r="AS130" s="431"/>
      <c r="AT130" s="431"/>
      <c r="AU130" s="431"/>
      <c r="AV130" s="431"/>
      <c r="AW130" s="431"/>
      <c r="AX130" s="431"/>
      <c r="AY130" s="431"/>
      <c r="AZ130" s="431"/>
      <c r="BA130" s="431"/>
      <c r="BB130" s="431"/>
      <c r="BC130" s="431"/>
      <c r="BD130" s="431"/>
      <c r="BE130" s="431"/>
      <c r="BF130" s="431"/>
      <c r="BG130" s="431"/>
      <c r="BH130" s="431"/>
      <c r="BI130" s="431"/>
      <c r="BJ130" s="431"/>
      <c r="BK130" s="431"/>
      <c r="BL130" s="431"/>
      <c r="BM130" s="431"/>
      <c r="BN130" s="431"/>
      <c r="BO130" s="431"/>
      <c r="BP130" s="431"/>
      <c r="BQ130" s="431"/>
      <c r="BR130" s="431"/>
      <c r="BS130" s="431"/>
      <c r="BT130" s="431"/>
      <c r="BU130" s="431"/>
      <c r="BV130" s="431"/>
      <c r="BW130" s="431"/>
      <c r="BX130" s="431"/>
      <c r="BY130" s="431"/>
      <c r="BZ130" s="431"/>
      <c r="CA130" s="431"/>
      <c r="CB130" s="431"/>
      <c r="CC130" s="432"/>
      <c r="CD130" s="428"/>
      <c r="CE130" s="433"/>
      <c r="CF130" s="433"/>
      <c r="CG130" s="433"/>
      <c r="CH130" s="433"/>
      <c r="CI130" s="433"/>
      <c r="CJ130" s="433"/>
      <c r="CK130" s="433"/>
      <c r="CL130" s="433"/>
      <c r="CM130" s="433"/>
      <c r="CN130" s="433"/>
      <c r="CO130" s="433"/>
      <c r="CP130" s="433"/>
      <c r="CQ130" s="433"/>
      <c r="CR130" s="433"/>
      <c r="CS130" s="433"/>
      <c r="CT130" s="433"/>
      <c r="CU130" s="433"/>
      <c r="CV130" s="433"/>
      <c r="CW130" s="433"/>
      <c r="CX130" s="433"/>
      <c r="CY130" s="433"/>
      <c r="CZ130" s="433"/>
      <c r="DA130" s="433"/>
      <c r="DB130" s="433"/>
      <c r="DC130" s="433"/>
      <c r="DD130" s="433"/>
      <c r="DE130" s="433"/>
      <c r="DF130" s="433"/>
      <c r="DG130" s="433"/>
      <c r="DH130" s="433"/>
      <c r="DI130" s="433"/>
      <c r="DJ130" s="433"/>
      <c r="DK130" s="433"/>
      <c r="DL130" s="433"/>
      <c r="DM130" s="433"/>
      <c r="DN130" s="433"/>
      <c r="DO130" s="433"/>
      <c r="DP130" s="433"/>
      <c r="DR130" s="409"/>
      <c r="DS130" s="409"/>
    </row>
  </sheetData>
  <conditionalFormatting sqref="B26:DP105 B107:DP130">
    <cfRule type="expression" dxfId="59" priority="19">
      <formula>IF(B26&lt;&gt;B27,TRUE,FALSE)</formula>
    </cfRule>
  </conditionalFormatting>
  <conditionalFormatting sqref="C62:DP74 C27:DP60">
    <cfRule type="expression" dxfId="58" priority="18">
      <formula>IF(ABS(C26/C27-1)&gt;0.01,TRUE,FALSE)</formula>
    </cfRule>
  </conditionalFormatting>
  <conditionalFormatting sqref="B61:DP61">
    <cfRule type="expression" dxfId="57" priority="17">
      <formula>IF(B61&lt;&gt;B62,TRUE,FALSE)</formula>
    </cfRule>
  </conditionalFormatting>
  <conditionalFormatting sqref="C61:DP61">
    <cfRule type="expression" dxfId="56" priority="16">
      <formula>IF(ABS(C60/C61-1)&gt;0.01,TRUE,FALSE)</formula>
    </cfRule>
  </conditionalFormatting>
  <conditionalFormatting sqref="C16">
    <cfRule type="expression" dxfId="55" priority="15">
      <formula>IF(C16&lt;&gt;0,TRUE,FALSE)</formula>
    </cfRule>
  </conditionalFormatting>
  <conditionalFormatting sqref="D16:E16 T16:AN16 G16 I16:R16">
    <cfRule type="expression" dxfId="54" priority="14">
      <formula>IF(D16&lt;&gt;0,TRUE,FALSE)</formula>
    </cfRule>
  </conditionalFormatting>
  <conditionalFormatting sqref="AQ16">
    <cfRule type="expression" dxfId="53" priority="13">
      <formula>IF(AQ16&lt;&gt;0,TRUE,FALSE)</formula>
    </cfRule>
  </conditionalFormatting>
  <conditionalFormatting sqref="AR16:AS16 BH16:CB16 AU16 AW16:BF16">
    <cfRule type="expression" dxfId="52" priority="12">
      <formula>IF(AR16&lt;&gt;0,TRUE,FALSE)</formula>
    </cfRule>
  </conditionalFormatting>
  <conditionalFormatting sqref="CE16">
    <cfRule type="expression" dxfId="51" priority="11">
      <formula>IF(CE16&lt;&gt;0,TRUE,FALSE)</formula>
    </cfRule>
  </conditionalFormatting>
  <conditionalFormatting sqref="CF16:CG16 CV16:DP16 CI16 CK16:CT16">
    <cfRule type="expression" dxfId="50" priority="10">
      <formula>IF(CF16&lt;&gt;0,TRUE,FALSE)</formula>
    </cfRule>
  </conditionalFormatting>
  <conditionalFormatting sqref="S16">
    <cfRule type="expression" dxfId="49" priority="9">
      <formula>IF(S16&lt;&gt;0,TRUE,FALSE)</formula>
    </cfRule>
  </conditionalFormatting>
  <conditionalFormatting sqref="BG16">
    <cfRule type="expression" dxfId="48" priority="8">
      <formula>IF(BG16&lt;&gt;0,TRUE,FALSE)</formula>
    </cfRule>
  </conditionalFormatting>
  <conditionalFormatting sqref="CU16">
    <cfRule type="expression" dxfId="47" priority="7">
      <formula>IF(CU16&lt;&gt;0,TRUE,FALSE)</formula>
    </cfRule>
  </conditionalFormatting>
  <conditionalFormatting sqref="F16">
    <cfRule type="expression" dxfId="46" priority="6">
      <formula>IF(F16&lt;&gt;0,TRUE,FALSE)</formula>
    </cfRule>
  </conditionalFormatting>
  <conditionalFormatting sqref="AT16">
    <cfRule type="expression" dxfId="45" priority="5">
      <formula>IF(AT16&lt;&gt;0,TRUE,FALSE)</formula>
    </cfRule>
  </conditionalFormatting>
  <conditionalFormatting sqref="CH16">
    <cfRule type="expression" dxfId="44" priority="4">
      <formula>IF(CH16&lt;&gt;0,TRUE,FALSE)</formula>
    </cfRule>
  </conditionalFormatting>
  <conditionalFormatting sqref="H16">
    <cfRule type="expression" dxfId="43" priority="3">
      <formula>IF(H16&lt;&gt;0,TRUE,FALSE)</formula>
    </cfRule>
  </conditionalFormatting>
  <conditionalFormatting sqref="AV16">
    <cfRule type="expression" dxfId="42" priority="2">
      <formula>IF(AV16&lt;&gt;0,TRUE,FALSE)</formula>
    </cfRule>
  </conditionalFormatting>
  <conditionalFormatting sqref="CJ16">
    <cfRule type="expression" dxfId="41" priority="1">
      <formula>IF(CJ16&lt;&gt;0,TRUE,FALSE)</formula>
    </cfRule>
  </conditionalFormatting>
  <conditionalFormatting sqref="B106:DP106">
    <cfRule type="expression" dxfId="40" priority="42">
      <formula>IF(B106&lt;&gt;#REF!,TRUE,FALSE)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0017" r:id="rId3" name="Drop Down 1">
              <controlPr defaultSize="0" autoLine="0" autoPict="0">
                <anchor moveWithCells="1">
                  <from>
                    <xdr:col>16</xdr:col>
                    <xdr:colOff>352425</xdr:colOff>
                    <xdr:row>0</xdr:row>
                    <xdr:rowOff>38100</xdr:rowOff>
                  </from>
                  <to>
                    <xdr:col>19</xdr:col>
                    <xdr:colOff>133350</xdr:colOff>
                    <xdr:row>0</xdr:row>
                    <xdr:rowOff>238125</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FF00"/>
  </sheetPr>
  <dimension ref="A1:DS130"/>
  <sheetViews>
    <sheetView topLeftCell="B87" zoomScale="80" zoomScaleNormal="80" workbookViewId="0">
      <selection activeCell="B115" sqref="B115:DS115"/>
    </sheetView>
  </sheetViews>
  <sheetFormatPr defaultRowHeight="12.75"/>
  <cols>
    <col min="1" max="1" width="2.7109375" style="70" customWidth="1"/>
    <col min="2" max="2" width="11.42578125" style="70" customWidth="1"/>
    <col min="3" max="3" width="10.7109375" style="70" bestFit="1" customWidth="1"/>
    <col min="4" max="4" width="12.42578125" style="70" customWidth="1"/>
    <col min="5" max="5" width="9.140625" style="70"/>
    <col min="6" max="6" width="9.140625" style="523"/>
    <col min="7" max="7" width="9.140625" style="70"/>
    <col min="8" max="8" width="9.140625" style="523"/>
    <col min="9" max="12" width="9.140625" style="70"/>
    <col min="13" max="13" width="9.140625" style="70" customWidth="1"/>
    <col min="14" max="14" width="10.5703125" style="70" customWidth="1"/>
    <col min="15" max="18" width="9.140625" style="70"/>
    <col min="19" max="19" width="9.140625" style="523"/>
    <col min="20" max="41" width="9.140625" style="70"/>
    <col min="42" max="42" width="11.42578125" style="70" customWidth="1"/>
    <col min="43" max="45" width="9.140625" style="70"/>
    <col min="46" max="46" width="9.140625" style="523"/>
    <col min="47" max="47" width="9.140625" style="70"/>
    <col min="48" max="48" width="9.140625" style="523"/>
    <col min="49" max="58" width="9.140625" style="70"/>
    <col min="59" max="59" width="9.140625" style="523"/>
    <col min="60" max="80" width="9.140625" style="70"/>
    <col min="81" max="81" width="2.5703125" style="70" customWidth="1"/>
    <col min="82" max="82" width="11.42578125" style="70" customWidth="1"/>
    <col min="83" max="83" width="10.7109375" style="70" customWidth="1"/>
    <col min="84" max="85" width="10" style="70" customWidth="1"/>
    <col min="86" max="86" width="10" style="523" customWidth="1"/>
    <col min="87" max="87" width="10" style="70" customWidth="1"/>
    <col min="88" max="88" width="10" style="523" customWidth="1"/>
    <col min="89" max="91" width="9.42578125" style="70" customWidth="1"/>
    <col min="92" max="92" width="10" style="70" customWidth="1"/>
    <col min="93" max="93" width="9.42578125" style="70" customWidth="1"/>
    <col min="94" max="94" width="10" style="70" customWidth="1"/>
    <col min="95" max="96" width="9.42578125" style="70" customWidth="1"/>
    <col min="97" max="97" width="10" style="70" customWidth="1"/>
    <col min="98" max="98" width="9.42578125" style="70" customWidth="1"/>
    <col min="99" max="99" width="9.42578125" style="523" customWidth="1"/>
    <col min="100" max="100" width="9.5703125" style="70" customWidth="1"/>
    <col min="101" max="108" width="9.42578125" style="70" customWidth="1"/>
    <col min="109" max="112" width="10" style="70" customWidth="1"/>
    <col min="113" max="113" width="11" style="70" customWidth="1"/>
    <col min="114" max="114" width="10" style="70" customWidth="1"/>
    <col min="115" max="117" width="11" style="70" customWidth="1"/>
    <col min="118" max="120" width="9.42578125" style="70" customWidth="1"/>
    <col min="121" max="121" width="2.5703125" style="70" customWidth="1"/>
    <col min="122" max="122" width="9.140625" style="70"/>
    <col min="123" max="123" width="100.7109375" style="70" customWidth="1"/>
    <col min="124" max="16384" width="9.140625" style="70"/>
  </cols>
  <sheetData>
    <row r="1" spans="1:123" s="465" customFormat="1" ht="21">
      <c r="A1" s="465" t="s">
        <v>697</v>
      </c>
      <c r="M1" s="2399">
        <f ca="1">CHOOSE(chosenYear,'Log2015'!$D$4,'Log2020'!$D$4,'Log2035'!$D$4,'Log2050'!$D$4)</f>
        <v>-8.0112614142160741</v>
      </c>
      <c r="N1" s="465">
        <f ca="1">CHOOSE(chosenYear,'Log2015'!$D$5,'Log2020'!$D$5,'Log2035'!$D$5,'Log2050'!$D$5)</f>
        <v>-160807.124977848</v>
      </c>
      <c r="T1" s="468"/>
      <c r="U1" s="2388"/>
      <c r="V1" s="2388"/>
      <c r="W1" s="2388"/>
      <c r="Y1" s="2389"/>
      <c r="AA1" s="2388"/>
      <c r="AC1" s="2389"/>
    </row>
    <row r="2" spans="1:123">
      <c r="A2" s="393" t="s">
        <v>704</v>
      </c>
      <c r="N2" s="70">
        <f ca="1">N1</f>
        <v>-160807.124977848</v>
      </c>
    </row>
    <row r="4" spans="1:123">
      <c r="B4" s="398" t="s">
        <v>706</v>
      </c>
      <c r="C4" s="289" t="s">
        <v>68</v>
      </c>
      <c r="D4" s="400">
        <f ca="1">SUM(C16:AN16)</f>
        <v>1521.3284437564248</v>
      </c>
      <c r="K4" s="323"/>
      <c r="L4" s="323"/>
      <c r="M4" s="65"/>
      <c r="N4" s="65"/>
      <c r="O4" s="65"/>
      <c r="P4" s="65"/>
      <c r="Q4" s="65"/>
      <c r="R4" s="65"/>
      <c r="S4" s="455"/>
      <c r="T4" s="65"/>
      <c r="U4" s="65"/>
      <c r="V4" s="65"/>
      <c r="W4" s="65"/>
    </row>
    <row r="5" spans="1:123">
      <c r="B5" s="399" t="s">
        <v>706</v>
      </c>
      <c r="C5" s="290" t="s">
        <v>7</v>
      </c>
      <c r="D5" s="401">
        <f ca="1">SUM(AQ16:CB16)</f>
        <v>235944.30425000377</v>
      </c>
      <c r="K5" s="323"/>
      <c r="L5" s="323"/>
      <c r="M5" s="65"/>
      <c r="N5" s="65"/>
      <c r="O5" s="65"/>
      <c r="P5" s="65"/>
      <c r="Q5" s="65"/>
      <c r="R5" s="65"/>
      <c r="S5" s="455"/>
      <c r="T5" s="65"/>
      <c r="U5" s="65"/>
      <c r="V5" s="65"/>
      <c r="W5" s="65"/>
    </row>
    <row r="6" spans="1:123">
      <c r="B6" s="399" t="s">
        <v>706</v>
      </c>
      <c r="C6" s="290"/>
      <c r="D6" s="401">
        <f ca="1">D5+D4</f>
        <v>237465.63269376018</v>
      </c>
    </row>
    <row r="10" spans="1:123">
      <c r="B10" s="393"/>
    </row>
    <row r="12" spans="1:123">
      <c r="B12" s="234" t="s">
        <v>698</v>
      </c>
      <c r="C12" s="523"/>
      <c r="D12" s="523"/>
      <c r="E12" s="523"/>
      <c r="G12" s="523"/>
      <c r="I12" s="523"/>
      <c r="J12" s="523"/>
      <c r="K12" s="523"/>
      <c r="L12" s="523"/>
      <c r="M12" s="523"/>
      <c r="N12" s="523"/>
      <c r="O12" s="523"/>
      <c r="P12" s="523"/>
      <c r="Q12" s="523"/>
      <c r="R12" s="523"/>
      <c r="T12" s="523"/>
      <c r="U12" s="523"/>
      <c r="V12" s="523"/>
      <c r="W12" s="523"/>
      <c r="X12" s="523"/>
      <c r="Y12" s="523"/>
      <c r="Z12" s="523"/>
      <c r="AA12" s="523"/>
      <c r="AB12" s="523"/>
      <c r="AC12" s="523"/>
      <c r="AD12" s="523"/>
      <c r="AE12" s="523"/>
      <c r="AF12" s="523"/>
      <c r="AG12" s="523"/>
      <c r="AH12" s="523"/>
      <c r="AI12" s="523"/>
      <c r="AJ12" s="523"/>
      <c r="AK12" s="523"/>
      <c r="AL12" s="523"/>
      <c r="AM12" s="523"/>
      <c r="AN12" s="523"/>
      <c r="AO12" s="523"/>
      <c r="AP12" s="234" t="s">
        <v>700</v>
      </c>
      <c r="AQ12" s="523"/>
      <c r="AR12" s="523"/>
      <c r="AS12" s="523"/>
      <c r="AU12" s="523"/>
      <c r="AW12" s="523"/>
      <c r="AX12" s="523"/>
      <c r="AY12" s="523"/>
      <c r="AZ12" s="523"/>
      <c r="BA12" s="523"/>
      <c r="BB12" s="523"/>
      <c r="BC12" s="523"/>
      <c r="BD12" s="523"/>
      <c r="BE12" s="523"/>
      <c r="BF12" s="523"/>
      <c r="BH12" s="523"/>
      <c r="BI12" s="523"/>
      <c r="BJ12" s="523"/>
      <c r="BK12" s="523"/>
      <c r="BL12" s="523"/>
      <c r="BM12" s="523"/>
      <c r="BN12" s="523"/>
      <c r="BO12" s="523"/>
      <c r="BP12" s="523"/>
      <c r="BQ12" s="523"/>
      <c r="BR12" s="523"/>
      <c r="BS12" s="523"/>
      <c r="BT12" s="523"/>
      <c r="BU12" s="523"/>
      <c r="BV12" s="523"/>
      <c r="BW12" s="523"/>
      <c r="BX12" s="523"/>
      <c r="BY12" s="523"/>
      <c r="BZ12" s="523"/>
      <c r="CA12" s="523"/>
      <c r="CB12" s="523"/>
      <c r="CC12" s="523"/>
      <c r="CD12" s="234" t="s">
        <v>1657</v>
      </c>
      <c r="CE12" s="523"/>
      <c r="CF12" s="523"/>
      <c r="CG12" s="523"/>
      <c r="CI12" s="523"/>
      <c r="CK12" s="523"/>
      <c r="CL12" s="523"/>
      <c r="CM12" s="523"/>
      <c r="CN12" s="523"/>
      <c r="CO12" s="523"/>
      <c r="CP12" s="523"/>
      <c r="CQ12" s="523"/>
      <c r="CR12" s="523"/>
      <c r="CS12" s="523"/>
      <c r="CT12" s="523"/>
      <c r="CV12" s="523"/>
      <c r="CW12" s="523"/>
      <c r="CX12" s="523"/>
      <c r="CY12" s="523"/>
      <c r="CZ12" s="523"/>
      <c r="DA12" s="523"/>
      <c r="DB12" s="523"/>
      <c r="DC12" s="523"/>
      <c r="DD12" s="523"/>
      <c r="DE12" s="523"/>
      <c r="DF12" s="523"/>
      <c r="DG12" s="523"/>
      <c r="DH12" s="523"/>
      <c r="DI12" s="523"/>
      <c r="DJ12" s="523"/>
      <c r="DK12" s="523"/>
      <c r="DL12" s="523"/>
      <c r="DM12" s="523"/>
      <c r="DN12" s="523"/>
      <c r="DO12" s="523"/>
      <c r="DP12" s="523"/>
    </row>
    <row r="13" spans="1:123" ht="62.25" customHeight="1">
      <c r="B13" s="392" t="s">
        <v>690</v>
      </c>
      <c r="C13" s="427" t="str">
        <f ca="1">OFFSET(Vehicles!$F$6,0,COLUMN()-COLUMN($C$13))</f>
        <v>Conv. diesel</v>
      </c>
      <c r="D13" s="427" t="str">
        <f ca="1">OFFSET(Vehicles!$F$6,0,COLUMN()-COLUMN($C$13))</f>
        <v>Conv. gasoline</v>
      </c>
      <c r="E13" s="427" t="str">
        <f ca="1">OFFSET(Vehicles!$F$6,0,COLUMN()-COLUMN($C$13))</f>
        <v>E85-1g</v>
      </c>
      <c r="F13" s="427" t="str">
        <f ca="1">OFFSET(Vehicles!$F$6,0,COLUMN()-COLUMN($C$13))</f>
        <v>E85-1g Sugarb.</v>
      </c>
      <c r="G13" s="427" t="str">
        <f ca="1">OFFSET(Vehicles!$F$6,0,COLUMN()-COLUMN($C$13))</f>
        <v>E85-2g</v>
      </c>
      <c r="H13" s="427" t="str">
        <f ca="1">OFFSET(Vehicles!$F$6,0,COLUMN()-COLUMN($C$13))</f>
        <v>Biodiesel-1g RME</v>
      </c>
      <c r="I13" s="427" t="str">
        <f ca="1">OFFSET(Vehicles!$F$6,0,COLUMN()-COLUMN($C$13))</f>
        <v>Biodiesel-2g</v>
      </c>
      <c r="J13" s="427" t="str">
        <f ca="1">OFFSET(Vehicles!$F$6,0,COLUMN()-COLUMN($C$13))</f>
        <v>DME</v>
      </c>
      <c r="K13" s="427" t="str">
        <f ca="1">OFFSET(Vehicles!$F$6,0,COLUMN()-COLUMN($C$13))</f>
        <v>B-Naturgas</v>
      </c>
      <c r="L13" s="427" t="str">
        <f ca="1">OFFSET(Vehicles!$F$6,0,COLUMN()-COLUMN($C$13))</f>
        <v>Biogas</v>
      </c>
      <c r="M13" s="427" t="str">
        <f ca="1">OFFSET(Vehicles!$F$6,0,COLUMN()-COLUMN($C$13))</f>
        <v>MeOH</v>
      </c>
      <c r="N13" s="427" t="str">
        <f ca="1">OFFSET(Vehicles!$F$6,0,COLUMN()-COLUMN($C$13))</f>
        <v>B-Brint</v>
      </c>
      <c r="O13" s="427" t="str">
        <f ca="1">OFFSET(Vehicles!$F$6,0,COLUMN()-COLUMN($C$13))</f>
        <v>Elbil</v>
      </c>
      <c r="P13" s="427" t="str">
        <f ca="1">OFFSET(Vehicles!$F$6,0,COLUMN()-COLUMN($C$13))</f>
        <v>Plugin Hybrid</v>
      </c>
      <c r="Q13" s="427" t="str">
        <f ca="1">OFFSET(Vehicles!$F$6,0,COLUMN()-COLUMN($C$13))</f>
        <v>Fast Ferry</v>
      </c>
      <c r="R13" s="427" t="str">
        <f ca="1">OFFSET(Vehicles!$F$6,0,COLUMN()-COLUMN($C$13))</f>
        <v>Aircraft Fossil</v>
      </c>
      <c r="S13" s="427" t="str">
        <f ca="1">OFFSET(Vehicles!$F$6,0,COLUMN()-COLUMN($C$13))</f>
        <v>Aircraft Biofuel</v>
      </c>
      <c r="T13" s="427" t="str">
        <f ca="1">OFFSET(Vehicles!$F$6,0,COLUMN()-COLUMN($C$13))</f>
        <v>9000TEU HFO</v>
      </c>
      <c r="U13" s="427" t="str">
        <f ca="1">OFFSET(Vehicles!$F$6,0,COLUMN()-COLUMN($C$13))</f>
        <v>9000TEU Diesel</v>
      </c>
      <c r="V13" s="427" t="str">
        <f ca="1">OFFSET(Vehicles!$F$6,0,COLUMN()-COLUMN($C$13))</f>
        <v>9000TEU BioDiesel</v>
      </c>
      <c r="W13" s="427" t="str">
        <f ca="1">OFFSET(Vehicles!$F$6,0,COLUMN()-COLUMN($C$13))</f>
        <v>9000TEU LNG</v>
      </c>
      <c r="X13" s="427" t="str">
        <f ca="1">OFFSET(Vehicles!$F$6,0,COLUMN()-COLUMN($C$13))</f>
        <v>IC Tog Diesel</v>
      </c>
      <c r="Y13" s="427" t="str">
        <f ca="1">OFFSET(Vehicles!$F$6,0,COLUMN()-COLUMN($C$13))</f>
        <v>IC Tog Biodiesel</v>
      </c>
      <c r="Z13" s="427" t="str">
        <f ca="1">OFFSET(Vehicles!$F$6,0,COLUMN()-COLUMN($C$13))</f>
        <v>IC Tog El</v>
      </c>
      <c r="AA13" s="427" t="str">
        <f ca="1">OFFSET(Vehicles!$F$6,0,COLUMN()-COLUMN($C$13))</f>
        <v>Lokaltog Diesel</v>
      </c>
      <c r="AB13" s="427" t="str">
        <f ca="1">OFFSET(Vehicles!$F$6,0,COLUMN()-COLUMN($C$13))</f>
        <v>Lokaltog biodiesel</v>
      </c>
      <c r="AC13" s="427" t="str">
        <f ca="1">OFFSET(Vehicles!$F$6,0,COLUMN()-COLUMN($C$13))</f>
        <v>Lokaltog Gas</v>
      </c>
      <c r="AD13" s="427" t="str">
        <f ca="1">OFFSET(Vehicles!$F$6,0,COLUMN()-COLUMN($C$13))</f>
        <v>L-Diesel</v>
      </c>
      <c r="AE13" s="427" t="str">
        <f ca="1">OFFSET(Vehicles!$F$6,0,COLUMN()-COLUMN($C$13))</f>
        <v>L-BioDiesel</v>
      </c>
      <c r="AF13" s="427" t="str">
        <f ca="1">OFFSET(Vehicles!$F$6,0,COLUMN()-COLUMN($C$13))</f>
        <v>L-CNG</v>
      </c>
      <c r="AG13" s="427" t="str">
        <f ca="1">OFFSET(Vehicles!$F$6,0,COLUMN()-COLUMN($C$13))</f>
        <v>L-DME</v>
      </c>
      <c r="AH13" s="427" t="str">
        <f ca="1">OFFSET(Vehicles!$F$6,0,COLUMN()-COLUMN($C$13))</f>
        <v>B-Diesel</v>
      </c>
      <c r="AI13" s="427" t="str">
        <f ca="1">OFFSET(Vehicles!$F$6,0,COLUMN()-COLUMN($C$13))</f>
        <v>B-Biodiesel</v>
      </c>
      <c r="AJ13" s="427" t="str">
        <f ca="1">OFFSET(Vehicles!$F$6,0,COLUMN()-COLUMN($C$13))</f>
        <v>B-CNG</v>
      </c>
      <c r="AK13" s="427" t="str">
        <f ca="1">OFFSET(Vehicles!$F$6,0,COLUMN()-COLUMN($C$13))</f>
        <v>B-Hybrid</v>
      </c>
      <c r="AL13" s="427" t="str">
        <f ca="1">OFFSET(Vehicles!$F$6,0,COLUMN()-COLUMN($C$13))</f>
        <v>Fast Ferry - Biodiesel</v>
      </c>
      <c r="AM13" s="427" t="str">
        <f ca="1">OFFSET(Vehicles!$F$6,0,COLUMN()-COLUMN($C$13))</f>
        <v>Ren brint</v>
      </c>
      <c r="AN13" s="427">
        <f ca="1">OFFSET(Vehicles!$F$6,0,COLUMN()-COLUMN($C$13))</f>
        <v>0</v>
      </c>
      <c r="AO13" s="391"/>
      <c r="AP13" s="392" t="s">
        <v>690</v>
      </c>
      <c r="AQ13" s="427" t="str">
        <f t="shared" ref="AQ13:CB13" ca="1" si="0">C13</f>
        <v>Conv. diesel</v>
      </c>
      <c r="AR13" s="427" t="str">
        <f t="shared" ca="1" si="0"/>
        <v>Conv. gasoline</v>
      </c>
      <c r="AS13" s="427" t="str">
        <f t="shared" ca="1" si="0"/>
        <v>E85-1g</v>
      </c>
      <c r="AT13" s="427" t="str">
        <f t="shared" ca="1" si="0"/>
        <v>E85-1g Sugarb.</v>
      </c>
      <c r="AU13" s="427" t="str">
        <f t="shared" ca="1" si="0"/>
        <v>E85-2g</v>
      </c>
      <c r="AV13" s="427" t="str">
        <f t="shared" ca="1" si="0"/>
        <v>Biodiesel-1g RME</v>
      </c>
      <c r="AW13" s="427" t="str">
        <f t="shared" ca="1" si="0"/>
        <v>Biodiesel-2g</v>
      </c>
      <c r="AX13" s="427" t="str">
        <f t="shared" ca="1" si="0"/>
        <v>DME</v>
      </c>
      <c r="AY13" s="427" t="str">
        <f t="shared" ca="1" si="0"/>
        <v>B-Naturgas</v>
      </c>
      <c r="AZ13" s="427" t="str">
        <f t="shared" ca="1" si="0"/>
        <v>Biogas</v>
      </c>
      <c r="BA13" s="427" t="str">
        <f t="shared" ca="1" si="0"/>
        <v>MeOH</v>
      </c>
      <c r="BB13" s="427" t="str">
        <f t="shared" ca="1" si="0"/>
        <v>B-Brint</v>
      </c>
      <c r="BC13" s="427" t="str">
        <f t="shared" ca="1" si="0"/>
        <v>Elbil</v>
      </c>
      <c r="BD13" s="427" t="str">
        <f t="shared" ca="1" si="0"/>
        <v>Plugin Hybrid</v>
      </c>
      <c r="BE13" s="427" t="str">
        <f t="shared" ca="1" si="0"/>
        <v>Fast Ferry</v>
      </c>
      <c r="BF13" s="427" t="str">
        <f t="shared" ca="1" si="0"/>
        <v>Aircraft Fossil</v>
      </c>
      <c r="BG13" s="427" t="str">
        <f t="shared" ca="1" si="0"/>
        <v>Aircraft Biofuel</v>
      </c>
      <c r="BH13" s="427" t="str">
        <f t="shared" ca="1" si="0"/>
        <v>9000TEU HFO</v>
      </c>
      <c r="BI13" s="427" t="str">
        <f t="shared" ca="1" si="0"/>
        <v>9000TEU Diesel</v>
      </c>
      <c r="BJ13" s="427" t="str">
        <f t="shared" ca="1" si="0"/>
        <v>9000TEU BioDiesel</v>
      </c>
      <c r="BK13" s="427" t="str">
        <f t="shared" ca="1" si="0"/>
        <v>9000TEU LNG</v>
      </c>
      <c r="BL13" s="427" t="str">
        <f t="shared" ca="1" si="0"/>
        <v>IC Tog Diesel</v>
      </c>
      <c r="BM13" s="427" t="str">
        <f t="shared" ca="1" si="0"/>
        <v>IC Tog Biodiesel</v>
      </c>
      <c r="BN13" s="427" t="str">
        <f t="shared" ca="1" si="0"/>
        <v>IC Tog El</v>
      </c>
      <c r="BO13" s="427" t="str">
        <f t="shared" ca="1" si="0"/>
        <v>Lokaltog Diesel</v>
      </c>
      <c r="BP13" s="427" t="str">
        <f t="shared" ca="1" si="0"/>
        <v>Lokaltog biodiesel</v>
      </c>
      <c r="BQ13" s="427" t="str">
        <f t="shared" ca="1" si="0"/>
        <v>Lokaltog Gas</v>
      </c>
      <c r="BR13" s="427" t="str">
        <f t="shared" ca="1" si="0"/>
        <v>L-Diesel</v>
      </c>
      <c r="BS13" s="427" t="str">
        <f t="shared" ca="1" si="0"/>
        <v>L-BioDiesel</v>
      </c>
      <c r="BT13" s="427" t="str">
        <f t="shared" ca="1" si="0"/>
        <v>L-CNG</v>
      </c>
      <c r="BU13" s="427" t="str">
        <f t="shared" ca="1" si="0"/>
        <v>L-DME</v>
      </c>
      <c r="BV13" s="427" t="str">
        <f t="shared" ca="1" si="0"/>
        <v>B-Diesel</v>
      </c>
      <c r="BW13" s="427" t="str">
        <f t="shared" ca="1" si="0"/>
        <v>B-Biodiesel</v>
      </c>
      <c r="BX13" s="427" t="str">
        <f t="shared" ca="1" si="0"/>
        <v>B-CNG</v>
      </c>
      <c r="BY13" s="427" t="str">
        <f t="shared" ca="1" si="0"/>
        <v>B-Hybrid</v>
      </c>
      <c r="BZ13" s="427" t="str">
        <f t="shared" ca="1" si="0"/>
        <v>Fast Ferry - Biodiesel</v>
      </c>
      <c r="CA13" s="427" t="str">
        <f t="shared" ca="1" si="0"/>
        <v>Ren brint</v>
      </c>
      <c r="CB13" s="427">
        <f t="shared" ca="1" si="0"/>
        <v>0</v>
      </c>
      <c r="CC13" s="523"/>
      <c r="CD13" s="392" t="s">
        <v>690</v>
      </c>
      <c r="CE13" s="427" t="str">
        <f t="shared" ref="CE13:DP13" ca="1" si="1">AQ13</f>
        <v>Conv. diesel</v>
      </c>
      <c r="CF13" s="427" t="str">
        <f t="shared" ca="1" si="1"/>
        <v>Conv. gasoline</v>
      </c>
      <c r="CG13" s="427" t="str">
        <f t="shared" ca="1" si="1"/>
        <v>E85-1g</v>
      </c>
      <c r="CH13" s="427" t="str">
        <f t="shared" ca="1" si="1"/>
        <v>E85-1g Sugarb.</v>
      </c>
      <c r="CI13" s="427" t="str">
        <f t="shared" ca="1" si="1"/>
        <v>E85-2g</v>
      </c>
      <c r="CJ13" s="427" t="str">
        <f t="shared" ca="1" si="1"/>
        <v>Biodiesel-1g RME</v>
      </c>
      <c r="CK13" s="427" t="str">
        <f t="shared" ca="1" si="1"/>
        <v>Biodiesel-2g</v>
      </c>
      <c r="CL13" s="427" t="str">
        <f t="shared" ca="1" si="1"/>
        <v>DME</v>
      </c>
      <c r="CM13" s="427" t="str">
        <f t="shared" ca="1" si="1"/>
        <v>B-Naturgas</v>
      </c>
      <c r="CN13" s="427" t="str">
        <f t="shared" ca="1" si="1"/>
        <v>Biogas</v>
      </c>
      <c r="CO13" s="427" t="str">
        <f t="shared" ca="1" si="1"/>
        <v>MeOH</v>
      </c>
      <c r="CP13" s="427" t="str">
        <f t="shared" ca="1" si="1"/>
        <v>B-Brint</v>
      </c>
      <c r="CQ13" s="427" t="str">
        <f t="shared" ca="1" si="1"/>
        <v>Elbil</v>
      </c>
      <c r="CR13" s="427" t="str">
        <f t="shared" ca="1" si="1"/>
        <v>Plugin Hybrid</v>
      </c>
      <c r="CS13" s="427" t="str">
        <f t="shared" ca="1" si="1"/>
        <v>Fast Ferry</v>
      </c>
      <c r="CT13" s="427" t="str">
        <f t="shared" ca="1" si="1"/>
        <v>Aircraft Fossil</v>
      </c>
      <c r="CU13" s="427" t="str">
        <f t="shared" ca="1" si="1"/>
        <v>Aircraft Biofuel</v>
      </c>
      <c r="CV13" s="427" t="str">
        <f t="shared" ca="1" si="1"/>
        <v>9000TEU HFO</v>
      </c>
      <c r="CW13" s="427" t="str">
        <f t="shared" ca="1" si="1"/>
        <v>9000TEU Diesel</v>
      </c>
      <c r="CX13" s="427" t="str">
        <f t="shared" ca="1" si="1"/>
        <v>9000TEU BioDiesel</v>
      </c>
      <c r="CY13" s="427" t="str">
        <f t="shared" ca="1" si="1"/>
        <v>9000TEU LNG</v>
      </c>
      <c r="CZ13" s="427" t="str">
        <f t="shared" ca="1" si="1"/>
        <v>IC Tog Diesel</v>
      </c>
      <c r="DA13" s="427" t="str">
        <f t="shared" ca="1" si="1"/>
        <v>IC Tog Biodiesel</v>
      </c>
      <c r="DB13" s="427" t="str">
        <f t="shared" ca="1" si="1"/>
        <v>IC Tog El</v>
      </c>
      <c r="DC13" s="427" t="str">
        <f t="shared" ca="1" si="1"/>
        <v>Lokaltog Diesel</v>
      </c>
      <c r="DD13" s="427" t="str">
        <f t="shared" ca="1" si="1"/>
        <v>Lokaltog biodiesel</v>
      </c>
      <c r="DE13" s="427" t="str">
        <f t="shared" ca="1" si="1"/>
        <v>Lokaltog Gas</v>
      </c>
      <c r="DF13" s="427" t="str">
        <f t="shared" ca="1" si="1"/>
        <v>L-Diesel</v>
      </c>
      <c r="DG13" s="427" t="str">
        <f t="shared" ca="1" si="1"/>
        <v>L-BioDiesel</v>
      </c>
      <c r="DH13" s="427" t="str">
        <f t="shared" ca="1" si="1"/>
        <v>L-CNG</v>
      </c>
      <c r="DI13" s="427" t="str">
        <f t="shared" ca="1" si="1"/>
        <v>L-DME</v>
      </c>
      <c r="DJ13" s="427" t="str">
        <f t="shared" ca="1" si="1"/>
        <v>B-Diesel</v>
      </c>
      <c r="DK13" s="427" t="str">
        <f t="shared" ca="1" si="1"/>
        <v>B-Biodiesel</v>
      </c>
      <c r="DL13" s="427" t="str">
        <f t="shared" ca="1" si="1"/>
        <v>B-CNG</v>
      </c>
      <c r="DM13" s="427" t="str">
        <f t="shared" ca="1" si="1"/>
        <v>B-Hybrid</v>
      </c>
      <c r="DN13" s="427" t="str">
        <f t="shared" ca="1" si="1"/>
        <v>Fast Ferry - Biodiesel</v>
      </c>
      <c r="DO13" s="427" t="str">
        <f t="shared" ca="1" si="1"/>
        <v>Ren brint</v>
      </c>
      <c r="DP13" s="427">
        <f t="shared" ca="1" si="1"/>
        <v>0</v>
      </c>
      <c r="DR13" s="392" t="s">
        <v>709</v>
      </c>
      <c r="DS13" s="404" t="s">
        <v>710</v>
      </c>
    </row>
    <row r="14" spans="1:123">
      <c r="B14" s="394">
        <f ca="1">NOW()</f>
        <v>41897.397369212966</v>
      </c>
      <c r="C14" s="434">
        <f ca="1">IF(C13=0,0,OFFSET(Vehicles!$F$24,0,COLUMN()-COLUMN($C$13)))</f>
        <v>1.470725339012354</v>
      </c>
      <c r="D14" s="434">
        <f ca="1">IF(D13=0,0,OFFSET(Vehicles!$F$24,0,COLUMN()-COLUMN($C$13)))</f>
        <v>1.4854748199882093</v>
      </c>
      <c r="E14" s="434">
        <f ca="1">IF(E13=0,0,OFFSET(Vehicles!$F$24,0,COLUMN()-COLUMN($C$13)))</f>
        <v>1.5857057027759596</v>
      </c>
      <c r="F14" s="434">
        <f ca="1">IF(F13=0,0,OFFSET(Vehicles!$F$24,0,COLUMN()-COLUMN($C$13)))</f>
        <v>1.4571230805536857</v>
      </c>
      <c r="G14" s="434">
        <f ca="1">IF(G13=0,0,OFFSET(Vehicles!$F$24,0,COLUMN()-COLUMN($C$13)))</f>
        <v>1.5444122668469531</v>
      </c>
      <c r="H14" s="434">
        <f ca="1">IF(H13=0,0,OFFSET(Vehicles!$F$24,0,COLUMN()-COLUMN($C$13)))</f>
        <v>1.4749866399349132</v>
      </c>
      <c r="I14" s="434">
        <f ca="1">IF(I13=0,0,OFFSET(Vehicles!$F$24,0,COLUMN()-COLUMN($C$13)))</f>
        <v>1.5401595887982942</v>
      </c>
      <c r="J14" s="434">
        <f ca="1">IF(J13=0,0,OFFSET(Vehicles!$F$24,0,COLUMN()-COLUMN($C$13)))</f>
        <v>1.5581135818536227</v>
      </c>
      <c r="K14" s="434">
        <f ca="1">IF(K13=0,0,OFFSET(Vehicles!$F$24,0,COLUMN()-COLUMN($C$13)))</f>
        <v>1.3864546445612862</v>
      </c>
      <c r="L14" s="434">
        <f ca="1">IF(L13=0,0,OFFSET(Vehicles!$F$24,0,COLUMN()-COLUMN($C$13)))</f>
        <v>1.6296539719899525</v>
      </c>
      <c r="M14" s="434">
        <f ca="1">IF(M13=0,0,OFFSET(Vehicles!$F$24,0,COLUMN()-COLUMN($C$13)))</f>
        <v>1.8158692777681844</v>
      </c>
      <c r="N14" s="434">
        <f ca="1">IF(N13=0,0,OFFSET(Vehicles!$F$24,0,COLUMN()-COLUMN($C$13)))</f>
        <v>1.7693777678709823</v>
      </c>
      <c r="O14" s="434">
        <f ca="1">IF(O13=0,0,OFFSET(Vehicles!$F$24,0,COLUMN()-COLUMN($C$13)))</f>
        <v>1.5031614990571662</v>
      </c>
      <c r="P14" s="434">
        <f ca="1">IF(P13=0,0,OFFSET(Vehicles!$F$24,0,COLUMN()-COLUMN($C$13)))</f>
        <v>1.4311277691880082</v>
      </c>
      <c r="Q14" s="434">
        <f ca="1">IF(Q13=0,0,OFFSET(Vehicles!$F$24,0,COLUMN()-COLUMN($C$13)))</f>
        <v>969.07697429578423</v>
      </c>
      <c r="R14" s="434">
        <f ca="1">IF(R13=0,0,OFFSET(Vehicles!$F$24,0,COLUMN()-COLUMN($C$13)))</f>
        <v>56.70829724251977</v>
      </c>
      <c r="S14" s="434">
        <f ca="1">IF(S13=0,0,OFFSET(Vehicles!$F$24,0,COLUMN()-COLUMN($C$13)))</f>
        <v>62.236896493288555</v>
      </c>
      <c r="T14" s="434">
        <f ca="1">IF(T13=0,0,OFFSET(Vehicles!$F$24,0,COLUMN()-COLUMN($C$13)))</f>
        <v>3729.5721162109244</v>
      </c>
      <c r="U14" s="434">
        <f ca="1">IF(U13=0,0,OFFSET(Vehicles!$F$24,0,COLUMN()-COLUMN($C$13)))</f>
        <v>1804.3946997505116</v>
      </c>
      <c r="V14" s="434">
        <f ca="1">IF(V13=0,0,OFFSET(Vehicles!$F$24,0,COLUMN()-COLUMN($C$13)))</f>
        <v>2082.0786831155383</v>
      </c>
      <c r="W14" s="434">
        <f ca="1">IF(W13=0,0,OFFSET(Vehicles!$F$24,0,COLUMN()-COLUMN($C$13)))</f>
        <v>1075.2454359084275</v>
      </c>
      <c r="X14" s="434">
        <f ca="1">IF(X13=0,0,OFFSET(Vehicles!$F$24,0,COLUMN()-COLUMN($C$13)))</f>
        <v>52.236431661707684</v>
      </c>
      <c r="Y14" s="434">
        <f ca="1">IF(Y13=0,0,OFFSET(Vehicles!$F$24,0,COLUMN()-COLUMN($C$13)))</f>
        <v>53.907663926079785</v>
      </c>
      <c r="Z14" s="434">
        <f ca="1">IF(Z13=0,0,OFFSET(Vehicles!$F$24,0,COLUMN()-COLUMN($C$13)))</f>
        <v>52.784194889146562</v>
      </c>
      <c r="AA14" s="434">
        <f ca="1">IF(AA13=0,0,OFFSET(Vehicles!$F$24,0,COLUMN()-COLUMN($C$13)))</f>
        <v>46.07295682875607</v>
      </c>
      <c r="AB14" s="434">
        <f ca="1">IF(AB13=0,0,OFFSET(Vehicles!$F$24,0,COLUMN()-COLUMN($C$13)))</f>
        <v>47.440328681424155</v>
      </c>
      <c r="AC14" s="434">
        <f ca="1">IF(AC13=0,0,OFFSET(Vehicles!$F$24,0,COLUMN()-COLUMN($C$13)))</f>
        <v>48.579708377593732</v>
      </c>
      <c r="AD14" s="434">
        <f ca="1">IF(AD13=0,0,OFFSET(Vehicles!$F$24,0,COLUMN()-COLUMN($C$13)))</f>
        <v>8.6055674102599848</v>
      </c>
      <c r="AE14" s="434">
        <f ca="1">IF(AE13=0,0,OFFSET(Vehicles!$F$24,0,COLUMN()-COLUMN($C$13)))</f>
        <v>8.7397368719796251</v>
      </c>
      <c r="AF14" s="434">
        <f ca="1">IF(AF13=0,0,OFFSET(Vehicles!$F$24,0,COLUMN()-COLUMN($C$13)))</f>
        <v>8.2930962339881127</v>
      </c>
      <c r="AG14" s="434">
        <f ca="1">IF(AG13=0,0,OFFSET(Vehicles!$F$24,0,COLUMN()-COLUMN($C$13)))</f>
        <v>8.8991791794710018</v>
      </c>
      <c r="AH14" s="434">
        <f ca="1">IF(AH13=0,0,OFFSET(Vehicles!$F$24,0,COLUMN()-COLUMN($C$13)))</f>
        <v>8.4349530668691539</v>
      </c>
      <c r="AI14" s="434">
        <f ca="1">IF(AI13=0,0,OFFSET(Vehicles!$F$24,0,COLUMN()-COLUMN($C$13)))</f>
        <v>8.4852358415485778</v>
      </c>
      <c r="AJ14" s="434">
        <f ca="1">IF(AJ13=0,0,OFFSET(Vehicles!$F$24,0,COLUMN()-COLUMN($C$13)))</f>
        <v>8.2759511224302926</v>
      </c>
      <c r="AK14" s="434">
        <f ca="1">IF(AK13=0,0,OFFSET(Vehicles!$F$24,0,COLUMN()-COLUMN($C$13)))</f>
        <v>9.2110560506352304</v>
      </c>
      <c r="AL14" s="434">
        <f ca="1">IF(AL13=0,0,OFFSET(Vehicles!$F$24,0,COLUMN()-COLUMN($C$13)))</f>
        <v>1148.5070700595998</v>
      </c>
      <c r="AM14" s="434">
        <f ca="1">IF(AM13=0,0,OFFSET(Vehicles!$F$24,0,COLUMN()-COLUMN($C$13)))</f>
        <v>2.0749934702262522</v>
      </c>
      <c r="AN14" s="434">
        <f ca="1">IF(AN13=0,0,OFFSET(Vehicles!$F$24,0,COLUMN()-COLUMN($C$13)))</f>
        <v>0</v>
      </c>
      <c r="AO14" s="523"/>
      <c r="AP14" s="394">
        <f ca="1">B14</f>
        <v>41897.397369212966</v>
      </c>
      <c r="AQ14" s="395">
        <f ca="1">IF(AQ13=0,0,OFFSET(Vehicles!$F$188,0,COLUMN()-COLUMN($AQ13)))</f>
        <v>130.30849928407619</v>
      </c>
      <c r="AR14" s="395">
        <f ca="1">IF(AR13=0,0,OFFSET(Vehicles!$F$188,0,COLUMN()-COLUMN($AQ13)))</f>
        <v>173.36485076842851</v>
      </c>
      <c r="AS14" s="395">
        <f ca="1">IF(AS13=0,0,OFFSET(Vehicles!$F$188,0,COLUMN()-COLUMN($AQ13)))</f>
        <v>656.49203682319421</v>
      </c>
      <c r="AT14" s="395">
        <f ca="1">IF(AT13=0,0,OFFSET(Vehicles!$F$188,0,COLUMN()-COLUMN($AQ13)))</f>
        <v>822.1090351161464</v>
      </c>
      <c r="AU14" s="395">
        <f ca="1">IF(AU13=0,0,OFFSET(Vehicles!$F$188,0,COLUMN()-COLUMN($AQ13)))</f>
        <v>30.800961196343653</v>
      </c>
      <c r="AV14" s="395">
        <f ca="1">IF(AV13=0,0,OFFSET(Vehicles!$F$188,0,COLUMN()-COLUMN($AQ13)))</f>
        <v>545.73459990388676</v>
      </c>
      <c r="AW14" s="395">
        <f ca="1">IF(AW13=0,0,OFFSET(Vehicles!$F$188,0,COLUMN()-COLUMN($AQ13)))</f>
        <v>-44.357441516486432</v>
      </c>
      <c r="AX14" s="395">
        <f ca="1">IF(AX13=0,0,OFFSET(Vehicles!$F$188,0,COLUMN()-COLUMN($AQ13)))</f>
        <v>-47.025624439545666</v>
      </c>
      <c r="AY14" s="395">
        <f ca="1">IF(AY13=0,0,OFFSET(Vehicles!$F$188,0,COLUMN()-COLUMN($AQ13)))</f>
        <v>148.46711957195433</v>
      </c>
      <c r="AZ14" s="395">
        <f ca="1">IF(AZ13=0,0,OFFSET(Vehicles!$F$188,0,COLUMN()-COLUMN($AQ13)))</f>
        <v>-118.74945696650954</v>
      </c>
      <c r="BA14" s="395">
        <f ca="1">IF(BA13=0,0,OFFSET(Vehicles!$F$188,0,COLUMN()-COLUMN($AQ13)))</f>
        <v>-8.1116204832290713</v>
      </c>
      <c r="BB14" s="395">
        <f ca="1">IF(BB13=0,0,OFFSET(Vehicles!$F$188,0,COLUMN()-COLUMN($AQ13)))</f>
        <v>4.243005198355692</v>
      </c>
      <c r="BC14" s="395">
        <f ca="1">IF(BC13=0,0,OFFSET(Vehicles!$F$188,0,COLUMN()-COLUMN($AQ13)))</f>
        <v>2.3500131018202395</v>
      </c>
      <c r="BD14" s="395">
        <f ca="1">IF(BD13=0,0,OFFSET(Vehicles!$F$188,0,COLUMN()-COLUMN($AQ13)))</f>
        <v>99.25718830055304</v>
      </c>
      <c r="BE14" s="395">
        <f ca="1">IF(BE13=0,0,OFFSET(Vehicles!$F$188,0,COLUMN()-COLUMN($AQ13)))</f>
        <v>350298.61560125841</v>
      </c>
      <c r="BF14" s="395">
        <f ca="1">IF(BF13=0,0,OFFSET(Vehicles!$F$188,0,COLUMN()-COLUMN($AQ13)))</f>
        <v>8160.5219186429176</v>
      </c>
      <c r="BG14" s="395">
        <f ca="1">IF(BG13=0,0,OFFSET(Vehicles!$F$188,0,COLUMN()-COLUMN($AQ13)))</f>
        <v>-9019.7786071368864</v>
      </c>
      <c r="BH14" s="395">
        <f ca="1">IF(BH13=0,0,OFFSET(Vehicles!$F$188,0,COLUMN()-COLUMN($AQ13)))</f>
        <v>562273.26292468584</v>
      </c>
      <c r="BI14" s="395">
        <f ca="1">IF(BI13=0,0,OFFSET(Vehicles!$F$188,0,COLUMN()-COLUMN($AQ13)))</f>
        <v>542118.16882409609</v>
      </c>
      <c r="BJ14" s="395">
        <f ca="1">IF(BJ13=0,0,OFFSET(Vehicles!$F$188,0,COLUMN()-COLUMN($AQ13)))</f>
        <v>-191292.0431264916</v>
      </c>
      <c r="BK14" s="395">
        <f ca="1">IF(BK13=0,0,OFFSET(Vehicles!$F$188,0,COLUMN()-COLUMN($AQ13)))</f>
        <v>528613.83067174477</v>
      </c>
      <c r="BL14" s="395">
        <f ca="1">IF(BL13=0,0,OFFSET(Vehicles!$F$188,0,COLUMN()-COLUMN($AQ13)))</f>
        <v>3264.8815206779341</v>
      </c>
      <c r="BM14" s="395">
        <f ca="1">IF(BM13=0,0,OFFSET(Vehicles!$F$188,0,COLUMN()-COLUMN($AQ13)))</f>
        <v>-1152.0474549139462</v>
      </c>
      <c r="BN14" s="395">
        <f ca="1">IF(BN13=0,0,OFFSET(Vehicles!$F$188,0,COLUMN()-COLUMN($AQ13)))</f>
        <v>100.57603941182192</v>
      </c>
      <c r="BO14" s="395">
        <f ca="1">IF(BO13=0,0,OFFSET(Vehicles!$F$188,0,COLUMN()-COLUMN($AQ13)))</f>
        <v>2671.266698736491</v>
      </c>
      <c r="BP14" s="395">
        <f ca="1">IF(BP13=0,0,OFFSET(Vehicles!$F$188,0,COLUMN()-COLUMN($AQ13)))</f>
        <v>-942.58428129322851</v>
      </c>
      <c r="BQ14" s="395">
        <f ca="1">IF(BQ13=0,0,OFFSET(Vehicles!$F$188,0,COLUMN()-COLUMN($AQ13)))</f>
        <v>2385.0901574690902</v>
      </c>
      <c r="BR14" s="395">
        <f ca="1">IF(BR13=0,0,OFFSET(Vehicles!$F$188,0,COLUMN()-COLUMN($AQ13)))</f>
        <v>1183.2686415251512</v>
      </c>
      <c r="BS14" s="395">
        <f ca="1">IF(BS13=0,0,OFFSET(Vehicles!$F$188,0,COLUMN()-COLUMN($AQ13)))</f>
        <v>4944.1121441584437</v>
      </c>
      <c r="BT14" s="395">
        <f ca="1">IF(BT13=0,0,OFFSET(Vehicles!$F$188,0,COLUMN()-COLUMN($AQ13)))</f>
        <v>1205.3277162569384</v>
      </c>
      <c r="BU14" s="395">
        <f ca="1">IF(BU13=0,0,OFFSET(Vehicles!$F$188,0,COLUMN()-COLUMN($AQ13)))</f>
        <v>-398.61279216049684</v>
      </c>
      <c r="BV14" s="395">
        <f ca="1">IF(BV13=0,0,OFFSET(Vehicles!$F$188,0,COLUMN()-COLUMN($AQ13)))</f>
        <v>1247.9778083912533</v>
      </c>
      <c r="BW14" s="395">
        <f ca="1">IF(BW13=0,0,OFFSET(Vehicles!$F$188,0,COLUMN()-COLUMN($AQ13)))</f>
        <v>5221.8434347449474</v>
      </c>
      <c r="BX14" s="395">
        <f ca="1">IF(BX13=0,0,OFFSET(Vehicles!$F$188,0,COLUMN()-COLUMN($AQ13)))</f>
        <v>1299.8312299017655</v>
      </c>
      <c r="BY14" s="395">
        <f ca="1">IF(BY13=0,0,OFFSET(Vehicles!$F$188,0,COLUMN()-COLUMN($AQ13)))</f>
        <v>959.98292953173348</v>
      </c>
      <c r="BZ14" s="395">
        <f ca="1">IF(BZ13=0,0,OFFSET(Vehicles!$F$188,0,COLUMN()-COLUMN($AQ13)))</f>
        <v>-123606.51558330099</v>
      </c>
      <c r="CA14" s="395">
        <f ca="1">IF(CA13=0,0,OFFSET(Vehicles!$F$188,0,COLUMN()-COLUMN($AQ13)))</f>
        <v>7.4868508085085361</v>
      </c>
      <c r="CB14" s="395">
        <f ca="1">IF(CB13=0,0,OFFSET(Vehicles!$F$188,0,COLUMN()-COLUMN($AQ13)))</f>
        <v>0</v>
      </c>
      <c r="CC14" s="523"/>
      <c r="CD14" s="394">
        <f ca="1">B14</f>
        <v>41897.397369212966</v>
      </c>
      <c r="CE14" s="395">
        <f ca="1">IF(CE13=0,0,OFFSET(Vehicles!$F$63,0,COLUMN()-COLUMN($CE13)))</f>
        <v>0.23759628394566742</v>
      </c>
      <c r="CF14" s="395">
        <f ca="1">IF(CF13=0,0,OFFSET(Vehicles!$F$63,0,COLUMN()-COLUMN($CE13)))</f>
        <v>0.16769792432989633</v>
      </c>
      <c r="CG14" s="395">
        <f ca="1">IF(CG13=0,0,OFFSET(Vehicles!$F$63,0,COLUMN()-COLUMN($CE13)))</f>
        <v>0.13923731496982597</v>
      </c>
      <c r="CH14" s="395">
        <f ca="1">IF(CH13=0,0,OFFSET(Vehicles!$F$63,0,COLUMN()-COLUMN($CE13)))</f>
        <v>0.14097114871113556</v>
      </c>
      <c r="CI14" s="395">
        <f ca="1">IF(CI13=0,0,OFFSET(Vehicles!$F$63,0,COLUMN()-COLUMN($CE13)))</f>
        <v>0.12872803566339891</v>
      </c>
      <c r="CJ14" s="395">
        <f ca="1">IF(CJ13=0,0,OFFSET(Vehicles!$F$63,0,COLUMN()-COLUMN($CE13)))</f>
        <v>0.20776980245257207</v>
      </c>
      <c r="CK14" s="395">
        <f ca="1">IF(CK13=0,0,OFFSET(Vehicles!$F$63,0,COLUMN()-COLUMN($CE13)))</f>
        <v>0.20005420011599015</v>
      </c>
      <c r="CL14" s="395">
        <f ca="1">IF(CL13=0,0,OFFSET(Vehicles!$F$63,0,COLUMN()-COLUMN($CE13)))</f>
        <v>0.2150045900352773</v>
      </c>
      <c r="CM14" s="395">
        <f ca="1">IF(CM13=0,0,OFFSET(Vehicles!$F$63,0,COLUMN()-COLUMN($CE13)))</f>
        <v>0.16831539661914319</v>
      </c>
      <c r="CN14" s="395">
        <f ca="1">IF(CN13=0,0,OFFSET(Vehicles!$F$63,0,COLUMN()-COLUMN($CE13)))</f>
        <v>0.15819847757401839</v>
      </c>
      <c r="CO14" s="395">
        <f ca="1">IF(CO13=0,0,OFFSET(Vehicles!$F$63,0,COLUMN()-COLUMN($CE13)))</f>
        <v>0.55351751631068857</v>
      </c>
      <c r="CP14" s="395">
        <f ca="1">IF(CP13=0,0,OFFSET(Vehicles!$F$63,0,COLUMN()-COLUMN($CE13)))</f>
        <v>0.54869968593943474</v>
      </c>
      <c r="CQ14" s="395">
        <f ca="1">IF(CQ13=0,0,OFFSET(Vehicles!$F$63,0,COLUMN()-COLUMN($CE13)))</f>
        <v>0.65414862139188079</v>
      </c>
      <c r="CR14" s="395">
        <f ca="1">IF(CR13=0,0,OFFSET(Vehicles!$F$63,0,COLUMN()-COLUMN($CE13)))</f>
        <v>0.37402054072693969</v>
      </c>
      <c r="CS14" s="395">
        <f ca="1">IF(CS13=0,0,OFFSET(Vehicles!$F$63,0,COLUMN()-COLUMN($CE13)))</f>
        <v>0.37407164929552272</v>
      </c>
      <c r="CT14" s="395">
        <f ca="1">IF(CT13=0,0,OFFSET(Vehicles!$F$63,0,COLUMN()-COLUMN($CE13)))</f>
        <v>0.447221292916757</v>
      </c>
      <c r="CU14" s="395">
        <f ca="1">IF(CU13=0,0,OFFSET(Vehicles!$F$63,0,COLUMN()-COLUMN($CE13)))</f>
        <v>0.3622790598707698</v>
      </c>
      <c r="CV14" s="395">
        <f ca="1">IF(CV13=0,0,OFFSET(Vehicles!$F$63,0,COLUMN()-COLUMN($CE13)))</f>
        <v>0.47428587647615433</v>
      </c>
      <c r="CW14" s="395">
        <f ca="1">IF(CW13=0,0,OFFSET(Vehicles!$F$63,0,COLUMN()-COLUMN($CE13)))</f>
        <v>0.45146578363252743</v>
      </c>
      <c r="CX14" s="395">
        <f ca="1">IF(CX13=0,0,OFFSET(Vehicles!$F$63,0,COLUMN()-COLUMN($CE13)))</f>
        <v>0.38013063472405745</v>
      </c>
      <c r="CY14" s="395">
        <f ca="1">IF(CY13=0,0,OFFSET(Vehicles!$F$63,0,COLUMN()-COLUMN($CE13)))</f>
        <v>0.40611005021873081</v>
      </c>
      <c r="CZ14" s="395">
        <f ca="1">IF(CZ13=0,0,OFFSET(Vehicles!$F$63,0,COLUMN()-COLUMN($CE13)))</f>
        <v>0.29816004259848461</v>
      </c>
      <c r="DA14" s="395">
        <f ca="1">IF(DA13=0,0,OFFSET(Vehicles!$F$63,0,COLUMN()-COLUMN($CE13)))</f>
        <v>0.25104840798869349</v>
      </c>
      <c r="DB14" s="395">
        <f ca="1">IF(DB13=0,0,OFFSET(Vehicles!$F$63,0,COLUMN()-COLUMN($CE13)))</f>
        <v>0.69049021146920753</v>
      </c>
      <c r="DC14" s="395">
        <f ca="1">IF(DC13=0,0,OFFSET(Vehicles!$F$63,0,COLUMN()-COLUMN($CE13)))</f>
        <v>0.29816004259848461</v>
      </c>
      <c r="DD14" s="395">
        <f ca="1">IF(DD13=0,0,OFFSET(Vehicles!$F$63,0,COLUMN()-COLUMN($CE13)))</f>
        <v>0.25104840798869349</v>
      </c>
      <c r="DE14" s="395">
        <f ca="1">IF(DE13=0,0,OFFSET(Vehicles!$F$63,0,COLUMN()-COLUMN($CE13)))</f>
        <v>0.28718003652181961</v>
      </c>
      <c r="DF14" s="395">
        <f ca="1">IF(DF13=0,0,OFFSET(Vehicles!$F$63,0,COLUMN()-COLUMN($CE13)))</f>
        <v>0.37270005324810579</v>
      </c>
      <c r="DG14" s="395">
        <f ca="1">IF(DG13=0,0,OFFSET(Vehicles!$F$63,0,COLUMN()-COLUMN($CE13)))</f>
        <v>0.32591341561187775</v>
      </c>
      <c r="DH14" s="395">
        <f ca="1">IF(DH13=0,0,OFFSET(Vehicles!$F$63,0,COLUMN()-COLUMN($CE13)))</f>
        <v>0.29089665540578735</v>
      </c>
      <c r="DI14" s="395">
        <f ca="1">IF(DI13=0,0,OFFSET(Vehicles!$F$63,0,COLUMN()-COLUMN($CE13)))</f>
        <v>0.33726210201612128</v>
      </c>
      <c r="DJ14" s="395">
        <f ca="1">IF(DJ13=0,0,OFFSET(Vehicles!$F$63,0,COLUMN()-COLUMN($CE13)))</f>
        <v>0.30102696608500845</v>
      </c>
      <c r="DK14" s="395">
        <f ca="1">IF(DK13=0,0,OFFSET(Vehicles!$F$63,0,COLUMN()-COLUMN($CE13)))</f>
        <v>0.26323775876343969</v>
      </c>
      <c r="DL14" s="395">
        <f ca="1">IF(DL13=0,0,OFFSET(Vehicles!$F$63,0,COLUMN()-COLUMN($CE13)))</f>
        <v>0.22790901296842467</v>
      </c>
      <c r="DM14" s="395">
        <f ca="1">IF(DM13=0,0,OFFSET(Vehicles!$F$63,0,COLUMN()-COLUMN($CE13)))</f>
        <v>0.39133505591051104</v>
      </c>
      <c r="DN14" s="395">
        <f ca="1">IF(DN13=0,0,OFFSET(Vehicles!$F$63,0,COLUMN()-COLUMN($CE13)))</f>
        <v>0.31496538305707616</v>
      </c>
      <c r="DO14" s="395">
        <f ca="1">IF(DO13=0,0,OFFSET(Vehicles!$F$63,0,COLUMN()-COLUMN($CE13)))</f>
        <v>0.3139907650936678</v>
      </c>
      <c r="DP14" s="395">
        <f ca="1">IF(DP13=0,0,OFFSET(Vehicles!$F$63,0,COLUMN()-COLUMN($CE13)))</f>
        <v>0</v>
      </c>
      <c r="DR14" s="207">
        <f>'Log2015'!L4</f>
        <v>0</v>
      </c>
      <c r="DS14" s="207">
        <f>'Log2015'!L5</f>
        <v>0</v>
      </c>
    </row>
    <row r="15" spans="1:123" s="523" customFormat="1">
      <c r="B15" s="838">
        <f ca="1">OFFSET(B25,$C$19,0)</f>
        <v>41892.605933680556</v>
      </c>
      <c r="C15" s="839">
        <f ca="1">OFFSET(C25,$C$19,0)</f>
        <v>1.4282732740986048</v>
      </c>
      <c r="D15" s="839">
        <f t="shared" ref="D15:AN15" ca="1" si="2">OFFSET(D25,$C$19,0)</f>
        <v>1.4335251290055739</v>
      </c>
      <c r="E15" s="839">
        <f t="shared" ca="1" si="2"/>
        <v>1.4581087613112591</v>
      </c>
      <c r="F15" s="839">
        <f ca="1">OFFSET(F25,$C$19,0)</f>
        <v>1.3543642446022772</v>
      </c>
      <c r="G15" s="839">
        <f t="shared" ca="1" si="2"/>
        <v>1.4676716952136706</v>
      </c>
      <c r="H15" s="839">
        <f ca="1">OFFSET(H25,$C$19,0)</f>
        <v>1.3919975038002392</v>
      </c>
      <c r="I15" s="839">
        <f t="shared" ca="1" si="2"/>
        <v>1.4530063673524676</v>
      </c>
      <c r="J15" s="839">
        <f t="shared" ca="1" si="2"/>
        <v>1.5092931268905689</v>
      </c>
      <c r="K15" s="839">
        <f t="shared" ca="1" si="2"/>
        <v>1.3770169776863603</v>
      </c>
      <c r="L15" s="839">
        <f t="shared" ca="1" si="2"/>
        <v>1.4966746244406621</v>
      </c>
      <c r="M15" s="839">
        <f t="shared" ca="1" si="2"/>
        <v>1.2409437611541083</v>
      </c>
      <c r="N15" s="839">
        <f t="shared" ca="1" si="2"/>
        <v>1.2142934719598268</v>
      </c>
      <c r="O15" s="839">
        <f t="shared" ca="1" si="2"/>
        <v>1.0341443897409031</v>
      </c>
      <c r="P15" s="839">
        <f t="shared" ca="1" si="2"/>
        <v>1.1837214332143522</v>
      </c>
      <c r="Q15" s="839">
        <f t="shared" ca="1" si="2"/>
        <v>1093.4822084877933</v>
      </c>
      <c r="R15" s="839">
        <f t="shared" ca="1" si="2"/>
        <v>59.64602874631813</v>
      </c>
      <c r="S15" s="839">
        <f ca="1">OFFSET(S25,$C$19,0)</f>
        <v>63.047416086527129</v>
      </c>
      <c r="T15" s="839">
        <f t="shared" ca="1" si="2"/>
        <v>2824.7711457253549</v>
      </c>
      <c r="U15" s="839">
        <f t="shared" ca="1" si="2"/>
        <v>1523.4266619747964</v>
      </c>
      <c r="V15" s="839">
        <f t="shared" ca="1" si="2"/>
        <v>1608.9470428247403</v>
      </c>
      <c r="W15" s="839">
        <f t="shared" ca="1" si="2"/>
        <v>1058.1959297659796</v>
      </c>
      <c r="X15" s="839">
        <f t="shared" ca="1" si="2"/>
        <v>51.765779039482929</v>
      </c>
      <c r="Y15" s="839">
        <f t="shared" ca="1" si="2"/>
        <v>52.456472077847998</v>
      </c>
      <c r="Z15" s="839">
        <f t="shared" ca="1" si="2"/>
        <v>54.267833866431239</v>
      </c>
      <c r="AA15" s="839">
        <f t="shared" ca="1" si="2"/>
        <v>48.405148848701842</v>
      </c>
      <c r="AB15" s="839">
        <f t="shared" ca="1" si="2"/>
        <v>48.970261334636895</v>
      </c>
      <c r="AC15" s="839">
        <f t="shared" ca="1" si="2"/>
        <v>50.696127313735396</v>
      </c>
      <c r="AD15" s="839">
        <f t="shared" ca="1" si="2"/>
        <v>8.5518067592504128</v>
      </c>
      <c r="AE15" s="839">
        <f t="shared" ca="1" si="2"/>
        <v>8.19632747697346</v>
      </c>
      <c r="AF15" s="839">
        <f t="shared" ca="1" si="2"/>
        <v>8.2346947259497441</v>
      </c>
      <c r="AG15" s="839">
        <f t="shared" ca="1" si="2"/>
        <v>8.715282394397823</v>
      </c>
      <c r="AH15" s="839">
        <f t="shared" ca="1" si="2"/>
        <v>8.3003767510986926</v>
      </c>
      <c r="AI15" s="839">
        <f t="shared" ca="1" si="2"/>
        <v>7.8839044251509813</v>
      </c>
      <c r="AJ15" s="839">
        <f t="shared" ca="1" si="2"/>
        <v>8.0754924652078515</v>
      </c>
      <c r="AK15" s="839">
        <f t="shared" ca="1" si="2"/>
        <v>9.1075358077348785</v>
      </c>
      <c r="AL15" s="839">
        <f t="shared" ca="1" si="2"/>
        <v>1174.7246007627934</v>
      </c>
      <c r="AM15" s="839">
        <f t="shared" ca="1" si="2"/>
        <v>1.2740164611112845</v>
      </c>
      <c r="AN15" s="839">
        <f t="shared" ca="1" si="2"/>
        <v>0</v>
      </c>
      <c r="AP15" s="838">
        <f ca="1">B15</f>
        <v>41892.605933680556</v>
      </c>
      <c r="AQ15" s="450">
        <f ca="1">OFFSET(AQ25,$C$19,0)</f>
        <v>93.172247324211824</v>
      </c>
      <c r="AR15" s="450">
        <f t="shared" ref="AR15:CB15" ca="1" si="3">OFFSET(AR25,$C$19,0)</f>
        <v>124.45777257919785</v>
      </c>
      <c r="AS15" s="450">
        <f t="shared" ca="1" si="3"/>
        <v>49.73790599282222</v>
      </c>
      <c r="AT15" s="450">
        <f ca="1">OFFSET(AT25,$C$19,0)</f>
        <v>38.576496243151404</v>
      </c>
      <c r="AU15" s="450">
        <f t="shared" ca="1" si="3"/>
        <v>40.274890860254594</v>
      </c>
      <c r="AV15" s="450">
        <f ca="1">OFFSET(AV25,$C$19,0)</f>
        <v>42.30182163627201</v>
      </c>
      <c r="AW15" s="450">
        <f t="shared" ca="1" si="3"/>
        <v>-4.1447431050655963</v>
      </c>
      <c r="AX15" s="450">
        <f t="shared" ca="1" si="3"/>
        <v>11.402464594714107</v>
      </c>
      <c r="AY15" s="450">
        <f t="shared" ca="1" si="3"/>
        <v>117.21242917456914</v>
      </c>
      <c r="AZ15" s="450">
        <f t="shared" ca="1" si="3"/>
        <v>-86.097740952110485</v>
      </c>
      <c r="BA15" s="450">
        <f t="shared" ca="1" si="3"/>
        <v>2.9991315317028273</v>
      </c>
      <c r="BB15" s="450">
        <f t="shared" ca="1" si="3"/>
        <v>2.2357748924139291</v>
      </c>
      <c r="BC15" s="450">
        <f t="shared" ca="1" si="3"/>
        <v>1.6018704942876465</v>
      </c>
      <c r="BD15" s="450">
        <f t="shared" ca="1" si="3"/>
        <v>79.860069425381681</v>
      </c>
      <c r="BE15" s="450">
        <f t="shared" ca="1" si="3"/>
        <v>350344.2173708409</v>
      </c>
      <c r="BF15" s="450">
        <f t="shared" ca="1" si="3"/>
        <v>8150.6104104205242</v>
      </c>
      <c r="BG15" s="450">
        <f ca="1">OFFSET(BG25,$C$19,0)</f>
        <v>-3649.9383948837135</v>
      </c>
      <c r="BH15" s="450">
        <f t="shared" ca="1" si="3"/>
        <v>383153.50256660447</v>
      </c>
      <c r="BI15" s="450">
        <f t="shared" ca="1" si="3"/>
        <v>368792.32699982385</v>
      </c>
      <c r="BJ15" s="450">
        <f t="shared" ca="1" si="3"/>
        <v>-25240.852417206785</v>
      </c>
      <c r="BK15" s="450">
        <f t="shared" ca="1" si="3"/>
        <v>384509.62807252159</v>
      </c>
      <c r="BL15" s="450">
        <f t="shared" ca="1" si="3"/>
        <v>2982.8575261016122</v>
      </c>
      <c r="BM15" s="450">
        <f t="shared" ca="1" si="3"/>
        <v>-204.15247575886053</v>
      </c>
      <c r="BN15" s="450">
        <f t="shared" ca="1" si="3"/>
        <v>85.058281899025204</v>
      </c>
      <c r="BO15" s="450">
        <f t="shared" ca="1" si="3"/>
        <v>2440.5197940831367</v>
      </c>
      <c r="BP15" s="450">
        <f t="shared" ca="1" si="3"/>
        <v>-167.03384380270407</v>
      </c>
      <c r="BQ15" s="450">
        <f t="shared" ca="1" si="3"/>
        <v>1862.7378583984048</v>
      </c>
      <c r="BR15" s="450">
        <f t="shared" ca="1" si="3"/>
        <v>1075.7064435535742</v>
      </c>
      <c r="BS15" s="450">
        <f t="shared" ca="1" si="3"/>
        <v>482.18257882076693</v>
      </c>
      <c r="BT15" s="450">
        <f t="shared" ca="1" si="3"/>
        <v>1092.6191006612519</v>
      </c>
      <c r="BU15" s="450">
        <f t="shared" ca="1" si="3"/>
        <v>115.25949235862826</v>
      </c>
      <c r="BV15" s="450">
        <f t="shared" ca="1" si="3"/>
        <v>1123.7738024999921</v>
      </c>
      <c r="BW15" s="450">
        <f t="shared" ca="1" si="3"/>
        <v>504.67177781891633</v>
      </c>
      <c r="BX15" s="450">
        <f t="shared" ca="1" si="3"/>
        <v>1138.0481531510704</v>
      </c>
      <c r="BY15" s="450">
        <f t="shared" ca="1" si="3"/>
        <v>864.44138653845528</v>
      </c>
      <c r="BZ15" s="450">
        <f t="shared" ca="1" si="3"/>
        <v>-23978.228500083274</v>
      </c>
      <c r="CA15" s="450">
        <f t="shared" ca="1" si="3"/>
        <v>3.4958075476049197</v>
      </c>
      <c r="CB15" s="450">
        <f t="shared" ca="1" si="3"/>
        <v>0</v>
      </c>
      <c r="CD15" s="838">
        <f ca="1">B15</f>
        <v>41892.605933680556</v>
      </c>
      <c r="CE15" s="450">
        <f ca="1">OFFSET(CE25,$C$19,0)</f>
        <v>0.30887516912936769</v>
      </c>
      <c r="CF15" s="450">
        <f t="shared" ref="CF15:DP15" ca="1" si="4">OFFSET(CF25,$C$19,0)</f>
        <v>0.21465334314226731</v>
      </c>
      <c r="CG15" s="450">
        <f t="shared" ca="1" si="4"/>
        <v>0.17822376316137725</v>
      </c>
      <c r="CH15" s="450">
        <f ca="1">OFFSET(CH25,$C$19,0)</f>
        <v>0.1804430703502535</v>
      </c>
      <c r="CI15" s="450">
        <f t="shared" ca="1" si="4"/>
        <v>0.1647718856491506</v>
      </c>
      <c r="CJ15" s="450">
        <f ca="1">OFFSET(CJ25,$C$19,0)</f>
        <v>0.27010074318834371</v>
      </c>
      <c r="CK15" s="450">
        <f t="shared" ca="1" si="4"/>
        <v>0.26007046015078716</v>
      </c>
      <c r="CL15" s="450">
        <f t="shared" ca="1" si="4"/>
        <v>0.2795059670458605</v>
      </c>
      <c r="CM15" s="450">
        <f t="shared" ca="1" si="4"/>
        <v>0.2017515561404124</v>
      </c>
      <c r="CN15" s="450">
        <f t="shared" ca="1" si="4"/>
        <v>0.20249405129474354</v>
      </c>
      <c r="CO15" s="450">
        <f t="shared" ca="1" si="4"/>
        <v>0.62842859560263786</v>
      </c>
      <c r="CP15" s="450">
        <f t="shared" ca="1" si="4"/>
        <v>0.66510138936101393</v>
      </c>
      <c r="CQ15" s="450">
        <f t="shared" ca="1" si="4"/>
        <v>0.70349513193076929</v>
      </c>
      <c r="CR15" s="450">
        <f t="shared" ca="1" si="4"/>
        <v>0.39067782389425465</v>
      </c>
      <c r="CS15" s="450">
        <f t="shared" ca="1" si="4"/>
        <v>0.37407164929552272</v>
      </c>
      <c r="CT15" s="450">
        <f t="shared" ca="1" si="4"/>
        <v>0.447221292916757</v>
      </c>
      <c r="CU15" s="450">
        <f ca="1">OFFSET(CU25,$C$19,0)</f>
        <v>0.3622790598707698</v>
      </c>
      <c r="CV15" s="450">
        <f t="shared" ca="1" si="4"/>
        <v>0.47428587647615433</v>
      </c>
      <c r="CW15" s="450">
        <f t="shared" ca="1" si="4"/>
        <v>0.45146578363252743</v>
      </c>
      <c r="CX15" s="450">
        <f t="shared" ca="1" si="4"/>
        <v>0.38013063472405745</v>
      </c>
      <c r="CY15" s="450">
        <f t="shared" ca="1" si="4"/>
        <v>0.38191095173995354</v>
      </c>
      <c r="CZ15" s="450">
        <f t="shared" ca="1" si="4"/>
        <v>0.29816004259848461</v>
      </c>
      <c r="DA15" s="450">
        <f t="shared" ca="1" si="4"/>
        <v>0.25104840798869349</v>
      </c>
      <c r="DB15" s="450">
        <f t="shared" ca="1" si="4"/>
        <v>0.742578194815812</v>
      </c>
      <c r="DC15" s="450">
        <f t="shared" ca="1" si="4"/>
        <v>0.29816004259848461</v>
      </c>
      <c r="DD15" s="450">
        <f t="shared" ca="1" si="4"/>
        <v>0.25104840798869349</v>
      </c>
      <c r="DE15" s="450">
        <f t="shared" ca="1" si="4"/>
        <v>0.33514434285463313</v>
      </c>
      <c r="DF15" s="450">
        <f t="shared" ca="1" si="4"/>
        <v>0.40997005857291635</v>
      </c>
      <c r="DG15" s="450">
        <f t="shared" ca="1" si="4"/>
        <v>0.35850475717306551</v>
      </c>
      <c r="DH15" s="450">
        <f t="shared" ca="1" si="4"/>
        <v>0.32111778921197004</v>
      </c>
      <c r="DI15" s="450">
        <f t="shared" ca="1" si="4"/>
        <v>0.37098831221773337</v>
      </c>
      <c r="DJ15" s="450">
        <f t="shared" ca="1" si="4"/>
        <v>0.33543004792329517</v>
      </c>
      <c r="DK15" s="450">
        <f t="shared" ca="1" si="4"/>
        <v>0.29332207405068994</v>
      </c>
      <c r="DL15" s="450">
        <f t="shared" ca="1" si="4"/>
        <v>0.26273273662797553</v>
      </c>
      <c r="DM15" s="450">
        <f t="shared" ca="1" si="4"/>
        <v>0.40997005857291635</v>
      </c>
      <c r="DN15" s="450">
        <f t="shared" ca="1" si="4"/>
        <v>0.31496538305707616</v>
      </c>
      <c r="DO15" s="450">
        <f t="shared" ca="1" si="4"/>
        <v>0.47682248462293253</v>
      </c>
      <c r="DP15" s="450">
        <f t="shared" ca="1" si="4"/>
        <v>0</v>
      </c>
      <c r="DR15" s="455"/>
      <c r="DS15" s="455"/>
    </row>
    <row r="16" spans="1:123">
      <c r="B16" s="396" t="s">
        <v>701</v>
      </c>
      <c r="C16" s="397">
        <f ca="1">C14-C15</f>
        <v>4.2452064913749199E-2</v>
      </c>
      <c r="D16" s="397">
        <f t="shared" ref="D16:AN16" ca="1" si="5">D14-D15</f>
        <v>5.1949690982635355E-2</v>
      </c>
      <c r="E16" s="397">
        <f t="shared" ca="1" si="5"/>
        <v>0.12759694146470046</v>
      </c>
      <c r="F16" s="397">
        <f ca="1">F14-F15</f>
        <v>0.10275883595140844</v>
      </c>
      <c r="G16" s="397">
        <f t="shared" ca="1" si="5"/>
        <v>7.6740571633282517E-2</v>
      </c>
      <c r="H16" s="397">
        <f ca="1">H14-H15</f>
        <v>8.2989136134673958E-2</v>
      </c>
      <c r="I16" s="397">
        <f t="shared" ca="1" si="5"/>
        <v>8.7153221445826601E-2</v>
      </c>
      <c r="J16" s="397">
        <f t="shared" ca="1" si="5"/>
        <v>4.8820454963053761E-2</v>
      </c>
      <c r="K16" s="397">
        <f t="shared" ca="1" si="5"/>
        <v>9.4376668749258652E-3</v>
      </c>
      <c r="L16" s="397">
        <f t="shared" ca="1" si="5"/>
        <v>0.13297934754929042</v>
      </c>
      <c r="M16" s="397">
        <f t="shared" ca="1" si="5"/>
        <v>0.57492551661407609</v>
      </c>
      <c r="N16" s="397">
        <f t="shared" ca="1" si="5"/>
        <v>0.55508429591115549</v>
      </c>
      <c r="O16" s="397">
        <f t="shared" ca="1" si="5"/>
        <v>0.46901710931626317</v>
      </c>
      <c r="P16" s="397">
        <f t="shared" ca="1" si="5"/>
        <v>0.24740633597365602</v>
      </c>
      <c r="Q16" s="397">
        <f t="shared" ca="1" si="5"/>
        <v>-124.40523419200906</v>
      </c>
      <c r="R16" s="397">
        <f t="shared" ca="1" si="5"/>
        <v>-2.9377315037983607</v>
      </c>
      <c r="S16" s="397">
        <f ca="1">S14-S15</f>
        <v>-0.81051959323857403</v>
      </c>
      <c r="T16" s="397">
        <f t="shared" ca="1" si="5"/>
        <v>904.80097048556945</v>
      </c>
      <c r="U16" s="397">
        <f t="shared" ca="1" si="5"/>
        <v>280.96803777571517</v>
      </c>
      <c r="V16" s="397">
        <f t="shared" ca="1" si="5"/>
        <v>473.13164029079803</v>
      </c>
      <c r="W16" s="397">
        <f t="shared" ca="1" si="5"/>
        <v>17.049506142447854</v>
      </c>
      <c r="X16" s="397">
        <f t="shared" ca="1" si="5"/>
        <v>0.47065262222475468</v>
      </c>
      <c r="Y16" s="397">
        <f t="shared" ca="1" si="5"/>
        <v>1.4511918482317867</v>
      </c>
      <c r="Z16" s="397">
        <f t="shared" ca="1" si="5"/>
        <v>-1.4836389772846772</v>
      </c>
      <c r="AA16" s="397">
        <f t="shared" ca="1" si="5"/>
        <v>-2.3321920199457722</v>
      </c>
      <c r="AB16" s="397">
        <f t="shared" ca="1" si="5"/>
        <v>-1.5299326532127395</v>
      </c>
      <c r="AC16" s="397">
        <f t="shared" ca="1" si="5"/>
        <v>-2.1164189361416632</v>
      </c>
      <c r="AD16" s="397">
        <f t="shared" ca="1" si="5"/>
        <v>5.3760651009572058E-2</v>
      </c>
      <c r="AE16" s="397">
        <f t="shared" ca="1" si="5"/>
        <v>0.54340939500616514</v>
      </c>
      <c r="AF16" s="397">
        <f t="shared" ca="1" si="5"/>
        <v>5.8401508038368632E-2</v>
      </c>
      <c r="AG16" s="397">
        <f t="shared" ca="1" si="5"/>
        <v>0.18389678507317875</v>
      </c>
      <c r="AH16" s="397">
        <f t="shared" ca="1" si="5"/>
        <v>0.13457631577046136</v>
      </c>
      <c r="AI16" s="397">
        <f t="shared" ca="1" si="5"/>
        <v>0.60133141639759646</v>
      </c>
      <c r="AJ16" s="397">
        <f t="shared" ca="1" si="5"/>
        <v>0.20045865722244116</v>
      </c>
      <c r="AK16" s="397">
        <f t="shared" ca="1" si="5"/>
        <v>0.10352024290035189</v>
      </c>
      <c r="AL16" s="397">
        <f t="shared" ca="1" si="5"/>
        <v>-26.217530703193688</v>
      </c>
      <c r="AM16" s="397">
        <f t="shared" ca="1" si="5"/>
        <v>0.80097700911496772</v>
      </c>
      <c r="AN16" s="397">
        <f t="shared" ca="1" si="5"/>
        <v>0</v>
      </c>
      <c r="AO16" s="523"/>
      <c r="AP16" s="396" t="s">
        <v>701</v>
      </c>
      <c r="AQ16" s="397">
        <f ca="1">AQ14-AQ15</f>
        <v>37.136251959864367</v>
      </c>
      <c r="AR16" s="397">
        <f t="shared" ref="AR16:CB16" ca="1" si="6">AR14-AR15</f>
        <v>48.90707818923066</v>
      </c>
      <c r="AS16" s="397">
        <f t="shared" ca="1" si="6"/>
        <v>606.75413083037199</v>
      </c>
      <c r="AT16" s="397">
        <f ca="1">AT14-AT15</f>
        <v>783.53253887299502</v>
      </c>
      <c r="AU16" s="397">
        <f t="shared" ca="1" si="6"/>
        <v>-9.4739296639109405</v>
      </c>
      <c r="AV16" s="397">
        <f ca="1">AV14-AV15</f>
        <v>503.43277826761476</v>
      </c>
      <c r="AW16" s="397">
        <f t="shared" ca="1" si="6"/>
        <v>-40.212698411420838</v>
      </c>
      <c r="AX16" s="397">
        <f t="shared" ca="1" si="6"/>
        <v>-58.42808903425977</v>
      </c>
      <c r="AY16" s="397">
        <f t="shared" ca="1" si="6"/>
        <v>31.25469039738519</v>
      </c>
      <c r="AZ16" s="397">
        <f t="shared" ca="1" si="6"/>
        <v>-32.651716014399057</v>
      </c>
      <c r="BA16" s="397">
        <f t="shared" ca="1" si="6"/>
        <v>-11.110752014931899</v>
      </c>
      <c r="BB16" s="397">
        <f t="shared" ca="1" si="6"/>
        <v>2.0072303059417629</v>
      </c>
      <c r="BC16" s="397">
        <f t="shared" ca="1" si="6"/>
        <v>0.74814260753259298</v>
      </c>
      <c r="BD16" s="397">
        <f t="shared" ca="1" si="6"/>
        <v>19.397118875171358</v>
      </c>
      <c r="BE16" s="397">
        <f t="shared" ca="1" si="6"/>
        <v>-45.601769582484849</v>
      </c>
      <c r="BF16" s="397">
        <f t="shared" ca="1" si="6"/>
        <v>9.9115082223934223</v>
      </c>
      <c r="BG16" s="397">
        <f ca="1">BG14-BG15</f>
        <v>-5369.8402122531734</v>
      </c>
      <c r="BH16" s="397">
        <f t="shared" ca="1" si="6"/>
        <v>179119.76035808137</v>
      </c>
      <c r="BI16" s="397">
        <f t="shared" ca="1" si="6"/>
        <v>173325.84182427224</v>
      </c>
      <c r="BJ16" s="397">
        <f t="shared" ca="1" si="6"/>
        <v>-166051.1907092848</v>
      </c>
      <c r="BK16" s="397">
        <f t="shared" ca="1" si="6"/>
        <v>144104.20259922318</v>
      </c>
      <c r="BL16" s="397">
        <f t="shared" ca="1" si="6"/>
        <v>282.02399457632191</v>
      </c>
      <c r="BM16" s="397">
        <f t="shared" ca="1" si="6"/>
        <v>-947.89497915508571</v>
      </c>
      <c r="BN16" s="397">
        <f t="shared" ca="1" si="6"/>
        <v>15.51775751279672</v>
      </c>
      <c r="BO16" s="397">
        <f t="shared" ca="1" si="6"/>
        <v>230.74690465335425</v>
      </c>
      <c r="BP16" s="397">
        <f t="shared" ca="1" si="6"/>
        <v>-775.55043749052447</v>
      </c>
      <c r="BQ16" s="397">
        <f t="shared" ca="1" si="6"/>
        <v>522.35229907068538</v>
      </c>
      <c r="BR16" s="397">
        <f t="shared" ca="1" si="6"/>
        <v>107.56219797157701</v>
      </c>
      <c r="BS16" s="397">
        <f t="shared" ca="1" si="6"/>
        <v>4461.9295653376766</v>
      </c>
      <c r="BT16" s="397">
        <f t="shared" ca="1" si="6"/>
        <v>112.70861559568652</v>
      </c>
      <c r="BU16" s="397">
        <f t="shared" ca="1" si="6"/>
        <v>-513.87228451912506</v>
      </c>
      <c r="BV16" s="397">
        <f t="shared" ca="1" si="6"/>
        <v>124.2040058912612</v>
      </c>
      <c r="BW16" s="397">
        <f t="shared" ca="1" si="6"/>
        <v>4717.1716569260316</v>
      </c>
      <c r="BX16" s="397">
        <f t="shared" ca="1" si="6"/>
        <v>161.78307675069505</v>
      </c>
      <c r="BY16" s="397">
        <f t="shared" ca="1" si="6"/>
        <v>95.541542993278199</v>
      </c>
      <c r="BZ16" s="397">
        <f t="shared" ca="1" si="6"/>
        <v>-99628.287083217714</v>
      </c>
      <c r="CA16" s="397">
        <f t="shared" ca="1" si="6"/>
        <v>3.9910432609036164</v>
      </c>
      <c r="CB16" s="397">
        <f t="shared" ca="1" si="6"/>
        <v>0</v>
      </c>
      <c r="CC16" s="523"/>
      <c r="CD16" s="396" t="s">
        <v>701</v>
      </c>
      <c r="CE16" s="397">
        <f ca="1">CE14-CE15</f>
        <v>-7.1278885183700263E-2</v>
      </c>
      <c r="CF16" s="397">
        <f t="shared" ref="CF16:DP16" ca="1" si="7">CF14-CF15</f>
        <v>-4.6955418812370975E-2</v>
      </c>
      <c r="CG16" s="397">
        <f t="shared" ca="1" si="7"/>
        <v>-3.8986448191551282E-2</v>
      </c>
      <c r="CH16" s="397">
        <f ca="1">CH14-CH15</f>
        <v>-3.9471921639117946E-2</v>
      </c>
      <c r="CI16" s="397">
        <f t="shared" ca="1" si="7"/>
        <v>-3.6043849985751691E-2</v>
      </c>
      <c r="CJ16" s="397">
        <f ca="1">CJ14-CJ15</f>
        <v>-6.2330940735771639E-2</v>
      </c>
      <c r="CK16" s="397">
        <f t="shared" ca="1" si="7"/>
        <v>-6.0016260034797014E-2</v>
      </c>
      <c r="CL16" s="397">
        <f t="shared" ca="1" si="7"/>
        <v>-6.45013770105832E-2</v>
      </c>
      <c r="CM16" s="397">
        <f t="shared" ca="1" si="7"/>
        <v>-3.3436159521269215E-2</v>
      </c>
      <c r="CN16" s="397">
        <f t="shared" ca="1" si="7"/>
        <v>-4.4295573720725151E-2</v>
      </c>
      <c r="CO16" s="397">
        <f t="shared" ca="1" si="7"/>
        <v>-7.491107929194929E-2</v>
      </c>
      <c r="CP16" s="397">
        <f t="shared" ca="1" si="7"/>
        <v>-0.11640170342157918</v>
      </c>
      <c r="CQ16" s="397">
        <f t="shared" ca="1" si="7"/>
        <v>-4.9346510538888499E-2</v>
      </c>
      <c r="CR16" s="397">
        <f t="shared" ca="1" si="7"/>
        <v>-1.6657283167314962E-2</v>
      </c>
      <c r="CS16" s="397">
        <f t="shared" ca="1" si="7"/>
        <v>0</v>
      </c>
      <c r="CT16" s="397">
        <f t="shared" ca="1" si="7"/>
        <v>0</v>
      </c>
      <c r="CU16" s="397">
        <f ca="1">CU14-CU15</f>
        <v>0</v>
      </c>
      <c r="CV16" s="397">
        <f t="shared" ca="1" si="7"/>
        <v>0</v>
      </c>
      <c r="CW16" s="397">
        <f t="shared" ca="1" si="7"/>
        <v>0</v>
      </c>
      <c r="CX16" s="397">
        <f t="shared" ca="1" si="7"/>
        <v>0</v>
      </c>
      <c r="CY16" s="397">
        <f t="shared" ca="1" si="7"/>
        <v>2.419909847877727E-2</v>
      </c>
      <c r="CZ16" s="397">
        <f t="shared" ca="1" si="7"/>
        <v>0</v>
      </c>
      <c r="DA16" s="397">
        <f t="shared" ca="1" si="7"/>
        <v>0</v>
      </c>
      <c r="DB16" s="397">
        <f t="shared" ca="1" si="7"/>
        <v>-5.2087983346604472E-2</v>
      </c>
      <c r="DC16" s="397">
        <f t="shared" ca="1" si="7"/>
        <v>0</v>
      </c>
      <c r="DD16" s="397">
        <f t="shared" ca="1" si="7"/>
        <v>0</v>
      </c>
      <c r="DE16" s="397">
        <f t="shared" ca="1" si="7"/>
        <v>-4.7964306332813511E-2</v>
      </c>
      <c r="DF16" s="397">
        <f t="shared" ca="1" si="7"/>
        <v>-3.7270005324810562E-2</v>
      </c>
      <c r="DG16" s="397">
        <f t="shared" ca="1" si="7"/>
        <v>-3.2591341561187759E-2</v>
      </c>
      <c r="DH16" s="397">
        <f t="shared" ca="1" si="7"/>
        <v>-3.0221133806182687E-2</v>
      </c>
      <c r="DI16" s="397">
        <f t="shared" ca="1" si="7"/>
        <v>-3.3726210201612095E-2</v>
      </c>
      <c r="DJ16" s="397">
        <f t="shared" ca="1" si="7"/>
        <v>-3.440308183828672E-2</v>
      </c>
      <c r="DK16" s="397">
        <f t="shared" ca="1" si="7"/>
        <v>-3.0084315287250252E-2</v>
      </c>
      <c r="DL16" s="397">
        <f t="shared" ca="1" si="7"/>
        <v>-3.4823723659550859E-2</v>
      </c>
      <c r="DM16" s="397">
        <f t="shared" ca="1" si="7"/>
        <v>-1.8635002662405309E-2</v>
      </c>
      <c r="DN16" s="397">
        <f t="shared" ca="1" si="7"/>
        <v>0</v>
      </c>
      <c r="DO16" s="397">
        <f t="shared" ca="1" si="7"/>
        <v>-0.16283171952926473</v>
      </c>
      <c r="DP16" s="397">
        <f t="shared" ca="1" si="7"/>
        <v>0</v>
      </c>
    </row>
    <row r="19" spans="2:123">
      <c r="B19" s="410" t="s">
        <v>702</v>
      </c>
      <c r="C19" s="1240">
        <f>COUNT($B$26:$B$130)</f>
        <v>90</v>
      </c>
      <c r="D19" s="412"/>
      <c r="E19" s="412"/>
      <c r="F19" s="412"/>
      <c r="G19" s="412"/>
      <c r="H19" s="412"/>
      <c r="I19" s="412"/>
      <c r="J19" s="412"/>
      <c r="K19" s="412"/>
      <c r="L19" s="412"/>
      <c r="M19" s="412"/>
      <c r="N19" s="412"/>
      <c r="O19" s="412"/>
      <c r="P19" s="412"/>
      <c r="Q19" s="412"/>
      <c r="R19" s="412"/>
      <c r="S19" s="412"/>
      <c r="T19" s="412"/>
      <c r="U19" s="412"/>
      <c r="V19" s="412"/>
      <c r="W19" s="412"/>
      <c r="X19" s="412"/>
      <c r="Y19" s="412"/>
      <c r="Z19" s="412"/>
      <c r="AA19" s="412"/>
      <c r="AB19" s="412"/>
      <c r="AC19" s="412"/>
      <c r="AD19" s="412"/>
      <c r="AE19" s="412"/>
      <c r="AF19" s="412"/>
      <c r="AG19" s="412"/>
      <c r="AH19" s="412"/>
      <c r="AI19" s="412"/>
      <c r="AJ19" s="412"/>
      <c r="AK19" s="412"/>
      <c r="AL19" s="412"/>
      <c r="AM19" s="412"/>
      <c r="AN19" s="412"/>
      <c r="AP19" s="410"/>
      <c r="AQ19" s="412"/>
      <c r="AR19" s="412"/>
      <c r="AS19" s="412"/>
      <c r="AT19" s="412"/>
      <c r="AU19" s="412"/>
      <c r="AV19" s="412"/>
      <c r="AW19" s="412"/>
      <c r="AX19" s="412"/>
      <c r="AY19" s="412"/>
      <c r="AZ19" s="412"/>
      <c r="BA19" s="412"/>
      <c r="BB19" s="412"/>
      <c r="BC19" s="412"/>
      <c r="BD19" s="412"/>
      <c r="BE19" s="412"/>
      <c r="BF19" s="412"/>
      <c r="BG19" s="412"/>
      <c r="BH19" s="412"/>
      <c r="BI19" s="412"/>
      <c r="BJ19" s="412"/>
      <c r="BK19" s="412"/>
      <c r="BL19" s="412"/>
      <c r="BM19" s="412"/>
      <c r="BN19" s="412"/>
      <c r="BO19" s="412"/>
      <c r="BP19" s="412"/>
      <c r="BQ19" s="412"/>
      <c r="BR19" s="412"/>
      <c r="BS19" s="412"/>
      <c r="BT19" s="412"/>
      <c r="BU19" s="412"/>
      <c r="BV19" s="412"/>
      <c r="BW19" s="412"/>
      <c r="BX19" s="412"/>
      <c r="BY19" s="412"/>
      <c r="BZ19" s="412"/>
      <c r="CA19" s="412"/>
      <c r="CB19" s="412"/>
      <c r="CD19" s="410"/>
      <c r="CE19" s="415"/>
      <c r="CF19" s="415"/>
      <c r="CG19" s="415"/>
      <c r="CH19" s="415"/>
      <c r="CI19" s="415"/>
      <c r="CJ19" s="415"/>
      <c r="CK19" s="415"/>
      <c r="CL19" s="415"/>
      <c r="CM19" s="415"/>
      <c r="CN19" s="415"/>
      <c r="CO19" s="415"/>
      <c r="CP19" s="415"/>
      <c r="CQ19" s="415"/>
      <c r="CR19" s="415"/>
      <c r="CS19" s="415"/>
      <c r="CT19" s="415"/>
      <c r="CU19" s="415"/>
      <c r="CV19" s="415"/>
      <c r="CW19" s="415"/>
      <c r="CX19" s="415"/>
      <c r="CY19" s="415"/>
      <c r="CZ19" s="415"/>
      <c r="DA19" s="415"/>
      <c r="DB19" s="415"/>
      <c r="DC19" s="415"/>
      <c r="DD19" s="415"/>
      <c r="DE19" s="415"/>
      <c r="DF19" s="415"/>
      <c r="DG19" s="415"/>
      <c r="DH19" s="415"/>
      <c r="DI19" s="415"/>
      <c r="DJ19" s="415"/>
      <c r="DK19" s="415"/>
      <c r="DL19" s="415"/>
      <c r="DM19" s="415"/>
      <c r="DN19" s="415"/>
      <c r="DO19" s="415"/>
      <c r="DP19" s="415"/>
    </row>
    <row r="20" spans="2:123">
      <c r="AQ20" s="296"/>
      <c r="AR20" s="296"/>
      <c r="AS20" s="296"/>
      <c r="AT20" s="296"/>
      <c r="AU20" s="296"/>
      <c r="AV20" s="296"/>
      <c r="AW20" s="296"/>
      <c r="AX20" s="296"/>
      <c r="AY20" s="296"/>
      <c r="AZ20" s="296"/>
      <c r="BA20" s="296"/>
      <c r="BB20" s="296"/>
      <c r="BC20" s="296"/>
      <c r="BD20" s="296"/>
      <c r="BE20" s="296"/>
      <c r="BF20" s="296"/>
      <c r="BG20" s="296"/>
      <c r="BH20" s="296"/>
      <c r="BI20" s="296"/>
      <c r="BJ20" s="296"/>
      <c r="BK20" s="296"/>
      <c r="BL20" s="296"/>
      <c r="BM20" s="296"/>
      <c r="BN20" s="296"/>
      <c r="BO20" s="296"/>
      <c r="BP20" s="296"/>
      <c r="BQ20" s="296"/>
      <c r="BR20" s="296"/>
      <c r="BS20" s="296"/>
      <c r="BT20" s="296"/>
      <c r="BU20" s="296"/>
      <c r="BV20" s="296"/>
      <c r="BW20" s="296"/>
      <c r="BX20" s="296"/>
      <c r="BY20" s="296"/>
      <c r="BZ20" s="296"/>
      <c r="CA20" s="296"/>
      <c r="CB20" s="296"/>
      <c r="CE20" s="296"/>
      <c r="CF20" s="296"/>
      <c r="CG20" s="296"/>
      <c r="CH20" s="296"/>
      <c r="CI20" s="296"/>
      <c r="CJ20" s="296"/>
      <c r="CK20" s="296"/>
      <c r="CL20" s="296"/>
      <c r="CM20" s="296"/>
      <c r="CN20" s="296"/>
      <c r="CO20" s="296"/>
      <c r="CP20" s="296"/>
      <c r="CQ20" s="296"/>
      <c r="CR20" s="296"/>
      <c r="CS20" s="296"/>
      <c r="CT20" s="296"/>
      <c r="CU20" s="296"/>
      <c r="CV20" s="296"/>
      <c r="CW20" s="296"/>
      <c r="CX20" s="296"/>
      <c r="CY20" s="296"/>
      <c r="CZ20" s="296"/>
      <c r="DA20" s="296"/>
      <c r="DB20" s="296"/>
      <c r="DC20" s="296"/>
      <c r="DD20" s="296"/>
      <c r="DE20" s="296"/>
      <c r="DF20" s="296"/>
      <c r="DG20" s="296"/>
      <c r="DH20" s="296"/>
      <c r="DI20" s="296"/>
      <c r="DJ20" s="296"/>
      <c r="DK20" s="296"/>
      <c r="DL20" s="296"/>
      <c r="DM20" s="296"/>
      <c r="DN20" s="296"/>
      <c r="DO20" s="296"/>
      <c r="DP20" s="296"/>
    </row>
    <row r="21" spans="2:123">
      <c r="AQ21" s="411"/>
      <c r="AR21" s="411"/>
      <c r="AS21" s="411"/>
      <c r="AT21" s="411"/>
      <c r="AU21" s="411"/>
      <c r="AV21" s="411"/>
      <c r="AW21" s="411"/>
      <c r="AX21" s="411"/>
      <c r="AY21" s="411"/>
      <c r="AZ21" s="411"/>
      <c r="BA21" s="411"/>
      <c r="BB21" s="411"/>
      <c r="BC21" s="411"/>
      <c r="BD21" s="411"/>
      <c r="BE21" s="411"/>
      <c r="BF21" s="411"/>
      <c r="BG21" s="411"/>
      <c r="BH21" s="411"/>
      <c r="BI21" s="411"/>
      <c r="BJ21" s="411"/>
      <c r="BK21" s="411"/>
      <c r="BL21" s="411"/>
      <c r="BM21" s="411"/>
      <c r="BN21" s="411"/>
      <c r="BO21" s="411"/>
      <c r="BP21" s="411"/>
      <c r="BQ21" s="411"/>
      <c r="BR21" s="411"/>
      <c r="BS21" s="411"/>
      <c r="BT21" s="411"/>
      <c r="BU21" s="411"/>
      <c r="BV21" s="411"/>
      <c r="BW21" s="411"/>
      <c r="BX21" s="411"/>
      <c r="BY21" s="411"/>
      <c r="BZ21" s="411"/>
      <c r="CA21" s="411"/>
      <c r="CB21" s="411"/>
      <c r="CE21" s="411"/>
      <c r="CF21" s="411"/>
      <c r="CG21" s="411"/>
      <c r="CH21" s="411"/>
      <c r="CI21" s="411"/>
      <c r="CJ21" s="411"/>
      <c r="CK21" s="411"/>
      <c r="CL21" s="411"/>
      <c r="CM21" s="411"/>
      <c r="CN21" s="411"/>
      <c r="CO21" s="411"/>
      <c r="CP21" s="411"/>
      <c r="CQ21" s="411"/>
      <c r="CR21" s="411"/>
      <c r="CS21" s="411"/>
      <c r="CT21" s="411"/>
      <c r="CU21" s="411"/>
      <c r="CV21" s="411"/>
      <c r="CW21" s="411"/>
      <c r="CX21" s="411"/>
      <c r="CY21" s="411"/>
      <c r="CZ21" s="411"/>
      <c r="DA21" s="411"/>
      <c r="DB21" s="411"/>
      <c r="DC21" s="411"/>
      <c r="DD21" s="411"/>
      <c r="DE21" s="411"/>
      <c r="DF21" s="411"/>
      <c r="DG21" s="411"/>
      <c r="DH21" s="411"/>
      <c r="DI21" s="411"/>
      <c r="DJ21" s="411"/>
      <c r="DK21" s="411"/>
      <c r="DL21" s="411"/>
      <c r="DM21" s="411"/>
      <c r="DN21" s="411"/>
      <c r="DO21" s="411"/>
      <c r="DP21" s="411"/>
    </row>
    <row r="22" spans="2:123">
      <c r="AQ22" s="302"/>
      <c r="AR22" s="302"/>
      <c r="AS22" s="302"/>
      <c r="AT22" s="302"/>
      <c r="AU22" s="302"/>
      <c r="AV22" s="302"/>
      <c r="AW22" s="302"/>
      <c r="AX22" s="302"/>
      <c r="AY22" s="302"/>
      <c r="AZ22" s="302"/>
      <c r="BA22" s="302"/>
      <c r="BB22" s="302"/>
      <c r="BC22" s="302"/>
      <c r="BD22" s="302"/>
      <c r="BE22" s="302"/>
      <c r="BF22" s="302"/>
      <c r="BG22" s="302"/>
      <c r="BH22" s="302"/>
      <c r="BI22" s="302"/>
      <c r="BJ22" s="302"/>
      <c r="BK22" s="302"/>
      <c r="BL22" s="302"/>
      <c r="BM22" s="302"/>
      <c r="BN22" s="302"/>
      <c r="BO22" s="302"/>
      <c r="BP22" s="302"/>
      <c r="BQ22" s="302"/>
      <c r="BR22" s="302"/>
      <c r="BS22" s="302"/>
      <c r="BT22" s="302"/>
      <c r="BU22" s="302"/>
      <c r="BV22" s="302"/>
      <c r="BW22" s="302"/>
      <c r="BX22" s="302"/>
      <c r="BY22" s="302"/>
      <c r="CE22" s="302"/>
      <c r="CF22" s="302"/>
      <c r="CG22" s="302"/>
      <c r="CH22" s="302"/>
      <c r="CI22" s="302"/>
      <c r="CJ22" s="302"/>
      <c r="CK22" s="302"/>
      <c r="CL22" s="302"/>
      <c r="CM22" s="302"/>
      <c r="CN22" s="302"/>
      <c r="CO22" s="302"/>
      <c r="CP22" s="302"/>
      <c r="CQ22" s="302"/>
      <c r="CR22" s="302"/>
      <c r="CS22" s="302"/>
      <c r="CT22" s="302"/>
      <c r="CU22" s="302"/>
      <c r="CV22" s="302"/>
      <c r="CW22" s="302"/>
      <c r="CX22" s="302"/>
      <c r="CY22" s="302"/>
      <c r="CZ22" s="302"/>
      <c r="DA22" s="302"/>
      <c r="DB22" s="302"/>
      <c r="DC22" s="302"/>
      <c r="DD22" s="302"/>
      <c r="DE22" s="302"/>
      <c r="DF22" s="302"/>
      <c r="DG22" s="302"/>
      <c r="DH22" s="302"/>
      <c r="DI22" s="302"/>
      <c r="DJ22" s="302"/>
      <c r="DK22" s="302"/>
      <c r="DL22" s="302"/>
      <c r="DM22" s="302"/>
    </row>
    <row r="24" spans="2:123">
      <c r="B24" s="87" t="s">
        <v>699</v>
      </c>
      <c r="J24" s="393"/>
      <c r="AP24" s="87" t="s">
        <v>700</v>
      </c>
      <c r="CD24" s="87" t="s">
        <v>700</v>
      </c>
    </row>
    <row r="25" spans="2:123" ht="39" customHeight="1">
      <c r="B25" s="427" t="s">
        <v>690</v>
      </c>
      <c r="C25" s="427" t="str">
        <f ca="1">C13</f>
        <v>Conv. diesel</v>
      </c>
      <c r="D25" s="427" t="str">
        <f t="shared" ref="D25:BU25" ca="1" si="8">D13</f>
        <v>Conv. gasoline</v>
      </c>
      <c r="E25" s="427" t="str">
        <f t="shared" ca="1" si="8"/>
        <v>E85-1g</v>
      </c>
      <c r="F25" s="427" t="str">
        <f ca="1">F13</f>
        <v>E85-1g Sugarb.</v>
      </c>
      <c r="G25" s="427" t="str">
        <f t="shared" ca="1" si="8"/>
        <v>E85-2g</v>
      </c>
      <c r="H25" s="427" t="str">
        <f ca="1">H13</f>
        <v>Biodiesel-1g RME</v>
      </c>
      <c r="I25" s="427" t="str">
        <f t="shared" ca="1" si="8"/>
        <v>Biodiesel-2g</v>
      </c>
      <c r="J25" s="427" t="str">
        <f t="shared" ca="1" si="8"/>
        <v>DME</v>
      </c>
      <c r="K25" s="427" t="str">
        <f t="shared" ca="1" si="8"/>
        <v>B-Naturgas</v>
      </c>
      <c r="L25" s="427" t="str">
        <f t="shared" ca="1" si="8"/>
        <v>Biogas</v>
      </c>
      <c r="M25" s="427" t="str">
        <f t="shared" ca="1" si="8"/>
        <v>MeOH</v>
      </c>
      <c r="N25" s="427" t="str">
        <f t="shared" ca="1" si="8"/>
        <v>B-Brint</v>
      </c>
      <c r="O25" s="427" t="str">
        <f t="shared" ca="1" si="8"/>
        <v>Elbil</v>
      </c>
      <c r="P25" s="427" t="str">
        <f t="shared" ca="1" si="8"/>
        <v>Plugin Hybrid</v>
      </c>
      <c r="Q25" s="427" t="str">
        <f t="shared" ca="1" si="8"/>
        <v>Fast Ferry</v>
      </c>
      <c r="R25" s="427" t="str">
        <f t="shared" ca="1" si="8"/>
        <v>Aircraft Fossil</v>
      </c>
      <c r="S25" s="427" t="str">
        <f ca="1">S13</f>
        <v>Aircraft Biofuel</v>
      </c>
      <c r="T25" s="427" t="str">
        <f t="shared" ca="1" si="8"/>
        <v>9000TEU HFO</v>
      </c>
      <c r="U25" s="427" t="str">
        <f t="shared" ca="1" si="8"/>
        <v>9000TEU Diesel</v>
      </c>
      <c r="V25" s="427" t="str">
        <f t="shared" ca="1" si="8"/>
        <v>9000TEU BioDiesel</v>
      </c>
      <c r="W25" s="427" t="str">
        <f t="shared" ca="1" si="8"/>
        <v>9000TEU LNG</v>
      </c>
      <c r="X25" s="427" t="str">
        <f t="shared" ca="1" si="8"/>
        <v>IC Tog Diesel</v>
      </c>
      <c r="Y25" s="427" t="str">
        <f t="shared" ca="1" si="8"/>
        <v>IC Tog Biodiesel</v>
      </c>
      <c r="Z25" s="427" t="str">
        <f t="shared" ca="1" si="8"/>
        <v>IC Tog El</v>
      </c>
      <c r="AA25" s="427" t="str">
        <f t="shared" ca="1" si="8"/>
        <v>Lokaltog Diesel</v>
      </c>
      <c r="AB25" s="427" t="str">
        <f t="shared" ca="1" si="8"/>
        <v>Lokaltog biodiesel</v>
      </c>
      <c r="AC25" s="427" t="str">
        <f t="shared" ca="1" si="8"/>
        <v>Lokaltog Gas</v>
      </c>
      <c r="AD25" s="427" t="str">
        <f t="shared" ca="1" si="8"/>
        <v>L-Diesel</v>
      </c>
      <c r="AE25" s="427" t="str">
        <f t="shared" ca="1" si="8"/>
        <v>L-BioDiesel</v>
      </c>
      <c r="AF25" s="427" t="str">
        <f t="shared" ca="1" si="8"/>
        <v>L-CNG</v>
      </c>
      <c r="AG25" s="427" t="str">
        <f t="shared" ca="1" si="8"/>
        <v>L-DME</v>
      </c>
      <c r="AH25" s="427" t="str">
        <f t="shared" ca="1" si="8"/>
        <v>B-Diesel</v>
      </c>
      <c r="AI25" s="427" t="str">
        <f t="shared" ca="1" si="8"/>
        <v>B-Biodiesel</v>
      </c>
      <c r="AJ25" s="427" t="str">
        <f t="shared" ca="1" si="8"/>
        <v>B-CNG</v>
      </c>
      <c r="AK25" s="427" t="str">
        <f t="shared" ca="1" si="8"/>
        <v>B-Hybrid</v>
      </c>
      <c r="AL25" s="427" t="str">
        <f t="shared" ca="1" si="8"/>
        <v>Fast Ferry - Biodiesel</v>
      </c>
      <c r="AM25" s="427" t="str">
        <f t="shared" ca="1" si="8"/>
        <v>Ren brint</v>
      </c>
      <c r="AN25" s="427">
        <f t="shared" ca="1" si="8"/>
        <v>0</v>
      </c>
      <c r="AO25" s="427">
        <f t="shared" si="8"/>
        <v>0</v>
      </c>
      <c r="AP25" s="427" t="str">
        <f t="shared" si="8"/>
        <v>Dato</v>
      </c>
      <c r="AQ25" s="427" t="str">
        <f t="shared" ca="1" si="8"/>
        <v>Conv. diesel</v>
      </c>
      <c r="AR25" s="427" t="str">
        <f t="shared" ca="1" si="8"/>
        <v>Conv. gasoline</v>
      </c>
      <c r="AS25" s="427" t="str">
        <f t="shared" ca="1" si="8"/>
        <v>E85-1g</v>
      </c>
      <c r="AT25" s="427" t="str">
        <f ca="1">AT13</f>
        <v>E85-1g Sugarb.</v>
      </c>
      <c r="AU25" s="427" t="str">
        <f t="shared" ca="1" si="8"/>
        <v>E85-2g</v>
      </c>
      <c r="AV25" s="427" t="str">
        <f ca="1">AV13</f>
        <v>Biodiesel-1g RME</v>
      </c>
      <c r="AW25" s="427" t="str">
        <f t="shared" ca="1" si="8"/>
        <v>Biodiesel-2g</v>
      </c>
      <c r="AX25" s="427" t="str">
        <f t="shared" ca="1" si="8"/>
        <v>DME</v>
      </c>
      <c r="AY25" s="427" t="str">
        <f t="shared" ca="1" si="8"/>
        <v>B-Naturgas</v>
      </c>
      <c r="AZ25" s="427" t="str">
        <f t="shared" ca="1" si="8"/>
        <v>Biogas</v>
      </c>
      <c r="BA25" s="427" t="str">
        <f t="shared" ca="1" si="8"/>
        <v>MeOH</v>
      </c>
      <c r="BB25" s="427" t="str">
        <f t="shared" ca="1" si="8"/>
        <v>B-Brint</v>
      </c>
      <c r="BC25" s="427" t="str">
        <f t="shared" ca="1" si="8"/>
        <v>Elbil</v>
      </c>
      <c r="BD25" s="427" t="str">
        <f t="shared" ca="1" si="8"/>
        <v>Plugin Hybrid</v>
      </c>
      <c r="BE25" s="427" t="str">
        <f t="shared" ca="1" si="8"/>
        <v>Fast Ferry</v>
      </c>
      <c r="BF25" s="427" t="str">
        <f t="shared" ca="1" si="8"/>
        <v>Aircraft Fossil</v>
      </c>
      <c r="BG25" s="427" t="str">
        <f ca="1">BG13</f>
        <v>Aircraft Biofuel</v>
      </c>
      <c r="BH25" s="427" t="str">
        <f t="shared" ca="1" si="8"/>
        <v>9000TEU HFO</v>
      </c>
      <c r="BI25" s="427" t="str">
        <f t="shared" ca="1" si="8"/>
        <v>9000TEU Diesel</v>
      </c>
      <c r="BJ25" s="427" t="str">
        <f t="shared" ca="1" si="8"/>
        <v>9000TEU BioDiesel</v>
      </c>
      <c r="BK25" s="427" t="str">
        <f t="shared" ca="1" si="8"/>
        <v>9000TEU LNG</v>
      </c>
      <c r="BL25" s="427" t="str">
        <f t="shared" ca="1" si="8"/>
        <v>IC Tog Diesel</v>
      </c>
      <c r="BM25" s="427" t="str">
        <f t="shared" ca="1" si="8"/>
        <v>IC Tog Biodiesel</v>
      </c>
      <c r="BN25" s="427" t="str">
        <f t="shared" ca="1" si="8"/>
        <v>IC Tog El</v>
      </c>
      <c r="BO25" s="427" t="str">
        <f t="shared" ca="1" si="8"/>
        <v>Lokaltog Diesel</v>
      </c>
      <c r="BP25" s="427" t="str">
        <f t="shared" ca="1" si="8"/>
        <v>Lokaltog biodiesel</v>
      </c>
      <c r="BQ25" s="427" t="str">
        <f t="shared" ca="1" si="8"/>
        <v>Lokaltog Gas</v>
      </c>
      <c r="BR25" s="427" t="str">
        <f t="shared" ca="1" si="8"/>
        <v>L-Diesel</v>
      </c>
      <c r="BS25" s="427" t="str">
        <f t="shared" ca="1" si="8"/>
        <v>L-BioDiesel</v>
      </c>
      <c r="BT25" s="427" t="str">
        <f t="shared" ca="1" si="8"/>
        <v>L-CNG</v>
      </c>
      <c r="BU25" s="427" t="str">
        <f t="shared" ca="1" si="8"/>
        <v>L-DME</v>
      </c>
      <c r="BV25" s="427" t="str">
        <f t="shared" ref="BV25:DP25" ca="1" si="9">BV13</f>
        <v>B-Diesel</v>
      </c>
      <c r="BW25" s="427" t="str">
        <f t="shared" ca="1" si="9"/>
        <v>B-Biodiesel</v>
      </c>
      <c r="BX25" s="427" t="str">
        <f t="shared" ca="1" si="9"/>
        <v>B-CNG</v>
      </c>
      <c r="BY25" s="427" t="str">
        <f t="shared" ca="1" si="9"/>
        <v>B-Hybrid</v>
      </c>
      <c r="BZ25" s="427" t="str">
        <f t="shared" ca="1" si="9"/>
        <v>Fast Ferry - Biodiesel</v>
      </c>
      <c r="CA25" s="427" t="str">
        <f t="shared" ca="1" si="9"/>
        <v>Ren brint</v>
      </c>
      <c r="CB25" s="427">
        <f t="shared" ca="1" si="9"/>
        <v>0</v>
      </c>
      <c r="CC25" s="427">
        <f t="shared" si="9"/>
        <v>0</v>
      </c>
      <c r="CD25" s="427" t="str">
        <f t="shared" si="9"/>
        <v>Dato</v>
      </c>
      <c r="CE25" s="427" t="str">
        <f t="shared" ca="1" si="9"/>
        <v>Conv. diesel</v>
      </c>
      <c r="CF25" s="427" t="str">
        <f t="shared" ca="1" si="9"/>
        <v>Conv. gasoline</v>
      </c>
      <c r="CG25" s="427" t="str">
        <f t="shared" ca="1" si="9"/>
        <v>E85-1g</v>
      </c>
      <c r="CH25" s="427" t="str">
        <f ca="1">CH13</f>
        <v>E85-1g Sugarb.</v>
      </c>
      <c r="CI25" s="427" t="str">
        <f t="shared" ca="1" si="9"/>
        <v>E85-2g</v>
      </c>
      <c r="CJ25" s="427" t="str">
        <f ca="1">CJ13</f>
        <v>Biodiesel-1g RME</v>
      </c>
      <c r="CK25" s="427" t="str">
        <f t="shared" ca="1" si="9"/>
        <v>Biodiesel-2g</v>
      </c>
      <c r="CL25" s="427" t="str">
        <f t="shared" ca="1" si="9"/>
        <v>DME</v>
      </c>
      <c r="CM25" s="427" t="str">
        <f t="shared" ca="1" si="9"/>
        <v>B-Naturgas</v>
      </c>
      <c r="CN25" s="427" t="str">
        <f t="shared" ca="1" si="9"/>
        <v>Biogas</v>
      </c>
      <c r="CO25" s="427" t="str">
        <f t="shared" ca="1" si="9"/>
        <v>MeOH</v>
      </c>
      <c r="CP25" s="427" t="str">
        <f t="shared" ca="1" si="9"/>
        <v>B-Brint</v>
      </c>
      <c r="CQ25" s="427" t="str">
        <f t="shared" ca="1" si="9"/>
        <v>Elbil</v>
      </c>
      <c r="CR25" s="427" t="str">
        <f t="shared" ca="1" si="9"/>
        <v>Plugin Hybrid</v>
      </c>
      <c r="CS25" s="427" t="str">
        <f t="shared" ca="1" si="9"/>
        <v>Fast Ferry</v>
      </c>
      <c r="CT25" s="427" t="str">
        <f t="shared" ca="1" si="9"/>
        <v>Aircraft Fossil</v>
      </c>
      <c r="CU25" s="427" t="str">
        <f ca="1">CU13</f>
        <v>Aircraft Biofuel</v>
      </c>
      <c r="CV25" s="427" t="str">
        <f t="shared" ca="1" si="9"/>
        <v>9000TEU HFO</v>
      </c>
      <c r="CW25" s="427" t="str">
        <f t="shared" ca="1" si="9"/>
        <v>9000TEU Diesel</v>
      </c>
      <c r="CX25" s="427" t="str">
        <f t="shared" ca="1" si="9"/>
        <v>9000TEU BioDiesel</v>
      </c>
      <c r="CY25" s="427" t="str">
        <f t="shared" ca="1" si="9"/>
        <v>9000TEU LNG</v>
      </c>
      <c r="CZ25" s="427" t="str">
        <f t="shared" ca="1" si="9"/>
        <v>IC Tog Diesel</v>
      </c>
      <c r="DA25" s="427" t="str">
        <f t="shared" ca="1" si="9"/>
        <v>IC Tog Biodiesel</v>
      </c>
      <c r="DB25" s="427" t="str">
        <f t="shared" ca="1" si="9"/>
        <v>IC Tog El</v>
      </c>
      <c r="DC25" s="427" t="str">
        <f t="shared" ca="1" si="9"/>
        <v>Lokaltog Diesel</v>
      </c>
      <c r="DD25" s="427" t="str">
        <f t="shared" ca="1" si="9"/>
        <v>Lokaltog biodiesel</v>
      </c>
      <c r="DE25" s="427" t="str">
        <f t="shared" ca="1" si="9"/>
        <v>Lokaltog Gas</v>
      </c>
      <c r="DF25" s="427" t="str">
        <f t="shared" ca="1" si="9"/>
        <v>L-Diesel</v>
      </c>
      <c r="DG25" s="427" t="str">
        <f t="shared" ca="1" si="9"/>
        <v>L-BioDiesel</v>
      </c>
      <c r="DH25" s="427" t="str">
        <f t="shared" ca="1" si="9"/>
        <v>L-CNG</v>
      </c>
      <c r="DI25" s="427" t="str">
        <f t="shared" ca="1" si="9"/>
        <v>L-DME</v>
      </c>
      <c r="DJ25" s="427" t="str">
        <f t="shared" ca="1" si="9"/>
        <v>B-Diesel</v>
      </c>
      <c r="DK25" s="427" t="str">
        <f t="shared" ca="1" si="9"/>
        <v>B-Biodiesel</v>
      </c>
      <c r="DL25" s="427" t="str">
        <f t="shared" ca="1" si="9"/>
        <v>B-CNG</v>
      </c>
      <c r="DM25" s="427" t="str">
        <f t="shared" ca="1" si="9"/>
        <v>B-Hybrid</v>
      </c>
      <c r="DN25" s="427" t="str">
        <f t="shared" ca="1" si="9"/>
        <v>Fast Ferry - Biodiesel</v>
      </c>
      <c r="DO25" s="427" t="str">
        <f t="shared" ca="1" si="9"/>
        <v>Ren brint</v>
      </c>
      <c r="DP25" s="427">
        <f t="shared" ca="1" si="9"/>
        <v>0</v>
      </c>
      <c r="DR25" s="427"/>
      <c r="DS25" s="427"/>
    </row>
    <row r="26" spans="2:123" s="65" customFormat="1">
      <c r="B26" s="428">
        <v>41652.686027546297</v>
      </c>
      <c r="C26" s="429">
        <v>1.4155152830691393</v>
      </c>
      <c r="D26" s="429">
        <v>1.4130450313451766</v>
      </c>
      <c r="E26" s="429">
        <v>1.4946160794703152</v>
      </c>
      <c r="F26" s="429"/>
      <c r="G26" s="429">
        <v>1.433086158042038</v>
      </c>
      <c r="H26" s="429"/>
      <c r="I26" s="429">
        <v>1.382635929112866</v>
      </c>
      <c r="J26" s="429">
        <v>1.6139793594837533</v>
      </c>
      <c r="K26" s="429">
        <v>1.3922377309005192</v>
      </c>
      <c r="L26" s="429">
        <v>1.4759781703032204</v>
      </c>
      <c r="M26" s="429">
        <v>1.3086616121027663</v>
      </c>
      <c r="N26" s="429">
        <v>1.3541202587131478</v>
      </c>
      <c r="O26" s="429">
        <v>1.2220152079312401</v>
      </c>
      <c r="P26" s="429">
        <v>1.1894799391249717</v>
      </c>
      <c r="Q26" s="429"/>
      <c r="R26" s="429">
        <v>11.976005753127488</v>
      </c>
      <c r="S26" s="429"/>
      <c r="T26" s="429">
        <v>68.838529573063198</v>
      </c>
      <c r="U26" s="429">
        <v>69.018450284389573</v>
      </c>
      <c r="V26" s="429">
        <v>68.836383287857515</v>
      </c>
      <c r="W26" s="429"/>
      <c r="X26" s="429">
        <v>0</v>
      </c>
      <c r="Y26" s="429">
        <v>0</v>
      </c>
      <c r="Z26" s="429">
        <v>0</v>
      </c>
      <c r="AA26" s="429">
        <v>0</v>
      </c>
      <c r="AB26" s="429">
        <v>0</v>
      </c>
      <c r="AC26" s="429">
        <v>0</v>
      </c>
      <c r="AD26" s="429">
        <v>3.2710135675747649</v>
      </c>
      <c r="AE26" s="429">
        <v>0</v>
      </c>
      <c r="AF26" s="429">
        <v>0</v>
      </c>
      <c r="AG26" s="429">
        <v>0</v>
      </c>
      <c r="AH26" s="429">
        <v>3.1440614864612835</v>
      </c>
      <c r="AI26" s="429">
        <v>6.3430249232496481</v>
      </c>
      <c r="AJ26" s="429">
        <v>6.4337699452008641</v>
      </c>
      <c r="AK26" s="429">
        <v>6.9743107201858558</v>
      </c>
      <c r="AL26" s="429">
        <v>0</v>
      </c>
      <c r="AM26" s="429">
        <v>0</v>
      </c>
      <c r="AN26" s="429">
        <v>0</v>
      </c>
      <c r="AO26" s="430"/>
      <c r="AP26" s="428">
        <v>41652.686027546297</v>
      </c>
      <c r="AQ26" s="431">
        <v>94.244561539481879</v>
      </c>
      <c r="AR26" s="431">
        <v>124.99231017022528</v>
      </c>
      <c r="AS26" s="431">
        <v>240.50750638900641</v>
      </c>
      <c r="AT26" s="431"/>
      <c r="AU26" s="431">
        <v>21.833620041709683</v>
      </c>
      <c r="AV26" s="431"/>
      <c r="AW26" s="431">
        <v>94.556004244033289</v>
      </c>
      <c r="AX26" s="431">
        <v>87.777273110662577</v>
      </c>
      <c r="AY26" s="431">
        <v>117.18257733512266</v>
      </c>
      <c r="AZ26" s="431">
        <v>-82.306241496616693</v>
      </c>
      <c r="BA26" s="431">
        <v>18.180887073363458</v>
      </c>
      <c r="BB26" s="431">
        <v>5.7569676845093936</v>
      </c>
      <c r="BC26" s="431">
        <v>4.9497703029320155</v>
      </c>
      <c r="BD26" s="431">
        <v>19.594018266872265</v>
      </c>
      <c r="BE26" s="431"/>
      <c r="BF26" s="431">
        <v>8110.1474857675703</v>
      </c>
      <c r="BG26" s="431"/>
      <c r="BH26" s="431">
        <v>574.44877721949933</v>
      </c>
      <c r="BI26" s="431">
        <v>555.77322012157413</v>
      </c>
      <c r="BJ26" s="431">
        <v>557.61298769801419</v>
      </c>
      <c r="BK26" s="431">
        <v>0</v>
      </c>
      <c r="BL26" s="431">
        <v>0</v>
      </c>
      <c r="BM26" s="431">
        <v>0</v>
      </c>
      <c r="BN26" s="431">
        <v>0</v>
      </c>
      <c r="BO26" s="431">
        <v>0</v>
      </c>
      <c r="BP26" s="431">
        <v>0</v>
      </c>
      <c r="BQ26" s="431">
        <v>831.13872370059994</v>
      </c>
      <c r="BR26" s="431">
        <v>0</v>
      </c>
      <c r="BS26" s="431">
        <v>0</v>
      </c>
      <c r="BT26" s="431">
        <v>0</v>
      </c>
      <c r="BU26" s="431">
        <v>0</v>
      </c>
      <c r="BV26" s="431">
        <v>771.96910772160402</v>
      </c>
      <c r="BW26" s="431">
        <v>1274.5005103672279</v>
      </c>
      <c r="BX26" s="431">
        <v>1179.9066311503386</v>
      </c>
      <c r="BY26" s="431">
        <v>980.38500797479071</v>
      </c>
      <c r="BZ26" s="431">
        <v>0</v>
      </c>
      <c r="CA26" s="431">
        <v>0</v>
      </c>
      <c r="CB26" s="431">
        <v>0</v>
      </c>
      <c r="CC26" s="432"/>
      <c r="CD26" s="428">
        <v>41652.686027546297</v>
      </c>
      <c r="CE26" s="433">
        <v>0.30759941944884489</v>
      </c>
      <c r="CF26" s="433">
        <v>0.21368653957671954</v>
      </c>
      <c r="CG26" s="433">
        <v>0.16794913607715131</v>
      </c>
      <c r="CH26" s="433"/>
      <c r="CI26" s="433">
        <v>0.15098113338820576</v>
      </c>
      <c r="CJ26" s="433"/>
      <c r="CK26" s="433">
        <v>0.25899628896575483</v>
      </c>
      <c r="CL26" s="433">
        <v>0.27649961398917294</v>
      </c>
      <c r="CM26" s="433">
        <v>0.20129058533430336</v>
      </c>
      <c r="CN26" s="433">
        <v>0.20193747485667865</v>
      </c>
      <c r="CO26" s="433">
        <v>0.14170471559769959</v>
      </c>
      <c r="CP26" s="433">
        <v>0.6472517576995086</v>
      </c>
      <c r="CQ26" s="433">
        <v>0.67663897658204775</v>
      </c>
      <c r="CR26" s="433">
        <v>0.47764154429191014</v>
      </c>
      <c r="CS26" s="433"/>
      <c r="CT26" s="433">
        <v>0.44773699730205757</v>
      </c>
      <c r="CU26" s="433"/>
      <c r="CV26" s="433">
        <v>0.47651872850367988</v>
      </c>
      <c r="CW26" s="433">
        <v>0.47402386605078101</v>
      </c>
      <c r="CX26" s="433">
        <v>0.39912436248524713</v>
      </c>
      <c r="CY26" s="433">
        <v>0</v>
      </c>
      <c r="CZ26" s="433">
        <v>0</v>
      </c>
      <c r="DA26" s="433">
        <v>0</v>
      </c>
      <c r="DB26" s="433">
        <v>0</v>
      </c>
      <c r="DC26" s="433">
        <v>0</v>
      </c>
      <c r="DD26" s="433">
        <v>0</v>
      </c>
      <c r="DE26" s="433">
        <v>0.40827675582953765</v>
      </c>
      <c r="DF26" s="433">
        <v>0</v>
      </c>
      <c r="DG26" s="433">
        <v>0</v>
      </c>
      <c r="DH26" s="433">
        <v>0</v>
      </c>
      <c r="DI26" s="433">
        <v>0</v>
      </c>
      <c r="DJ26" s="433">
        <v>0.3468418965385815</v>
      </c>
      <c r="DK26" s="433">
        <v>0.33404461840598537</v>
      </c>
      <c r="DL26" s="433">
        <v>0.28377973353156666</v>
      </c>
      <c r="DM26" s="433">
        <v>0.40827675582953765</v>
      </c>
      <c r="DN26" s="433">
        <v>0</v>
      </c>
      <c r="DO26" s="433">
        <v>0</v>
      </c>
      <c r="DP26" s="433">
        <v>0</v>
      </c>
      <c r="DR26" s="409" t="s">
        <v>855</v>
      </c>
      <c r="DS26" s="409" t="s">
        <v>2654</v>
      </c>
    </row>
    <row r="27" spans="2:123" s="1471" customFormat="1">
      <c r="B27" s="428">
        <v>41655.644028587965</v>
      </c>
      <c r="C27" s="429">
        <v>1.4155152830691393</v>
      </c>
      <c r="D27" s="429">
        <v>1.4130450313451766</v>
      </c>
      <c r="E27" s="429">
        <v>1.4946160794703152</v>
      </c>
      <c r="F27" s="429"/>
      <c r="G27" s="429">
        <v>1.433086158042038</v>
      </c>
      <c r="H27" s="429"/>
      <c r="I27" s="429">
        <v>1.382635929112866</v>
      </c>
      <c r="J27" s="429">
        <v>1.6139793594837533</v>
      </c>
      <c r="K27" s="429">
        <v>1.3922377309005192</v>
      </c>
      <c r="L27" s="429">
        <v>1.4759781703032204</v>
      </c>
      <c r="M27" s="429">
        <v>1.3086616121027663</v>
      </c>
      <c r="N27" s="429">
        <v>1.3541202587131478</v>
      </c>
      <c r="O27" s="429">
        <v>1.2220152079312401</v>
      </c>
      <c r="P27" s="429">
        <v>1.1894799391249717</v>
      </c>
      <c r="Q27" s="429"/>
      <c r="R27" s="429">
        <v>11.976005753127488</v>
      </c>
      <c r="S27" s="429"/>
      <c r="T27" s="429">
        <v>4628.3091193132013</v>
      </c>
      <c r="U27" s="429">
        <v>4808.2298306395624</v>
      </c>
      <c r="V27" s="429">
        <v>4626.1628341074993</v>
      </c>
      <c r="W27" s="429"/>
      <c r="X27" s="429">
        <v>0</v>
      </c>
      <c r="Y27" s="429">
        <v>0</v>
      </c>
      <c r="Z27" s="429">
        <v>0</v>
      </c>
      <c r="AA27" s="429">
        <v>0</v>
      </c>
      <c r="AB27" s="429">
        <v>0</v>
      </c>
      <c r="AC27" s="429">
        <v>0</v>
      </c>
      <c r="AD27" s="429">
        <v>3.2710135675747649</v>
      </c>
      <c r="AE27" s="429">
        <v>0</v>
      </c>
      <c r="AF27" s="429">
        <v>0</v>
      </c>
      <c r="AG27" s="429">
        <v>0</v>
      </c>
      <c r="AH27" s="429">
        <v>3.1440614864612835</v>
      </c>
      <c r="AI27" s="429">
        <v>6.3430249232496481</v>
      </c>
      <c r="AJ27" s="429">
        <v>6.4337699452008641</v>
      </c>
      <c r="AK27" s="429">
        <v>6.9743107201858558</v>
      </c>
      <c r="AL27" s="429">
        <v>0</v>
      </c>
      <c r="AM27" s="429">
        <v>0</v>
      </c>
      <c r="AN27" s="429">
        <v>0</v>
      </c>
      <c r="AO27" s="432"/>
      <c r="AP27" s="428">
        <v>41655.644028587965</v>
      </c>
      <c r="AQ27" s="431">
        <v>94.244561539481879</v>
      </c>
      <c r="AR27" s="431">
        <v>124.99231017022528</v>
      </c>
      <c r="AS27" s="431">
        <v>240.50750638900641</v>
      </c>
      <c r="AT27" s="431"/>
      <c r="AU27" s="431">
        <v>21.833620041709683</v>
      </c>
      <c r="AV27" s="431"/>
      <c r="AW27" s="431">
        <v>94.556004244033289</v>
      </c>
      <c r="AX27" s="431">
        <v>87.777273110662577</v>
      </c>
      <c r="AY27" s="431">
        <v>117.18257733512266</v>
      </c>
      <c r="AZ27" s="431">
        <v>-82.306241496616693</v>
      </c>
      <c r="BA27" s="431">
        <v>18.180887073363458</v>
      </c>
      <c r="BB27" s="431">
        <v>5.7569676845093936</v>
      </c>
      <c r="BC27" s="431">
        <v>4.9497703029320155</v>
      </c>
      <c r="BD27" s="431">
        <v>19.594018266872265</v>
      </c>
      <c r="BE27" s="431"/>
      <c r="BF27" s="431">
        <v>8110.1474857675703</v>
      </c>
      <c r="BG27" s="431"/>
      <c r="BH27" s="431">
        <v>562964.94142641581</v>
      </c>
      <c r="BI27" s="431">
        <v>544289.38432849071</v>
      </c>
      <c r="BJ27" s="431">
        <v>546129.15190493059</v>
      </c>
      <c r="BK27" s="431">
        <v>0</v>
      </c>
      <c r="BL27" s="431">
        <v>0</v>
      </c>
      <c r="BM27" s="431">
        <v>0</v>
      </c>
      <c r="BN27" s="431">
        <v>0</v>
      </c>
      <c r="BO27" s="431">
        <v>0</v>
      </c>
      <c r="BP27" s="431">
        <v>0</v>
      </c>
      <c r="BQ27" s="431">
        <v>831.13872370059994</v>
      </c>
      <c r="BR27" s="431">
        <v>0</v>
      </c>
      <c r="BS27" s="431">
        <v>0</v>
      </c>
      <c r="BT27" s="431">
        <v>0</v>
      </c>
      <c r="BU27" s="431">
        <v>0</v>
      </c>
      <c r="BV27" s="431">
        <v>771.96910772160402</v>
      </c>
      <c r="BW27" s="431">
        <v>1274.5005103672279</v>
      </c>
      <c r="BX27" s="431">
        <v>1179.9066311503386</v>
      </c>
      <c r="BY27" s="431">
        <v>980.38500797479071</v>
      </c>
      <c r="BZ27" s="431">
        <v>0</v>
      </c>
      <c r="CA27" s="431">
        <v>0</v>
      </c>
      <c r="CB27" s="431">
        <v>0</v>
      </c>
      <c r="CC27" s="432"/>
      <c r="CD27" s="428">
        <v>41655.644028587965</v>
      </c>
      <c r="CE27" s="433">
        <v>0.30759941944884489</v>
      </c>
      <c r="CF27" s="433">
        <v>0.21368653957671954</v>
      </c>
      <c r="CG27" s="433">
        <v>0.16794913607715131</v>
      </c>
      <c r="CH27" s="433"/>
      <c r="CI27" s="433">
        <v>0.15098113338820576</v>
      </c>
      <c r="CJ27" s="433"/>
      <c r="CK27" s="433">
        <v>0.25899628896575483</v>
      </c>
      <c r="CL27" s="433">
        <v>0.27649961398917294</v>
      </c>
      <c r="CM27" s="433">
        <v>0.20129058533430336</v>
      </c>
      <c r="CN27" s="433">
        <v>0.20193747485667865</v>
      </c>
      <c r="CO27" s="433">
        <v>0.14170471559769959</v>
      </c>
      <c r="CP27" s="433">
        <v>0.6472517576995086</v>
      </c>
      <c r="CQ27" s="433">
        <v>0.67663897658204775</v>
      </c>
      <c r="CR27" s="433">
        <v>0.47764154429191014</v>
      </c>
      <c r="CS27" s="433"/>
      <c r="CT27" s="433">
        <v>0.44773699730205757</v>
      </c>
      <c r="CU27" s="433"/>
      <c r="CV27" s="433">
        <v>0.47651872850367988</v>
      </c>
      <c r="CW27" s="433">
        <v>0.47402386605078101</v>
      </c>
      <c r="CX27" s="433">
        <v>0.39912436248524713</v>
      </c>
      <c r="CY27" s="433">
        <v>0</v>
      </c>
      <c r="CZ27" s="433">
        <v>0</v>
      </c>
      <c r="DA27" s="433">
        <v>0</v>
      </c>
      <c r="DB27" s="433">
        <v>0</v>
      </c>
      <c r="DC27" s="433">
        <v>0</v>
      </c>
      <c r="DD27" s="433">
        <v>0</v>
      </c>
      <c r="DE27" s="433">
        <v>0.40827675582953765</v>
      </c>
      <c r="DF27" s="433">
        <v>0</v>
      </c>
      <c r="DG27" s="433">
        <v>0</v>
      </c>
      <c r="DH27" s="433">
        <v>0</v>
      </c>
      <c r="DI27" s="433">
        <v>0</v>
      </c>
      <c r="DJ27" s="433">
        <v>0.3468418965385815</v>
      </c>
      <c r="DK27" s="433">
        <v>0.33404461840598537</v>
      </c>
      <c r="DL27" s="433">
        <v>0.28377973353156666</v>
      </c>
      <c r="DM27" s="433">
        <v>0.40827675582953765</v>
      </c>
      <c r="DN27" s="433">
        <v>0</v>
      </c>
      <c r="DO27" s="433">
        <v>0</v>
      </c>
      <c r="DP27" s="433">
        <v>0</v>
      </c>
      <c r="DR27" s="409" t="s">
        <v>855</v>
      </c>
      <c r="DS27" s="409" t="s">
        <v>1662</v>
      </c>
    </row>
    <row r="28" spans="2:123" s="1471" customFormat="1">
      <c r="B28" s="428">
        <v>41662.542652546297</v>
      </c>
      <c r="C28" s="429">
        <v>1.4155152830691393</v>
      </c>
      <c r="D28" s="429">
        <v>1.4130450313451766</v>
      </c>
      <c r="E28" s="429">
        <v>1.4946160794703152</v>
      </c>
      <c r="F28" s="429"/>
      <c r="G28" s="429">
        <v>1.433086158042038</v>
      </c>
      <c r="H28" s="429"/>
      <c r="I28" s="429">
        <v>1.382635929112866</v>
      </c>
      <c r="J28" s="429">
        <v>1.6139793594837533</v>
      </c>
      <c r="K28" s="429">
        <v>1.3922377309005192</v>
      </c>
      <c r="L28" s="429">
        <v>1.4759781703032204</v>
      </c>
      <c r="M28" s="429">
        <v>1.3086616121027663</v>
      </c>
      <c r="N28" s="429">
        <v>1.3541202587131478</v>
      </c>
      <c r="O28" s="429">
        <v>1.2220152079312401</v>
      </c>
      <c r="P28" s="429">
        <v>1.1894799391249717</v>
      </c>
      <c r="Q28" s="429"/>
      <c r="R28" s="429">
        <v>11.976005753127488</v>
      </c>
      <c r="S28" s="429"/>
      <c r="T28" s="429">
        <v>4628.3091193132013</v>
      </c>
      <c r="U28" s="429">
        <v>4808.2298306395624</v>
      </c>
      <c r="V28" s="429">
        <v>4626.1628341074993</v>
      </c>
      <c r="W28" s="429"/>
      <c r="X28" s="429">
        <v>0</v>
      </c>
      <c r="Y28" s="429">
        <v>0</v>
      </c>
      <c r="Z28" s="429">
        <v>0</v>
      </c>
      <c r="AA28" s="429">
        <v>0</v>
      </c>
      <c r="AB28" s="429">
        <v>0</v>
      </c>
      <c r="AC28" s="429">
        <v>0</v>
      </c>
      <c r="AD28" s="429">
        <v>3.2710135675747649</v>
      </c>
      <c r="AE28" s="429">
        <v>0</v>
      </c>
      <c r="AF28" s="429">
        <v>0</v>
      </c>
      <c r="AG28" s="429">
        <v>0</v>
      </c>
      <c r="AH28" s="429">
        <v>3.1440614864612835</v>
      </c>
      <c r="AI28" s="429">
        <v>6.3430249232496481</v>
      </c>
      <c r="AJ28" s="429">
        <v>6.4337699452008641</v>
      </c>
      <c r="AK28" s="429">
        <v>6.9743107201858558</v>
      </c>
      <c r="AL28" s="429">
        <v>0</v>
      </c>
      <c r="AM28" s="429">
        <v>0</v>
      </c>
      <c r="AN28" s="429">
        <v>0</v>
      </c>
      <c r="AO28" s="432"/>
      <c r="AP28" s="428">
        <v>41662.542652546297</v>
      </c>
      <c r="AQ28" s="431">
        <v>94.244561539481879</v>
      </c>
      <c r="AR28" s="431">
        <v>124.99231017022528</v>
      </c>
      <c r="AS28" s="431">
        <v>240.50750638900641</v>
      </c>
      <c r="AT28" s="431"/>
      <c r="AU28" s="431">
        <v>21.833620041709683</v>
      </c>
      <c r="AV28" s="431"/>
      <c r="AW28" s="431">
        <v>94.556004244033289</v>
      </c>
      <c r="AX28" s="431">
        <v>87.777273110662577</v>
      </c>
      <c r="AY28" s="431">
        <v>117.18257733512266</v>
      </c>
      <c r="AZ28" s="431">
        <v>-82.306241496616693</v>
      </c>
      <c r="BA28" s="431">
        <v>18.180887073363458</v>
      </c>
      <c r="BB28" s="431">
        <v>5.7569676845093936</v>
      </c>
      <c r="BC28" s="431">
        <v>4.9497703029320155</v>
      </c>
      <c r="BD28" s="431">
        <v>19.594018266872265</v>
      </c>
      <c r="BE28" s="431"/>
      <c r="BF28" s="431">
        <v>8110.1474857675703</v>
      </c>
      <c r="BG28" s="431"/>
      <c r="BH28" s="431">
        <v>562964.94142641581</v>
      </c>
      <c r="BI28" s="431">
        <v>544289.38432849071</v>
      </c>
      <c r="BJ28" s="431">
        <v>546129.15190493059</v>
      </c>
      <c r="BK28" s="431">
        <v>0</v>
      </c>
      <c r="BL28" s="431">
        <v>0</v>
      </c>
      <c r="BM28" s="431">
        <v>0</v>
      </c>
      <c r="BN28" s="431">
        <v>0</v>
      </c>
      <c r="BO28" s="431">
        <v>0</v>
      </c>
      <c r="BP28" s="431">
        <v>0</v>
      </c>
      <c r="BQ28" s="431">
        <v>831.13872370059994</v>
      </c>
      <c r="BR28" s="431">
        <v>0</v>
      </c>
      <c r="BS28" s="431">
        <v>0</v>
      </c>
      <c r="BT28" s="431">
        <v>0</v>
      </c>
      <c r="BU28" s="431">
        <v>0</v>
      </c>
      <c r="BV28" s="431">
        <v>771.96910772160402</v>
      </c>
      <c r="BW28" s="431">
        <v>1274.5005103672279</v>
      </c>
      <c r="BX28" s="431">
        <v>1179.9066311503386</v>
      </c>
      <c r="BY28" s="431">
        <v>980.38500797479071</v>
      </c>
      <c r="BZ28" s="431">
        <v>0</v>
      </c>
      <c r="CA28" s="431">
        <v>0</v>
      </c>
      <c r="CB28" s="431">
        <v>0</v>
      </c>
      <c r="CC28" s="432"/>
      <c r="CD28" s="428">
        <v>41662.542652546297</v>
      </c>
      <c r="CE28" s="433">
        <v>0.30759941944884489</v>
      </c>
      <c r="CF28" s="433">
        <v>0.21368653957671954</v>
      </c>
      <c r="CG28" s="433">
        <v>0.16794913607715131</v>
      </c>
      <c r="CH28" s="433"/>
      <c r="CI28" s="433">
        <v>0.15098113338820576</v>
      </c>
      <c r="CJ28" s="433"/>
      <c r="CK28" s="433">
        <v>0.25899628896575483</v>
      </c>
      <c r="CL28" s="433">
        <v>0.27649961398917294</v>
      </c>
      <c r="CM28" s="433">
        <v>0.20129058533430336</v>
      </c>
      <c r="CN28" s="433">
        <v>0.20193747485667865</v>
      </c>
      <c r="CO28" s="433">
        <v>0.14170471559769959</v>
      </c>
      <c r="CP28" s="433">
        <v>0.6472517576995086</v>
      </c>
      <c r="CQ28" s="433">
        <v>0.67663897658204775</v>
      </c>
      <c r="CR28" s="433">
        <v>0.47764154429191014</v>
      </c>
      <c r="CS28" s="433"/>
      <c r="CT28" s="433">
        <v>0.44773699730205757</v>
      </c>
      <c r="CU28" s="433"/>
      <c r="CV28" s="433">
        <v>0.47651872850367988</v>
      </c>
      <c r="CW28" s="433">
        <v>0.47402386605078101</v>
      </c>
      <c r="CX28" s="433">
        <v>0.39912436248524713</v>
      </c>
      <c r="CY28" s="433">
        <v>0</v>
      </c>
      <c r="CZ28" s="433">
        <v>0</v>
      </c>
      <c r="DA28" s="433">
        <v>0</v>
      </c>
      <c r="DB28" s="433">
        <v>0</v>
      </c>
      <c r="DC28" s="433">
        <v>0</v>
      </c>
      <c r="DD28" s="433">
        <v>0</v>
      </c>
      <c r="DE28" s="433">
        <v>0.40827675582953765</v>
      </c>
      <c r="DF28" s="433">
        <v>0</v>
      </c>
      <c r="DG28" s="433">
        <v>0</v>
      </c>
      <c r="DH28" s="433">
        <v>0</v>
      </c>
      <c r="DI28" s="433">
        <v>0</v>
      </c>
      <c r="DJ28" s="433">
        <v>0.3468418965385815</v>
      </c>
      <c r="DK28" s="433">
        <v>0.33404461840598537</v>
      </c>
      <c r="DL28" s="433">
        <v>0.28377973353156666</v>
      </c>
      <c r="DM28" s="433">
        <v>0.40827675582953765</v>
      </c>
      <c r="DN28" s="433">
        <v>0</v>
      </c>
      <c r="DO28" s="433">
        <v>0</v>
      </c>
      <c r="DP28" s="433">
        <v>0</v>
      </c>
      <c r="DR28" s="409" t="s">
        <v>711</v>
      </c>
      <c r="DS28" s="409" t="s">
        <v>1709</v>
      </c>
    </row>
    <row r="29" spans="2:123" s="1471" customFormat="1">
      <c r="B29" s="428">
        <v>41667.543184953705</v>
      </c>
      <c r="C29" s="429">
        <v>1.4155152830691393</v>
      </c>
      <c r="D29" s="429">
        <v>1.4130450313451766</v>
      </c>
      <c r="E29" s="429">
        <v>1.4946160794703152</v>
      </c>
      <c r="F29" s="429"/>
      <c r="G29" s="429">
        <v>1.433086158042038</v>
      </c>
      <c r="H29" s="429"/>
      <c r="I29" s="429">
        <v>1.382635929112866</v>
      </c>
      <c r="J29" s="429">
        <v>1.6139793594837533</v>
      </c>
      <c r="K29" s="429">
        <v>1.3922377309005192</v>
      </c>
      <c r="L29" s="429">
        <v>1.4751473052311592</v>
      </c>
      <c r="M29" s="429">
        <v>1.3086616121027663</v>
      </c>
      <c r="N29" s="429">
        <v>1.3541202587131478</v>
      </c>
      <c r="O29" s="429">
        <v>1.2220152079312401</v>
      </c>
      <c r="P29" s="429">
        <v>1.1894799391249717</v>
      </c>
      <c r="Q29" s="429"/>
      <c r="R29" s="429">
        <v>11.976005753127488</v>
      </c>
      <c r="S29" s="429"/>
      <c r="T29" s="429">
        <v>4628.3091193132013</v>
      </c>
      <c r="U29" s="429">
        <v>4808.2298306395624</v>
      </c>
      <c r="V29" s="429">
        <v>4626.1628341074993</v>
      </c>
      <c r="W29" s="429"/>
      <c r="X29" s="429">
        <v>0</v>
      </c>
      <c r="Y29" s="429">
        <v>0</v>
      </c>
      <c r="Z29" s="429">
        <v>0</v>
      </c>
      <c r="AA29" s="429">
        <v>0</v>
      </c>
      <c r="AB29" s="429">
        <v>0</v>
      </c>
      <c r="AC29" s="429">
        <v>0</v>
      </c>
      <c r="AD29" s="429">
        <v>3.2710135675747649</v>
      </c>
      <c r="AE29" s="429">
        <v>0</v>
      </c>
      <c r="AF29" s="429">
        <v>0</v>
      </c>
      <c r="AG29" s="429">
        <v>0</v>
      </c>
      <c r="AH29" s="429">
        <v>3.1440614864612835</v>
      </c>
      <c r="AI29" s="429">
        <v>6.3430249232496481</v>
      </c>
      <c r="AJ29" s="429">
        <v>6.4337699452008641</v>
      </c>
      <c r="AK29" s="429">
        <v>6.9743107201858558</v>
      </c>
      <c r="AL29" s="429">
        <v>0</v>
      </c>
      <c r="AM29" s="429">
        <v>0</v>
      </c>
      <c r="AN29" s="429">
        <v>0</v>
      </c>
      <c r="AO29" s="432"/>
      <c r="AP29" s="428">
        <v>41667.543184953705</v>
      </c>
      <c r="AQ29" s="431">
        <v>94.244561539481879</v>
      </c>
      <c r="AR29" s="431">
        <v>124.99231017022528</v>
      </c>
      <c r="AS29" s="431">
        <v>240.50750638900641</v>
      </c>
      <c r="AT29" s="431"/>
      <c r="AU29" s="431">
        <v>21.833620041709683</v>
      </c>
      <c r="AV29" s="431"/>
      <c r="AW29" s="431">
        <v>94.556004244033289</v>
      </c>
      <c r="AX29" s="431">
        <v>87.777273110662577</v>
      </c>
      <c r="AY29" s="431">
        <v>117.18257733512266</v>
      </c>
      <c r="AZ29" s="431">
        <v>-86.146898349118189</v>
      </c>
      <c r="BA29" s="431">
        <v>18.180887073363458</v>
      </c>
      <c r="BB29" s="431">
        <v>5.7569676845093936</v>
      </c>
      <c r="BC29" s="431">
        <v>4.9497703029320155</v>
      </c>
      <c r="BD29" s="431">
        <v>19.594018266872265</v>
      </c>
      <c r="BE29" s="431"/>
      <c r="BF29" s="431">
        <v>8110.1474857675703</v>
      </c>
      <c r="BG29" s="431"/>
      <c r="BH29" s="431">
        <v>562964.94142641581</v>
      </c>
      <c r="BI29" s="431">
        <v>544289.38432849071</v>
      </c>
      <c r="BJ29" s="431">
        <v>546129.15190493059</v>
      </c>
      <c r="BK29" s="431">
        <v>0</v>
      </c>
      <c r="BL29" s="431">
        <v>0</v>
      </c>
      <c r="BM29" s="431">
        <v>0</v>
      </c>
      <c r="BN29" s="431">
        <v>0</v>
      </c>
      <c r="BO29" s="431">
        <v>0</v>
      </c>
      <c r="BP29" s="431">
        <v>0</v>
      </c>
      <c r="BQ29" s="431">
        <v>831.13872370059994</v>
      </c>
      <c r="BR29" s="431">
        <v>0</v>
      </c>
      <c r="BS29" s="431">
        <v>0</v>
      </c>
      <c r="BT29" s="431">
        <v>0</v>
      </c>
      <c r="BU29" s="431">
        <v>0</v>
      </c>
      <c r="BV29" s="431">
        <v>771.96910772160402</v>
      </c>
      <c r="BW29" s="431">
        <v>1274.5005103672279</v>
      </c>
      <c r="BX29" s="431">
        <v>1179.9066311503386</v>
      </c>
      <c r="BY29" s="431">
        <v>980.38500797479071</v>
      </c>
      <c r="BZ29" s="431">
        <v>0</v>
      </c>
      <c r="CA29" s="431">
        <v>0</v>
      </c>
      <c r="CB29" s="431">
        <v>0</v>
      </c>
      <c r="CC29" s="432"/>
      <c r="CD29" s="428">
        <v>41667.543184953705</v>
      </c>
      <c r="CE29" s="433">
        <v>0.30759941944884489</v>
      </c>
      <c r="CF29" s="433">
        <v>0.21368653957671954</v>
      </c>
      <c r="CG29" s="433">
        <v>0.16794913607715131</v>
      </c>
      <c r="CH29" s="433"/>
      <c r="CI29" s="433">
        <v>0.15098113338820576</v>
      </c>
      <c r="CJ29" s="433"/>
      <c r="CK29" s="433">
        <v>0.25899628896575483</v>
      </c>
      <c r="CL29" s="433">
        <v>0.27649961398917294</v>
      </c>
      <c r="CM29" s="433">
        <v>0.20129058533430336</v>
      </c>
      <c r="CN29" s="433">
        <v>0.20203138400313342</v>
      </c>
      <c r="CO29" s="433">
        <v>0.14170471559769959</v>
      </c>
      <c r="CP29" s="433">
        <v>0.6472517576995086</v>
      </c>
      <c r="CQ29" s="433">
        <v>0.67663897658204775</v>
      </c>
      <c r="CR29" s="433">
        <v>0.47764154429191014</v>
      </c>
      <c r="CS29" s="433"/>
      <c r="CT29" s="433">
        <v>0.44773699730205757</v>
      </c>
      <c r="CU29" s="433"/>
      <c r="CV29" s="433">
        <v>0.47651872850367988</v>
      </c>
      <c r="CW29" s="433">
        <v>0.47402386605078101</v>
      </c>
      <c r="CX29" s="433">
        <v>0.39912436248524713</v>
      </c>
      <c r="CY29" s="433">
        <v>0</v>
      </c>
      <c r="CZ29" s="433">
        <v>0</v>
      </c>
      <c r="DA29" s="433">
        <v>0</v>
      </c>
      <c r="DB29" s="433">
        <v>0</v>
      </c>
      <c r="DC29" s="433">
        <v>0</v>
      </c>
      <c r="DD29" s="433">
        <v>0</v>
      </c>
      <c r="DE29" s="433">
        <v>0.40827675582953765</v>
      </c>
      <c r="DF29" s="433">
        <v>0</v>
      </c>
      <c r="DG29" s="433">
        <v>0</v>
      </c>
      <c r="DH29" s="433">
        <v>0</v>
      </c>
      <c r="DI29" s="433">
        <v>0</v>
      </c>
      <c r="DJ29" s="433">
        <v>0.3468418965385815</v>
      </c>
      <c r="DK29" s="433">
        <v>0.33404461840598537</v>
      </c>
      <c r="DL29" s="433">
        <v>0.28377973353156666</v>
      </c>
      <c r="DM29" s="433">
        <v>0.40827675582953765</v>
      </c>
      <c r="DN29" s="433">
        <v>0</v>
      </c>
      <c r="DO29" s="433">
        <v>0</v>
      </c>
      <c r="DP29" s="433">
        <v>0</v>
      </c>
      <c r="DR29" s="409" t="s">
        <v>1776</v>
      </c>
      <c r="DS29" s="409" t="s">
        <v>1777</v>
      </c>
    </row>
    <row r="30" spans="2:123" s="1471" customFormat="1">
      <c r="B30" s="428">
        <v>41669.68696446759</v>
      </c>
      <c r="C30" s="429">
        <v>1.4155152830691393</v>
      </c>
      <c r="D30" s="429">
        <v>1.4130450313451766</v>
      </c>
      <c r="E30" s="429">
        <v>1.4946160794703152</v>
      </c>
      <c r="F30" s="429"/>
      <c r="G30" s="429">
        <v>1.433086158042038</v>
      </c>
      <c r="H30" s="429"/>
      <c r="I30" s="429">
        <v>1.382635929112866</v>
      </c>
      <c r="J30" s="429">
        <v>1.6139793594837533</v>
      </c>
      <c r="K30" s="429">
        <v>1.3922377309005192</v>
      </c>
      <c r="L30" s="429">
        <v>1.4751473052311592</v>
      </c>
      <c r="M30" s="429">
        <v>1.3086616121027663</v>
      </c>
      <c r="N30" s="429">
        <v>1.3541202587131478</v>
      </c>
      <c r="O30" s="429">
        <v>1.2220152079312401</v>
      </c>
      <c r="P30" s="429">
        <v>1.1894799391249717</v>
      </c>
      <c r="Q30" s="429"/>
      <c r="R30" s="429">
        <v>11.976005753127488</v>
      </c>
      <c r="S30" s="429"/>
      <c r="T30" s="429">
        <v>3155.3175712541333</v>
      </c>
      <c r="U30" s="429">
        <v>3281.8673807132463</v>
      </c>
      <c r="V30" s="429">
        <v>3158.026905674918</v>
      </c>
      <c r="W30" s="429"/>
      <c r="X30" s="429">
        <v>0</v>
      </c>
      <c r="Y30" s="429">
        <v>0</v>
      </c>
      <c r="Z30" s="429">
        <v>0</v>
      </c>
      <c r="AA30" s="429">
        <v>0</v>
      </c>
      <c r="AB30" s="429">
        <v>0</v>
      </c>
      <c r="AC30" s="429">
        <v>0</v>
      </c>
      <c r="AD30" s="429">
        <v>3.2710135675747649</v>
      </c>
      <c r="AE30" s="429">
        <v>0</v>
      </c>
      <c r="AF30" s="429">
        <v>0</v>
      </c>
      <c r="AG30" s="429">
        <v>0</v>
      </c>
      <c r="AH30" s="429">
        <v>3.1440614864612835</v>
      </c>
      <c r="AI30" s="429">
        <v>6.3430249232496481</v>
      </c>
      <c r="AJ30" s="429">
        <v>6.4337699452008641</v>
      </c>
      <c r="AK30" s="429">
        <v>6.9743107201858558</v>
      </c>
      <c r="AL30" s="429">
        <v>0</v>
      </c>
      <c r="AM30" s="429">
        <v>0</v>
      </c>
      <c r="AN30" s="429">
        <v>0</v>
      </c>
      <c r="AO30" s="432"/>
      <c r="AP30" s="428">
        <v>41669.68696446759</v>
      </c>
      <c r="AQ30" s="431">
        <v>94.244561539481879</v>
      </c>
      <c r="AR30" s="431">
        <v>124.99231017022528</v>
      </c>
      <c r="AS30" s="431">
        <v>240.50750638900641</v>
      </c>
      <c r="AT30" s="431"/>
      <c r="AU30" s="431">
        <v>21.833620041709683</v>
      </c>
      <c r="AV30" s="431"/>
      <c r="AW30" s="431">
        <v>94.556004244033289</v>
      </c>
      <c r="AX30" s="431">
        <v>87.777273110662577</v>
      </c>
      <c r="AY30" s="431">
        <v>117.18257733512266</v>
      </c>
      <c r="AZ30" s="431">
        <v>-86.146898349118189</v>
      </c>
      <c r="BA30" s="431">
        <v>18.180887073363458</v>
      </c>
      <c r="BB30" s="431">
        <v>5.7569676845093936</v>
      </c>
      <c r="BC30" s="431">
        <v>4.9497703029320155</v>
      </c>
      <c r="BD30" s="431">
        <v>19.594018266872265</v>
      </c>
      <c r="BE30" s="431"/>
      <c r="BF30" s="431">
        <v>8110.1474857675703</v>
      </c>
      <c r="BG30" s="431"/>
      <c r="BH30" s="431">
        <v>382924.12740435783</v>
      </c>
      <c r="BI30" s="431">
        <v>370221.1669191214</v>
      </c>
      <c r="BJ30" s="431">
        <v>371472.56170766731</v>
      </c>
      <c r="BK30" s="431">
        <v>0</v>
      </c>
      <c r="BL30" s="431">
        <v>0</v>
      </c>
      <c r="BM30" s="431">
        <v>0</v>
      </c>
      <c r="BN30" s="431">
        <v>0</v>
      </c>
      <c r="BO30" s="431">
        <v>0</v>
      </c>
      <c r="BP30" s="431">
        <v>0</v>
      </c>
      <c r="BQ30" s="431">
        <v>831.13872370059994</v>
      </c>
      <c r="BR30" s="431">
        <v>0</v>
      </c>
      <c r="BS30" s="431">
        <v>0</v>
      </c>
      <c r="BT30" s="431">
        <v>0</v>
      </c>
      <c r="BU30" s="431">
        <v>0</v>
      </c>
      <c r="BV30" s="431">
        <v>771.96910772160402</v>
      </c>
      <c r="BW30" s="431">
        <v>1274.5005103672279</v>
      </c>
      <c r="BX30" s="431">
        <v>1179.9066311503386</v>
      </c>
      <c r="BY30" s="431">
        <v>980.38500797479071</v>
      </c>
      <c r="BZ30" s="431">
        <v>0</v>
      </c>
      <c r="CA30" s="431">
        <v>0</v>
      </c>
      <c r="CB30" s="431">
        <v>0</v>
      </c>
      <c r="CC30" s="432"/>
      <c r="CD30" s="428">
        <v>41669.68696446759</v>
      </c>
      <c r="CE30" s="433">
        <v>0.30759941944884489</v>
      </c>
      <c r="CF30" s="433">
        <v>0.21368653957671954</v>
      </c>
      <c r="CG30" s="433">
        <v>0.16794913607715131</v>
      </c>
      <c r="CH30" s="433"/>
      <c r="CI30" s="433">
        <v>0.15098113338820576</v>
      </c>
      <c r="CJ30" s="433"/>
      <c r="CK30" s="433">
        <v>0.25899628896575483</v>
      </c>
      <c r="CL30" s="433">
        <v>0.27649961398917294</v>
      </c>
      <c r="CM30" s="433">
        <v>0.20129058533430336</v>
      </c>
      <c r="CN30" s="433">
        <v>0.20203138400313342</v>
      </c>
      <c r="CO30" s="433">
        <v>0.14170471559769959</v>
      </c>
      <c r="CP30" s="433">
        <v>0.6472517576995086</v>
      </c>
      <c r="CQ30" s="433">
        <v>0.67663897658204775</v>
      </c>
      <c r="CR30" s="433">
        <v>0.47764154429191014</v>
      </c>
      <c r="CS30" s="433"/>
      <c r="CT30" s="433">
        <v>0.44773699730205757</v>
      </c>
      <c r="CU30" s="433"/>
      <c r="CV30" s="433">
        <v>0.47651872850367988</v>
      </c>
      <c r="CW30" s="433">
        <v>0.47402386605078101</v>
      </c>
      <c r="CX30" s="433">
        <v>0.39912436248524713</v>
      </c>
      <c r="CY30" s="433">
        <v>0</v>
      </c>
      <c r="CZ30" s="433">
        <v>0</v>
      </c>
      <c r="DA30" s="433">
        <v>0</v>
      </c>
      <c r="DB30" s="433">
        <v>0</v>
      </c>
      <c r="DC30" s="433">
        <v>0</v>
      </c>
      <c r="DD30" s="433">
        <v>0</v>
      </c>
      <c r="DE30" s="433">
        <v>0.40827675582953765</v>
      </c>
      <c r="DF30" s="433">
        <v>0</v>
      </c>
      <c r="DG30" s="433">
        <v>0</v>
      </c>
      <c r="DH30" s="433">
        <v>0</v>
      </c>
      <c r="DI30" s="433">
        <v>0</v>
      </c>
      <c r="DJ30" s="433">
        <v>0.3468418965385815</v>
      </c>
      <c r="DK30" s="433">
        <v>0.33404461840598537</v>
      </c>
      <c r="DL30" s="433">
        <v>0.28377973353156666</v>
      </c>
      <c r="DM30" s="433">
        <v>0.40827675582953765</v>
      </c>
      <c r="DN30" s="433">
        <v>0</v>
      </c>
      <c r="DO30" s="433">
        <v>0</v>
      </c>
      <c r="DP30" s="433">
        <v>0</v>
      </c>
      <c r="DR30" s="409" t="s">
        <v>855</v>
      </c>
      <c r="DS30" s="409" t="s">
        <v>2314</v>
      </c>
    </row>
    <row r="31" spans="2:123" s="1471" customFormat="1">
      <c r="B31" s="428">
        <v>41674.466354282406</v>
      </c>
      <c r="C31" s="429">
        <v>1.4155152830691393</v>
      </c>
      <c r="D31" s="429">
        <v>1.4130450313451766</v>
      </c>
      <c r="E31" s="429">
        <v>1.4946160794703152</v>
      </c>
      <c r="F31" s="429"/>
      <c r="G31" s="429">
        <v>1.433086158042038</v>
      </c>
      <c r="H31" s="429"/>
      <c r="I31" s="429">
        <v>1.382635929112866</v>
      </c>
      <c r="J31" s="429">
        <v>1.6139793594837533</v>
      </c>
      <c r="K31" s="429">
        <v>1.3922377309005192</v>
      </c>
      <c r="L31" s="429">
        <v>1.4751473052311592</v>
      </c>
      <c r="M31" s="429">
        <v>1.3086616121027663</v>
      </c>
      <c r="N31" s="429">
        <v>1.3541202587131478</v>
      </c>
      <c r="O31" s="429">
        <v>1.2220152079312401</v>
      </c>
      <c r="P31" s="429">
        <v>1.1894799391249717</v>
      </c>
      <c r="Q31" s="429"/>
      <c r="R31" s="429">
        <v>11.976005753127488</v>
      </c>
      <c r="S31" s="429"/>
      <c r="T31" s="429">
        <v>3155.3175712541333</v>
      </c>
      <c r="U31" s="429">
        <v>3281.8673807132463</v>
      </c>
      <c r="V31" s="429">
        <v>3158.026905674918</v>
      </c>
      <c r="W31" s="429"/>
      <c r="X31" s="429">
        <v>210.97819432068297</v>
      </c>
      <c r="Y31" s="429">
        <v>204.92074167794416</v>
      </c>
      <c r="Z31" s="429">
        <v>85.987429080443817</v>
      </c>
      <c r="AA31" s="429">
        <v>292.4930120293289</v>
      </c>
      <c r="AB31" s="429">
        <v>286.61242522559115</v>
      </c>
      <c r="AC31" s="429">
        <v>247.56626846117706</v>
      </c>
      <c r="AD31" s="429">
        <v>3.2710135675747649</v>
      </c>
      <c r="AE31" s="429">
        <v>0</v>
      </c>
      <c r="AF31" s="429">
        <v>0</v>
      </c>
      <c r="AG31" s="429">
        <v>0</v>
      </c>
      <c r="AH31" s="429">
        <v>3.1440614864612835</v>
      </c>
      <c r="AI31" s="429">
        <v>6.3430249232496481</v>
      </c>
      <c r="AJ31" s="429">
        <v>6.4337699452008641</v>
      </c>
      <c r="AK31" s="429">
        <v>6.9743107201858558</v>
      </c>
      <c r="AL31" s="429">
        <v>0</v>
      </c>
      <c r="AM31" s="429">
        <v>0</v>
      </c>
      <c r="AN31" s="429">
        <v>0</v>
      </c>
      <c r="AO31" s="432"/>
      <c r="AP31" s="428">
        <v>41674.466354282406</v>
      </c>
      <c r="AQ31" s="431">
        <v>94.244561539481879</v>
      </c>
      <c r="AR31" s="431">
        <v>124.99231017022528</v>
      </c>
      <c r="AS31" s="431">
        <v>240.50750638900641</v>
      </c>
      <c r="AT31" s="431"/>
      <c r="AU31" s="431">
        <v>21.833620041709683</v>
      </c>
      <c r="AV31" s="431"/>
      <c r="AW31" s="431">
        <v>94.556004244033289</v>
      </c>
      <c r="AX31" s="431">
        <v>87.777273110662577</v>
      </c>
      <c r="AY31" s="431">
        <v>117.18257733512266</v>
      </c>
      <c r="AZ31" s="431">
        <v>-86.146898349118189</v>
      </c>
      <c r="BA31" s="431">
        <v>18.180887073363458</v>
      </c>
      <c r="BB31" s="431">
        <v>5.7569676845093936</v>
      </c>
      <c r="BC31" s="431">
        <v>4.9497703029320155</v>
      </c>
      <c r="BD31" s="431">
        <v>19.594018266872265</v>
      </c>
      <c r="BE31" s="431"/>
      <c r="BF31" s="431">
        <v>8110.1474857675703</v>
      </c>
      <c r="BG31" s="431"/>
      <c r="BH31" s="431">
        <v>382924.12740435783</v>
      </c>
      <c r="BI31" s="431">
        <v>370221.1669191214</v>
      </c>
      <c r="BJ31" s="431">
        <v>371472.56170766731</v>
      </c>
      <c r="BK31" s="431">
        <v>527176.57608873153</v>
      </c>
      <c r="BL31" s="431">
        <v>528958.50018953532</v>
      </c>
      <c r="BM31" s="431">
        <v>26894.070998588897</v>
      </c>
      <c r="BN31" s="431">
        <v>527176.57608873153</v>
      </c>
      <c r="BO31" s="431">
        <v>528958.50018953532</v>
      </c>
      <c r="BP31" s="431">
        <v>351796.23205119383</v>
      </c>
      <c r="BQ31" s="431">
        <v>831.13872370059994</v>
      </c>
      <c r="BR31" s="431">
        <v>0</v>
      </c>
      <c r="BS31" s="431">
        <v>0</v>
      </c>
      <c r="BT31" s="431">
        <v>0</v>
      </c>
      <c r="BU31" s="431">
        <v>0</v>
      </c>
      <c r="BV31" s="431">
        <v>771.96910772160402</v>
      </c>
      <c r="BW31" s="431">
        <v>1274.5005103672279</v>
      </c>
      <c r="BX31" s="431">
        <v>1179.9066311503386</v>
      </c>
      <c r="BY31" s="431">
        <v>980.38500797479071</v>
      </c>
      <c r="BZ31" s="431">
        <v>0</v>
      </c>
      <c r="CA31" s="431">
        <v>0</v>
      </c>
      <c r="CB31" s="431">
        <v>0</v>
      </c>
      <c r="CC31" s="432"/>
      <c r="CD31" s="428">
        <v>41674.466354282406</v>
      </c>
      <c r="CE31" s="433">
        <v>0.30759941944884489</v>
      </c>
      <c r="CF31" s="433">
        <v>0.21368653957671954</v>
      </c>
      <c r="CG31" s="433">
        <v>0.16794913607715131</v>
      </c>
      <c r="CH31" s="433"/>
      <c r="CI31" s="433">
        <v>0.15098113338820576</v>
      </c>
      <c r="CJ31" s="433"/>
      <c r="CK31" s="433">
        <v>0.25899628896575483</v>
      </c>
      <c r="CL31" s="433">
        <v>0.27649961398917294</v>
      </c>
      <c r="CM31" s="433">
        <v>0.20129058533430336</v>
      </c>
      <c r="CN31" s="433">
        <v>0.20203138400313342</v>
      </c>
      <c r="CO31" s="433">
        <v>0.14170471559769959</v>
      </c>
      <c r="CP31" s="433">
        <v>0.6472517576995086</v>
      </c>
      <c r="CQ31" s="433">
        <v>0.67663897658204775</v>
      </c>
      <c r="CR31" s="433">
        <v>0.47764154429191014</v>
      </c>
      <c r="CS31" s="433"/>
      <c r="CT31" s="433">
        <v>0.44773699730205757</v>
      </c>
      <c r="CU31" s="433"/>
      <c r="CV31" s="433">
        <v>0.47651872850367988</v>
      </c>
      <c r="CW31" s="433">
        <v>0.47402386605078101</v>
      </c>
      <c r="CX31" s="433">
        <v>0.39912436248524713</v>
      </c>
      <c r="CY31" s="433">
        <v>0.29692854969420923</v>
      </c>
      <c r="CZ31" s="433">
        <v>0.25001150066075878</v>
      </c>
      <c r="DA31" s="433">
        <v>0.76359964131937108</v>
      </c>
      <c r="DB31" s="433">
        <v>0.29692854969420923</v>
      </c>
      <c r="DC31" s="433">
        <v>0.25001150066075878</v>
      </c>
      <c r="DD31" s="433">
        <v>0.3433734775731957</v>
      </c>
      <c r="DE31" s="433">
        <v>0.40827675582953765</v>
      </c>
      <c r="DF31" s="433">
        <v>0</v>
      </c>
      <c r="DG31" s="433">
        <v>0</v>
      </c>
      <c r="DH31" s="433">
        <v>0</v>
      </c>
      <c r="DI31" s="433">
        <v>0</v>
      </c>
      <c r="DJ31" s="433">
        <v>0.3468418965385815</v>
      </c>
      <c r="DK31" s="433">
        <v>0.33404461840598537</v>
      </c>
      <c r="DL31" s="433">
        <v>0.28377973353156666</v>
      </c>
      <c r="DM31" s="433">
        <v>0.40827675582953765</v>
      </c>
      <c r="DN31" s="433">
        <v>0</v>
      </c>
      <c r="DO31" s="433">
        <v>0</v>
      </c>
      <c r="DP31" s="433">
        <v>0</v>
      </c>
      <c r="DR31" s="409" t="s">
        <v>855</v>
      </c>
      <c r="DS31" s="409" t="s">
        <v>1999</v>
      </c>
    </row>
    <row r="32" spans="2:123" s="1471" customFormat="1">
      <c r="B32" s="428">
        <v>41711.450380787035</v>
      </c>
      <c r="C32" s="429">
        <v>1.4155152830691393</v>
      </c>
      <c r="D32" s="429">
        <v>1.4130450313451766</v>
      </c>
      <c r="E32" s="429">
        <v>1.4946160794703152</v>
      </c>
      <c r="F32" s="429"/>
      <c r="G32" s="429">
        <v>1.433086158042038</v>
      </c>
      <c r="H32" s="429"/>
      <c r="I32" s="429">
        <v>1.382635929112866</v>
      </c>
      <c r="J32" s="429">
        <v>1.6139793594837533</v>
      </c>
      <c r="K32" s="429">
        <v>1.3922377309005192</v>
      </c>
      <c r="L32" s="429">
        <v>1.4751473052311592</v>
      </c>
      <c r="M32" s="429">
        <v>1.3086616121027663</v>
      </c>
      <c r="N32" s="429">
        <v>1.3541202587131478</v>
      </c>
      <c r="O32" s="429">
        <v>1.2220152079312401</v>
      </c>
      <c r="P32" s="429">
        <v>1.1894799391249717</v>
      </c>
      <c r="Q32" s="429"/>
      <c r="R32" s="429">
        <v>11.976005753127488</v>
      </c>
      <c r="S32" s="429"/>
      <c r="T32" s="429">
        <v>3155.3175712541333</v>
      </c>
      <c r="U32" s="429">
        <v>3281.8673807132463</v>
      </c>
      <c r="V32" s="429">
        <v>3158.026905674918</v>
      </c>
      <c r="W32" s="429"/>
      <c r="X32" s="429">
        <v>210.97819432068297</v>
      </c>
      <c r="Y32" s="429">
        <v>204.92074167794416</v>
      </c>
      <c r="Z32" s="429">
        <v>86.285871115624545</v>
      </c>
      <c r="AA32" s="429">
        <v>292.4930120293289</v>
      </c>
      <c r="AB32" s="429">
        <v>286.61242522559115</v>
      </c>
      <c r="AC32" s="429">
        <v>247.56626846117706</v>
      </c>
      <c r="AD32" s="429">
        <v>3.2710135675747649</v>
      </c>
      <c r="AE32" s="429">
        <v>0</v>
      </c>
      <c r="AF32" s="429">
        <v>0</v>
      </c>
      <c r="AG32" s="429">
        <v>0</v>
      </c>
      <c r="AH32" s="429">
        <v>3.1440614864612835</v>
      </c>
      <c r="AI32" s="429">
        <v>6.3430249232496481</v>
      </c>
      <c r="AJ32" s="429">
        <v>6.4337699452008641</v>
      </c>
      <c r="AK32" s="429">
        <v>6.9743107201858558</v>
      </c>
      <c r="AL32" s="429">
        <v>0</v>
      </c>
      <c r="AM32" s="429">
        <v>0</v>
      </c>
      <c r="AN32" s="429">
        <v>0</v>
      </c>
      <c r="AO32" s="432"/>
      <c r="AP32" s="428">
        <v>41711.450380787035</v>
      </c>
      <c r="AQ32" s="431">
        <v>94.244561539481879</v>
      </c>
      <c r="AR32" s="431">
        <v>124.99231017022528</v>
      </c>
      <c r="AS32" s="431">
        <v>240.50750638900641</v>
      </c>
      <c r="AT32" s="431"/>
      <c r="AU32" s="431">
        <v>21.833620041709683</v>
      </c>
      <c r="AV32" s="431"/>
      <c r="AW32" s="431">
        <v>94.556004244033289</v>
      </c>
      <c r="AX32" s="431">
        <v>87.777273110662577</v>
      </c>
      <c r="AY32" s="431">
        <v>117.18257733512266</v>
      </c>
      <c r="AZ32" s="431">
        <v>-86.146898349118189</v>
      </c>
      <c r="BA32" s="431">
        <v>18.180887073363458</v>
      </c>
      <c r="BB32" s="431">
        <v>5.7569676845093936</v>
      </c>
      <c r="BC32" s="431">
        <v>4.9497703029320155</v>
      </c>
      <c r="BD32" s="431">
        <v>19.594018266872265</v>
      </c>
      <c r="BE32" s="431"/>
      <c r="BF32" s="431">
        <v>8110.1474857675703</v>
      </c>
      <c r="BG32" s="431"/>
      <c r="BH32" s="431">
        <v>382924.12740435783</v>
      </c>
      <c r="BI32" s="431">
        <v>370221.1669191214</v>
      </c>
      <c r="BJ32" s="431">
        <v>371472.56170766731</v>
      </c>
      <c r="BK32" s="431">
        <v>527176.57608873153</v>
      </c>
      <c r="BL32" s="431">
        <v>528958.50018953532</v>
      </c>
      <c r="BM32" s="431">
        <v>26894.070998588897</v>
      </c>
      <c r="BN32" s="431">
        <v>527176.57608873153</v>
      </c>
      <c r="BO32" s="431">
        <v>528958.50018953532</v>
      </c>
      <c r="BP32" s="431">
        <v>351796.23205119383</v>
      </c>
      <c r="BQ32" s="431">
        <v>831.13872370059994</v>
      </c>
      <c r="BR32" s="431">
        <v>0</v>
      </c>
      <c r="BS32" s="431">
        <v>0</v>
      </c>
      <c r="BT32" s="431">
        <v>0</v>
      </c>
      <c r="BU32" s="431">
        <v>0</v>
      </c>
      <c r="BV32" s="431">
        <v>771.96910772160402</v>
      </c>
      <c r="BW32" s="431">
        <v>1274.5005103672279</v>
      </c>
      <c r="BX32" s="431">
        <v>1179.9066311503386</v>
      </c>
      <c r="BY32" s="431">
        <v>980.38500797479071</v>
      </c>
      <c r="BZ32" s="431">
        <v>0</v>
      </c>
      <c r="CA32" s="431">
        <v>0</v>
      </c>
      <c r="CB32" s="431">
        <v>0</v>
      </c>
      <c r="CC32" s="432"/>
      <c r="CD32" s="428">
        <v>41711.450380787035</v>
      </c>
      <c r="CE32" s="433">
        <v>0.30759941944884489</v>
      </c>
      <c r="CF32" s="433">
        <v>0.21368653957671954</v>
      </c>
      <c r="CG32" s="433">
        <v>0.16794913607715131</v>
      </c>
      <c r="CH32" s="433"/>
      <c r="CI32" s="433">
        <v>0.15098113338820576</v>
      </c>
      <c r="CJ32" s="433"/>
      <c r="CK32" s="433">
        <v>0.25899628896575483</v>
      </c>
      <c r="CL32" s="433">
        <v>0.27649961398917294</v>
      </c>
      <c r="CM32" s="433">
        <v>0.20129058533430336</v>
      </c>
      <c r="CN32" s="433">
        <v>0.20203138400313342</v>
      </c>
      <c r="CO32" s="433">
        <v>0.14170471559769959</v>
      </c>
      <c r="CP32" s="433">
        <v>0.6472517576995086</v>
      </c>
      <c r="CQ32" s="433">
        <v>0.67663897658204775</v>
      </c>
      <c r="CR32" s="433">
        <v>0.47764154429191014</v>
      </c>
      <c r="CS32" s="433"/>
      <c r="CT32" s="433">
        <v>0.44773699730205757</v>
      </c>
      <c r="CU32" s="433"/>
      <c r="CV32" s="433">
        <v>0.47651872850367988</v>
      </c>
      <c r="CW32" s="433">
        <v>0.47402386605078101</v>
      </c>
      <c r="CX32" s="433">
        <v>0.39912436248524713</v>
      </c>
      <c r="CY32" s="433">
        <v>0.29692854969420923</v>
      </c>
      <c r="CZ32" s="433">
        <v>0.25001150066075878</v>
      </c>
      <c r="DA32" s="433">
        <v>0.76359964131937108</v>
      </c>
      <c r="DB32" s="433">
        <v>0.29692854969420923</v>
      </c>
      <c r="DC32" s="433">
        <v>0.25001150066075878</v>
      </c>
      <c r="DD32" s="433">
        <v>0.3433734775731957</v>
      </c>
      <c r="DE32" s="433">
        <v>0.40827675582953765</v>
      </c>
      <c r="DF32" s="433">
        <v>0</v>
      </c>
      <c r="DG32" s="433">
        <v>0</v>
      </c>
      <c r="DH32" s="433">
        <v>0</v>
      </c>
      <c r="DI32" s="433">
        <v>0</v>
      </c>
      <c r="DJ32" s="433">
        <v>0.3468418965385815</v>
      </c>
      <c r="DK32" s="433">
        <v>0.33404461840598537</v>
      </c>
      <c r="DL32" s="433">
        <v>0.28377973353156666</v>
      </c>
      <c r="DM32" s="433">
        <v>0.40827675582953765</v>
      </c>
      <c r="DN32" s="433">
        <v>0</v>
      </c>
      <c r="DO32" s="433">
        <v>0</v>
      </c>
      <c r="DP32" s="433">
        <v>0</v>
      </c>
      <c r="DR32" s="409" t="s">
        <v>1776</v>
      </c>
      <c r="DS32" s="409" t="s">
        <v>2002</v>
      </c>
    </row>
    <row r="33" spans="2:123" s="1471" customFormat="1">
      <c r="B33" s="428">
        <v>41726.452561574071</v>
      </c>
      <c r="C33" s="429">
        <v>1.4155152830691393</v>
      </c>
      <c r="D33" s="429">
        <v>1.4130450313451766</v>
      </c>
      <c r="E33" s="429">
        <v>1.4950017301712346</v>
      </c>
      <c r="F33" s="429"/>
      <c r="G33" s="429">
        <v>1.433086158042038</v>
      </c>
      <c r="H33" s="429"/>
      <c r="I33" s="429">
        <v>1.382635929112866</v>
      </c>
      <c r="J33" s="429">
        <v>1.6139793594837533</v>
      </c>
      <c r="K33" s="429">
        <v>1.3922377309005192</v>
      </c>
      <c r="L33" s="429">
        <v>1.4751473052311592</v>
      </c>
      <c r="M33" s="429">
        <v>1.3087787727498228</v>
      </c>
      <c r="N33" s="429">
        <v>1.3541202587131478</v>
      </c>
      <c r="O33" s="429">
        <v>1.2220152079312401</v>
      </c>
      <c r="P33" s="429">
        <v>1.1894799391249717</v>
      </c>
      <c r="Q33" s="429"/>
      <c r="R33" s="429">
        <v>11.976005753127488</v>
      </c>
      <c r="S33" s="429"/>
      <c r="T33" s="429">
        <v>3155.3175712541333</v>
      </c>
      <c r="U33" s="429">
        <v>3281.8673807132463</v>
      </c>
      <c r="V33" s="429">
        <v>3158.026905674918</v>
      </c>
      <c r="W33" s="429"/>
      <c r="X33" s="429">
        <v>210.97819432068297</v>
      </c>
      <c r="Y33" s="429">
        <v>204.92074167794416</v>
      </c>
      <c r="Z33" s="429">
        <v>86.285871115624545</v>
      </c>
      <c r="AA33" s="429">
        <v>292.4930120293289</v>
      </c>
      <c r="AB33" s="429">
        <v>286.61242522559115</v>
      </c>
      <c r="AC33" s="429">
        <v>247.56626846117706</v>
      </c>
      <c r="AD33" s="429">
        <v>3.2710135675747649</v>
      </c>
      <c r="AE33" s="429">
        <v>0</v>
      </c>
      <c r="AF33" s="429">
        <v>0</v>
      </c>
      <c r="AG33" s="429">
        <v>0</v>
      </c>
      <c r="AH33" s="429">
        <v>3.1440614864612835</v>
      </c>
      <c r="AI33" s="429">
        <v>6.3430249232496481</v>
      </c>
      <c r="AJ33" s="429">
        <v>6.4337699452008641</v>
      </c>
      <c r="AK33" s="429">
        <v>6.9743107201858558</v>
      </c>
      <c r="AL33" s="429">
        <v>0</v>
      </c>
      <c r="AM33" s="429">
        <v>0</v>
      </c>
      <c r="AN33" s="429">
        <v>0</v>
      </c>
      <c r="AO33" s="432"/>
      <c r="AP33" s="428">
        <v>41726.452561574071</v>
      </c>
      <c r="AQ33" s="431">
        <v>94.244561539481879</v>
      </c>
      <c r="AR33" s="431">
        <v>124.99231017022528</v>
      </c>
      <c r="AS33" s="431">
        <v>241.10547439480325</v>
      </c>
      <c r="AT33" s="431"/>
      <c r="AU33" s="431">
        <v>21.833620041709683</v>
      </c>
      <c r="AV33" s="431"/>
      <c r="AW33" s="431">
        <v>94.556004244033289</v>
      </c>
      <c r="AX33" s="431">
        <v>87.777273110662577</v>
      </c>
      <c r="AY33" s="431">
        <v>117.18257733512266</v>
      </c>
      <c r="AZ33" s="431">
        <v>-86.146898349118189</v>
      </c>
      <c r="BA33" s="431">
        <v>18.362549697886749</v>
      </c>
      <c r="BB33" s="431">
        <v>5.7569676845093936</v>
      </c>
      <c r="BC33" s="431">
        <v>4.9497703029320155</v>
      </c>
      <c r="BD33" s="431">
        <v>19.594018266872265</v>
      </c>
      <c r="BE33" s="431"/>
      <c r="BF33" s="431">
        <v>8110.1474857675703</v>
      </c>
      <c r="BG33" s="431"/>
      <c r="BH33" s="431">
        <v>382924.12740435783</v>
      </c>
      <c r="BI33" s="431">
        <v>370221.1669191214</v>
      </c>
      <c r="BJ33" s="431">
        <v>371472.56170766731</v>
      </c>
      <c r="BK33" s="431">
        <v>527176.57608873153</v>
      </c>
      <c r="BL33" s="431">
        <v>528958.50018953532</v>
      </c>
      <c r="BM33" s="431">
        <v>26894.070998588897</v>
      </c>
      <c r="BN33" s="431">
        <v>527176.57608873153</v>
      </c>
      <c r="BO33" s="431">
        <v>528958.50018953532</v>
      </c>
      <c r="BP33" s="431">
        <v>351796.23205119383</v>
      </c>
      <c r="BQ33" s="431">
        <v>831.13872370059994</v>
      </c>
      <c r="BR33" s="431">
        <v>0</v>
      </c>
      <c r="BS33" s="431">
        <v>0</v>
      </c>
      <c r="BT33" s="431">
        <v>0</v>
      </c>
      <c r="BU33" s="431">
        <v>0</v>
      </c>
      <c r="BV33" s="431">
        <v>771.96910772160402</v>
      </c>
      <c r="BW33" s="431">
        <v>1274.5005103672279</v>
      </c>
      <c r="BX33" s="431">
        <v>1179.9066311503386</v>
      </c>
      <c r="BY33" s="431">
        <v>980.38500797479071</v>
      </c>
      <c r="BZ33" s="431">
        <v>0</v>
      </c>
      <c r="CA33" s="431">
        <v>0</v>
      </c>
      <c r="CB33" s="431">
        <v>0</v>
      </c>
      <c r="CC33" s="432"/>
      <c r="CD33" s="428">
        <v>41726.452561574071</v>
      </c>
      <c r="CE33" s="433">
        <v>0.30759941944884489</v>
      </c>
      <c r="CF33" s="433">
        <v>0.21368653957671954</v>
      </c>
      <c r="CG33" s="433">
        <v>0.16794913607715131</v>
      </c>
      <c r="CH33" s="433"/>
      <c r="CI33" s="433">
        <v>0.15098113338820576</v>
      </c>
      <c r="CJ33" s="433"/>
      <c r="CK33" s="433">
        <v>0.25899628896575483</v>
      </c>
      <c r="CL33" s="433">
        <v>0.27649961398917294</v>
      </c>
      <c r="CM33" s="433">
        <v>0.20129058533430336</v>
      </c>
      <c r="CN33" s="433">
        <v>0.20203138400313342</v>
      </c>
      <c r="CO33" s="433">
        <v>0.14170471559769959</v>
      </c>
      <c r="CP33" s="433">
        <v>0.6472517576995086</v>
      </c>
      <c r="CQ33" s="433">
        <v>0.67663897658204775</v>
      </c>
      <c r="CR33" s="433">
        <v>0.47764154429191014</v>
      </c>
      <c r="CS33" s="433"/>
      <c r="CT33" s="433">
        <v>0.44773699730205757</v>
      </c>
      <c r="CU33" s="433"/>
      <c r="CV33" s="433">
        <v>0.47651872850367988</v>
      </c>
      <c r="CW33" s="433">
        <v>0.47402386605078101</v>
      </c>
      <c r="CX33" s="433">
        <v>0.39912436248524713</v>
      </c>
      <c r="CY33" s="433">
        <v>0.29692854969420923</v>
      </c>
      <c r="CZ33" s="433">
        <v>0.25001150066075878</v>
      </c>
      <c r="DA33" s="433">
        <v>0.76359964131937108</v>
      </c>
      <c r="DB33" s="433">
        <v>0.29692854969420923</v>
      </c>
      <c r="DC33" s="433">
        <v>0.25001150066075878</v>
      </c>
      <c r="DD33" s="433">
        <v>0.3433734775731957</v>
      </c>
      <c r="DE33" s="433">
        <v>0.40827675582953765</v>
      </c>
      <c r="DF33" s="433">
        <v>0</v>
      </c>
      <c r="DG33" s="433">
        <v>0</v>
      </c>
      <c r="DH33" s="433">
        <v>0</v>
      </c>
      <c r="DI33" s="433">
        <v>0</v>
      </c>
      <c r="DJ33" s="433">
        <v>0.3468418965385815</v>
      </c>
      <c r="DK33" s="433">
        <v>0.33404461840598537</v>
      </c>
      <c r="DL33" s="433">
        <v>0.28377973353156666</v>
      </c>
      <c r="DM33" s="433">
        <v>0.40827675582953765</v>
      </c>
      <c r="DN33" s="433">
        <v>0</v>
      </c>
      <c r="DO33" s="433">
        <v>0</v>
      </c>
      <c r="DP33" s="433">
        <v>0</v>
      </c>
      <c r="DR33" s="409" t="s">
        <v>2011</v>
      </c>
      <c r="DS33" s="409" t="s">
        <v>2012</v>
      </c>
    </row>
    <row r="34" spans="2:123" s="1471" customFormat="1">
      <c r="B34" s="428">
        <v>41726.561361342596</v>
      </c>
      <c r="C34" s="429">
        <v>1.4155152830691393</v>
      </c>
      <c r="D34" s="429">
        <v>1.4130450313451766</v>
      </c>
      <c r="E34" s="429">
        <v>1.4950017301712346</v>
      </c>
      <c r="F34" s="429"/>
      <c r="G34" s="429">
        <v>1.433086158042038</v>
      </c>
      <c r="H34" s="429"/>
      <c r="I34" s="429">
        <v>1.382635929112866</v>
      </c>
      <c r="J34" s="429">
        <v>1.6139793594837533</v>
      </c>
      <c r="K34" s="429">
        <v>1.3922377309005192</v>
      </c>
      <c r="L34" s="429">
        <v>1.4751473052311592</v>
      </c>
      <c r="M34" s="429">
        <v>1.3087787727498228</v>
      </c>
      <c r="N34" s="429">
        <v>1.3541202587131478</v>
      </c>
      <c r="O34" s="429">
        <v>1.2220152079312401</v>
      </c>
      <c r="P34" s="429">
        <v>1.1894799391249717</v>
      </c>
      <c r="Q34" s="429"/>
      <c r="R34" s="429">
        <v>11.976005753127488</v>
      </c>
      <c r="S34" s="429"/>
      <c r="T34" s="429">
        <v>3155.3175712541333</v>
      </c>
      <c r="U34" s="429">
        <v>3281.8673807132463</v>
      </c>
      <c r="V34" s="429">
        <v>3158.026905674918</v>
      </c>
      <c r="W34" s="429"/>
      <c r="X34" s="429">
        <v>210.97819432068297</v>
      </c>
      <c r="Y34" s="429">
        <v>204.92074167794416</v>
      </c>
      <c r="Z34" s="429">
        <v>85.092848842621763</v>
      </c>
      <c r="AA34" s="429">
        <v>292.4930120293289</v>
      </c>
      <c r="AB34" s="429">
        <v>286.61242522559115</v>
      </c>
      <c r="AC34" s="429">
        <v>247.56626846117706</v>
      </c>
      <c r="AD34" s="429">
        <v>3.2710135675747649</v>
      </c>
      <c r="AE34" s="429">
        <v>0</v>
      </c>
      <c r="AF34" s="429">
        <v>0</v>
      </c>
      <c r="AG34" s="429">
        <v>0</v>
      </c>
      <c r="AH34" s="429">
        <v>3.1440614864612835</v>
      </c>
      <c r="AI34" s="429">
        <v>6.3430249232496481</v>
      </c>
      <c r="AJ34" s="429">
        <v>6.4337699452008641</v>
      </c>
      <c r="AK34" s="429">
        <v>6.9743107201858558</v>
      </c>
      <c r="AL34" s="429">
        <v>0</v>
      </c>
      <c r="AM34" s="429">
        <v>0</v>
      </c>
      <c r="AN34" s="429">
        <v>0</v>
      </c>
      <c r="AO34" s="432"/>
      <c r="AP34" s="428">
        <v>41726.561361342596</v>
      </c>
      <c r="AQ34" s="431">
        <v>94.244561539481879</v>
      </c>
      <c r="AR34" s="431">
        <v>124.99231017022528</v>
      </c>
      <c r="AS34" s="431">
        <v>241.10547439480325</v>
      </c>
      <c r="AT34" s="431"/>
      <c r="AU34" s="431">
        <v>21.833620041709683</v>
      </c>
      <c r="AV34" s="431"/>
      <c r="AW34" s="431">
        <v>94.556004244033289</v>
      </c>
      <c r="AX34" s="431">
        <v>87.777273110662577</v>
      </c>
      <c r="AY34" s="431">
        <v>117.18257733512266</v>
      </c>
      <c r="AZ34" s="431">
        <v>-86.146898349118189</v>
      </c>
      <c r="BA34" s="431">
        <v>18.362549697886749</v>
      </c>
      <c r="BB34" s="431">
        <v>5.7569676845093936</v>
      </c>
      <c r="BC34" s="431">
        <v>4.9497703029320155</v>
      </c>
      <c r="BD34" s="431">
        <v>19.594018266872265</v>
      </c>
      <c r="BE34" s="431"/>
      <c r="BF34" s="431">
        <v>8110.1474857675703</v>
      </c>
      <c r="BG34" s="431"/>
      <c r="BH34" s="431">
        <v>382924.12740435783</v>
      </c>
      <c r="BI34" s="431">
        <v>370221.1669191214</v>
      </c>
      <c r="BJ34" s="431">
        <v>371472.56170766731</v>
      </c>
      <c r="BK34" s="431">
        <v>527176.57608873153</v>
      </c>
      <c r="BL34" s="431">
        <v>528958.50018953532</v>
      </c>
      <c r="BM34" s="431">
        <v>25478.593577610536</v>
      </c>
      <c r="BN34" s="431">
        <v>527176.57608873153</v>
      </c>
      <c r="BO34" s="431">
        <v>528958.50018953532</v>
      </c>
      <c r="BP34" s="431">
        <v>351796.23205119383</v>
      </c>
      <c r="BQ34" s="431">
        <v>831.13872370059994</v>
      </c>
      <c r="BR34" s="431">
        <v>0</v>
      </c>
      <c r="BS34" s="431">
        <v>0</v>
      </c>
      <c r="BT34" s="431">
        <v>0</v>
      </c>
      <c r="BU34" s="431">
        <v>0</v>
      </c>
      <c r="BV34" s="431">
        <v>771.96910772160402</v>
      </c>
      <c r="BW34" s="431">
        <v>1274.5005103672279</v>
      </c>
      <c r="BX34" s="431">
        <v>1179.9066311503386</v>
      </c>
      <c r="BY34" s="431">
        <v>980.38500797479071</v>
      </c>
      <c r="BZ34" s="431">
        <v>0</v>
      </c>
      <c r="CA34" s="431">
        <v>0</v>
      </c>
      <c r="CB34" s="431">
        <v>0</v>
      </c>
      <c r="CC34" s="432"/>
      <c r="CD34" s="428">
        <v>41726.561361342596</v>
      </c>
      <c r="CE34" s="433">
        <v>0.30759941944884489</v>
      </c>
      <c r="CF34" s="433">
        <v>0.21368653957671954</v>
      </c>
      <c r="CG34" s="433">
        <v>0.16794913607715131</v>
      </c>
      <c r="CH34" s="433"/>
      <c r="CI34" s="433">
        <v>0.15098113338820576</v>
      </c>
      <c r="CJ34" s="433"/>
      <c r="CK34" s="433">
        <v>0.25899628896575483</v>
      </c>
      <c r="CL34" s="433">
        <v>0.27649961398917294</v>
      </c>
      <c r="CM34" s="433">
        <v>0.20129058533430336</v>
      </c>
      <c r="CN34" s="433">
        <v>0.20203138400313342</v>
      </c>
      <c r="CO34" s="433">
        <v>0.14170471559769959</v>
      </c>
      <c r="CP34" s="433">
        <v>0.6472517576995086</v>
      </c>
      <c r="CQ34" s="433">
        <v>0.67663897658204775</v>
      </c>
      <c r="CR34" s="433">
        <v>0.47764154429191014</v>
      </c>
      <c r="CS34" s="433"/>
      <c r="CT34" s="433">
        <v>0.44773699730205757</v>
      </c>
      <c r="CU34" s="433"/>
      <c r="CV34" s="433">
        <v>0.47651872850367988</v>
      </c>
      <c r="CW34" s="433">
        <v>0.47402386605078101</v>
      </c>
      <c r="CX34" s="433">
        <v>0.39912436248524713</v>
      </c>
      <c r="CY34" s="433">
        <v>0.29692854969420923</v>
      </c>
      <c r="CZ34" s="433">
        <v>0.25001150066075878</v>
      </c>
      <c r="DA34" s="433">
        <v>0.80602184361489149</v>
      </c>
      <c r="DB34" s="433">
        <v>0.29692854969420923</v>
      </c>
      <c r="DC34" s="433">
        <v>0.25001150066075878</v>
      </c>
      <c r="DD34" s="433">
        <v>0.3433734775731957</v>
      </c>
      <c r="DE34" s="433">
        <v>0.40827675582953765</v>
      </c>
      <c r="DF34" s="433">
        <v>0</v>
      </c>
      <c r="DG34" s="433">
        <v>0</v>
      </c>
      <c r="DH34" s="433">
        <v>0</v>
      </c>
      <c r="DI34" s="433">
        <v>0</v>
      </c>
      <c r="DJ34" s="433">
        <v>0.3468418965385815</v>
      </c>
      <c r="DK34" s="433">
        <v>0.33404461840598537</v>
      </c>
      <c r="DL34" s="433">
        <v>0.28377973353156666</v>
      </c>
      <c r="DM34" s="433">
        <v>0.40827675582953765</v>
      </c>
      <c r="DN34" s="433">
        <v>0</v>
      </c>
      <c r="DO34" s="433">
        <v>0</v>
      </c>
      <c r="DP34" s="433">
        <v>0</v>
      </c>
      <c r="DR34" s="409" t="s">
        <v>855</v>
      </c>
      <c r="DS34" s="409" t="s">
        <v>2014</v>
      </c>
    </row>
    <row r="35" spans="2:123" s="1471" customFormat="1">
      <c r="B35" s="428">
        <v>41726.615459722219</v>
      </c>
      <c r="C35" s="429">
        <v>1.4155152830691393</v>
      </c>
      <c r="D35" s="429">
        <v>1.4130450313451766</v>
      </c>
      <c r="E35" s="429">
        <v>1.4950017301712346</v>
      </c>
      <c r="F35" s="429"/>
      <c r="G35" s="429">
        <v>1.433086158042038</v>
      </c>
      <c r="H35" s="429"/>
      <c r="I35" s="429">
        <v>1.382635929112866</v>
      </c>
      <c r="J35" s="429">
        <v>1.6139793594837533</v>
      </c>
      <c r="K35" s="429">
        <v>1.3922367973075811</v>
      </c>
      <c r="L35" s="429">
        <v>1.4751463716382212</v>
      </c>
      <c r="M35" s="429">
        <v>1.3087787727498228</v>
      </c>
      <c r="N35" s="429">
        <v>1.3541586012943563</v>
      </c>
      <c r="O35" s="429">
        <v>1.2220152079312401</v>
      </c>
      <c r="P35" s="429">
        <v>1.1894799391249717</v>
      </c>
      <c r="Q35" s="429"/>
      <c r="R35" s="429">
        <v>11.976005753127488</v>
      </c>
      <c r="S35" s="429"/>
      <c r="T35" s="429">
        <v>3155.3175712541333</v>
      </c>
      <c r="U35" s="429">
        <v>3281.8673807132463</v>
      </c>
      <c r="V35" s="429">
        <v>3158.026905674918</v>
      </c>
      <c r="W35" s="429"/>
      <c r="X35" s="429">
        <v>210.97819432068297</v>
      </c>
      <c r="Y35" s="429">
        <v>204.92074167794416</v>
      </c>
      <c r="Z35" s="429">
        <v>85.092848842621763</v>
      </c>
      <c r="AA35" s="429">
        <v>292.4930120293289</v>
      </c>
      <c r="AB35" s="429">
        <v>286.61242522559115</v>
      </c>
      <c r="AC35" s="429">
        <v>247.56625067947493</v>
      </c>
      <c r="AD35" s="429">
        <v>3.2710135675747649</v>
      </c>
      <c r="AE35" s="429">
        <v>0</v>
      </c>
      <c r="AF35" s="429">
        <v>0</v>
      </c>
      <c r="AG35" s="429">
        <v>0</v>
      </c>
      <c r="AH35" s="429">
        <v>3.1440548324897977</v>
      </c>
      <c r="AI35" s="429">
        <v>6.3430249232496481</v>
      </c>
      <c r="AJ35" s="429">
        <v>6.4337597572027541</v>
      </c>
      <c r="AK35" s="429">
        <v>6.9743107201858558</v>
      </c>
      <c r="AL35" s="429">
        <v>0</v>
      </c>
      <c r="AM35" s="429">
        <v>0</v>
      </c>
      <c r="AN35" s="429">
        <v>0</v>
      </c>
      <c r="AO35" s="432"/>
      <c r="AP35" s="428">
        <v>41726.615459722219</v>
      </c>
      <c r="AQ35" s="431">
        <v>94.244561539481879</v>
      </c>
      <c r="AR35" s="431">
        <v>124.99231017022528</v>
      </c>
      <c r="AS35" s="431">
        <v>241.10547439480325</v>
      </c>
      <c r="AT35" s="431"/>
      <c r="AU35" s="431">
        <v>21.833620041709683</v>
      </c>
      <c r="AV35" s="431"/>
      <c r="AW35" s="431">
        <v>94.556004244033289</v>
      </c>
      <c r="AX35" s="431">
        <v>87.777273110662577</v>
      </c>
      <c r="AY35" s="431">
        <v>117.18257733512266</v>
      </c>
      <c r="AZ35" s="431">
        <v>-86.146898349118189</v>
      </c>
      <c r="BA35" s="431">
        <v>18.362549697886749</v>
      </c>
      <c r="BB35" s="431">
        <v>5.7571030507289267</v>
      </c>
      <c r="BC35" s="431">
        <v>4.9497703029320155</v>
      </c>
      <c r="BD35" s="431">
        <v>19.594018266872265</v>
      </c>
      <c r="BE35" s="431"/>
      <c r="BF35" s="431">
        <v>8110.1474857675703</v>
      </c>
      <c r="BG35" s="431"/>
      <c r="BH35" s="431">
        <v>382924.12740435783</v>
      </c>
      <c r="BI35" s="431">
        <v>370221.1669191214</v>
      </c>
      <c r="BJ35" s="431">
        <v>371472.56170766731</v>
      </c>
      <c r="BK35" s="431">
        <v>527176.57608873153</v>
      </c>
      <c r="BL35" s="431">
        <v>528958.50018953532</v>
      </c>
      <c r="BM35" s="431">
        <v>25478.593577610536</v>
      </c>
      <c r="BN35" s="431">
        <v>527176.57608873153</v>
      </c>
      <c r="BO35" s="431">
        <v>528958.50018953532</v>
      </c>
      <c r="BP35" s="431">
        <v>351796.23205119383</v>
      </c>
      <c r="BQ35" s="431">
        <v>831.13872370059994</v>
      </c>
      <c r="BR35" s="431">
        <v>0</v>
      </c>
      <c r="BS35" s="431">
        <v>0</v>
      </c>
      <c r="BT35" s="431">
        <v>0</v>
      </c>
      <c r="BU35" s="431">
        <v>0</v>
      </c>
      <c r="BV35" s="431">
        <v>771.96910772160402</v>
      </c>
      <c r="BW35" s="431">
        <v>1274.5005103672279</v>
      </c>
      <c r="BX35" s="431">
        <v>1179.9066311503386</v>
      </c>
      <c r="BY35" s="431">
        <v>980.38500797479071</v>
      </c>
      <c r="BZ35" s="431">
        <v>0</v>
      </c>
      <c r="CA35" s="431">
        <v>0</v>
      </c>
      <c r="CB35" s="431">
        <v>0</v>
      </c>
      <c r="CC35" s="432"/>
      <c r="CD35" s="428">
        <v>41726.615459722219</v>
      </c>
      <c r="CE35" s="433">
        <v>0.30759941944884489</v>
      </c>
      <c r="CF35" s="433">
        <v>0.21368653957671954</v>
      </c>
      <c r="CG35" s="433">
        <v>0.16794913607715131</v>
      </c>
      <c r="CH35" s="433"/>
      <c r="CI35" s="433">
        <v>0.15098113338820576</v>
      </c>
      <c r="CJ35" s="433"/>
      <c r="CK35" s="433">
        <v>0.25899628896575483</v>
      </c>
      <c r="CL35" s="433">
        <v>0.27649961398917294</v>
      </c>
      <c r="CM35" s="433">
        <v>0.20129058533430336</v>
      </c>
      <c r="CN35" s="433">
        <v>0.20203138400313342</v>
      </c>
      <c r="CO35" s="433">
        <v>0.14170471559769959</v>
      </c>
      <c r="CP35" s="433">
        <v>0.6472517576995086</v>
      </c>
      <c r="CQ35" s="433">
        <v>0.67663897658204775</v>
      </c>
      <c r="CR35" s="433">
        <v>0.47764154429191014</v>
      </c>
      <c r="CS35" s="433"/>
      <c r="CT35" s="433">
        <v>0.44773699730205757</v>
      </c>
      <c r="CU35" s="433"/>
      <c r="CV35" s="433">
        <v>0.47651872850367988</v>
      </c>
      <c r="CW35" s="433">
        <v>0.47402386605078101</v>
      </c>
      <c r="CX35" s="433">
        <v>0.39912436248524713</v>
      </c>
      <c r="CY35" s="433">
        <v>0.29692854969420923</v>
      </c>
      <c r="CZ35" s="433">
        <v>0.25001150066075878</v>
      </c>
      <c r="DA35" s="433">
        <v>0.80602184361489149</v>
      </c>
      <c r="DB35" s="433">
        <v>0.29692854969420923</v>
      </c>
      <c r="DC35" s="433">
        <v>0.25001150066075878</v>
      </c>
      <c r="DD35" s="433">
        <v>0.3433734775731957</v>
      </c>
      <c r="DE35" s="433">
        <v>0.40827675582953765</v>
      </c>
      <c r="DF35" s="433">
        <v>0</v>
      </c>
      <c r="DG35" s="433">
        <v>0</v>
      </c>
      <c r="DH35" s="433">
        <v>0</v>
      </c>
      <c r="DI35" s="433">
        <v>0</v>
      </c>
      <c r="DJ35" s="433">
        <v>0.3468418965385815</v>
      </c>
      <c r="DK35" s="433">
        <v>0.33404461840598537</v>
      </c>
      <c r="DL35" s="433">
        <v>0.28377973353156666</v>
      </c>
      <c r="DM35" s="433">
        <v>0.40827675582953765</v>
      </c>
      <c r="DN35" s="433">
        <v>0</v>
      </c>
      <c r="DO35" s="433">
        <v>0</v>
      </c>
      <c r="DP35" s="433">
        <v>0</v>
      </c>
      <c r="DR35" s="409" t="s">
        <v>855</v>
      </c>
      <c r="DS35" s="409" t="s">
        <v>2015</v>
      </c>
    </row>
    <row r="36" spans="2:123" s="1471" customFormat="1">
      <c r="B36" s="428">
        <v>41726.618158564816</v>
      </c>
      <c r="C36" s="429">
        <v>1.4155152830691393</v>
      </c>
      <c r="D36" s="429">
        <v>1.4130450313451766</v>
      </c>
      <c r="E36" s="429">
        <v>1.4950017301712346</v>
      </c>
      <c r="F36" s="429"/>
      <c r="G36" s="429">
        <v>1.433086158042038</v>
      </c>
      <c r="H36" s="429"/>
      <c r="I36" s="429">
        <v>1.382635929112866</v>
      </c>
      <c r="J36" s="429">
        <v>1.6139793594837533</v>
      </c>
      <c r="K36" s="429">
        <v>1.3923540558734298</v>
      </c>
      <c r="L36" s="429">
        <v>1.4747841864196976</v>
      </c>
      <c r="M36" s="429">
        <v>1.3087787727498228</v>
      </c>
      <c r="N36" s="429">
        <v>1.3539996320293621</v>
      </c>
      <c r="O36" s="429">
        <v>1.2220152079312401</v>
      </c>
      <c r="P36" s="429">
        <v>1.1894799391249717</v>
      </c>
      <c r="Q36" s="429"/>
      <c r="R36" s="429">
        <v>11.976005753127488</v>
      </c>
      <c r="S36" s="429"/>
      <c r="T36" s="429">
        <v>3155.3175712541333</v>
      </c>
      <c r="U36" s="429">
        <v>3281.8673807132463</v>
      </c>
      <c r="V36" s="429">
        <v>3158.026905674918</v>
      </c>
      <c r="W36" s="429"/>
      <c r="X36" s="429">
        <v>210.97819432068297</v>
      </c>
      <c r="Y36" s="429">
        <v>204.92074167794416</v>
      </c>
      <c r="Z36" s="429">
        <v>85.092848842621763</v>
      </c>
      <c r="AA36" s="429">
        <v>292.4930120293289</v>
      </c>
      <c r="AB36" s="429">
        <v>286.61242522559115</v>
      </c>
      <c r="AC36" s="429">
        <v>247.92548288853618</v>
      </c>
      <c r="AD36" s="429">
        <v>3.2710135675747649</v>
      </c>
      <c r="AE36" s="429">
        <v>0</v>
      </c>
      <c r="AF36" s="429">
        <v>0</v>
      </c>
      <c r="AG36" s="429">
        <v>0</v>
      </c>
      <c r="AH36" s="429">
        <v>3.1448165038715481</v>
      </c>
      <c r="AI36" s="429">
        <v>6.3430249232496481</v>
      </c>
      <c r="AJ36" s="429">
        <v>6.4349259639733729</v>
      </c>
      <c r="AK36" s="429">
        <v>6.9743107201858558</v>
      </c>
      <c r="AL36" s="429">
        <v>0</v>
      </c>
      <c r="AM36" s="429">
        <v>0</v>
      </c>
      <c r="AN36" s="429">
        <v>0</v>
      </c>
      <c r="AO36" s="432"/>
      <c r="AP36" s="428">
        <v>41726.618158564816</v>
      </c>
      <c r="AQ36" s="431">
        <v>94.244561539481879</v>
      </c>
      <c r="AR36" s="431">
        <v>124.99231017022528</v>
      </c>
      <c r="AS36" s="431">
        <v>241.10547439480325</v>
      </c>
      <c r="AT36" s="431"/>
      <c r="AU36" s="431">
        <v>21.833620041709683</v>
      </c>
      <c r="AV36" s="431"/>
      <c r="AW36" s="431">
        <v>94.556004244033289</v>
      </c>
      <c r="AX36" s="431">
        <v>87.777273110662577</v>
      </c>
      <c r="AY36" s="431">
        <v>117.6208120442564</v>
      </c>
      <c r="AZ36" s="431">
        <v>-88.090317060079087</v>
      </c>
      <c r="BA36" s="431">
        <v>18.362549697886749</v>
      </c>
      <c r="BB36" s="431">
        <v>5.3806648868837312</v>
      </c>
      <c r="BC36" s="431">
        <v>4.9497703029320155</v>
      </c>
      <c r="BD36" s="431">
        <v>19.594018266872265</v>
      </c>
      <c r="BE36" s="431"/>
      <c r="BF36" s="431">
        <v>8110.1474857675703</v>
      </c>
      <c r="BG36" s="431"/>
      <c r="BH36" s="431">
        <v>382924.12740435783</v>
      </c>
      <c r="BI36" s="431">
        <v>370221.1669191214</v>
      </c>
      <c r="BJ36" s="431">
        <v>371472.56170766731</v>
      </c>
      <c r="BK36" s="431">
        <v>527176.57608873153</v>
      </c>
      <c r="BL36" s="431">
        <v>528958.50018953532</v>
      </c>
      <c r="BM36" s="431">
        <v>25478.593577610536</v>
      </c>
      <c r="BN36" s="431">
        <v>527176.57608873153</v>
      </c>
      <c r="BO36" s="431">
        <v>528958.50018953532</v>
      </c>
      <c r="BP36" s="431">
        <v>353138.80367067433</v>
      </c>
      <c r="BQ36" s="431">
        <v>831.13872370059994</v>
      </c>
      <c r="BR36" s="431">
        <v>0</v>
      </c>
      <c r="BS36" s="431">
        <v>0</v>
      </c>
      <c r="BT36" s="431">
        <v>0</v>
      </c>
      <c r="BU36" s="431">
        <v>0</v>
      </c>
      <c r="BV36" s="431">
        <v>774.81572991948747</v>
      </c>
      <c r="BW36" s="431">
        <v>1274.5005103672279</v>
      </c>
      <c r="BX36" s="431">
        <v>1184.2651381917053</v>
      </c>
      <c r="BY36" s="431">
        <v>980.38500797479071</v>
      </c>
      <c r="BZ36" s="431">
        <v>0</v>
      </c>
      <c r="CA36" s="431">
        <v>0</v>
      </c>
      <c r="CB36" s="431">
        <v>0</v>
      </c>
      <c r="CC36" s="432"/>
      <c r="CD36" s="428">
        <v>41726.618158564816</v>
      </c>
      <c r="CE36" s="433">
        <v>0.30759941944884489</v>
      </c>
      <c r="CF36" s="433">
        <v>0.21368653957671954</v>
      </c>
      <c r="CG36" s="433">
        <v>0.16794913607715131</v>
      </c>
      <c r="CH36" s="433"/>
      <c r="CI36" s="433">
        <v>0.15098113338820576</v>
      </c>
      <c r="CJ36" s="433"/>
      <c r="CK36" s="433">
        <v>0.25899628896575483</v>
      </c>
      <c r="CL36" s="433">
        <v>0.27649961398917294</v>
      </c>
      <c r="CM36" s="433">
        <v>0.20129058533430336</v>
      </c>
      <c r="CN36" s="433">
        <v>0.20203138400313342</v>
      </c>
      <c r="CO36" s="433">
        <v>0.14170471559769959</v>
      </c>
      <c r="CP36" s="433">
        <v>0.6472517576995086</v>
      </c>
      <c r="CQ36" s="433">
        <v>0.67663897658204775</v>
      </c>
      <c r="CR36" s="433">
        <v>0.47764154429191014</v>
      </c>
      <c r="CS36" s="433"/>
      <c r="CT36" s="433">
        <v>0.44773699730205757</v>
      </c>
      <c r="CU36" s="433"/>
      <c r="CV36" s="433">
        <v>0.47651872850367988</v>
      </c>
      <c r="CW36" s="433">
        <v>0.47402386605078101</v>
      </c>
      <c r="CX36" s="433">
        <v>0.39912436248524713</v>
      </c>
      <c r="CY36" s="433">
        <v>0.29692854969420923</v>
      </c>
      <c r="CZ36" s="433">
        <v>0.25001150066075878</v>
      </c>
      <c r="DA36" s="433">
        <v>0.80602184361489149</v>
      </c>
      <c r="DB36" s="433">
        <v>0.29692854969420923</v>
      </c>
      <c r="DC36" s="433">
        <v>0.25001150066075878</v>
      </c>
      <c r="DD36" s="433">
        <v>0.3433734775731957</v>
      </c>
      <c r="DE36" s="433">
        <v>0.40827675582953765</v>
      </c>
      <c r="DF36" s="433">
        <v>0</v>
      </c>
      <c r="DG36" s="433">
        <v>0</v>
      </c>
      <c r="DH36" s="433">
        <v>0</v>
      </c>
      <c r="DI36" s="433">
        <v>0</v>
      </c>
      <c r="DJ36" s="433">
        <v>0.3468418965385815</v>
      </c>
      <c r="DK36" s="433">
        <v>0.33404461840598537</v>
      </c>
      <c r="DL36" s="433">
        <v>0.28377973353156666</v>
      </c>
      <c r="DM36" s="433">
        <v>0.40827675582953765</v>
      </c>
      <c r="DN36" s="433">
        <v>0</v>
      </c>
      <c r="DO36" s="433">
        <v>0</v>
      </c>
      <c r="DP36" s="433">
        <v>0</v>
      </c>
      <c r="DR36" s="409" t="s">
        <v>855</v>
      </c>
      <c r="DS36" s="409" t="s">
        <v>2016</v>
      </c>
    </row>
    <row r="37" spans="2:123" s="1471" customFormat="1">
      <c r="B37" s="428">
        <v>41730.537318634262</v>
      </c>
      <c r="C37" s="429">
        <v>1.4155152830691393</v>
      </c>
      <c r="D37" s="429">
        <v>1.4130450313451766</v>
      </c>
      <c r="E37" s="429">
        <v>1.4578511030936701</v>
      </c>
      <c r="F37" s="429"/>
      <c r="G37" s="429">
        <v>1.4306077315308054</v>
      </c>
      <c r="H37" s="429"/>
      <c r="I37" s="429">
        <v>1.3805626400607951</v>
      </c>
      <c r="J37" s="429">
        <v>1.4591845512920523</v>
      </c>
      <c r="K37" s="429">
        <v>1.3922377309005192</v>
      </c>
      <c r="L37" s="429">
        <v>1.4989657754566652</v>
      </c>
      <c r="M37" s="429">
        <v>1.2857771487179577</v>
      </c>
      <c r="N37" s="429">
        <v>1.3541202587131478</v>
      </c>
      <c r="O37" s="429">
        <v>1.2220152079312401</v>
      </c>
      <c r="P37" s="429">
        <v>1.1894799391249717</v>
      </c>
      <c r="Q37" s="429"/>
      <c r="R37" s="429">
        <v>11.976005753127488</v>
      </c>
      <c r="S37" s="429"/>
      <c r="T37" s="429">
        <v>3155.3175712541333</v>
      </c>
      <c r="U37" s="429">
        <v>3281.8673807132463</v>
      </c>
      <c r="V37" s="429">
        <v>3150.2083346166164</v>
      </c>
      <c r="W37" s="429"/>
      <c r="X37" s="429">
        <v>210.97819432068297</v>
      </c>
      <c r="Y37" s="429">
        <v>204.32957664799238</v>
      </c>
      <c r="Z37" s="429">
        <v>85.092848842621763</v>
      </c>
      <c r="AA37" s="429">
        <v>292.4930120293289</v>
      </c>
      <c r="AB37" s="429">
        <v>286.03220968248075</v>
      </c>
      <c r="AC37" s="429">
        <v>247.56626846117706</v>
      </c>
      <c r="AD37" s="429">
        <v>3.2710135675747649</v>
      </c>
      <c r="AE37" s="429">
        <v>0</v>
      </c>
      <c r="AF37" s="429">
        <v>0</v>
      </c>
      <c r="AG37" s="429">
        <v>0</v>
      </c>
      <c r="AH37" s="429">
        <v>3.1440614864612835</v>
      </c>
      <c r="AI37" s="429">
        <v>6.3430249232496481</v>
      </c>
      <c r="AJ37" s="429">
        <v>6.4337699452008641</v>
      </c>
      <c r="AK37" s="429">
        <v>6.9743107201858558</v>
      </c>
      <c r="AL37" s="429">
        <v>0</v>
      </c>
      <c r="AM37" s="429">
        <v>0</v>
      </c>
      <c r="AN37" s="429">
        <v>0</v>
      </c>
      <c r="AO37" s="432"/>
      <c r="AP37" s="428">
        <v>41730.537318634262</v>
      </c>
      <c r="AQ37" s="431">
        <v>94.244561539481879</v>
      </c>
      <c r="AR37" s="431">
        <v>124.99231017022528</v>
      </c>
      <c r="AS37" s="431">
        <v>207.33002065475202</v>
      </c>
      <c r="AT37" s="431"/>
      <c r="AU37" s="431">
        <v>21.490854215384921</v>
      </c>
      <c r="AV37" s="431"/>
      <c r="AW37" s="431">
        <v>94.324287549856109</v>
      </c>
      <c r="AX37" s="431">
        <v>34.728131189359097</v>
      </c>
      <c r="AY37" s="431">
        <v>117.18257733512266</v>
      </c>
      <c r="AZ37" s="431">
        <v>-134.68293173790175</v>
      </c>
      <c r="BA37" s="431">
        <v>8.5788460546220371</v>
      </c>
      <c r="BB37" s="431">
        <v>5.7569676845093936</v>
      </c>
      <c r="BC37" s="431">
        <v>4.9497703029320155</v>
      </c>
      <c r="BD37" s="431">
        <v>19.594018266872265</v>
      </c>
      <c r="BE37" s="431"/>
      <c r="BF37" s="431">
        <v>8110.1474857675703</v>
      </c>
      <c r="BG37" s="431"/>
      <c r="BH37" s="431">
        <v>382924.12740435783</v>
      </c>
      <c r="BI37" s="431">
        <v>370221.1669191214</v>
      </c>
      <c r="BJ37" s="431">
        <v>370541.51063703757</v>
      </c>
      <c r="BK37" s="431">
        <v>527176.57608873153</v>
      </c>
      <c r="BL37" s="431">
        <v>527632.72965171642</v>
      </c>
      <c r="BM37" s="431">
        <v>25478.593577610536</v>
      </c>
      <c r="BN37" s="431">
        <v>527176.57608873153</v>
      </c>
      <c r="BO37" s="431">
        <v>527632.72965171642</v>
      </c>
      <c r="BP37" s="431">
        <v>351796.23205119383</v>
      </c>
      <c r="BQ37" s="431">
        <v>831.13872370059994</v>
      </c>
      <c r="BR37" s="431">
        <v>0</v>
      </c>
      <c r="BS37" s="431">
        <v>0</v>
      </c>
      <c r="BT37" s="431">
        <v>0</v>
      </c>
      <c r="BU37" s="431">
        <v>0</v>
      </c>
      <c r="BV37" s="431">
        <v>771.96910772160402</v>
      </c>
      <c r="BW37" s="431">
        <v>1274.5005103672279</v>
      </c>
      <c r="BX37" s="431">
        <v>1179.9066311503386</v>
      </c>
      <c r="BY37" s="431">
        <v>980.38500797479071</v>
      </c>
      <c r="BZ37" s="431">
        <v>0</v>
      </c>
      <c r="CA37" s="431">
        <v>0</v>
      </c>
      <c r="CB37" s="431">
        <v>0</v>
      </c>
      <c r="CC37" s="432"/>
      <c r="CD37" s="428">
        <v>41730.537318634262</v>
      </c>
      <c r="CE37" s="433">
        <v>0.30759941944884495</v>
      </c>
      <c r="CF37" s="433">
        <v>0.21368653957671949</v>
      </c>
      <c r="CG37" s="433">
        <v>0.16794913607715128</v>
      </c>
      <c r="CH37" s="433"/>
      <c r="CI37" s="433">
        <v>0.15098113338820573</v>
      </c>
      <c r="CJ37" s="433"/>
      <c r="CK37" s="433">
        <v>0.25899628896575483</v>
      </c>
      <c r="CL37" s="433">
        <v>0.27649961398917294</v>
      </c>
      <c r="CM37" s="433">
        <v>0.20129058533430333</v>
      </c>
      <c r="CN37" s="433">
        <v>0.20203138400313342</v>
      </c>
      <c r="CO37" s="433">
        <v>0.14170471559769959</v>
      </c>
      <c r="CP37" s="433">
        <v>0.6472517576995086</v>
      </c>
      <c r="CQ37" s="433">
        <v>0.67663897658204775</v>
      </c>
      <c r="CR37" s="433">
        <v>0.47764154429191003</v>
      </c>
      <c r="CS37" s="433"/>
      <c r="CT37" s="433">
        <v>0.44773699730205768</v>
      </c>
      <c r="CU37" s="433"/>
      <c r="CV37" s="433">
        <v>0.47651872850367988</v>
      </c>
      <c r="CW37" s="433">
        <v>0.47402386605078112</v>
      </c>
      <c r="CX37" s="433">
        <v>0.39912436248524713</v>
      </c>
      <c r="CY37" s="433">
        <v>0.29692854969420929</v>
      </c>
      <c r="CZ37" s="433">
        <v>0.25001150066075878</v>
      </c>
      <c r="DA37" s="433">
        <v>0.80602184361489149</v>
      </c>
      <c r="DB37" s="433">
        <v>0.29692854969420929</v>
      </c>
      <c r="DC37" s="433">
        <v>0.25001150066075878</v>
      </c>
      <c r="DD37" s="433">
        <v>0.34337347757319564</v>
      </c>
      <c r="DE37" s="433">
        <v>0.40827675582953776</v>
      </c>
      <c r="DF37" s="433">
        <v>0</v>
      </c>
      <c r="DG37" s="433">
        <v>0</v>
      </c>
      <c r="DH37" s="433">
        <v>0</v>
      </c>
      <c r="DI37" s="433">
        <v>0</v>
      </c>
      <c r="DJ37" s="433">
        <v>0.34684189653858144</v>
      </c>
      <c r="DK37" s="433">
        <v>0.33404461840598543</v>
      </c>
      <c r="DL37" s="433">
        <v>0.2837797335315666</v>
      </c>
      <c r="DM37" s="433">
        <v>0.40827675582953776</v>
      </c>
      <c r="DN37" s="433">
        <v>0</v>
      </c>
      <c r="DO37" s="433">
        <v>0</v>
      </c>
      <c r="DP37" s="433">
        <v>0</v>
      </c>
      <c r="DR37" s="409" t="s">
        <v>855</v>
      </c>
      <c r="DS37" s="409" t="s">
        <v>2025</v>
      </c>
    </row>
    <row r="38" spans="2:123" s="1471" customFormat="1">
      <c r="B38" s="428">
        <v>41730.548014236112</v>
      </c>
      <c r="C38" s="429">
        <v>1.4155152830691393</v>
      </c>
      <c r="D38" s="429">
        <v>1.4130450313451766</v>
      </c>
      <c r="E38" s="429">
        <v>1.4578511030936701</v>
      </c>
      <c r="F38" s="429"/>
      <c r="G38" s="429">
        <v>1.4306077315308054</v>
      </c>
      <c r="H38" s="429"/>
      <c r="I38" s="429">
        <v>1.3805626400607951</v>
      </c>
      <c r="J38" s="429">
        <v>1.4591845512920523</v>
      </c>
      <c r="K38" s="429">
        <v>1.3922377309005192</v>
      </c>
      <c r="L38" s="429">
        <v>1.4751473052311592</v>
      </c>
      <c r="M38" s="429">
        <v>1.2857771487179577</v>
      </c>
      <c r="N38" s="429">
        <v>1.3541202587131478</v>
      </c>
      <c r="O38" s="429">
        <v>1.2220152079312401</v>
      </c>
      <c r="P38" s="429">
        <v>1.1894799391249717</v>
      </c>
      <c r="Q38" s="429"/>
      <c r="R38" s="429">
        <v>11.976005753127488</v>
      </c>
      <c r="S38" s="429"/>
      <c r="T38" s="429">
        <v>3155.3175712541333</v>
      </c>
      <c r="U38" s="429">
        <v>3281.8673807132463</v>
      </c>
      <c r="V38" s="429">
        <v>3150.2083346166164</v>
      </c>
      <c r="W38" s="429"/>
      <c r="X38" s="429">
        <v>210.97819432068297</v>
      </c>
      <c r="Y38" s="429">
        <v>204.32957664799238</v>
      </c>
      <c r="Z38" s="429">
        <v>85.092848842621763</v>
      </c>
      <c r="AA38" s="429">
        <v>292.4930120293289</v>
      </c>
      <c r="AB38" s="429">
        <v>286.03220968248075</v>
      </c>
      <c r="AC38" s="429">
        <v>247.56626846117706</v>
      </c>
      <c r="AD38" s="429">
        <v>3.2710135675747649</v>
      </c>
      <c r="AE38" s="429">
        <v>0</v>
      </c>
      <c r="AF38" s="429">
        <v>0</v>
      </c>
      <c r="AG38" s="429">
        <v>0</v>
      </c>
      <c r="AH38" s="429">
        <v>3.1440614864612835</v>
      </c>
      <c r="AI38" s="429">
        <v>6.3430249232496481</v>
      </c>
      <c r="AJ38" s="429">
        <v>6.4337699452008641</v>
      </c>
      <c r="AK38" s="429">
        <v>6.9743107201858558</v>
      </c>
      <c r="AL38" s="429">
        <v>0</v>
      </c>
      <c r="AM38" s="429">
        <v>0</v>
      </c>
      <c r="AN38" s="429">
        <v>0</v>
      </c>
      <c r="AO38" s="432"/>
      <c r="AP38" s="428">
        <v>41730.548014236112</v>
      </c>
      <c r="AQ38" s="431">
        <v>94.244561539481879</v>
      </c>
      <c r="AR38" s="431">
        <v>124.99231017022528</v>
      </c>
      <c r="AS38" s="431">
        <v>207.33002065475202</v>
      </c>
      <c r="AT38" s="431"/>
      <c r="AU38" s="431">
        <v>21.490854215384921</v>
      </c>
      <c r="AV38" s="431"/>
      <c r="AW38" s="431">
        <v>94.324287549856109</v>
      </c>
      <c r="AX38" s="431">
        <v>34.728131189359097</v>
      </c>
      <c r="AY38" s="431">
        <v>117.18257733512266</v>
      </c>
      <c r="AZ38" s="431">
        <v>-86.146898349118189</v>
      </c>
      <c r="BA38" s="431">
        <v>8.5788460546220371</v>
      </c>
      <c r="BB38" s="431">
        <v>5.7569676845093936</v>
      </c>
      <c r="BC38" s="431">
        <v>4.9497703029320155</v>
      </c>
      <c r="BD38" s="431">
        <v>19.594018266872265</v>
      </c>
      <c r="BE38" s="431"/>
      <c r="BF38" s="431">
        <v>8110.1474857675703</v>
      </c>
      <c r="BG38" s="431"/>
      <c r="BH38" s="431">
        <v>382924.12740435783</v>
      </c>
      <c r="BI38" s="431">
        <v>370221.1669191214</v>
      </c>
      <c r="BJ38" s="431">
        <v>370541.51063703757</v>
      </c>
      <c r="BK38" s="431">
        <v>527176.57608873153</v>
      </c>
      <c r="BL38" s="431">
        <v>527632.72965171642</v>
      </c>
      <c r="BM38" s="431">
        <v>25478.593577610536</v>
      </c>
      <c r="BN38" s="431">
        <v>527176.57608873153</v>
      </c>
      <c r="BO38" s="431">
        <v>527632.72965171642</v>
      </c>
      <c r="BP38" s="431">
        <v>351796.23205119383</v>
      </c>
      <c r="BQ38" s="431">
        <v>831.13872370059994</v>
      </c>
      <c r="BR38" s="431">
        <v>0</v>
      </c>
      <c r="BS38" s="431">
        <v>0</v>
      </c>
      <c r="BT38" s="431">
        <v>0</v>
      </c>
      <c r="BU38" s="431">
        <v>0</v>
      </c>
      <c r="BV38" s="431">
        <v>771.96910772160402</v>
      </c>
      <c r="BW38" s="431">
        <v>1274.5005103672279</v>
      </c>
      <c r="BX38" s="431">
        <v>1179.9066311503386</v>
      </c>
      <c r="BY38" s="431">
        <v>980.38500797479071</v>
      </c>
      <c r="BZ38" s="431">
        <v>0</v>
      </c>
      <c r="CA38" s="431">
        <v>0</v>
      </c>
      <c r="CB38" s="431">
        <v>0</v>
      </c>
      <c r="CC38" s="432"/>
      <c r="CD38" s="428">
        <v>41730.548014236112</v>
      </c>
      <c r="CE38" s="433">
        <v>0.30759941944884495</v>
      </c>
      <c r="CF38" s="433">
        <v>0.21368653957671949</v>
      </c>
      <c r="CG38" s="433">
        <v>0.16794913607715128</v>
      </c>
      <c r="CH38" s="433"/>
      <c r="CI38" s="433">
        <v>0.15098113338820573</v>
      </c>
      <c r="CJ38" s="433"/>
      <c r="CK38" s="433">
        <v>0.25899628896575483</v>
      </c>
      <c r="CL38" s="433">
        <v>0.27649961398917294</v>
      </c>
      <c r="CM38" s="433">
        <v>0.20129058533430333</v>
      </c>
      <c r="CN38" s="433">
        <v>0.20203138400313336</v>
      </c>
      <c r="CO38" s="433">
        <v>0.14170471559769959</v>
      </c>
      <c r="CP38" s="433">
        <v>0.6472517576995086</v>
      </c>
      <c r="CQ38" s="433">
        <v>0.67663897658204775</v>
      </c>
      <c r="CR38" s="433">
        <v>0.47764154429191003</v>
      </c>
      <c r="CS38" s="433"/>
      <c r="CT38" s="433">
        <v>0.44773699730205768</v>
      </c>
      <c r="CU38" s="433"/>
      <c r="CV38" s="433">
        <v>0.47651872850367988</v>
      </c>
      <c r="CW38" s="433">
        <v>0.47402386605078112</v>
      </c>
      <c r="CX38" s="433">
        <v>0.39912436248524713</v>
      </c>
      <c r="CY38" s="433">
        <v>0.29692854969420929</v>
      </c>
      <c r="CZ38" s="433">
        <v>0.25001150066075878</v>
      </c>
      <c r="DA38" s="433">
        <v>0.80602184361489149</v>
      </c>
      <c r="DB38" s="433">
        <v>0.29692854969420929</v>
      </c>
      <c r="DC38" s="433">
        <v>0.25001150066075878</v>
      </c>
      <c r="DD38" s="433">
        <v>0.34337347757319564</v>
      </c>
      <c r="DE38" s="433">
        <v>0.40827675582953776</v>
      </c>
      <c r="DF38" s="433">
        <v>0</v>
      </c>
      <c r="DG38" s="433">
        <v>0</v>
      </c>
      <c r="DH38" s="433">
        <v>0</v>
      </c>
      <c r="DI38" s="433">
        <v>0</v>
      </c>
      <c r="DJ38" s="433">
        <v>0.34684189653858144</v>
      </c>
      <c r="DK38" s="433">
        <v>0.33404461840598543</v>
      </c>
      <c r="DL38" s="433">
        <v>0.2837797335315666</v>
      </c>
      <c r="DM38" s="433">
        <v>0.40827675582953776</v>
      </c>
      <c r="DN38" s="433">
        <v>0</v>
      </c>
      <c r="DO38" s="433">
        <v>0</v>
      </c>
      <c r="DP38" s="433">
        <v>0</v>
      </c>
      <c r="DR38" s="409" t="s">
        <v>855</v>
      </c>
      <c r="DS38" s="409" t="s">
        <v>2026</v>
      </c>
    </row>
    <row r="39" spans="2:123" s="1471" customFormat="1">
      <c r="B39" s="428">
        <v>41736.549548495372</v>
      </c>
      <c r="C39" s="429">
        <v>1.4155152830691393</v>
      </c>
      <c r="D39" s="429">
        <v>1.4130450313451766</v>
      </c>
      <c r="E39" s="429">
        <v>1.4578511030936701</v>
      </c>
      <c r="F39" s="429"/>
      <c r="G39" s="429">
        <v>1.4306077315308054</v>
      </c>
      <c r="H39" s="429"/>
      <c r="I39" s="429">
        <v>1.3805626400607951</v>
      </c>
      <c r="J39" s="429">
        <v>1.4591845512920523</v>
      </c>
      <c r="K39" s="429">
        <v>1.3922377309005192</v>
      </c>
      <c r="L39" s="429">
        <v>1.4751473052311592</v>
      </c>
      <c r="M39" s="429">
        <v>1.1452771487179576</v>
      </c>
      <c r="N39" s="429">
        <v>1.2236202587131477</v>
      </c>
      <c r="O39" s="429">
        <v>1.039010207931238</v>
      </c>
      <c r="P39" s="429">
        <v>1.0939799391249716</v>
      </c>
      <c r="Q39" s="429"/>
      <c r="R39" s="429">
        <v>11.976005753127488</v>
      </c>
      <c r="S39" s="429"/>
      <c r="T39" s="429">
        <v>3155.3175712541333</v>
      </c>
      <c r="U39" s="429">
        <v>3281.8673807132463</v>
      </c>
      <c r="V39" s="429">
        <v>3150.2083346166164</v>
      </c>
      <c r="W39" s="429"/>
      <c r="X39" s="429">
        <v>210.97819432068297</v>
      </c>
      <c r="Y39" s="429">
        <v>204.32957664799238</v>
      </c>
      <c r="Z39" s="429">
        <v>85.092848842621763</v>
      </c>
      <c r="AA39" s="429">
        <v>292.4930120293289</v>
      </c>
      <c r="AB39" s="429">
        <v>286.03220968248075</v>
      </c>
      <c r="AC39" s="429">
        <v>247.56626846117706</v>
      </c>
      <c r="AD39" s="429">
        <v>3.2710135675747649</v>
      </c>
      <c r="AE39" s="429">
        <v>0</v>
      </c>
      <c r="AF39" s="429">
        <v>0</v>
      </c>
      <c r="AG39" s="429">
        <v>0</v>
      </c>
      <c r="AH39" s="429">
        <v>3.1440614864612835</v>
      </c>
      <c r="AI39" s="429">
        <v>6.3430249232496481</v>
      </c>
      <c r="AJ39" s="429">
        <v>6.4337699452008641</v>
      </c>
      <c r="AK39" s="429">
        <v>6.9743107201858558</v>
      </c>
      <c r="AL39" s="429">
        <v>0</v>
      </c>
      <c r="AM39" s="429">
        <v>0</v>
      </c>
      <c r="AN39" s="429">
        <v>0</v>
      </c>
      <c r="AO39" s="432"/>
      <c r="AP39" s="428">
        <v>41736.549548495372</v>
      </c>
      <c r="AQ39" s="431">
        <v>94.244561539481879</v>
      </c>
      <c r="AR39" s="431">
        <v>124.99231017022528</v>
      </c>
      <c r="AS39" s="431">
        <v>207.33002065475202</v>
      </c>
      <c r="AT39" s="431"/>
      <c r="AU39" s="431">
        <v>21.490854215384921</v>
      </c>
      <c r="AV39" s="431"/>
      <c r="AW39" s="431">
        <v>94.324287549856109</v>
      </c>
      <c r="AX39" s="431">
        <v>34.728131189359097</v>
      </c>
      <c r="AY39" s="431">
        <v>117.18257733512266</v>
      </c>
      <c r="AZ39" s="431">
        <v>-86.146898349118189</v>
      </c>
      <c r="BA39" s="431">
        <v>8.5788460546220371</v>
      </c>
      <c r="BB39" s="431">
        <v>5.7569676845093936</v>
      </c>
      <c r="BC39" s="431">
        <v>4.9497703029320155</v>
      </c>
      <c r="BD39" s="431">
        <v>19.594018266872265</v>
      </c>
      <c r="BE39" s="431"/>
      <c r="BF39" s="431">
        <v>8110.1474857675703</v>
      </c>
      <c r="BG39" s="431"/>
      <c r="BH39" s="431">
        <v>382924.12740435783</v>
      </c>
      <c r="BI39" s="431">
        <v>370221.1669191214</v>
      </c>
      <c r="BJ39" s="431">
        <v>370541.51063703757</v>
      </c>
      <c r="BK39" s="431">
        <v>527176.57608873153</v>
      </c>
      <c r="BL39" s="431">
        <v>527632.72965171642</v>
      </c>
      <c r="BM39" s="431">
        <v>25478.593577610536</v>
      </c>
      <c r="BN39" s="431">
        <v>527176.57608873153</v>
      </c>
      <c r="BO39" s="431">
        <v>527632.72965171642</v>
      </c>
      <c r="BP39" s="431">
        <v>351796.23205119383</v>
      </c>
      <c r="BQ39" s="431">
        <v>831.13872370059994</v>
      </c>
      <c r="BR39" s="431">
        <v>0</v>
      </c>
      <c r="BS39" s="431">
        <v>0</v>
      </c>
      <c r="BT39" s="431">
        <v>0</v>
      </c>
      <c r="BU39" s="431">
        <v>0</v>
      </c>
      <c r="BV39" s="431">
        <v>771.96910772160402</v>
      </c>
      <c r="BW39" s="431">
        <v>1274.5005103672279</v>
      </c>
      <c r="BX39" s="431">
        <v>1179.9066311503386</v>
      </c>
      <c r="BY39" s="431">
        <v>980.38500797479071</v>
      </c>
      <c r="BZ39" s="431">
        <v>0</v>
      </c>
      <c r="CA39" s="431">
        <v>0</v>
      </c>
      <c r="CB39" s="431">
        <v>0</v>
      </c>
      <c r="CC39" s="432"/>
      <c r="CD39" s="428">
        <v>41736.549548495372</v>
      </c>
      <c r="CE39" s="433">
        <v>0.30759941944884495</v>
      </c>
      <c r="CF39" s="433">
        <v>0.21368653957671949</v>
      </c>
      <c r="CG39" s="433">
        <v>0.16794913607715128</v>
      </c>
      <c r="CH39" s="433"/>
      <c r="CI39" s="433">
        <v>0.15098113338820573</v>
      </c>
      <c r="CJ39" s="433"/>
      <c r="CK39" s="433">
        <v>0.25899628896575483</v>
      </c>
      <c r="CL39" s="433">
        <v>0.27649961398917294</v>
      </c>
      <c r="CM39" s="433">
        <v>0.20129058533430333</v>
      </c>
      <c r="CN39" s="433">
        <v>0.20203138400313336</v>
      </c>
      <c r="CO39" s="433">
        <v>0.14170471559769959</v>
      </c>
      <c r="CP39" s="433">
        <v>0.6472517576995086</v>
      </c>
      <c r="CQ39" s="433">
        <v>0.67663897658204775</v>
      </c>
      <c r="CR39" s="433">
        <v>0.47764154429191003</v>
      </c>
      <c r="CS39" s="433"/>
      <c r="CT39" s="433">
        <v>0.44773699730205768</v>
      </c>
      <c r="CU39" s="433"/>
      <c r="CV39" s="433">
        <v>0.47651872850367988</v>
      </c>
      <c r="CW39" s="433">
        <v>0.47402386605078112</v>
      </c>
      <c r="CX39" s="433">
        <v>0.39912436248524713</v>
      </c>
      <c r="CY39" s="433">
        <v>0.29692854969420929</v>
      </c>
      <c r="CZ39" s="433">
        <v>0.25001150066075878</v>
      </c>
      <c r="DA39" s="433">
        <v>0.80602184361489149</v>
      </c>
      <c r="DB39" s="433">
        <v>0.29692854969420929</v>
      </c>
      <c r="DC39" s="433">
        <v>0.25001150066075878</v>
      </c>
      <c r="DD39" s="433">
        <v>0.34337347757319564</v>
      </c>
      <c r="DE39" s="433">
        <v>0.40827675582953776</v>
      </c>
      <c r="DF39" s="433">
        <v>0</v>
      </c>
      <c r="DG39" s="433">
        <v>0</v>
      </c>
      <c r="DH39" s="433">
        <v>0</v>
      </c>
      <c r="DI39" s="433">
        <v>0</v>
      </c>
      <c r="DJ39" s="433">
        <v>0.34684189653858144</v>
      </c>
      <c r="DK39" s="433">
        <v>0.33404461840598543</v>
      </c>
      <c r="DL39" s="433">
        <v>0.2837797335315666</v>
      </c>
      <c r="DM39" s="433">
        <v>0.40827675582953776</v>
      </c>
      <c r="DN39" s="433">
        <v>0</v>
      </c>
      <c r="DO39" s="433">
        <v>0</v>
      </c>
      <c r="DP39" s="433">
        <v>0</v>
      </c>
      <c r="DR39" s="409" t="s">
        <v>855</v>
      </c>
      <c r="DS39" s="409" t="s">
        <v>2031</v>
      </c>
    </row>
    <row r="40" spans="2:123" s="1471" customFormat="1">
      <c r="B40" s="428">
        <v>41736.562905902778</v>
      </c>
      <c r="C40" s="429">
        <v>1.4155152830691393</v>
      </c>
      <c r="D40" s="429">
        <v>1.4130450313451766</v>
      </c>
      <c r="E40" s="429">
        <v>1.4578511030936701</v>
      </c>
      <c r="F40" s="429"/>
      <c r="G40" s="429">
        <v>1.4306077315308054</v>
      </c>
      <c r="H40" s="429"/>
      <c r="I40" s="429">
        <v>1.3805626400607951</v>
      </c>
      <c r="J40" s="429">
        <v>1.4591845512920523</v>
      </c>
      <c r="K40" s="429">
        <v>1.3922377309005192</v>
      </c>
      <c r="L40" s="429">
        <v>1.4751473052311592</v>
      </c>
      <c r="M40" s="429">
        <v>1.1361729676524985</v>
      </c>
      <c r="N40" s="429">
        <v>1.2236202587131477</v>
      </c>
      <c r="O40" s="429">
        <v>1.039010207931238</v>
      </c>
      <c r="P40" s="429">
        <v>1.0939799391249716</v>
      </c>
      <c r="Q40" s="429"/>
      <c r="R40" s="429">
        <v>11.976005753127488</v>
      </c>
      <c r="S40" s="429"/>
      <c r="T40" s="429">
        <v>3155.3175712541333</v>
      </c>
      <c r="U40" s="429">
        <v>3281.8673807132463</v>
      </c>
      <c r="V40" s="429">
        <v>3150.2083346166164</v>
      </c>
      <c r="W40" s="429"/>
      <c r="X40" s="429">
        <v>210.97819432068297</v>
      </c>
      <c r="Y40" s="429">
        <v>204.32957664799238</v>
      </c>
      <c r="Z40" s="429">
        <v>85.092848842621763</v>
      </c>
      <c r="AA40" s="429">
        <v>292.4930120293289</v>
      </c>
      <c r="AB40" s="429">
        <v>286.03220968248075</v>
      </c>
      <c r="AC40" s="429">
        <v>247.56626846117706</v>
      </c>
      <c r="AD40" s="429">
        <v>3.2710135675747649</v>
      </c>
      <c r="AE40" s="429">
        <v>0</v>
      </c>
      <c r="AF40" s="429">
        <v>0</v>
      </c>
      <c r="AG40" s="429">
        <v>0</v>
      </c>
      <c r="AH40" s="429">
        <v>3.1440614864612835</v>
      </c>
      <c r="AI40" s="429">
        <v>6.3430249232496481</v>
      </c>
      <c r="AJ40" s="429">
        <v>6.4337699452008641</v>
      </c>
      <c r="AK40" s="429">
        <v>6.9743107201858558</v>
      </c>
      <c r="AL40" s="429">
        <v>0</v>
      </c>
      <c r="AM40" s="429">
        <v>0</v>
      </c>
      <c r="AN40" s="429">
        <v>0</v>
      </c>
      <c r="AO40" s="432"/>
      <c r="AP40" s="428">
        <v>41736.562905902778</v>
      </c>
      <c r="AQ40" s="431">
        <v>94.244561539481879</v>
      </c>
      <c r="AR40" s="431">
        <v>124.99231017022528</v>
      </c>
      <c r="AS40" s="431">
        <v>207.33002065475202</v>
      </c>
      <c r="AT40" s="431"/>
      <c r="AU40" s="431">
        <v>21.490854215384921</v>
      </c>
      <c r="AV40" s="431"/>
      <c r="AW40" s="431">
        <v>94.324287549856109</v>
      </c>
      <c r="AX40" s="431">
        <v>34.728131189359097</v>
      </c>
      <c r="AY40" s="431">
        <v>117.18257733512266</v>
      </c>
      <c r="AZ40" s="431">
        <v>-86.146898349118189</v>
      </c>
      <c r="BA40" s="431">
        <v>5.5085903881757874</v>
      </c>
      <c r="BB40" s="431">
        <v>5.7569676845093936</v>
      </c>
      <c r="BC40" s="431">
        <v>4.9497703029320155</v>
      </c>
      <c r="BD40" s="431">
        <v>19.594018266872265</v>
      </c>
      <c r="BE40" s="431"/>
      <c r="BF40" s="431">
        <v>8110.1474857675703</v>
      </c>
      <c r="BG40" s="431"/>
      <c r="BH40" s="431">
        <v>382924.12740435783</v>
      </c>
      <c r="BI40" s="431">
        <v>370221.1669191214</v>
      </c>
      <c r="BJ40" s="431">
        <v>370541.51063703757</v>
      </c>
      <c r="BK40" s="431">
        <v>527176.57608873153</v>
      </c>
      <c r="BL40" s="431">
        <v>527632.72965171642</v>
      </c>
      <c r="BM40" s="431">
        <v>25478.593577610536</v>
      </c>
      <c r="BN40" s="431">
        <v>527176.57608873153</v>
      </c>
      <c r="BO40" s="431">
        <v>527632.72965171642</v>
      </c>
      <c r="BP40" s="431">
        <v>351796.23205119383</v>
      </c>
      <c r="BQ40" s="431">
        <v>831.13872370059994</v>
      </c>
      <c r="BR40" s="431">
        <v>0</v>
      </c>
      <c r="BS40" s="431">
        <v>0</v>
      </c>
      <c r="BT40" s="431">
        <v>0</v>
      </c>
      <c r="BU40" s="431">
        <v>0</v>
      </c>
      <c r="BV40" s="431">
        <v>771.96910772160402</v>
      </c>
      <c r="BW40" s="431">
        <v>1274.5005103672279</v>
      </c>
      <c r="BX40" s="431">
        <v>1179.9066311503386</v>
      </c>
      <c r="BY40" s="431">
        <v>980.38500797479071</v>
      </c>
      <c r="BZ40" s="431">
        <v>0</v>
      </c>
      <c r="CA40" s="431">
        <v>0</v>
      </c>
      <c r="CB40" s="431">
        <v>0</v>
      </c>
      <c r="CC40" s="432"/>
      <c r="CD40" s="428">
        <v>41736.562905902778</v>
      </c>
      <c r="CE40" s="433">
        <v>0.30759941944884495</v>
      </c>
      <c r="CF40" s="433">
        <v>0.21368653957671949</v>
      </c>
      <c r="CG40" s="433">
        <v>0.16794913607715128</v>
      </c>
      <c r="CH40" s="433"/>
      <c r="CI40" s="433">
        <v>0.15098113338820573</v>
      </c>
      <c r="CJ40" s="433"/>
      <c r="CK40" s="433">
        <v>0.25899628896575483</v>
      </c>
      <c r="CL40" s="433">
        <v>0.27649961398917294</v>
      </c>
      <c r="CM40" s="433">
        <v>0.20129058533430333</v>
      </c>
      <c r="CN40" s="433">
        <v>0.20203138400313336</v>
      </c>
      <c r="CO40" s="433">
        <v>0.14170471559769959</v>
      </c>
      <c r="CP40" s="433">
        <v>0.6472517576995086</v>
      </c>
      <c r="CQ40" s="433">
        <v>0.67663897658204775</v>
      </c>
      <c r="CR40" s="433">
        <v>0.47764154429191003</v>
      </c>
      <c r="CS40" s="433"/>
      <c r="CT40" s="433">
        <v>0.44773699730205768</v>
      </c>
      <c r="CU40" s="433"/>
      <c r="CV40" s="433">
        <v>0.47651872850367988</v>
      </c>
      <c r="CW40" s="433">
        <v>0.47402386605078112</v>
      </c>
      <c r="CX40" s="433">
        <v>0.39912436248524713</v>
      </c>
      <c r="CY40" s="433">
        <v>0.29692854969420929</v>
      </c>
      <c r="CZ40" s="433">
        <v>0.25001150066075878</v>
      </c>
      <c r="DA40" s="433">
        <v>0.80602184361489149</v>
      </c>
      <c r="DB40" s="433">
        <v>0.29692854969420929</v>
      </c>
      <c r="DC40" s="433">
        <v>0.25001150066075878</v>
      </c>
      <c r="DD40" s="433">
        <v>0.34337347757319564</v>
      </c>
      <c r="DE40" s="433">
        <v>0.40827675582953776</v>
      </c>
      <c r="DF40" s="433">
        <v>0</v>
      </c>
      <c r="DG40" s="433">
        <v>0</v>
      </c>
      <c r="DH40" s="433">
        <v>0</v>
      </c>
      <c r="DI40" s="433">
        <v>0</v>
      </c>
      <c r="DJ40" s="433">
        <v>0.34684189653858144</v>
      </c>
      <c r="DK40" s="433">
        <v>0.33404461840598543</v>
      </c>
      <c r="DL40" s="433">
        <v>0.2837797335315666</v>
      </c>
      <c r="DM40" s="433">
        <v>0.40827675582953776</v>
      </c>
      <c r="DN40" s="433">
        <v>0</v>
      </c>
      <c r="DO40" s="433">
        <v>0</v>
      </c>
      <c r="DP40" s="433">
        <v>0</v>
      </c>
      <c r="DR40" s="409" t="s">
        <v>855</v>
      </c>
      <c r="DS40" s="409" t="s">
        <v>2315</v>
      </c>
    </row>
    <row r="41" spans="2:123" s="1471" customFormat="1">
      <c r="B41" s="428">
        <v>41743.432894212965</v>
      </c>
      <c r="C41" s="429">
        <v>1.4155152830691393</v>
      </c>
      <c r="D41" s="429">
        <v>1.4130450313451766</v>
      </c>
      <c r="E41" s="429">
        <v>1.4578511030936701</v>
      </c>
      <c r="F41" s="429"/>
      <c r="G41" s="429">
        <v>1.4306077315308054</v>
      </c>
      <c r="H41" s="429"/>
      <c r="I41" s="429">
        <v>1.3628129106920848</v>
      </c>
      <c r="J41" s="429">
        <v>1.4591845512920523</v>
      </c>
      <c r="K41" s="429">
        <v>1.3922377309005192</v>
      </c>
      <c r="L41" s="429">
        <v>1.4751473052311592</v>
      </c>
      <c r="M41" s="429">
        <v>1.1361729676524985</v>
      </c>
      <c r="N41" s="429">
        <v>1.2236202587131477</v>
      </c>
      <c r="O41" s="429">
        <v>1.039010207931238</v>
      </c>
      <c r="P41" s="429">
        <v>1.0939799391249716</v>
      </c>
      <c r="Q41" s="429"/>
      <c r="R41" s="429">
        <v>11.976005753127488</v>
      </c>
      <c r="S41" s="429"/>
      <c r="T41" s="429">
        <v>3155.3175712541333</v>
      </c>
      <c r="U41" s="429">
        <v>3281.8673807132463</v>
      </c>
      <c r="V41" s="429">
        <v>3078.8888960633931</v>
      </c>
      <c r="W41" s="429"/>
      <c r="X41" s="429">
        <v>210.97819432068297</v>
      </c>
      <c r="Y41" s="429">
        <v>102.77423409981051</v>
      </c>
      <c r="Z41" s="429">
        <v>85.092848842621763</v>
      </c>
      <c r="AA41" s="429">
        <v>292.4930120293289</v>
      </c>
      <c r="AB41" s="429">
        <v>184.47686713429891</v>
      </c>
      <c r="AC41" s="429">
        <v>247.56626846117706</v>
      </c>
      <c r="AD41" s="429">
        <v>3.2710135675747649</v>
      </c>
      <c r="AE41" s="429">
        <v>0</v>
      </c>
      <c r="AF41" s="429">
        <v>0</v>
      </c>
      <c r="AG41" s="429">
        <v>0</v>
      </c>
      <c r="AH41" s="429">
        <v>3.1440614864612835</v>
      </c>
      <c r="AI41" s="429">
        <v>6.3430249232496481</v>
      </c>
      <c r="AJ41" s="429">
        <v>6.4337699452008641</v>
      </c>
      <c r="AK41" s="429">
        <v>6.9743107201858558</v>
      </c>
      <c r="AL41" s="429">
        <v>0</v>
      </c>
      <c r="AM41" s="429">
        <v>0</v>
      </c>
      <c r="AN41" s="429">
        <v>0</v>
      </c>
      <c r="AO41" s="432"/>
      <c r="AP41" s="428">
        <v>41743.432894212965</v>
      </c>
      <c r="AQ41" s="431">
        <v>94.244561539481879</v>
      </c>
      <c r="AR41" s="431">
        <v>124.99231017022528</v>
      </c>
      <c r="AS41" s="431">
        <v>207.33002065475202</v>
      </c>
      <c r="AT41" s="431"/>
      <c r="AU41" s="431">
        <v>21.490854215384921</v>
      </c>
      <c r="AV41" s="431"/>
      <c r="AW41" s="431">
        <v>12.276525497645872</v>
      </c>
      <c r="AX41" s="431">
        <v>34.728131189359097</v>
      </c>
      <c r="AY41" s="431">
        <v>117.18257733512266</v>
      </c>
      <c r="AZ41" s="431">
        <v>-86.146898349118189</v>
      </c>
      <c r="BA41" s="431">
        <v>5.5085903881757874</v>
      </c>
      <c r="BB41" s="431">
        <v>5.7569676845093936</v>
      </c>
      <c r="BC41" s="431">
        <v>4.9497703029320155</v>
      </c>
      <c r="BD41" s="431">
        <v>19.594018266872265</v>
      </c>
      <c r="BE41" s="431"/>
      <c r="BF41" s="431">
        <v>8110.1474857675703</v>
      </c>
      <c r="BG41" s="431"/>
      <c r="BH41" s="431">
        <v>382924.12740435783</v>
      </c>
      <c r="BI41" s="431">
        <v>370221.1669191214</v>
      </c>
      <c r="BJ41" s="431">
        <v>40868.860279479428</v>
      </c>
      <c r="BK41" s="431">
        <v>527176.57608873153</v>
      </c>
      <c r="BL41" s="431">
        <v>58195.229651716472</v>
      </c>
      <c r="BM41" s="431">
        <v>25478.593577610536</v>
      </c>
      <c r="BN41" s="431">
        <v>527176.57608873153</v>
      </c>
      <c r="BO41" s="431">
        <v>58195.229651716472</v>
      </c>
      <c r="BP41" s="431">
        <v>351796.23205119383</v>
      </c>
      <c r="BQ41" s="431">
        <v>831.13872370059994</v>
      </c>
      <c r="BR41" s="431">
        <v>0</v>
      </c>
      <c r="BS41" s="431">
        <v>0</v>
      </c>
      <c r="BT41" s="431">
        <v>0</v>
      </c>
      <c r="BU41" s="431">
        <v>0</v>
      </c>
      <c r="BV41" s="431">
        <v>771.96910772160402</v>
      </c>
      <c r="BW41" s="431">
        <v>1274.5005103672279</v>
      </c>
      <c r="BX41" s="431">
        <v>1179.9066311503386</v>
      </c>
      <c r="BY41" s="431">
        <v>980.38500797479071</v>
      </c>
      <c r="BZ41" s="431">
        <v>0</v>
      </c>
      <c r="CA41" s="431">
        <v>0</v>
      </c>
      <c r="CB41" s="431">
        <v>0</v>
      </c>
      <c r="CC41" s="432"/>
      <c r="CD41" s="428">
        <v>41743.432894212965</v>
      </c>
      <c r="CE41" s="433">
        <v>0.30759941944884495</v>
      </c>
      <c r="CF41" s="433">
        <v>0.21368653957671949</v>
      </c>
      <c r="CG41" s="433">
        <v>0.16794913607715128</v>
      </c>
      <c r="CH41" s="433"/>
      <c r="CI41" s="433">
        <v>0.15098113338820573</v>
      </c>
      <c r="CJ41" s="433"/>
      <c r="CK41" s="433">
        <v>0.25899628896575483</v>
      </c>
      <c r="CL41" s="433">
        <v>0.27649961398917294</v>
      </c>
      <c r="CM41" s="433">
        <v>0.20129058533430333</v>
      </c>
      <c r="CN41" s="433">
        <v>0.20203138400313336</v>
      </c>
      <c r="CO41" s="433">
        <v>0.14170471559769959</v>
      </c>
      <c r="CP41" s="433">
        <v>0.6472517576995086</v>
      </c>
      <c r="CQ41" s="433">
        <v>0.67663897658204775</v>
      </c>
      <c r="CR41" s="433">
        <v>0.47764154429191003</v>
      </c>
      <c r="CS41" s="433"/>
      <c r="CT41" s="433">
        <v>0.44773699730205768</v>
      </c>
      <c r="CU41" s="433"/>
      <c r="CV41" s="433">
        <v>0.47651872850367988</v>
      </c>
      <c r="CW41" s="433">
        <v>0.47402386605078112</v>
      </c>
      <c r="CX41" s="433">
        <v>0.39912436248524713</v>
      </c>
      <c r="CY41" s="433">
        <v>0.29692854969420929</v>
      </c>
      <c r="CZ41" s="433">
        <v>0.25001150066075878</v>
      </c>
      <c r="DA41" s="433">
        <v>0.80602184361489149</v>
      </c>
      <c r="DB41" s="433">
        <v>0.29692854969420929</v>
      </c>
      <c r="DC41" s="433">
        <v>0.25001150066075878</v>
      </c>
      <c r="DD41" s="433">
        <v>0.34337347757319564</v>
      </c>
      <c r="DE41" s="433">
        <v>0.40827675582953776</v>
      </c>
      <c r="DF41" s="433">
        <v>0</v>
      </c>
      <c r="DG41" s="433">
        <v>0</v>
      </c>
      <c r="DH41" s="433">
        <v>0</v>
      </c>
      <c r="DI41" s="433">
        <v>0</v>
      </c>
      <c r="DJ41" s="433">
        <v>0.34684189653858144</v>
      </c>
      <c r="DK41" s="433">
        <v>0.33404461840598543</v>
      </c>
      <c r="DL41" s="433">
        <v>0.2837797335315666</v>
      </c>
      <c r="DM41" s="433">
        <v>0.40827675582953776</v>
      </c>
      <c r="DN41" s="433">
        <v>0</v>
      </c>
      <c r="DO41" s="433">
        <v>0</v>
      </c>
      <c r="DP41" s="433">
        <v>0</v>
      </c>
      <c r="DR41" s="409" t="s">
        <v>855</v>
      </c>
      <c r="DS41" s="409" t="s">
        <v>2032</v>
      </c>
    </row>
    <row r="42" spans="2:123" s="1471" customFormat="1">
      <c r="B42" s="428">
        <v>41758.673903587965</v>
      </c>
      <c r="C42" s="429">
        <v>1.4155152830691393</v>
      </c>
      <c r="D42" s="429">
        <v>1.4130450313451766</v>
      </c>
      <c r="E42" s="429">
        <v>1.4578511030936701</v>
      </c>
      <c r="F42" s="429"/>
      <c r="G42" s="429">
        <v>1.4306077315308054</v>
      </c>
      <c r="H42" s="429"/>
      <c r="I42" s="429">
        <v>1.3628129106920848</v>
      </c>
      <c r="J42" s="429">
        <v>1.4591845512920523</v>
      </c>
      <c r="K42" s="429">
        <v>1.3922377309005192</v>
      </c>
      <c r="L42" s="429">
        <v>1.4751473052311592</v>
      </c>
      <c r="M42" s="429">
        <v>1.1361729676524985</v>
      </c>
      <c r="N42" s="429">
        <v>1.2236202587131477</v>
      </c>
      <c r="O42" s="429">
        <v>1.039010207931238</v>
      </c>
      <c r="P42" s="429">
        <v>1.0939799391249716</v>
      </c>
      <c r="Q42" s="429"/>
      <c r="R42" s="429">
        <v>11.976005753127488</v>
      </c>
      <c r="S42" s="429"/>
      <c r="T42" s="429">
        <v>3155.3175712541333</v>
      </c>
      <c r="U42" s="429">
        <v>3281.8673807132463</v>
      </c>
      <c r="V42" s="429">
        <v>3078.8888960633931</v>
      </c>
      <c r="W42" s="429">
        <v>835.41793507334876</v>
      </c>
      <c r="X42" s="429">
        <v>210.97819432068297</v>
      </c>
      <c r="Y42" s="429">
        <v>102.77423409981051</v>
      </c>
      <c r="Z42" s="429">
        <v>85.092848842621763</v>
      </c>
      <c r="AA42" s="429">
        <v>292.4930120293289</v>
      </c>
      <c r="AB42" s="429">
        <v>184.47686713429891</v>
      </c>
      <c r="AC42" s="429">
        <v>247.56626846117706</v>
      </c>
      <c r="AD42" s="429">
        <v>3.2710135675747649</v>
      </c>
      <c r="AE42" s="429">
        <v>0</v>
      </c>
      <c r="AF42" s="429">
        <v>0</v>
      </c>
      <c r="AG42" s="429">
        <v>0</v>
      </c>
      <c r="AH42" s="429">
        <v>3.1440614864612835</v>
      </c>
      <c r="AI42" s="429">
        <v>6.3430249232496481</v>
      </c>
      <c r="AJ42" s="429">
        <v>6.4337699452008641</v>
      </c>
      <c r="AK42" s="429">
        <v>6.9743107201858558</v>
      </c>
      <c r="AL42" s="429">
        <v>0</v>
      </c>
      <c r="AM42" s="429">
        <v>0</v>
      </c>
      <c r="AN42" s="429">
        <v>0</v>
      </c>
      <c r="AO42" s="432"/>
      <c r="AP42" s="428">
        <v>41758.673903587965</v>
      </c>
      <c r="AQ42" s="431">
        <v>94.244561539481879</v>
      </c>
      <c r="AR42" s="431">
        <v>124.99231017022528</v>
      </c>
      <c r="AS42" s="431">
        <v>207.33002065475202</v>
      </c>
      <c r="AT42" s="431"/>
      <c r="AU42" s="431">
        <v>21.490854215384921</v>
      </c>
      <c r="AV42" s="431"/>
      <c r="AW42" s="431">
        <v>12.276525497645872</v>
      </c>
      <c r="AX42" s="431">
        <v>34.728131189359097</v>
      </c>
      <c r="AY42" s="431">
        <v>117.18257733512266</v>
      </c>
      <c r="AZ42" s="431">
        <v>-86.146898349118189</v>
      </c>
      <c r="BA42" s="431">
        <v>5.5085903881757874</v>
      </c>
      <c r="BB42" s="431">
        <v>5.7569676845093936</v>
      </c>
      <c r="BC42" s="431">
        <v>4.9497703029320155</v>
      </c>
      <c r="BD42" s="431">
        <v>19.594018266872265</v>
      </c>
      <c r="BE42" s="431"/>
      <c r="BF42" s="431">
        <v>8110.1474857675703</v>
      </c>
      <c r="BG42" s="431"/>
      <c r="BH42" s="431">
        <v>382924.12740435783</v>
      </c>
      <c r="BI42" s="431">
        <v>370221.1669191214</v>
      </c>
      <c r="BJ42" s="431">
        <v>40868.860279479428</v>
      </c>
      <c r="BK42" s="431">
        <v>343009.59691312257</v>
      </c>
      <c r="BL42" s="431">
        <v>527176.57608873153</v>
      </c>
      <c r="BM42" s="431">
        <v>58195.229651716472</v>
      </c>
      <c r="BN42" s="431">
        <v>25478.593577610536</v>
      </c>
      <c r="BO42" s="431">
        <v>527176.57608873153</v>
      </c>
      <c r="BP42" s="431">
        <v>58195.229651716472</v>
      </c>
      <c r="BQ42" s="431">
        <v>351796.23205119383</v>
      </c>
      <c r="BR42" s="431">
        <v>831.13872370059994</v>
      </c>
      <c r="BS42" s="431">
        <v>0</v>
      </c>
      <c r="BT42" s="431">
        <v>0</v>
      </c>
      <c r="BU42" s="431">
        <v>0</v>
      </c>
      <c r="BV42" s="431">
        <v>771.96910772160402</v>
      </c>
      <c r="BW42" s="431">
        <v>1274.5005103672279</v>
      </c>
      <c r="BX42" s="431">
        <v>1179.9066311503386</v>
      </c>
      <c r="BY42" s="431">
        <v>980.38500797479071</v>
      </c>
      <c r="BZ42" s="431">
        <v>0</v>
      </c>
      <c r="CA42" s="431">
        <v>0</v>
      </c>
      <c r="CB42" s="431">
        <v>0</v>
      </c>
      <c r="CC42" s="432"/>
      <c r="CD42" s="428">
        <v>41758.673903587965</v>
      </c>
      <c r="CE42" s="433">
        <v>0.30759941944884495</v>
      </c>
      <c r="CF42" s="433">
        <v>0.21368653957671949</v>
      </c>
      <c r="CG42" s="433">
        <v>0.16794913607715128</v>
      </c>
      <c r="CH42" s="433"/>
      <c r="CI42" s="433">
        <v>0.15098113338820573</v>
      </c>
      <c r="CJ42" s="433"/>
      <c r="CK42" s="433">
        <v>0.25899628896575483</v>
      </c>
      <c r="CL42" s="433">
        <v>0.27649961398917294</v>
      </c>
      <c r="CM42" s="433">
        <v>0.20129058533430333</v>
      </c>
      <c r="CN42" s="433">
        <v>0.20203138400313336</v>
      </c>
      <c r="CO42" s="433">
        <v>0.14170471559769959</v>
      </c>
      <c r="CP42" s="433">
        <v>0.6472517576995086</v>
      </c>
      <c r="CQ42" s="433">
        <v>0.67663897658204775</v>
      </c>
      <c r="CR42" s="433">
        <v>0.47764154429191003</v>
      </c>
      <c r="CS42" s="433"/>
      <c r="CT42" s="433">
        <v>0.44773699730205768</v>
      </c>
      <c r="CU42" s="433"/>
      <c r="CV42" s="433">
        <v>0.47651872850367988</v>
      </c>
      <c r="CW42" s="433">
        <v>0.47402386605078112</v>
      </c>
      <c r="CX42" s="433">
        <v>0.39912436248524713</v>
      </c>
      <c r="CY42" s="433">
        <v>0.40410385706493002</v>
      </c>
      <c r="CZ42" s="433">
        <v>0.29692854969420929</v>
      </c>
      <c r="DA42" s="433">
        <v>0.25001150066075878</v>
      </c>
      <c r="DB42" s="433">
        <v>0.80602184361489149</v>
      </c>
      <c r="DC42" s="433">
        <v>0.29692854969420929</v>
      </c>
      <c r="DD42" s="433">
        <v>0.25001150066075878</v>
      </c>
      <c r="DE42" s="433">
        <v>0.34337347757319564</v>
      </c>
      <c r="DF42" s="433">
        <v>0.40827675582953776</v>
      </c>
      <c r="DG42" s="433">
        <v>0</v>
      </c>
      <c r="DH42" s="433">
        <v>0</v>
      </c>
      <c r="DI42" s="433">
        <v>0</v>
      </c>
      <c r="DJ42" s="433">
        <v>0.34684189653858144</v>
      </c>
      <c r="DK42" s="433">
        <v>0.33404461840598543</v>
      </c>
      <c r="DL42" s="433">
        <v>0.2837797335315666</v>
      </c>
      <c r="DM42" s="433">
        <v>0.40827675582953776</v>
      </c>
      <c r="DN42" s="433">
        <v>0</v>
      </c>
      <c r="DO42" s="433">
        <v>0</v>
      </c>
      <c r="DP42" s="433">
        <v>0</v>
      </c>
      <c r="DR42" s="409" t="s">
        <v>855</v>
      </c>
      <c r="DS42" s="409" t="s">
        <v>2051</v>
      </c>
    </row>
    <row r="43" spans="2:123" s="1471" customFormat="1">
      <c r="B43" s="428">
        <v>41761.602898958336</v>
      </c>
      <c r="C43" s="429">
        <v>1.4155152830691393</v>
      </c>
      <c r="D43" s="429">
        <v>1.4130450313451766</v>
      </c>
      <c r="E43" s="429">
        <v>1.4578511030936701</v>
      </c>
      <c r="F43" s="429"/>
      <c r="G43" s="429">
        <v>1.4306077315308054</v>
      </c>
      <c r="H43" s="429"/>
      <c r="I43" s="429">
        <v>1.3630796092305133</v>
      </c>
      <c r="J43" s="429">
        <v>1.4591845512920523</v>
      </c>
      <c r="K43" s="429">
        <v>1.3922377309005192</v>
      </c>
      <c r="L43" s="429">
        <v>1.4751473052311592</v>
      </c>
      <c r="M43" s="429">
        <v>1.1361729676524985</v>
      </c>
      <c r="N43" s="429">
        <v>1.2236202587131477</v>
      </c>
      <c r="O43" s="429">
        <v>1.039010207931238</v>
      </c>
      <c r="P43" s="429">
        <v>1.0939799391249716</v>
      </c>
      <c r="Q43" s="429"/>
      <c r="R43" s="429">
        <v>11.976005753127488</v>
      </c>
      <c r="S43" s="429"/>
      <c r="T43" s="429">
        <v>3155.3175712541333</v>
      </c>
      <c r="U43" s="429">
        <v>3281.8673807132463</v>
      </c>
      <c r="V43" s="429">
        <v>3079.8937790806563</v>
      </c>
      <c r="W43" s="429">
        <v>835.41793507334876</v>
      </c>
      <c r="X43" s="429">
        <v>210.97819432068297</v>
      </c>
      <c r="Y43" s="429">
        <v>102.831289460131</v>
      </c>
      <c r="Z43" s="429">
        <v>85.092848842621763</v>
      </c>
      <c r="AA43" s="429">
        <v>292.4930120293289</v>
      </c>
      <c r="AB43" s="429">
        <v>184.5324955546501</v>
      </c>
      <c r="AC43" s="429">
        <v>247.56626846117706</v>
      </c>
      <c r="AD43" s="429">
        <v>3.2710135675747649</v>
      </c>
      <c r="AE43" s="429">
        <v>0</v>
      </c>
      <c r="AF43" s="429">
        <v>0</v>
      </c>
      <c r="AG43" s="429">
        <v>0</v>
      </c>
      <c r="AH43" s="429">
        <v>3.1440614864612835</v>
      </c>
      <c r="AI43" s="429">
        <v>6.3430249232496481</v>
      </c>
      <c r="AJ43" s="429">
        <v>6.4337699452008641</v>
      </c>
      <c r="AK43" s="429">
        <v>6.9743107201858558</v>
      </c>
      <c r="AL43" s="429">
        <v>0</v>
      </c>
      <c r="AM43" s="429">
        <v>0</v>
      </c>
      <c r="AN43" s="429">
        <v>0</v>
      </c>
      <c r="AO43" s="432"/>
      <c r="AP43" s="428">
        <v>41761.602898958336</v>
      </c>
      <c r="AQ43" s="431">
        <v>94.244561539481879</v>
      </c>
      <c r="AR43" s="431">
        <v>124.99231017022528</v>
      </c>
      <c r="AS43" s="431">
        <v>207.33002065475202</v>
      </c>
      <c r="AT43" s="431"/>
      <c r="AU43" s="431">
        <v>21.490854215384921</v>
      </c>
      <c r="AV43" s="431"/>
      <c r="AW43" s="431">
        <v>12.298000742034196</v>
      </c>
      <c r="AX43" s="431">
        <v>34.728131189359097</v>
      </c>
      <c r="AY43" s="431">
        <v>117.18257733512266</v>
      </c>
      <c r="AZ43" s="431">
        <v>-86.146898349118189</v>
      </c>
      <c r="BA43" s="431">
        <v>5.5085903881757874</v>
      </c>
      <c r="BB43" s="431">
        <v>5.7569676845093936</v>
      </c>
      <c r="BC43" s="431">
        <v>4.9497703029320155</v>
      </c>
      <c r="BD43" s="431">
        <v>19.594018266872265</v>
      </c>
      <c r="BE43" s="431"/>
      <c r="BF43" s="431">
        <v>8110.1474857675703</v>
      </c>
      <c r="BG43" s="431"/>
      <c r="BH43" s="431">
        <v>382924.12740435783</v>
      </c>
      <c r="BI43" s="431">
        <v>370221.1669191214</v>
      </c>
      <c r="BJ43" s="431">
        <v>40955.149052719462</v>
      </c>
      <c r="BK43" s="431">
        <v>343009.59691312257</v>
      </c>
      <c r="BL43" s="431">
        <v>527176.57608873153</v>
      </c>
      <c r="BM43" s="431">
        <v>58318.100584273168</v>
      </c>
      <c r="BN43" s="431">
        <v>25478.593577610536</v>
      </c>
      <c r="BO43" s="431">
        <v>527176.57608873153</v>
      </c>
      <c r="BP43" s="431">
        <v>58318.100584273168</v>
      </c>
      <c r="BQ43" s="431">
        <v>351796.23205119383</v>
      </c>
      <c r="BR43" s="431">
        <v>831.13872370059994</v>
      </c>
      <c r="BS43" s="431">
        <v>0</v>
      </c>
      <c r="BT43" s="431">
        <v>0</v>
      </c>
      <c r="BU43" s="431">
        <v>0</v>
      </c>
      <c r="BV43" s="431">
        <v>771.96910772160402</v>
      </c>
      <c r="BW43" s="431">
        <v>1274.5005103672279</v>
      </c>
      <c r="BX43" s="431">
        <v>1179.9066311503386</v>
      </c>
      <c r="BY43" s="431">
        <v>980.38500797479071</v>
      </c>
      <c r="BZ43" s="431">
        <v>0</v>
      </c>
      <c r="CA43" s="431">
        <v>0</v>
      </c>
      <c r="CB43" s="431">
        <v>0</v>
      </c>
      <c r="CC43" s="432"/>
      <c r="CD43" s="428">
        <v>41761.602898958336</v>
      </c>
      <c r="CE43" s="433">
        <v>0.30759941944884495</v>
      </c>
      <c r="CF43" s="433">
        <v>0.21368653957671949</v>
      </c>
      <c r="CG43" s="433">
        <v>0.16794913607715128</v>
      </c>
      <c r="CH43" s="433"/>
      <c r="CI43" s="433">
        <v>0.15098113338820573</v>
      </c>
      <c r="CJ43" s="433"/>
      <c r="CK43" s="433">
        <v>0.25899628896575483</v>
      </c>
      <c r="CL43" s="433">
        <v>0.27649961398917294</v>
      </c>
      <c r="CM43" s="433">
        <v>0.20129058533430333</v>
      </c>
      <c r="CN43" s="433">
        <v>0.20203138400313336</v>
      </c>
      <c r="CO43" s="433">
        <v>0.14170471559769959</v>
      </c>
      <c r="CP43" s="433">
        <v>0.6472517576995086</v>
      </c>
      <c r="CQ43" s="433">
        <v>0.67663897658204775</v>
      </c>
      <c r="CR43" s="433">
        <v>0.47764154429191003</v>
      </c>
      <c r="CS43" s="433"/>
      <c r="CT43" s="433">
        <v>0.44773699730205768</v>
      </c>
      <c r="CU43" s="433"/>
      <c r="CV43" s="433">
        <v>0.47651872850367988</v>
      </c>
      <c r="CW43" s="433">
        <v>0.47402386605078112</v>
      </c>
      <c r="CX43" s="433">
        <v>0.39912436248524713</v>
      </c>
      <c r="CY43" s="433">
        <v>0.40410385706493002</v>
      </c>
      <c r="CZ43" s="433">
        <v>0.29692854969420929</v>
      </c>
      <c r="DA43" s="433">
        <v>0.25001150066075878</v>
      </c>
      <c r="DB43" s="433">
        <v>0.80602184361489149</v>
      </c>
      <c r="DC43" s="433">
        <v>0.29692854969420929</v>
      </c>
      <c r="DD43" s="433">
        <v>0.25001150066075878</v>
      </c>
      <c r="DE43" s="433">
        <v>0.34337347757319564</v>
      </c>
      <c r="DF43" s="433">
        <v>0.40827675582953776</v>
      </c>
      <c r="DG43" s="433">
        <v>0</v>
      </c>
      <c r="DH43" s="433">
        <v>0</v>
      </c>
      <c r="DI43" s="433">
        <v>0</v>
      </c>
      <c r="DJ43" s="433">
        <v>0.34684189653858144</v>
      </c>
      <c r="DK43" s="433">
        <v>0.33404461840598543</v>
      </c>
      <c r="DL43" s="433">
        <v>0.2837797335315666</v>
      </c>
      <c r="DM43" s="433">
        <v>0.40827675582953776</v>
      </c>
      <c r="DN43" s="433">
        <v>0</v>
      </c>
      <c r="DO43" s="433">
        <v>0</v>
      </c>
      <c r="DP43" s="433">
        <v>0</v>
      </c>
      <c r="DR43" s="409" t="s">
        <v>855</v>
      </c>
      <c r="DS43" s="409" t="s">
        <v>2060</v>
      </c>
    </row>
    <row r="44" spans="2:123" s="1471" customFormat="1">
      <c r="B44" s="428">
        <v>41765.914217361111</v>
      </c>
      <c r="C44" s="429">
        <v>1.4155152830691393</v>
      </c>
      <c r="D44" s="429">
        <v>1.4130450313451766</v>
      </c>
      <c r="E44" s="429">
        <v>1.4578511030936701</v>
      </c>
      <c r="F44" s="429"/>
      <c r="G44" s="429">
        <v>1.4370985096527558</v>
      </c>
      <c r="H44" s="429"/>
      <c r="I44" s="429">
        <v>1.3684150693014494</v>
      </c>
      <c r="J44" s="429">
        <v>1.4641046954821657</v>
      </c>
      <c r="K44" s="429">
        <v>1.3811890809479443</v>
      </c>
      <c r="L44" s="429">
        <v>1.4640986552785844</v>
      </c>
      <c r="M44" s="429">
        <v>1.136890637117288</v>
      </c>
      <c r="N44" s="429">
        <v>1.2253719562839667</v>
      </c>
      <c r="O44" s="429">
        <v>1.039010207931238</v>
      </c>
      <c r="P44" s="429">
        <v>1.0939799391249716</v>
      </c>
      <c r="Q44" s="429"/>
      <c r="R44" s="429">
        <v>11.976005753127488</v>
      </c>
      <c r="S44" s="429"/>
      <c r="T44" s="429">
        <v>3155.3175712541333</v>
      </c>
      <c r="U44" s="429">
        <v>3281.8673807132463</v>
      </c>
      <c r="V44" s="429">
        <v>3099.9753816279413</v>
      </c>
      <c r="W44" s="429">
        <v>810.42361264167346</v>
      </c>
      <c r="X44" s="429">
        <v>210.97819432068297</v>
      </c>
      <c r="Y44" s="429">
        <v>103.49570932978922</v>
      </c>
      <c r="Z44" s="429">
        <v>85.092848842621763</v>
      </c>
      <c r="AA44" s="429">
        <v>292.4930120293289</v>
      </c>
      <c r="AB44" s="429">
        <v>185.16790526534672</v>
      </c>
      <c r="AC44" s="429">
        <v>247.35583006367716</v>
      </c>
      <c r="AD44" s="429">
        <v>3.2710135675747649</v>
      </c>
      <c r="AE44" s="429">
        <v>0</v>
      </c>
      <c r="AF44" s="429">
        <v>0</v>
      </c>
      <c r="AG44" s="429">
        <v>0</v>
      </c>
      <c r="AH44" s="429">
        <v>3.0653147449811144</v>
      </c>
      <c r="AI44" s="429">
        <v>6.3430249232496481</v>
      </c>
      <c r="AJ44" s="429">
        <v>6.3131995978322468</v>
      </c>
      <c r="AK44" s="429">
        <v>6.9743107201858558</v>
      </c>
      <c r="AL44" s="429">
        <v>0</v>
      </c>
      <c r="AM44" s="429">
        <v>0</v>
      </c>
      <c r="AN44" s="429">
        <v>0</v>
      </c>
      <c r="AO44" s="432"/>
      <c r="AP44" s="428">
        <v>41765.914217361111</v>
      </c>
      <c r="AQ44" s="431">
        <v>94.244561539481879</v>
      </c>
      <c r="AR44" s="431">
        <v>124.99231017022528</v>
      </c>
      <c r="AS44" s="431">
        <v>207.33002065475202</v>
      </c>
      <c r="AT44" s="431"/>
      <c r="AU44" s="431">
        <v>21.630409972535638</v>
      </c>
      <c r="AV44" s="431"/>
      <c r="AW44" s="431">
        <v>12.518335973037042</v>
      </c>
      <c r="AX44" s="431">
        <v>35.197811258492592</v>
      </c>
      <c r="AY44" s="431">
        <v>117.18257733512266</v>
      </c>
      <c r="AZ44" s="431">
        <v>-86.146898349118189</v>
      </c>
      <c r="BA44" s="431">
        <v>5.5999357665395459</v>
      </c>
      <c r="BB44" s="431">
        <v>5.7920025624316693</v>
      </c>
      <c r="BC44" s="431">
        <v>4.9497703029320155</v>
      </c>
      <c r="BD44" s="431">
        <v>19.594018266872265</v>
      </c>
      <c r="BE44" s="431"/>
      <c r="BF44" s="431">
        <v>8110.1474857675703</v>
      </c>
      <c r="BG44" s="431"/>
      <c r="BH44" s="431">
        <v>382924.12740435783</v>
      </c>
      <c r="BI44" s="431">
        <v>370221.1669191214</v>
      </c>
      <c r="BJ44" s="431">
        <v>41840.468746456274</v>
      </c>
      <c r="BK44" s="431">
        <v>343009.59691312257</v>
      </c>
      <c r="BL44" s="431">
        <v>527176.57608873153</v>
      </c>
      <c r="BM44" s="431">
        <v>59578.751909998289</v>
      </c>
      <c r="BN44" s="431">
        <v>25478.593577610536</v>
      </c>
      <c r="BO44" s="431">
        <v>527176.57608873153</v>
      </c>
      <c r="BP44" s="431">
        <v>59578.751909998289</v>
      </c>
      <c r="BQ44" s="431">
        <v>351796.23205119383</v>
      </c>
      <c r="BR44" s="431">
        <v>831.13872370059994</v>
      </c>
      <c r="BS44" s="431">
        <v>0</v>
      </c>
      <c r="BT44" s="431">
        <v>0</v>
      </c>
      <c r="BU44" s="431">
        <v>0</v>
      </c>
      <c r="BV44" s="431">
        <v>771.96910772160402</v>
      </c>
      <c r="BW44" s="431">
        <v>1274.5005103672279</v>
      </c>
      <c r="BX44" s="431">
        <v>1179.9066311503386</v>
      </c>
      <c r="BY44" s="431">
        <v>980.38500797479071</v>
      </c>
      <c r="BZ44" s="431">
        <v>0</v>
      </c>
      <c r="CA44" s="431">
        <v>0</v>
      </c>
      <c r="CB44" s="431">
        <v>0</v>
      </c>
      <c r="CC44" s="432"/>
      <c r="CD44" s="428">
        <v>41765.914217361111</v>
      </c>
      <c r="CE44" s="433">
        <v>0.30759941944884495</v>
      </c>
      <c r="CF44" s="433">
        <v>0.21368653957671949</v>
      </c>
      <c r="CG44" s="433">
        <v>0.16794913607715128</v>
      </c>
      <c r="CH44" s="433"/>
      <c r="CI44" s="433">
        <v>0.15098113338820573</v>
      </c>
      <c r="CJ44" s="433"/>
      <c r="CK44" s="433">
        <v>0.25899628896575483</v>
      </c>
      <c r="CL44" s="433">
        <v>0.27649961398917294</v>
      </c>
      <c r="CM44" s="433">
        <v>0.20129058533430333</v>
      </c>
      <c r="CN44" s="433">
        <v>0.20203138400313336</v>
      </c>
      <c r="CO44" s="433">
        <v>0.14170471559769959</v>
      </c>
      <c r="CP44" s="433">
        <v>0.6472517576995086</v>
      </c>
      <c r="CQ44" s="433">
        <v>0.67663897658204775</v>
      </c>
      <c r="CR44" s="433">
        <v>0.47764154429191003</v>
      </c>
      <c r="CS44" s="433"/>
      <c r="CT44" s="433">
        <v>0.44773699730205768</v>
      </c>
      <c r="CU44" s="433"/>
      <c r="CV44" s="433">
        <v>0.47651872850367988</v>
      </c>
      <c r="CW44" s="433">
        <v>0.47402386605078112</v>
      </c>
      <c r="CX44" s="433">
        <v>0.39912436248524713</v>
      </c>
      <c r="CY44" s="433">
        <v>0.40410385706493002</v>
      </c>
      <c r="CZ44" s="433">
        <v>0.29692854969420929</v>
      </c>
      <c r="DA44" s="433">
        <v>0.25001150066075878</v>
      </c>
      <c r="DB44" s="433">
        <v>0.80602184361489149</v>
      </c>
      <c r="DC44" s="433">
        <v>0.29692854969420929</v>
      </c>
      <c r="DD44" s="433">
        <v>0.25001150066075878</v>
      </c>
      <c r="DE44" s="433">
        <v>0.34337347757319564</v>
      </c>
      <c r="DF44" s="433">
        <v>0.40827675582953776</v>
      </c>
      <c r="DG44" s="433">
        <v>0</v>
      </c>
      <c r="DH44" s="433">
        <v>0</v>
      </c>
      <c r="DI44" s="433">
        <v>0</v>
      </c>
      <c r="DJ44" s="433">
        <v>0.34684189653858144</v>
      </c>
      <c r="DK44" s="433">
        <v>0.33404461840598543</v>
      </c>
      <c r="DL44" s="433">
        <v>0.2837797335315666</v>
      </c>
      <c r="DM44" s="433">
        <v>0.40827675582953776</v>
      </c>
      <c r="DN44" s="433">
        <v>0</v>
      </c>
      <c r="DO44" s="433">
        <v>0</v>
      </c>
      <c r="DP44" s="433">
        <v>0</v>
      </c>
      <c r="DR44" s="409" t="s">
        <v>855</v>
      </c>
      <c r="DS44" s="409" t="s">
        <v>2076</v>
      </c>
    </row>
    <row r="45" spans="2:123" s="1471" customFormat="1">
      <c r="B45" s="428">
        <v>41765.919939004627</v>
      </c>
      <c r="C45" s="429">
        <v>1.4155152830691393</v>
      </c>
      <c r="D45" s="429">
        <v>1.4130450313451766</v>
      </c>
      <c r="E45" s="429">
        <v>1.4578511030936701</v>
      </c>
      <c r="F45" s="429"/>
      <c r="G45" s="429">
        <v>1.4370985096527558</v>
      </c>
      <c r="H45" s="429"/>
      <c r="I45" s="429">
        <v>1.3684150693014494</v>
      </c>
      <c r="J45" s="429">
        <v>1.4641046954821657</v>
      </c>
      <c r="K45" s="429">
        <v>1.3811890809479443</v>
      </c>
      <c r="L45" s="429">
        <v>1.4640986552785844</v>
      </c>
      <c r="M45" s="429">
        <v>1.136890637117288</v>
      </c>
      <c r="N45" s="429">
        <v>1.2253719562839667</v>
      </c>
      <c r="O45" s="429">
        <v>1.039010207931238</v>
      </c>
      <c r="P45" s="429">
        <v>1.0939799391249716</v>
      </c>
      <c r="Q45" s="429"/>
      <c r="R45" s="429">
        <v>11.976005753127488</v>
      </c>
      <c r="S45" s="429"/>
      <c r="T45" s="429">
        <v>3189.1023684703559</v>
      </c>
      <c r="U45" s="429">
        <v>3315.652177929469</v>
      </c>
      <c r="V45" s="429">
        <v>3133.7601788441639</v>
      </c>
      <c r="W45" s="429">
        <v>855.63562068103033</v>
      </c>
      <c r="X45" s="429">
        <v>210.97819432068297</v>
      </c>
      <c r="Y45" s="429">
        <v>103.49570932978922</v>
      </c>
      <c r="Z45" s="429">
        <v>85.092848842621763</v>
      </c>
      <c r="AA45" s="429">
        <v>292.4930120293289</v>
      </c>
      <c r="AB45" s="429">
        <v>185.16790526534672</v>
      </c>
      <c r="AC45" s="429">
        <v>247.35583006367716</v>
      </c>
      <c r="AD45" s="429">
        <v>3.2710135675747649</v>
      </c>
      <c r="AE45" s="429">
        <v>0</v>
      </c>
      <c r="AF45" s="429">
        <v>0</v>
      </c>
      <c r="AG45" s="429">
        <v>0</v>
      </c>
      <c r="AH45" s="429">
        <v>3.0653147449811144</v>
      </c>
      <c r="AI45" s="429">
        <v>6.3430249232496481</v>
      </c>
      <c r="AJ45" s="429">
        <v>6.3131995978322468</v>
      </c>
      <c r="AK45" s="429">
        <v>6.9743107201858558</v>
      </c>
      <c r="AL45" s="429">
        <v>0</v>
      </c>
      <c r="AM45" s="429">
        <v>0</v>
      </c>
      <c r="AN45" s="429">
        <v>0</v>
      </c>
      <c r="AO45" s="432"/>
      <c r="AP45" s="428">
        <v>41765.919939004627</v>
      </c>
      <c r="AQ45" s="431">
        <v>94.244561539481879</v>
      </c>
      <c r="AR45" s="431">
        <v>124.99231017022528</v>
      </c>
      <c r="AS45" s="431">
        <v>207.33002065475202</v>
      </c>
      <c r="AT45" s="431"/>
      <c r="AU45" s="431">
        <v>21.630409972535638</v>
      </c>
      <c r="AV45" s="431"/>
      <c r="AW45" s="431">
        <v>12.518335973037042</v>
      </c>
      <c r="AX45" s="431">
        <v>35.197811258492592</v>
      </c>
      <c r="AY45" s="431">
        <v>117.18257733512266</v>
      </c>
      <c r="AZ45" s="431">
        <v>-86.146898349118189</v>
      </c>
      <c r="BA45" s="431">
        <v>5.5999357665395459</v>
      </c>
      <c r="BB45" s="431">
        <v>5.7920025624316693</v>
      </c>
      <c r="BC45" s="431">
        <v>4.9497703029320155</v>
      </c>
      <c r="BD45" s="431">
        <v>19.594018266872265</v>
      </c>
      <c r="BE45" s="431"/>
      <c r="BF45" s="431">
        <v>8110.1474857675703</v>
      </c>
      <c r="BG45" s="431"/>
      <c r="BH45" s="431">
        <v>382924.12740435783</v>
      </c>
      <c r="BI45" s="431">
        <v>370221.1669191214</v>
      </c>
      <c r="BJ45" s="431">
        <v>41840.468746456274</v>
      </c>
      <c r="BK45" s="431">
        <v>343009.59691312257</v>
      </c>
      <c r="BL45" s="431">
        <v>527176.57608873153</v>
      </c>
      <c r="BM45" s="431">
        <v>59578.751909998289</v>
      </c>
      <c r="BN45" s="431">
        <v>25478.593577610536</v>
      </c>
      <c r="BO45" s="431">
        <v>527176.57608873153</v>
      </c>
      <c r="BP45" s="431">
        <v>59578.751909998289</v>
      </c>
      <c r="BQ45" s="431">
        <v>351796.23205119383</v>
      </c>
      <c r="BR45" s="431">
        <v>831.13872370059994</v>
      </c>
      <c r="BS45" s="431">
        <v>0</v>
      </c>
      <c r="BT45" s="431">
        <v>0</v>
      </c>
      <c r="BU45" s="431">
        <v>0</v>
      </c>
      <c r="BV45" s="431">
        <v>771.96910772160402</v>
      </c>
      <c r="BW45" s="431">
        <v>1274.5005103672279</v>
      </c>
      <c r="BX45" s="431">
        <v>1179.9066311503386</v>
      </c>
      <c r="BY45" s="431">
        <v>980.38500797479071</v>
      </c>
      <c r="BZ45" s="431">
        <v>0</v>
      </c>
      <c r="CA45" s="431">
        <v>0</v>
      </c>
      <c r="CB45" s="431">
        <v>0</v>
      </c>
      <c r="CC45" s="432"/>
      <c r="CD45" s="428">
        <v>41765.919939004627</v>
      </c>
      <c r="CE45" s="433">
        <v>0.30759941944884495</v>
      </c>
      <c r="CF45" s="433">
        <v>0.21368653957671949</v>
      </c>
      <c r="CG45" s="433">
        <v>0.16794913607715128</v>
      </c>
      <c r="CH45" s="433"/>
      <c r="CI45" s="433">
        <v>0.15098113338820573</v>
      </c>
      <c r="CJ45" s="433"/>
      <c r="CK45" s="433">
        <v>0.25899628896575483</v>
      </c>
      <c r="CL45" s="433">
        <v>0.27649961398917294</v>
      </c>
      <c r="CM45" s="433">
        <v>0.20129058533430333</v>
      </c>
      <c r="CN45" s="433">
        <v>0.20203138400313336</v>
      </c>
      <c r="CO45" s="433">
        <v>0.14170471559769959</v>
      </c>
      <c r="CP45" s="433">
        <v>0.6472517576995086</v>
      </c>
      <c r="CQ45" s="433">
        <v>0.67663897658204775</v>
      </c>
      <c r="CR45" s="433">
        <v>0.47764154429191003</v>
      </c>
      <c r="CS45" s="433"/>
      <c r="CT45" s="433">
        <v>0.44773699730205768</v>
      </c>
      <c r="CU45" s="433"/>
      <c r="CV45" s="433">
        <v>0.47651872850367988</v>
      </c>
      <c r="CW45" s="433">
        <v>0.47402386605078112</v>
      </c>
      <c r="CX45" s="433">
        <v>0.39912436248524713</v>
      </c>
      <c r="CY45" s="433">
        <v>0.40410385706493002</v>
      </c>
      <c r="CZ45" s="433">
        <v>0.29692854969420929</v>
      </c>
      <c r="DA45" s="433">
        <v>0.25001150066075878</v>
      </c>
      <c r="DB45" s="433">
        <v>0.80602184361489149</v>
      </c>
      <c r="DC45" s="433">
        <v>0.29692854969420929</v>
      </c>
      <c r="DD45" s="433">
        <v>0.25001150066075878</v>
      </c>
      <c r="DE45" s="433">
        <v>0.34337347757319564</v>
      </c>
      <c r="DF45" s="433">
        <v>0.40827675582953776</v>
      </c>
      <c r="DG45" s="433">
        <v>0</v>
      </c>
      <c r="DH45" s="433">
        <v>0</v>
      </c>
      <c r="DI45" s="433">
        <v>0</v>
      </c>
      <c r="DJ45" s="433">
        <v>0.34684189653858144</v>
      </c>
      <c r="DK45" s="433">
        <v>0.33404461840598543</v>
      </c>
      <c r="DL45" s="433">
        <v>0.2837797335315666</v>
      </c>
      <c r="DM45" s="433">
        <v>0.40827675582953776</v>
      </c>
      <c r="DN45" s="433">
        <v>0</v>
      </c>
      <c r="DO45" s="433">
        <v>0</v>
      </c>
      <c r="DP45" s="433">
        <v>0</v>
      </c>
      <c r="DR45" s="409" t="s">
        <v>855</v>
      </c>
      <c r="DS45" s="409" t="s">
        <v>2079</v>
      </c>
    </row>
    <row r="46" spans="2:123" s="1471" customFormat="1">
      <c r="B46" s="428">
        <v>41765.930320486113</v>
      </c>
      <c r="C46" s="429">
        <v>1.4155152830691393</v>
      </c>
      <c r="D46" s="429">
        <v>1.4130450313451766</v>
      </c>
      <c r="E46" s="429">
        <v>1.4578511030936701</v>
      </c>
      <c r="F46" s="429"/>
      <c r="G46" s="429">
        <v>1.4370985096527558</v>
      </c>
      <c r="H46" s="429"/>
      <c r="I46" s="429">
        <v>1.3684150693014494</v>
      </c>
      <c r="J46" s="429">
        <v>1.4641046954821657</v>
      </c>
      <c r="K46" s="429">
        <v>1.3811890809479443</v>
      </c>
      <c r="L46" s="429">
        <v>1.4640986552785844</v>
      </c>
      <c r="M46" s="429">
        <v>1.136890637117288</v>
      </c>
      <c r="N46" s="429">
        <v>1.2253719562839667</v>
      </c>
      <c r="O46" s="429">
        <v>1.039010207931238</v>
      </c>
      <c r="P46" s="429">
        <v>1.0939799391249716</v>
      </c>
      <c r="Q46" s="429"/>
      <c r="R46" s="429">
        <v>11.976005753127488</v>
      </c>
      <c r="S46" s="429">
        <v>24.589497332966118</v>
      </c>
      <c r="T46" s="429">
        <v>3189.1023684703559</v>
      </c>
      <c r="U46" s="429">
        <v>3315.652177929469</v>
      </c>
      <c r="V46" s="429">
        <v>3133.7601788441639</v>
      </c>
      <c r="W46" s="429">
        <v>855.63562068103033</v>
      </c>
      <c r="X46" s="429">
        <v>210.97819432068297</v>
      </c>
      <c r="Y46" s="429">
        <v>103.49570932978922</v>
      </c>
      <c r="Z46" s="429">
        <v>85.092848842621763</v>
      </c>
      <c r="AA46" s="429">
        <v>292.4930120293289</v>
      </c>
      <c r="AB46" s="429">
        <v>185.16790526534672</v>
      </c>
      <c r="AC46" s="429">
        <v>247.35583006367716</v>
      </c>
      <c r="AD46" s="429">
        <v>3.2710135675747649</v>
      </c>
      <c r="AE46" s="429">
        <v>0</v>
      </c>
      <c r="AF46" s="429">
        <v>0</v>
      </c>
      <c r="AG46" s="429">
        <v>0</v>
      </c>
      <c r="AH46" s="429">
        <v>3.0653147449811144</v>
      </c>
      <c r="AI46" s="429">
        <v>6.3430249232496481</v>
      </c>
      <c r="AJ46" s="429">
        <v>6.3131995978322468</v>
      </c>
      <c r="AK46" s="429">
        <v>6.9743107201858558</v>
      </c>
      <c r="AL46" s="429">
        <v>0</v>
      </c>
      <c r="AM46" s="429">
        <v>0</v>
      </c>
      <c r="AN46" s="429">
        <v>0</v>
      </c>
      <c r="AO46" s="432"/>
      <c r="AP46" s="428">
        <v>41765.930320486113</v>
      </c>
      <c r="AQ46" s="431">
        <v>94.244561539481879</v>
      </c>
      <c r="AR46" s="431">
        <v>124.99231017022528</v>
      </c>
      <c r="AS46" s="431">
        <v>207.33002065475202</v>
      </c>
      <c r="AT46" s="431"/>
      <c r="AU46" s="431">
        <v>21.630409972535638</v>
      </c>
      <c r="AV46" s="431"/>
      <c r="AW46" s="431">
        <v>12.518335973037042</v>
      </c>
      <c r="AX46" s="431">
        <v>35.197811258492592</v>
      </c>
      <c r="AY46" s="431">
        <v>117.18257733512266</v>
      </c>
      <c r="AZ46" s="431">
        <v>-86.146898349118189</v>
      </c>
      <c r="BA46" s="431">
        <v>5.5999357665395459</v>
      </c>
      <c r="BB46" s="431">
        <v>5.7920025624316693</v>
      </c>
      <c r="BC46" s="431">
        <v>4.9497703029320155</v>
      </c>
      <c r="BD46" s="431">
        <v>19.594018266872265</v>
      </c>
      <c r="BE46" s="431"/>
      <c r="BF46" s="431">
        <v>8110.1474857675703</v>
      </c>
      <c r="BG46" s="431">
        <v>1659.894538861018</v>
      </c>
      <c r="BH46" s="431">
        <v>382924.12740435783</v>
      </c>
      <c r="BI46" s="431">
        <v>370221.1669191214</v>
      </c>
      <c r="BJ46" s="431">
        <v>41840.468746456274</v>
      </c>
      <c r="BK46" s="431">
        <v>343009.59691312257</v>
      </c>
      <c r="BL46" s="431">
        <v>527176.57608873153</v>
      </c>
      <c r="BM46" s="431">
        <v>59578.751909998289</v>
      </c>
      <c r="BN46" s="431">
        <v>25478.593577610536</v>
      </c>
      <c r="BO46" s="431">
        <v>527176.57608873153</v>
      </c>
      <c r="BP46" s="431">
        <v>59578.751909998289</v>
      </c>
      <c r="BQ46" s="431">
        <v>351796.23205119383</v>
      </c>
      <c r="BR46" s="431">
        <v>831.13872370059994</v>
      </c>
      <c r="BS46" s="431">
        <v>0</v>
      </c>
      <c r="BT46" s="431">
        <v>0</v>
      </c>
      <c r="BU46" s="431">
        <v>0</v>
      </c>
      <c r="BV46" s="431">
        <v>771.96910772160402</v>
      </c>
      <c r="BW46" s="431">
        <v>1274.5005103672279</v>
      </c>
      <c r="BX46" s="431">
        <v>1179.9066311503386</v>
      </c>
      <c r="BY46" s="431">
        <v>980.38500797479071</v>
      </c>
      <c r="BZ46" s="431">
        <v>0</v>
      </c>
      <c r="CA46" s="431">
        <v>0</v>
      </c>
      <c r="CB46" s="431">
        <v>0</v>
      </c>
      <c r="CC46" s="432"/>
      <c r="CD46" s="428">
        <v>41765.930320486113</v>
      </c>
      <c r="CE46" s="433">
        <v>0.30759941944884495</v>
      </c>
      <c r="CF46" s="433">
        <v>0.21368653957671949</v>
      </c>
      <c r="CG46" s="433">
        <v>0.16794913607715128</v>
      </c>
      <c r="CH46" s="433"/>
      <c r="CI46" s="433">
        <v>0.15098113338820573</v>
      </c>
      <c r="CJ46" s="433"/>
      <c r="CK46" s="433">
        <v>0.25899628896575483</v>
      </c>
      <c r="CL46" s="433">
        <v>0.27649961398917294</v>
      </c>
      <c r="CM46" s="433">
        <v>0.20129058533430333</v>
      </c>
      <c r="CN46" s="433">
        <v>0.20203138400313336</v>
      </c>
      <c r="CO46" s="433">
        <v>0.14170471559769959</v>
      </c>
      <c r="CP46" s="433">
        <v>0.6472517576995086</v>
      </c>
      <c r="CQ46" s="433">
        <v>0.67663897658204775</v>
      </c>
      <c r="CR46" s="433">
        <v>0.47764154429191003</v>
      </c>
      <c r="CS46" s="433"/>
      <c r="CT46" s="433">
        <v>0.44773699730205768</v>
      </c>
      <c r="CU46" s="433">
        <v>0.36269681480068267</v>
      </c>
      <c r="CV46" s="433">
        <v>0.47651872850367988</v>
      </c>
      <c r="CW46" s="433">
        <v>0.47402386605078112</v>
      </c>
      <c r="CX46" s="433">
        <v>0.39912436248524713</v>
      </c>
      <c r="CY46" s="433">
        <v>0.40410385706493002</v>
      </c>
      <c r="CZ46" s="433">
        <v>0.29692854969420929</v>
      </c>
      <c r="DA46" s="433">
        <v>0.25001150066075878</v>
      </c>
      <c r="DB46" s="433">
        <v>0.80602184361489149</v>
      </c>
      <c r="DC46" s="433">
        <v>0.29692854969420929</v>
      </c>
      <c r="DD46" s="433">
        <v>0.25001150066075878</v>
      </c>
      <c r="DE46" s="433">
        <v>0.34337347757319564</v>
      </c>
      <c r="DF46" s="433">
        <v>0.40827675582953776</v>
      </c>
      <c r="DG46" s="433">
        <v>0</v>
      </c>
      <c r="DH46" s="433">
        <v>0</v>
      </c>
      <c r="DI46" s="433">
        <v>0</v>
      </c>
      <c r="DJ46" s="433">
        <v>0.34684189653858144</v>
      </c>
      <c r="DK46" s="433">
        <v>0.33404461840598543</v>
      </c>
      <c r="DL46" s="433">
        <v>0.2837797335315666</v>
      </c>
      <c r="DM46" s="433">
        <v>0.40827675582953776</v>
      </c>
      <c r="DN46" s="433">
        <v>0</v>
      </c>
      <c r="DO46" s="433">
        <v>0</v>
      </c>
      <c r="DP46" s="433">
        <v>0</v>
      </c>
      <c r="DR46" s="409" t="s">
        <v>855</v>
      </c>
      <c r="DS46" s="409" t="s">
        <v>2081</v>
      </c>
    </row>
    <row r="47" spans="2:123" s="1471" customFormat="1">
      <c r="B47" s="428">
        <v>41766.59494166667</v>
      </c>
      <c r="C47" s="429">
        <v>1.4155152830691393</v>
      </c>
      <c r="D47" s="429">
        <v>1.4130450313451766</v>
      </c>
      <c r="E47" s="429">
        <v>1.4484418280264864</v>
      </c>
      <c r="F47" s="429">
        <v>1.3918876460724858</v>
      </c>
      <c r="G47" s="429">
        <v>1.3752663066247275</v>
      </c>
      <c r="H47" s="429"/>
      <c r="I47" s="429">
        <v>1.3684150693014494</v>
      </c>
      <c r="J47" s="429">
        <v>1.4641046954821657</v>
      </c>
      <c r="K47" s="429">
        <v>1.3811890809479443</v>
      </c>
      <c r="L47" s="429">
        <v>1.4640986552785844</v>
      </c>
      <c r="M47" s="429">
        <v>1.136890637117288</v>
      </c>
      <c r="N47" s="429">
        <v>1.2253719562839667</v>
      </c>
      <c r="O47" s="429">
        <v>1.039010207931238</v>
      </c>
      <c r="P47" s="429">
        <v>1.0939799391249716</v>
      </c>
      <c r="Q47" s="429">
        <v>0</v>
      </c>
      <c r="R47" s="429">
        <v>11.976005753127488</v>
      </c>
      <c r="S47" s="429">
        <v>24.589497332966118</v>
      </c>
      <c r="T47" s="429">
        <v>3189.1023684703559</v>
      </c>
      <c r="U47" s="429">
        <v>3315.652177929469</v>
      </c>
      <c r="V47" s="429">
        <v>3133.7601788441639</v>
      </c>
      <c r="W47" s="429">
        <v>855.63562068103033</v>
      </c>
      <c r="X47" s="429">
        <v>210.97819432068297</v>
      </c>
      <c r="Y47" s="429">
        <v>103.49570932978922</v>
      </c>
      <c r="Z47" s="429">
        <v>85.092848842621763</v>
      </c>
      <c r="AA47" s="429">
        <v>292.4930120293289</v>
      </c>
      <c r="AB47" s="429">
        <v>185.16790526534672</v>
      </c>
      <c r="AC47" s="429">
        <v>247.35583006367716</v>
      </c>
      <c r="AD47" s="429">
        <v>3.2710135675747649</v>
      </c>
      <c r="AE47" s="429">
        <v>0</v>
      </c>
      <c r="AF47" s="429">
        <v>0</v>
      </c>
      <c r="AG47" s="429">
        <v>0</v>
      </c>
      <c r="AH47" s="429">
        <v>3.0653147449811144</v>
      </c>
      <c r="AI47" s="429">
        <v>6.3430249232496481</v>
      </c>
      <c r="AJ47" s="429">
        <v>6.3131995978322468</v>
      </c>
      <c r="AK47" s="429">
        <v>6.9743107201858558</v>
      </c>
      <c r="AL47" s="429">
        <v>0</v>
      </c>
      <c r="AM47" s="429">
        <v>0</v>
      </c>
      <c r="AN47" s="429">
        <v>0</v>
      </c>
      <c r="AO47" s="432"/>
      <c r="AP47" s="428">
        <v>41766.59494166667</v>
      </c>
      <c r="AQ47" s="431">
        <v>94.244561539481879</v>
      </c>
      <c r="AR47" s="431">
        <v>124.99231017022528</v>
      </c>
      <c r="AS47" s="431">
        <v>190.03910145300136</v>
      </c>
      <c r="AT47" s="431">
        <v>106.64317957803509</v>
      </c>
      <c r="AU47" s="431">
        <v>17.256023878303154</v>
      </c>
      <c r="AV47" s="431"/>
      <c r="AW47" s="431">
        <v>12.518335973037042</v>
      </c>
      <c r="AX47" s="431">
        <v>35.197811258492592</v>
      </c>
      <c r="AY47" s="431">
        <v>117.18257733512266</v>
      </c>
      <c r="AZ47" s="431">
        <v>-86.146898349118189</v>
      </c>
      <c r="BA47" s="431">
        <v>5.5999357665395459</v>
      </c>
      <c r="BB47" s="431">
        <v>5.7920025624316693</v>
      </c>
      <c r="BC47" s="431">
        <v>4.9497703029320155</v>
      </c>
      <c r="BD47" s="431">
        <v>19.594018266872265</v>
      </c>
      <c r="BE47" s="431">
        <v>0</v>
      </c>
      <c r="BF47" s="431">
        <v>8110.1474857675703</v>
      </c>
      <c r="BG47" s="431">
        <v>1659.894538861018</v>
      </c>
      <c r="BH47" s="431">
        <v>382924.12740435783</v>
      </c>
      <c r="BI47" s="431">
        <v>370221.1669191214</v>
      </c>
      <c r="BJ47" s="431">
        <v>41840.468746456274</v>
      </c>
      <c r="BK47" s="431">
        <v>343009.59691312257</v>
      </c>
      <c r="BL47" s="431">
        <v>527176.57608873153</v>
      </c>
      <c r="BM47" s="431">
        <v>59578.751909998289</v>
      </c>
      <c r="BN47" s="431">
        <v>25478.593577610536</v>
      </c>
      <c r="BO47" s="431">
        <v>527176.57608873153</v>
      </c>
      <c r="BP47" s="431">
        <v>59578.751909998289</v>
      </c>
      <c r="BQ47" s="431">
        <v>351796.23205119383</v>
      </c>
      <c r="BR47" s="431">
        <v>831.13872370059994</v>
      </c>
      <c r="BS47" s="431">
        <v>0</v>
      </c>
      <c r="BT47" s="431">
        <v>0</v>
      </c>
      <c r="BU47" s="431">
        <v>0</v>
      </c>
      <c r="BV47" s="431">
        <v>771.96910772160402</v>
      </c>
      <c r="BW47" s="431">
        <v>1274.5005103672279</v>
      </c>
      <c r="BX47" s="431">
        <v>1179.9066311503386</v>
      </c>
      <c r="BY47" s="431">
        <v>980.38500797479071</v>
      </c>
      <c r="BZ47" s="431">
        <v>0</v>
      </c>
      <c r="CA47" s="431">
        <v>0</v>
      </c>
      <c r="CB47" s="431">
        <v>0</v>
      </c>
      <c r="CC47" s="432"/>
      <c r="CD47" s="428">
        <v>41766.59494166667</v>
      </c>
      <c r="CE47" s="433">
        <v>0.30759941944884495</v>
      </c>
      <c r="CF47" s="433">
        <v>0.21368653957671949</v>
      </c>
      <c r="CG47" s="433">
        <v>0.17755399081206061</v>
      </c>
      <c r="CH47" s="433">
        <v>0.17976551824741191</v>
      </c>
      <c r="CI47" s="433">
        <v>0.11927509537668253</v>
      </c>
      <c r="CJ47" s="433"/>
      <c r="CK47" s="433">
        <v>0.25899628896575483</v>
      </c>
      <c r="CL47" s="433">
        <v>0.27649961398917294</v>
      </c>
      <c r="CM47" s="433">
        <v>0.20129058533430333</v>
      </c>
      <c r="CN47" s="433">
        <v>0.20203138400313336</v>
      </c>
      <c r="CO47" s="433">
        <v>0.14170471559769959</v>
      </c>
      <c r="CP47" s="433">
        <v>0.6472517576995086</v>
      </c>
      <c r="CQ47" s="433">
        <v>0.67663897658204775</v>
      </c>
      <c r="CR47" s="433">
        <v>0.47764154429191003</v>
      </c>
      <c r="CS47" s="433">
        <v>0</v>
      </c>
      <c r="CT47" s="433">
        <v>0.44773699730205768</v>
      </c>
      <c r="CU47" s="433">
        <v>0.36269681480068267</v>
      </c>
      <c r="CV47" s="433">
        <v>0.47651872850367988</v>
      </c>
      <c r="CW47" s="433">
        <v>0.47402386605078112</v>
      </c>
      <c r="CX47" s="433">
        <v>0.39912436248524713</v>
      </c>
      <c r="CY47" s="433">
        <v>0.40410385706493002</v>
      </c>
      <c r="CZ47" s="433">
        <v>0.29692854969420929</v>
      </c>
      <c r="DA47" s="433">
        <v>0.25001150066075878</v>
      </c>
      <c r="DB47" s="433">
        <v>0.80602184361489149</v>
      </c>
      <c r="DC47" s="433">
        <v>0.29692854969420929</v>
      </c>
      <c r="DD47" s="433">
        <v>0.25001150066075878</v>
      </c>
      <c r="DE47" s="433">
        <v>0.34337347757319564</v>
      </c>
      <c r="DF47" s="433">
        <v>0.40827675582953776</v>
      </c>
      <c r="DG47" s="433">
        <v>0</v>
      </c>
      <c r="DH47" s="433">
        <v>0</v>
      </c>
      <c r="DI47" s="433">
        <v>0</v>
      </c>
      <c r="DJ47" s="433">
        <v>0.34684189653858144</v>
      </c>
      <c r="DK47" s="433">
        <v>0.33404461840598543</v>
      </c>
      <c r="DL47" s="433">
        <v>0.2837797335315666</v>
      </c>
      <c r="DM47" s="433">
        <v>0.40827675582953776</v>
      </c>
      <c r="DN47" s="433">
        <v>0</v>
      </c>
      <c r="DO47" s="433">
        <v>0</v>
      </c>
      <c r="DP47" s="433">
        <v>0</v>
      </c>
      <c r="DR47" s="409" t="s">
        <v>855</v>
      </c>
      <c r="DS47" s="409" t="s">
        <v>2085</v>
      </c>
    </row>
    <row r="48" spans="2:123" s="1471" customFormat="1">
      <c r="B48" s="428">
        <v>41766.601240162039</v>
      </c>
      <c r="C48" s="429">
        <v>1.4155152830691393</v>
      </c>
      <c r="D48" s="429">
        <v>1.4130450313451766</v>
      </c>
      <c r="E48" s="429">
        <v>1.4484418280264864</v>
      </c>
      <c r="F48" s="429">
        <v>1.3918876460724858</v>
      </c>
      <c r="G48" s="429">
        <v>1.3752663066247275</v>
      </c>
      <c r="H48" s="429">
        <v>1.4245574292350534</v>
      </c>
      <c r="I48" s="429">
        <v>1.3684150693014494</v>
      </c>
      <c r="J48" s="429">
        <v>1.4641046954821657</v>
      </c>
      <c r="K48" s="429">
        <v>1.3811890809479443</v>
      </c>
      <c r="L48" s="429">
        <v>1.4640986552785844</v>
      </c>
      <c r="M48" s="429">
        <v>1.136890637117288</v>
      </c>
      <c r="N48" s="429">
        <v>1.2253719562839667</v>
      </c>
      <c r="O48" s="429">
        <v>1.039010207931238</v>
      </c>
      <c r="P48" s="429">
        <v>1.0939799391249716</v>
      </c>
      <c r="Q48" s="429">
        <v>0</v>
      </c>
      <c r="R48" s="429">
        <v>11.976005753127488</v>
      </c>
      <c r="S48" s="429">
        <v>24.589497332966118</v>
      </c>
      <c r="T48" s="429">
        <v>3189.1023684703559</v>
      </c>
      <c r="U48" s="429">
        <v>3315.652177929469</v>
      </c>
      <c r="V48" s="429">
        <v>3133.7601788441639</v>
      </c>
      <c r="W48" s="429">
        <v>855.63562068103033</v>
      </c>
      <c r="X48" s="429">
        <v>210.97819432068297</v>
      </c>
      <c r="Y48" s="429">
        <v>103.49570932978922</v>
      </c>
      <c r="Z48" s="429">
        <v>85.092848842621763</v>
      </c>
      <c r="AA48" s="429">
        <v>292.4930120293289</v>
      </c>
      <c r="AB48" s="429">
        <v>185.16790526534672</v>
      </c>
      <c r="AC48" s="429">
        <v>247.35583006367716</v>
      </c>
      <c r="AD48" s="429">
        <v>3.2710135675747649</v>
      </c>
      <c r="AE48" s="429">
        <v>0</v>
      </c>
      <c r="AF48" s="429">
        <v>0</v>
      </c>
      <c r="AG48" s="429">
        <v>0</v>
      </c>
      <c r="AH48" s="429">
        <v>3.0653147449811144</v>
      </c>
      <c r="AI48" s="429">
        <v>6.3430249232496481</v>
      </c>
      <c r="AJ48" s="429">
        <v>6.3131995978322468</v>
      </c>
      <c r="AK48" s="429">
        <v>6.9743107201858558</v>
      </c>
      <c r="AL48" s="429">
        <v>0</v>
      </c>
      <c r="AM48" s="429">
        <v>0</v>
      </c>
      <c r="AN48" s="429">
        <v>0</v>
      </c>
      <c r="AO48" s="432"/>
      <c r="AP48" s="428">
        <v>41766.601240162039</v>
      </c>
      <c r="AQ48" s="431">
        <v>94.244561539481879</v>
      </c>
      <c r="AR48" s="431">
        <v>124.99231017022528</v>
      </c>
      <c r="AS48" s="431">
        <v>190.03910145300136</v>
      </c>
      <c r="AT48" s="431">
        <v>106.64317957803509</v>
      </c>
      <c r="AU48" s="431">
        <v>17.256023878303154</v>
      </c>
      <c r="AV48" s="431">
        <v>191.90699410062163</v>
      </c>
      <c r="AW48" s="431">
        <v>12.518335973037042</v>
      </c>
      <c r="AX48" s="431">
        <v>35.197811258492592</v>
      </c>
      <c r="AY48" s="431">
        <v>117.18257733512266</v>
      </c>
      <c r="AZ48" s="431">
        <v>-86.146898349118189</v>
      </c>
      <c r="BA48" s="431">
        <v>5.5999357665395459</v>
      </c>
      <c r="BB48" s="431">
        <v>5.7920025624316693</v>
      </c>
      <c r="BC48" s="431">
        <v>4.9497703029320155</v>
      </c>
      <c r="BD48" s="431">
        <v>19.594018266872265</v>
      </c>
      <c r="BE48" s="431">
        <v>0</v>
      </c>
      <c r="BF48" s="431">
        <v>8110.1474857675703</v>
      </c>
      <c r="BG48" s="431">
        <v>1659.894538861018</v>
      </c>
      <c r="BH48" s="431">
        <v>382924.12740435783</v>
      </c>
      <c r="BI48" s="431">
        <v>370221.1669191214</v>
      </c>
      <c r="BJ48" s="431">
        <v>41840.468746456274</v>
      </c>
      <c r="BK48" s="431">
        <v>343009.59691312257</v>
      </c>
      <c r="BL48" s="431">
        <v>527176.57608873153</v>
      </c>
      <c r="BM48" s="431">
        <v>59578.751909998289</v>
      </c>
      <c r="BN48" s="431">
        <v>25478.593577610536</v>
      </c>
      <c r="BO48" s="431">
        <v>527176.57608873153</v>
      </c>
      <c r="BP48" s="431">
        <v>59578.751909998289</v>
      </c>
      <c r="BQ48" s="431">
        <v>351796.23205119383</v>
      </c>
      <c r="BR48" s="431">
        <v>831.13872370059994</v>
      </c>
      <c r="BS48" s="431">
        <v>0</v>
      </c>
      <c r="BT48" s="431">
        <v>0</v>
      </c>
      <c r="BU48" s="431">
        <v>0</v>
      </c>
      <c r="BV48" s="431">
        <v>771.96910772160402</v>
      </c>
      <c r="BW48" s="431">
        <v>1274.5005103672279</v>
      </c>
      <c r="BX48" s="431">
        <v>1179.9066311503386</v>
      </c>
      <c r="BY48" s="431">
        <v>980.38500797479071</v>
      </c>
      <c r="BZ48" s="431">
        <v>0</v>
      </c>
      <c r="CA48" s="431">
        <v>0</v>
      </c>
      <c r="CB48" s="431">
        <v>0</v>
      </c>
      <c r="CC48" s="432"/>
      <c r="CD48" s="428">
        <v>41766.601240162039</v>
      </c>
      <c r="CE48" s="433">
        <v>0.30759941944884495</v>
      </c>
      <c r="CF48" s="433">
        <v>0.21368653957671949</v>
      </c>
      <c r="CG48" s="433">
        <v>0.17755399081206061</v>
      </c>
      <c r="CH48" s="433">
        <v>0.17976551824741191</v>
      </c>
      <c r="CI48" s="433">
        <v>0.11927509537668253</v>
      </c>
      <c r="CJ48" s="433">
        <v>0.26105311102355799</v>
      </c>
      <c r="CK48" s="433">
        <v>0.25899628896575483</v>
      </c>
      <c r="CL48" s="433">
        <v>0.27649961398917294</v>
      </c>
      <c r="CM48" s="433">
        <v>0.20129058533430333</v>
      </c>
      <c r="CN48" s="433">
        <v>0.20203138400313336</v>
      </c>
      <c r="CO48" s="433">
        <v>0.14170471559769959</v>
      </c>
      <c r="CP48" s="433">
        <v>0.6472517576995086</v>
      </c>
      <c r="CQ48" s="433">
        <v>0.67663897658204775</v>
      </c>
      <c r="CR48" s="433">
        <v>0.47764154429191003</v>
      </c>
      <c r="CS48" s="433">
        <v>0</v>
      </c>
      <c r="CT48" s="433">
        <v>0.44773699730205768</v>
      </c>
      <c r="CU48" s="433">
        <v>0.36269681480068267</v>
      </c>
      <c r="CV48" s="433">
        <v>0.47651872850367988</v>
      </c>
      <c r="CW48" s="433">
        <v>0.47402386605078112</v>
      </c>
      <c r="CX48" s="433">
        <v>0.39912436248524713</v>
      </c>
      <c r="CY48" s="433">
        <v>0.40410385706493002</v>
      </c>
      <c r="CZ48" s="433">
        <v>0.29692854969420929</v>
      </c>
      <c r="DA48" s="433">
        <v>0.25001150066075878</v>
      </c>
      <c r="DB48" s="433">
        <v>0.80602184361489149</v>
      </c>
      <c r="DC48" s="433">
        <v>0.29692854969420929</v>
      </c>
      <c r="DD48" s="433">
        <v>0.25001150066075878</v>
      </c>
      <c r="DE48" s="433">
        <v>0.34337347757319564</v>
      </c>
      <c r="DF48" s="433">
        <v>0.40827675582953776</v>
      </c>
      <c r="DG48" s="433">
        <v>0</v>
      </c>
      <c r="DH48" s="433">
        <v>0</v>
      </c>
      <c r="DI48" s="433">
        <v>0</v>
      </c>
      <c r="DJ48" s="433">
        <v>0.34684189653858144</v>
      </c>
      <c r="DK48" s="433">
        <v>0.33404461840598543</v>
      </c>
      <c r="DL48" s="433">
        <v>0.2837797335315666</v>
      </c>
      <c r="DM48" s="433">
        <v>0.40827675582953776</v>
      </c>
      <c r="DN48" s="433">
        <v>0</v>
      </c>
      <c r="DO48" s="433">
        <v>0</v>
      </c>
      <c r="DP48" s="433">
        <v>0</v>
      </c>
      <c r="DR48" s="409" t="s">
        <v>855</v>
      </c>
      <c r="DS48" s="409" t="s">
        <v>2089</v>
      </c>
    </row>
    <row r="49" spans="2:123" s="1471" customFormat="1">
      <c r="B49" s="428">
        <v>41766.684392013885</v>
      </c>
      <c r="C49" s="429">
        <v>1.4155152830691393</v>
      </c>
      <c r="D49" s="429">
        <v>1.4130450313451766</v>
      </c>
      <c r="E49" s="429">
        <v>1.4484418280264864</v>
      </c>
      <c r="F49" s="429">
        <v>1.3918876460724858</v>
      </c>
      <c r="G49" s="429">
        <v>1.3752663066247275</v>
      </c>
      <c r="H49" s="429">
        <v>1.4272941867350533</v>
      </c>
      <c r="I49" s="429">
        <v>1.4389644765490939</v>
      </c>
      <c r="J49" s="429">
        <v>1.4927077771205703</v>
      </c>
      <c r="K49" s="429">
        <v>1.3811890809479443</v>
      </c>
      <c r="L49" s="429">
        <v>1.4640986552785844</v>
      </c>
      <c r="M49" s="429">
        <v>1.1401633518873258</v>
      </c>
      <c r="N49" s="429">
        <v>1.2253719562839667</v>
      </c>
      <c r="O49" s="429">
        <v>1.039010207931238</v>
      </c>
      <c r="P49" s="429">
        <v>1.0939799391249716</v>
      </c>
      <c r="Q49" s="429">
        <v>2957.2032243339277</v>
      </c>
      <c r="R49" s="429">
        <v>11.976005753127488</v>
      </c>
      <c r="S49" s="429">
        <v>11.136269114886392</v>
      </c>
      <c r="T49" s="429">
        <v>3189.1023684703559</v>
      </c>
      <c r="U49" s="429">
        <v>3315.652177929469</v>
      </c>
      <c r="V49" s="429">
        <v>3399.2236235653127</v>
      </c>
      <c r="W49" s="429">
        <v>855.63562068103033</v>
      </c>
      <c r="X49" s="429">
        <v>210.97819432068297</v>
      </c>
      <c r="Y49" s="429">
        <v>110.73173350287813</v>
      </c>
      <c r="Z49" s="429" t="e">
        <v>#N/A</v>
      </c>
      <c r="AA49" s="429">
        <v>292.4930120293289</v>
      </c>
      <c r="AB49" s="429">
        <v>192.0188304128225</v>
      </c>
      <c r="AC49" s="429">
        <v>247.35583006367716</v>
      </c>
      <c r="AD49" s="429">
        <v>3.2710135675747649</v>
      </c>
      <c r="AE49" s="429">
        <v>0</v>
      </c>
      <c r="AF49" s="429">
        <v>0</v>
      </c>
      <c r="AG49" s="429">
        <v>0</v>
      </c>
      <c r="AH49" s="429">
        <v>3.0653147449811144</v>
      </c>
      <c r="AI49" s="429">
        <v>6.3430249232496481</v>
      </c>
      <c r="AJ49" s="429">
        <v>6.3131995978322468</v>
      </c>
      <c r="AK49" s="429">
        <v>6.9743107201858558</v>
      </c>
      <c r="AL49" s="429">
        <v>0</v>
      </c>
      <c r="AM49" s="429">
        <v>0</v>
      </c>
      <c r="AN49" s="429">
        <v>0</v>
      </c>
      <c r="AO49" s="432"/>
      <c r="AP49" s="428">
        <v>41766.684392013885</v>
      </c>
      <c r="AQ49" s="431">
        <v>94.244561539481879</v>
      </c>
      <c r="AR49" s="431">
        <v>124.99231017022528</v>
      </c>
      <c r="AS49" s="431">
        <v>190.03910145300136</v>
      </c>
      <c r="AT49" s="431">
        <v>106.64317957803509</v>
      </c>
      <c r="AU49" s="431">
        <v>17.256023878303154</v>
      </c>
      <c r="AV49" s="431">
        <v>191.90699410062163</v>
      </c>
      <c r="AW49" s="431">
        <v>14.751949803378524</v>
      </c>
      <c r="AX49" s="431">
        <v>37.484425805616254</v>
      </c>
      <c r="AY49" s="431">
        <v>117.18257733512266</v>
      </c>
      <c r="AZ49" s="431">
        <v>-86.146898349118189</v>
      </c>
      <c r="BA49" s="431">
        <v>5.9574294177027092</v>
      </c>
      <c r="BB49" s="431">
        <v>5.7920025624316693</v>
      </c>
      <c r="BC49" s="431">
        <v>4.9497703029320155</v>
      </c>
      <c r="BD49" s="431">
        <v>19.594018266872265</v>
      </c>
      <c r="BE49" s="431">
        <v>363769.10230010282</v>
      </c>
      <c r="BF49" s="431">
        <v>8110.1474857675703</v>
      </c>
      <c r="BG49" s="431">
        <v>1045.9599694448623</v>
      </c>
      <c r="BH49" s="431">
        <v>382924.12740435783</v>
      </c>
      <c r="BI49" s="431">
        <v>370221.1669191214</v>
      </c>
      <c r="BJ49" s="431">
        <v>50815.258221584161</v>
      </c>
      <c r="BK49" s="431">
        <v>343009.59691312257</v>
      </c>
      <c r="BL49" s="431">
        <v>527176.57608873153</v>
      </c>
      <c r="BM49" s="431">
        <v>72358.406909164536</v>
      </c>
      <c r="BN49" s="431">
        <v>25478.593577610536</v>
      </c>
      <c r="BO49" s="431">
        <v>527176.57608873153</v>
      </c>
      <c r="BP49" s="431">
        <v>72358.406909164536</v>
      </c>
      <c r="BQ49" s="431">
        <v>351796.23205119383</v>
      </c>
      <c r="BR49" s="431">
        <v>831.13872370059994</v>
      </c>
      <c r="BS49" s="431">
        <v>0</v>
      </c>
      <c r="BT49" s="431">
        <v>0</v>
      </c>
      <c r="BU49" s="431">
        <v>0</v>
      </c>
      <c r="BV49" s="431">
        <v>771.96910772160402</v>
      </c>
      <c r="BW49" s="431">
        <v>1274.5005103672279</v>
      </c>
      <c r="BX49" s="431">
        <v>1179.9066311503386</v>
      </c>
      <c r="BY49" s="431">
        <v>980.38500797479071</v>
      </c>
      <c r="BZ49" s="431">
        <v>0</v>
      </c>
      <c r="CA49" s="431">
        <v>0</v>
      </c>
      <c r="CB49" s="431">
        <v>0</v>
      </c>
      <c r="CC49" s="432"/>
      <c r="CD49" s="428">
        <v>41766.684392013885</v>
      </c>
      <c r="CE49" s="433">
        <v>0.30759941944884495</v>
      </c>
      <c r="CF49" s="433">
        <v>0.21368653957671949</v>
      </c>
      <c r="CG49" s="433">
        <v>0.17755399081206061</v>
      </c>
      <c r="CH49" s="433">
        <v>0.17976551824741191</v>
      </c>
      <c r="CI49" s="433">
        <v>0.11927509537668253</v>
      </c>
      <c r="CJ49" s="433">
        <v>0.26105311102355799</v>
      </c>
      <c r="CK49" s="433">
        <v>0.25899628896575483</v>
      </c>
      <c r="CL49" s="433">
        <v>0.27649961398917294</v>
      </c>
      <c r="CM49" s="433">
        <v>0.20129058533430333</v>
      </c>
      <c r="CN49" s="433">
        <v>0.20203138400313336</v>
      </c>
      <c r="CO49" s="433">
        <v>0.14170471559769959</v>
      </c>
      <c r="CP49" s="433">
        <v>0.6472517576995086</v>
      </c>
      <c r="CQ49" s="433">
        <v>0.67663897658204775</v>
      </c>
      <c r="CR49" s="433">
        <v>0.47764154429191003</v>
      </c>
      <c r="CS49" s="433">
        <v>0.39482980361733477</v>
      </c>
      <c r="CT49" s="433">
        <v>0.44773699730205768</v>
      </c>
      <c r="CU49" s="433">
        <v>0.36269681480068267</v>
      </c>
      <c r="CV49" s="433">
        <v>0.47651872850367988</v>
      </c>
      <c r="CW49" s="433">
        <v>0.47402386605078112</v>
      </c>
      <c r="CX49" s="433">
        <v>0.39912436248524713</v>
      </c>
      <c r="CY49" s="433">
        <v>0.40410385706493002</v>
      </c>
      <c r="CZ49" s="433">
        <v>0.29692854969420929</v>
      </c>
      <c r="DA49" s="433">
        <v>0.25001150066075878</v>
      </c>
      <c r="DB49" s="433">
        <v>0.80602184361489149</v>
      </c>
      <c r="DC49" s="433">
        <v>0.29692854969420929</v>
      </c>
      <c r="DD49" s="433">
        <v>0.25001150066075878</v>
      </c>
      <c r="DE49" s="433">
        <v>0.34337347757319564</v>
      </c>
      <c r="DF49" s="433">
        <v>0.40827675582953776</v>
      </c>
      <c r="DG49" s="433">
        <v>0</v>
      </c>
      <c r="DH49" s="433">
        <v>0</v>
      </c>
      <c r="DI49" s="433">
        <v>0</v>
      </c>
      <c r="DJ49" s="433">
        <v>0.34684189653858144</v>
      </c>
      <c r="DK49" s="433">
        <v>0.33404461840598543</v>
      </c>
      <c r="DL49" s="433">
        <v>0.2837797335315666</v>
      </c>
      <c r="DM49" s="433">
        <v>0.40827675582953776</v>
      </c>
      <c r="DN49" s="433">
        <v>0</v>
      </c>
      <c r="DO49" s="433">
        <v>0</v>
      </c>
      <c r="DP49" s="433">
        <v>0</v>
      </c>
      <c r="DR49" s="409" t="s">
        <v>855</v>
      </c>
      <c r="DS49" s="409" t="s">
        <v>2098</v>
      </c>
    </row>
    <row r="50" spans="2:123" s="1471" customFormat="1">
      <c r="B50" s="428">
        <v>41766.688690277777</v>
      </c>
      <c r="C50" s="429">
        <v>1.4155152830691393</v>
      </c>
      <c r="D50" s="429">
        <v>1.4130450313451766</v>
      </c>
      <c r="E50" s="429">
        <v>1.4484418280264864</v>
      </c>
      <c r="F50" s="429">
        <v>1.3918876460724858</v>
      </c>
      <c r="G50" s="429">
        <v>1.3752663066247275</v>
      </c>
      <c r="H50" s="429">
        <v>1.4272941867350533</v>
      </c>
      <c r="I50" s="429">
        <v>1.4389644765490939</v>
      </c>
      <c r="J50" s="429">
        <v>1.4927077771205703</v>
      </c>
      <c r="K50" s="429">
        <v>1.3811890809479443</v>
      </c>
      <c r="L50" s="429">
        <v>1.4640986552785844</v>
      </c>
      <c r="M50" s="429">
        <v>1.1401633518873258</v>
      </c>
      <c r="N50" s="429">
        <v>1.2253719562839667</v>
      </c>
      <c r="O50" s="429">
        <v>1.039010207931238</v>
      </c>
      <c r="P50" s="429">
        <v>1.0939799391249716</v>
      </c>
      <c r="Q50" s="429">
        <v>2957.2032243339277</v>
      </c>
      <c r="R50" s="429">
        <v>11.976005753127488</v>
      </c>
      <c r="S50" s="429">
        <v>11.136269114886392</v>
      </c>
      <c r="T50" s="429">
        <v>3189.1023684703559</v>
      </c>
      <c r="U50" s="429">
        <v>3315.652177929469</v>
      </c>
      <c r="V50" s="429">
        <v>3399.2236235653127</v>
      </c>
      <c r="W50" s="429">
        <v>855.63562068103033</v>
      </c>
      <c r="X50" s="429">
        <v>210.97819432068297</v>
      </c>
      <c r="Y50" s="429">
        <v>110.73173350287813</v>
      </c>
      <c r="Z50" s="429">
        <v>85.092848842621763</v>
      </c>
      <c r="AA50" s="429">
        <v>292.4930120293289</v>
      </c>
      <c r="AB50" s="429">
        <v>192.0188304128225</v>
      </c>
      <c r="AC50" s="429">
        <v>247.35583006367716</v>
      </c>
      <c r="AD50" s="429">
        <v>3.2710135675747649</v>
      </c>
      <c r="AE50" s="429">
        <v>0</v>
      </c>
      <c r="AF50" s="429">
        <v>0</v>
      </c>
      <c r="AG50" s="429">
        <v>0</v>
      </c>
      <c r="AH50" s="429">
        <v>3.0653147449811144</v>
      </c>
      <c r="AI50" s="429">
        <v>6.3430249232496481</v>
      </c>
      <c r="AJ50" s="429">
        <v>6.3131995978322468</v>
      </c>
      <c r="AK50" s="429">
        <v>6.9743107201858558</v>
      </c>
      <c r="AL50" s="429">
        <v>0</v>
      </c>
      <c r="AM50" s="429">
        <v>0</v>
      </c>
      <c r="AN50" s="429">
        <v>0</v>
      </c>
      <c r="AO50" s="432"/>
      <c r="AP50" s="428">
        <v>41766.688690277777</v>
      </c>
      <c r="AQ50" s="431">
        <v>94.244561539481879</v>
      </c>
      <c r="AR50" s="431">
        <v>124.99231017022528</v>
      </c>
      <c r="AS50" s="431">
        <v>190.03910145300136</v>
      </c>
      <c r="AT50" s="431">
        <v>106.64317957803509</v>
      </c>
      <c r="AU50" s="431">
        <v>17.256023878303154</v>
      </c>
      <c r="AV50" s="431">
        <v>191.90699410062163</v>
      </c>
      <c r="AW50" s="431">
        <v>14.751949803378524</v>
      </c>
      <c r="AX50" s="431">
        <v>37.484425805616254</v>
      </c>
      <c r="AY50" s="431">
        <v>117.18257733512266</v>
      </c>
      <c r="AZ50" s="431">
        <v>-86.146898349118189</v>
      </c>
      <c r="BA50" s="431">
        <v>5.9574294177027092</v>
      </c>
      <c r="BB50" s="431">
        <v>5.7920025624316693</v>
      </c>
      <c r="BC50" s="431">
        <v>4.9497703029320155</v>
      </c>
      <c r="BD50" s="431">
        <v>19.594018266872265</v>
      </c>
      <c r="BE50" s="431">
        <v>363769.10230010282</v>
      </c>
      <c r="BF50" s="431">
        <v>8110.1474857675703</v>
      </c>
      <c r="BG50" s="431">
        <v>1045.9599694448623</v>
      </c>
      <c r="BH50" s="431">
        <v>382924.12740435783</v>
      </c>
      <c r="BI50" s="431">
        <v>370221.1669191214</v>
      </c>
      <c r="BJ50" s="431">
        <v>50815.258221584161</v>
      </c>
      <c r="BK50" s="431">
        <v>343009.59691312257</v>
      </c>
      <c r="BL50" s="431">
        <v>527176.57608873153</v>
      </c>
      <c r="BM50" s="431">
        <v>72358.406909164536</v>
      </c>
      <c r="BN50" s="431">
        <v>25478.593577610536</v>
      </c>
      <c r="BO50" s="431">
        <v>527176.57608873153</v>
      </c>
      <c r="BP50" s="431">
        <v>72358.406909164536</v>
      </c>
      <c r="BQ50" s="431">
        <v>351796.23205119383</v>
      </c>
      <c r="BR50" s="431">
        <v>831.13872370059994</v>
      </c>
      <c r="BS50" s="431">
        <v>0</v>
      </c>
      <c r="BT50" s="431">
        <v>0</v>
      </c>
      <c r="BU50" s="431">
        <v>0</v>
      </c>
      <c r="BV50" s="431">
        <v>771.96910772160402</v>
      </c>
      <c r="BW50" s="431">
        <v>1274.5005103672279</v>
      </c>
      <c r="BX50" s="431">
        <v>1179.9066311503386</v>
      </c>
      <c r="BY50" s="431">
        <v>980.38500797479071</v>
      </c>
      <c r="BZ50" s="431">
        <v>0</v>
      </c>
      <c r="CA50" s="431">
        <v>0</v>
      </c>
      <c r="CB50" s="431">
        <v>0</v>
      </c>
      <c r="CC50" s="432"/>
      <c r="CD50" s="428">
        <v>41766.688690277777</v>
      </c>
      <c r="CE50" s="433">
        <v>0.30759941944884495</v>
      </c>
      <c r="CF50" s="433">
        <v>0.21368653957671949</v>
      </c>
      <c r="CG50" s="433">
        <v>0.17755399081206061</v>
      </c>
      <c r="CH50" s="433">
        <v>0.17976551824741191</v>
      </c>
      <c r="CI50" s="433">
        <v>0.11927509537668253</v>
      </c>
      <c r="CJ50" s="433">
        <v>0.26105311102355799</v>
      </c>
      <c r="CK50" s="433">
        <v>0.25899628896575483</v>
      </c>
      <c r="CL50" s="433">
        <v>0.27649961398917294</v>
      </c>
      <c r="CM50" s="433">
        <v>0.20129058533430333</v>
      </c>
      <c r="CN50" s="433">
        <v>0.20203138400313336</v>
      </c>
      <c r="CO50" s="433">
        <v>0.14170471559769959</v>
      </c>
      <c r="CP50" s="433">
        <v>0.6472517576995086</v>
      </c>
      <c r="CQ50" s="433">
        <v>0.67663897658204775</v>
      </c>
      <c r="CR50" s="433">
        <v>0.47764154429191003</v>
      </c>
      <c r="CS50" s="433">
        <v>0.39482980361733477</v>
      </c>
      <c r="CT50" s="433">
        <v>0.44773699730205768</v>
      </c>
      <c r="CU50" s="433">
        <v>0.36269681480068267</v>
      </c>
      <c r="CV50" s="433">
        <v>0.47651872850367988</v>
      </c>
      <c r="CW50" s="433">
        <v>0.47402386605078112</v>
      </c>
      <c r="CX50" s="433">
        <v>0.39912436248524713</v>
      </c>
      <c r="CY50" s="433">
        <v>0.40410385706493002</v>
      </c>
      <c r="CZ50" s="433">
        <v>0.29692854969420929</v>
      </c>
      <c r="DA50" s="433">
        <v>0.25001150066075878</v>
      </c>
      <c r="DB50" s="433">
        <v>0.80602184361489149</v>
      </c>
      <c r="DC50" s="433">
        <v>0.29692854969420929</v>
      </c>
      <c r="DD50" s="433">
        <v>0.25001150066075878</v>
      </c>
      <c r="DE50" s="433">
        <v>0.34337347757319564</v>
      </c>
      <c r="DF50" s="433">
        <v>0.40827675582953776</v>
      </c>
      <c r="DG50" s="433">
        <v>0</v>
      </c>
      <c r="DH50" s="433">
        <v>0</v>
      </c>
      <c r="DI50" s="433">
        <v>0</v>
      </c>
      <c r="DJ50" s="433">
        <v>0.34684189653858144</v>
      </c>
      <c r="DK50" s="433">
        <v>0.33404461840598543</v>
      </c>
      <c r="DL50" s="433">
        <v>0.2837797335315666</v>
      </c>
      <c r="DM50" s="433">
        <v>0.40827675582953776</v>
      </c>
      <c r="DN50" s="433">
        <v>0</v>
      </c>
      <c r="DO50" s="433">
        <v>0</v>
      </c>
      <c r="DP50" s="433">
        <v>0</v>
      </c>
      <c r="DR50" s="409" t="s">
        <v>855</v>
      </c>
      <c r="DS50" s="409" t="s">
        <v>2099</v>
      </c>
    </row>
    <row r="51" spans="2:123" s="1471" customFormat="1">
      <c r="B51" s="428">
        <v>41767.683651157407</v>
      </c>
      <c r="C51" s="429">
        <v>1.4180635752816066</v>
      </c>
      <c r="D51" s="429">
        <v>1.4164211119113557</v>
      </c>
      <c r="E51" s="429">
        <v>1.4530530050464241</v>
      </c>
      <c r="F51" s="429">
        <v>1.3945236284914961</v>
      </c>
      <c r="G51" s="429">
        <v>1.3727905210599656</v>
      </c>
      <c r="H51" s="429">
        <v>1.4324894109377309</v>
      </c>
      <c r="I51" s="429">
        <v>1.4336454601296462</v>
      </c>
      <c r="J51" s="429">
        <v>1.4905001207391602</v>
      </c>
      <c r="K51" s="429">
        <v>1.387388628819672</v>
      </c>
      <c r="L51" s="429">
        <v>1.4652838155345078</v>
      </c>
      <c r="M51" s="429">
        <v>1.1398460604091378</v>
      </c>
      <c r="N51" s="429">
        <v>1.2425631367390759</v>
      </c>
      <c r="O51" s="429">
        <v>1.0528878057285196</v>
      </c>
      <c r="P51" s="429">
        <v>1.1087037089118525</v>
      </c>
      <c r="Q51" s="429">
        <v>2966.9581660908016</v>
      </c>
      <c r="R51" s="429">
        <v>11.662797483703887</v>
      </c>
      <c r="S51" s="429">
        <v>10.690711449502718</v>
      </c>
      <c r="T51" s="429">
        <v>3199.3709771468839</v>
      </c>
      <c r="U51" s="429">
        <v>3325.6632340069646</v>
      </c>
      <c r="V51" s="429">
        <v>3379.0619482601651</v>
      </c>
      <c r="W51" s="429">
        <v>874.36491065918244</v>
      </c>
      <c r="X51" s="429">
        <v>225.24610433208082</v>
      </c>
      <c r="Y51" s="429">
        <v>111.65395066972383</v>
      </c>
      <c r="Z51" s="429">
        <v>86.250219657230843</v>
      </c>
      <c r="AA51" s="429">
        <v>306.76093519285087</v>
      </c>
      <c r="AB51" s="429">
        <v>192.97182411643377</v>
      </c>
      <c r="AC51" s="429">
        <v>255.65092736778337</v>
      </c>
      <c r="AD51" s="429">
        <v>3.2934881878563886</v>
      </c>
      <c r="AE51" s="429">
        <v>0</v>
      </c>
      <c r="AF51" s="429">
        <v>0</v>
      </c>
      <c r="AG51" s="429">
        <v>0</v>
      </c>
      <c r="AH51" s="429">
        <v>3.1080556289891903</v>
      </c>
      <c r="AI51" s="429">
        <v>6.3774883838222607</v>
      </c>
      <c r="AJ51" s="429">
        <v>6.3785849236124568</v>
      </c>
      <c r="AK51" s="429">
        <v>7.0008210744724826</v>
      </c>
      <c r="AL51" s="429">
        <v>0</v>
      </c>
      <c r="AM51" s="429">
        <v>0</v>
      </c>
      <c r="AN51" s="429">
        <v>0</v>
      </c>
      <c r="AO51" s="432"/>
      <c r="AP51" s="428">
        <v>41767.683651157407</v>
      </c>
      <c r="AQ51" s="431">
        <v>94.246630238170766</v>
      </c>
      <c r="AR51" s="431">
        <v>124.99504731338388</v>
      </c>
      <c r="AS51" s="431">
        <v>189.69935271298598</v>
      </c>
      <c r="AT51" s="431">
        <v>106.51003148818911</v>
      </c>
      <c r="AU51" s="431">
        <v>16.998730650022448</v>
      </c>
      <c r="AV51" s="431">
        <v>191.92127369428115</v>
      </c>
      <c r="AW51" s="431">
        <v>14.398234383175454</v>
      </c>
      <c r="AX51" s="431">
        <v>36.75369240691851</v>
      </c>
      <c r="AY51" s="431">
        <v>117.25033020390107</v>
      </c>
      <c r="AZ51" s="431">
        <v>-86.097096698016017</v>
      </c>
      <c r="BA51" s="431">
        <v>5.8188768645241433</v>
      </c>
      <c r="BB51" s="431">
        <v>5.8099585527008744</v>
      </c>
      <c r="BC51" s="431">
        <v>4.9513106665683777</v>
      </c>
      <c r="BD51" s="431">
        <v>19.596729568222916</v>
      </c>
      <c r="BE51" s="431">
        <v>363771.58942344692</v>
      </c>
      <c r="BF51" s="431">
        <v>8064.0576778388522</v>
      </c>
      <c r="BG51" s="431">
        <v>999.81981573853238</v>
      </c>
      <c r="BH51" s="431">
        <v>382926.74549239845</v>
      </c>
      <c r="BI51" s="431">
        <v>370229.47907002596</v>
      </c>
      <c r="BJ51" s="431">
        <v>49394.009218150284</v>
      </c>
      <c r="BK51" s="431">
        <v>343198.76068674069</v>
      </c>
      <c r="BL51" s="431">
        <v>527188.41217927786</v>
      </c>
      <c r="BM51" s="431">
        <v>70334.618832337816</v>
      </c>
      <c r="BN51" s="431">
        <v>25486.522490802603</v>
      </c>
      <c r="BO51" s="431">
        <v>527188.41217927786</v>
      </c>
      <c r="BP51" s="431">
        <v>70334.618832337816</v>
      </c>
      <c r="BQ51" s="431">
        <v>352003.79908516991</v>
      </c>
      <c r="BR51" s="431">
        <v>831.15715953317056</v>
      </c>
      <c r="BS51" s="431">
        <v>0</v>
      </c>
      <c r="BT51" s="431">
        <v>0</v>
      </c>
      <c r="BU51" s="431">
        <v>0</v>
      </c>
      <c r="BV51" s="431">
        <v>772.40920709350462</v>
      </c>
      <c r="BW51" s="431">
        <v>1274.5287377541049</v>
      </c>
      <c r="BX51" s="431">
        <v>1180.5804740694155</v>
      </c>
      <c r="BY51" s="431">
        <v>980.40672134931151</v>
      </c>
      <c r="BZ51" s="431">
        <v>0</v>
      </c>
      <c r="CA51" s="431">
        <v>0</v>
      </c>
      <c r="CB51" s="431">
        <v>0</v>
      </c>
      <c r="CC51" s="432"/>
      <c r="CD51" s="428">
        <v>41767.683651157407</v>
      </c>
      <c r="CE51" s="433">
        <v>0.30759941944884495</v>
      </c>
      <c r="CF51" s="433">
        <v>0.21368653957671949</v>
      </c>
      <c r="CG51" s="433">
        <v>0.17755399081206061</v>
      </c>
      <c r="CH51" s="433">
        <v>0.17976551824741191</v>
      </c>
      <c r="CI51" s="433">
        <v>0.11927509537668253</v>
      </c>
      <c r="CJ51" s="433">
        <v>0.26105311102355799</v>
      </c>
      <c r="CK51" s="433">
        <v>0.25899628896575483</v>
      </c>
      <c r="CL51" s="433">
        <v>0.27649961398917294</v>
      </c>
      <c r="CM51" s="433">
        <v>0.20129058533430333</v>
      </c>
      <c r="CN51" s="433">
        <v>0.20203138400313336</v>
      </c>
      <c r="CO51" s="433">
        <v>0.14170471559769959</v>
      </c>
      <c r="CP51" s="433">
        <v>0.6472517576995086</v>
      </c>
      <c r="CQ51" s="433">
        <v>0.67663897658204775</v>
      </c>
      <c r="CR51" s="433">
        <v>0.47764154429191003</v>
      </c>
      <c r="CS51" s="433">
        <v>0.39482980361733477</v>
      </c>
      <c r="CT51" s="433">
        <v>0.44773699730205768</v>
      </c>
      <c r="CU51" s="433">
        <v>0.36269681480068267</v>
      </c>
      <c r="CV51" s="433">
        <v>0.47651872850367988</v>
      </c>
      <c r="CW51" s="433">
        <v>0.47402386605078112</v>
      </c>
      <c r="CX51" s="433">
        <v>0.39912436248524713</v>
      </c>
      <c r="CY51" s="433">
        <v>0.40410385706493002</v>
      </c>
      <c r="CZ51" s="433">
        <v>0.29692854969420929</v>
      </c>
      <c r="DA51" s="433">
        <v>0.25001150066075878</v>
      </c>
      <c r="DB51" s="433">
        <v>0.80602184361489149</v>
      </c>
      <c r="DC51" s="433">
        <v>0.29692854969420929</v>
      </c>
      <c r="DD51" s="433">
        <v>0.25001150066075878</v>
      </c>
      <c r="DE51" s="433">
        <v>0.34337347757319564</v>
      </c>
      <c r="DF51" s="433">
        <v>0.40827675582953776</v>
      </c>
      <c r="DG51" s="433">
        <v>0</v>
      </c>
      <c r="DH51" s="433">
        <v>0</v>
      </c>
      <c r="DI51" s="433">
        <v>0</v>
      </c>
      <c r="DJ51" s="433">
        <v>0.34684189653858144</v>
      </c>
      <c r="DK51" s="433">
        <v>0.33404461840598543</v>
      </c>
      <c r="DL51" s="433">
        <v>0.2837797335315666</v>
      </c>
      <c r="DM51" s="433">
        <v>0.40827675582953776</v>
      </c>
      <c r="DN51" s="433">
        <v>0</v>
      </c>
      <c r="DO51" s="433">
        <v>0</v>
      </c>
      <c r="DP51" s="433">
        <v>0</v>
      </c>
      <c r="DR51" s="409" t="s">
        <v>711</v>
      </c>
      <c r="DS51" s="409" t="s">
        <v>2192</v>
      </c>
    </row>
    <row r="52" spans="2:123" s="1471" customFormat="1">
      <c r="B52" s="428">
        <v>41767.689386226855</v>
      </c>
      <c r="C52" s="429">
        <v>1.417831395487779</v>
      </c>
      <c r="D52" s="429">
        <v>1.4160752731507193</v>
      </c>
      <c r="E52" s="429">
        <v>1.4527678386005813</v>
      </c>
      <c r="F52" s="429">
        <v>1.3942384620456536</v>
      </c>
      <c r="G52" s="429">
        <v>1.3725779807538565</v>
      </c>
      <c r="H52" s="429">
        <v>1.4322459520949458</v>
      </c>
      <c r="I52" s="429">
        <v>1.4334132803358186</v>
      </c>
      <c r="J52" s="429">
        <v>1.4898561527351442</v>
      </c>
      <c r="K52" s="429">
        <v>1.387388628819672</v>
      </c>
      <c r="L52" s="429">
        <v>1.4652838155345078</v>
      </c>
      <c r="M52" s="429">
        <v>1.1397500931191118</v>
      </c>
      <c r="N52" s="429">
        <v>1.2425631367390759</v>
      </c>
      <c r="O52" s="429">
        <v>1.0528878057285196</v>
      </c>
      <c r="P52" s="429">
        <v>1.1086710973322031</v>
      </c>
      <c r="Q52" s="429">
        <v>2967.1717012857198</v>
      </c>
      <c r="R52" s="429">
        <v>11.668629020409043</v>
      </c>
      <c r="S52" s="429">
        <v>10.696542986207874</v>
      </c>
      <c r="T52" s="429">
        <v>3199.5957564853898</v>
      </c>
      <c r="U52" s="429">
        <v>3324.7303221751718</v>
      </c>
      <c r="V52" s="429">
        <v>3378.1290364283718</v>
      </c>
      <c r="W52" s="429">
        <v>874.30655464206939</v>
      </c>
      <c r="X52" s="429">
        <v>223.91768416267254</v>
      </c>
      <c r="Y52" s="429">
        <v>110.32553050031552</v>
      </c>
      <c r="Z52" s="429">
        <v>86.250219657230843</v>
      </c>
      <c r="AA52" s="429">
        <v>305.43251502344259</v>
      </c>
      <c r="AB52" s="429">
        <v>191.64340394702543</v>
      </c>
      <c r="AC52" s="429">
        <v>255.65092736778337</v>
      </c>
      <c r="AD52" s="429">
        <v>3.2914190475663005</v>
      </c>
      <c r="AE52" s="429">
        <v>0</v>
      </c>
      <c r="AF52" s="429">
        <v>0</v>
      </c>
      <c r="AG52" s="429">
        <v>0</v>
      </c>
      <c r="AH52" s="429">
        <v>3.1080556289891903</v>
      </c>
      <c r="AI52" s="429">
        <v>6.3743202912911805</v>
      </c>
      <c r="AJ52" s="429">
        <v>6.3785849236124568</v>
      </c>
      <c r="AK52" s="429">
        <v>6.9983840802178054</v>
      </c>
      <c r="AL52" s="429">
        <v>0</v>
      </c>
      <c r="AM52" s="429">
        <v>0</v>
      </c>
      <c r="AN52" s="429">
        <v>0</v>
      </c>
      <c r="AO52" s="432"/>
      <c r="AP52" s="428">
        <v>41767.689386226855</v>
      </c>
      <c r="AQ52" s="431">
        <v>93.901112821567722</v>
      </c>
      <c r="AR52" s="431">
        <v>124.48038876723598</v>
      </c>
      <c r="AS52" s="431">
        <v>189.27498342552516</v>
      </c>
      <c r="AT52" s="431">
        <v>106.08566220072828</v>
      </c>
      <c r="AU52" s="431">
        <v>16.682439657252647</v>
      </c>
      <c r="AV52" s="431">
        <v>191.55897140681037</v>
      </c>
      <c r="AW52" s="431">
        <v>14.052716966572399</v>
      </c>
      <c r="AX52" s="431">
        <v>35.795374038835945</v>
      </c>
      <c r="AY52" s="431">
        <v>117.25033020390107</v>
      </c>
      <c r="AZ52" s="431">
        <v>-86.097096698016017</v>
      </c>
      <c r="BA52" s="431">
        <v>5.6760635318841528</v>
      </c>
      <c r="BB52" s="431">
        <v>5.8099585527008744</v>
      </c>
      <c r="BC52" s="431">
        <v>4.9513106665683777</v>
      </c>
      <c r="BD52" s="431">
        <v>19.548198778501508</v>
      </c>
      <c r="BE52" s="431">
        <v>364089.36095595371</v>
      </c>
      <c r="BF52" s="431">
        <v>8072.7358554871907</v>
      </c>
      <c r="BG52" s="431">
        <v>1008.4979933868711</v>
      </c>
      <c r="BH52" s="431">
        <v>383261.24995149003</v>
      </c>
      <c r="BI52" s="431">
        <v>368841.17011890863</v>
      </c>
      <c r="BJ52" s="431">
        <v>48005.700267032982</v>
      </c>
      <c r="BK52" s="431">
        <v>343111.91841703339</v>
      </c>
      <c r="BL52" s="431">
        <v>525211.52910288901</v>
      </c>
      <c r="BM52" s="431">
        <v>68357.735755948903</v>
      </c>
      <c r="BN52" s="431">
        <v>25486.522490802603</v>
      </c>
      <c r="BO52" s="431">
        <v>525211.52910288901</v>
      </c>
      <c r="BP52" s="431">
        <v>68357.735755948903</v>
      </c>
      <c r="BQ52" s="431">
        <v>352003.79908516991</v>
      </c>
      <c r="BR52" s="431">
        <v>828.07797681948819</v>
      </c>
      <c r="BS52" s="431">
        <v>0</v>
      </c>
      <c r="BT52" s="431">
        <v>0</v>
      </c>
      <c r="BU52" s="431">
        <v>0</v>
      </c>
      <c r="BV52" s="431">
        <v>772.40920709350462</v>
      </c>
      <c r="BW52" s="431">
        <v>1269.8141537291442</v>
      </c>
      <c r="BX52" s="431">
        <v>1180.5804740694155</v>
      </c>
      <c r="BY52" s="431">
        <v>976.78011825318777</v>
      </c>
      <c r="BZ52" s="431">
        <v>0</v>
      </c>
      <c r="CA52" s="431">
        <v>0</v>
      </c>
      <c r="CB52" s="431">
        <v>0</v>
      </c>
      <c r="CC52" s="432"/>
      <c r="CD52" s="428">
        <v>41767.689386226855</v>
      </c>
      <c r="CE52" s="433">
        <v>0.30759941944884495</v>
      </c>
      <c r="CF52" s="433">
        <v>0.21368653957671949</v>
      </c>
      <c r="CG52" s="433">
        <v>0.17755399081206061</v>
      </c>
      <c r="CH52" s="433">
        <v>0.17976551824741191</v>
      </c>
      <c r="CI52" s="433">
        <v>0.11927509537668253</v>
      </c>
      <c r="CJ52" s="433">
        <v>0.26105311102355799</v>
      </c>
      <c r="CK52" s="433">
        <v>0.25899628896575483</v>
      </c>
      <c r="CL52" s="433">
        <v>0.27649961398917294</v>
      </c>
      <c r="CM52" s="433">
        <v>0.20129058533430333</v>
      </c>
      <c r="CN52" s="433">
        <v>0.20203138400313336</v>
      </c>
      <c r="CO52" s="433">
        <v>0.14170471559769959</v>
      </c>
      <c r="CP52" s="433">
        <v>0.6472517576995086</v>
      </c>
      <c r="CQ52" s="433">
        <v>0.67663897658204775</v>
      </c>
      <c r="CR52" s="433">
        <v>0.47764154429191003</v>
      </c>
      <c r="CS52" s="433">
        <v>0.39482980361733477</v>
      </c>
      <c r="CT52" s="433">
        <v>0.44773699730205768</v>
      </c>
      <c r="CU52" s="433">
        <v>0.36269681480068267</v>
      </c>
      <c r="CV52" s="433">
        <v>0.47651872850367988</v>
      </c>
      <c r="CW52" s="433">
        <v>0.47402386605078112</v>
      </c>
      <c r="CX52" s="433">
        <v>0.39912436248524713</v>
      </c>
      <c r="CY52" s="433">
        <v>0.40410385706493002</v>
      </c>
      <c r="CZ52" s="433">
        <v>0.29692854969420929</v>
      </c>
      <c r="DA52" s="433">
        <v>0.25001150066075878</v>
      </c>
      <c r="DB52" s="433">
        <v>0.80602184361489149</v>
      </c>
      <c r="DC52" s="433">
        <v>0.29692854969420929</v>
      </c>
      <c r="DD52" s="433">
        <v>0.25001150066075878</v>
      </c>
      <c r="DE52" s="433">
        <v>0.34337347757319564</v>
      </c>
      <c r="DF52" s="433">
        <v>0.40827675582953776</v>
      </c>
      <c r="DG52" s="433">
        <v>0</v>
      </c>
      <c r="DH52" s="433">
        <v>0</v>
      </c>
      <c r="DI52" s="433">
        <v>0</v>
      </c>
      <c r="DJ52" s="433">
        <v>0.34684189653858144</v>
      </c>
      <c r="DK52" s="433">
        <v>0.33404461840598543</v>
      </c>
      <c r="DL52" s="433">
        <v>0.2837797335315666</v>
      </c>
      <c r="DM52" s="433">
        <v>0.40827675582953776</v>
      </c>
      <c r="DN52" s="433">
        <v>0</v>
      </c>
      <c r="DO52" s="433">
        <v>0</v>
      </c>
      <c r="DP52" s="433">
        <v>0</v>
      </c>
      <c r="DR52" s="409" t="s">
        <v>711</v>
      </c>
      <c r="DS52" s="409" t="s">
        <v>2193</v>
      </c>
    </row>
    <row r="53" spans="2:123" s="1471" customFormat="1">
      <c r="B53" s="428">
        <v>41768.353262500001</v>
      </c>
      <c r="C53" s="429">
        <v>1.4178429348105785</v>
      </c>
      <c r="D53" s="429">
        <v>1.4161186459136268</v>
      </c>
      <c r="E53" s="429">
        <v>1.4535782917132865</v>
      </c>
      <c r="F53" s="429">
        <v>1.3950489151583585</v>
      </c>
      <c r="G53" s="429">
        <v>1.3733793255863509</v>
      </c>
      <c r="H53" s="429">
        <v>1.4357989160708211</v>
      </c>
      <c r="I53" s="429">
        <v>1.4334248196586186</v>
      </c>
      <c r="J53" s="429">
        <v>1.4834670771960128</v>
      </c>
      <c r="K53" s="429">
        <v>1.3678148439083819</v>
      </c>
      <c r="L53" s="429">
        <v>1.4457100306232176</v>
      </c>
      <c r="M53" s="429">
        <v>1.1398934550131363</v>
      </c>
      <c r="N53" s="429">
        <v>1.214669127036653</v>
      </c>
      <c r="O53" s="429">
        <v>1.0294529200631528</v>
      </c>
      <c r="P53" s="429">
        <v>1.0844028988378271</v>
      </c>
      <c r="Q53" s="429">
        <v>2974.7896278515946</v>
      </c>
      <c r="R53" s="429">
        <v>11.668629020409043</v>
      </c>
      <c r="S53" s="429">
        <v>10.696542986207874</v>
      </c>
      <c r="T53" s="429">
        <v>3207.6148209535463</v>
      </c>
      <c r="U53" s="429">
        <v>3324.77370453497</v>
      </c>
      <c r="V53" s="429">
        <v>3378.17241878817</v>
      </c>
      <c r="W53" s="429">
        <v>814.37624281230023</v>
      </c>
      <c r="X53" s="429">
        <v>223.91803504686658</v>
      </c>
      <c r="Y53" s="429">
        <v>110.32588138450956</v>
      </c>
      <c r="Z53" s="429">
        <v>84.96160498532781</v>
      </c>
      <c r="AA53" s="429">
        <v>305.43280211051041</v>
      </c>
      <c r="AB53" s="429">
        <v>191.64369103409331</v>
      </c>
      <c r="AC53" s="429">
        <v>255.27811476647736</v>
      </c>
      <c r="AD53" s="429">
        <v>3.2915152669361043</v>
      </c>
      <c r="AE53" s="429">
        <v>0</v>
      </c>
      <c r="AF53" s="429">
        <v>0</v>
      </c>
      <c r="AG53" s="429">
        <v>0</v>
      </c>
      <c r="AH53" s="429">
        <v>2.9685479256214493</v>
      </c>
      <c r="AI53" s="429">
        <v>6.3744676142485872</v>
      </c>
      <c r="AJ53" s="429">
        <v>6.1649825327137497</v>
      </c>
      <c r="AK53" s="429">
        <v>6.9984974055696556</v>
      </c>
      <c r="AL53" s="429">
        <v>0</v>
      </c>
      <c r="AM53" s="429">
        <v>0</v>
      </c>
      <c r="AN53" s="429">
        <v>0</v>
      </c>
      <c r="AO53" s="432"/>
      <c r="AP53" s="428">
        <v>41768.353262500001</v>
      </c>
      <c r="AQ53" s="431">
        <v>93.901112821567722</v>
      </c>
      <c r="AR53" s="431">
        <v>124.48038876723598</v>
      </c>
      <c r="AS53" s="431">
        <v>189.27498342552516</v>
      </c>
      <c r="AT53" s="431">
        <v>106.08566220072828</v>
      </c>
      <c r="AU53" s="431">
        <v>16.682439657252647</v>
      </c>
      <c r="AV53" s="431">
        <v>191.55897140681037</v>
      </c>
      <c r="AW53" s="431">
        <v>14.052716966572399</v>
      </c>
      <c r="AX53" s="431">
        <v>35.795374038835945</v>
      </c>
      <c r="AY53" s="431">
        <v>117.25033020390107</v>
      </c>
      <c r="AZ53" s="431">
        <v>-86.097096698016017</v>
      </c>
      <c r="BA53" s="431">
        <v>5.6760635318841528</v>
      </c>
      <c r="BB53" s="431">
        <v>5.783988615092321</v>
      </c>
      <c r="BC53" s="431">
        <v>4.9513106665683777</v>
      </c>
      <c r="BD53" s="431">
        <v>19.548198778501508</v>
      </c>
      <c r="BE53" s="431">
        <v>364089.36095595371</v>
      </c>
      <c r="BF53" s="431">
        <v>8072.7358554871907</v>
      </c>
      <c r="BG53" s="431">
        <v>1008.4979933868711</v>
      </c>
      <c r="BH53" s="431">
        <v>383261.24995149003</v>
      </c>
      <c r="BI53" s="431">
        <v>368841.17011890863</v>
      </c>
      <c r="BJ53" s="431">
        <v>48005.700267032982</v>
      </c>
      <c r="BK53" s="431">
        <v>343111.91841703339</v>
      </c>
      <c r="BL53" s="431">
        <v>525211.52910288901</v>
      </c>
      <c r="BM53" s="431">
        <v>68357.735755948903</v>
      </c>
      <c r="BN53" s="431">
        <v>25486.522490802603</v>
      </c>
      <c r="BO53" s="431">
        <v>525211.52910288901</v>
      </c>
      <c r="BP53" s="431">
        <v>68357.735755948903</v>
      </c>
      <c r="BQ53" s="431">
        <v>352003.79908516991</v>
      </c>
      <c r="BR53" s="431">
        <v>828.07797681948819</v>
      </c>
      <c r="BS53" s="431">
        <v>0</v>
      </c>
      <c r="BT53" s="431">
        <v>0</v>
      </c>
      <c r="BU53" s="431">
        <v>0</v>
      </c>
      <c r="BV53" s="431">
        <v>772.40920709350462</v>
      </c>
      <c r="BW53" s="431">
        <v>1269.8141537291442</v>
      </c>
      <c r="BX53" s="431">
        <v>1180.5804740694155</v>
      </c>
      <c r="BY53" s="431">
        <v>976.78011825318777</v>
      </c>
      <c r="BZ53" s="431">
        <v>0</v>
      </c>
      <c r="CA53" s="431">
        <v>0</v>
      </c>
      <c r="CB53" s="431">
        <v>0</v>
      </c>
      <c r="CC53" s="432"/>
      <c r="CD53" s="428">
        <v>41768.353262500001</v>
      </c>
      <c r="CE53" s="433">
        <v>0.30759941944884495</v>
      </c>
      <c r="CF53" s="433">
        <v>0.21368653957671949</v>
      </c>
      <c r="CG53" s="433">
        <v>0.17755399081206061</v>
      </c>
      <c r="CH53" s="433">
        <v>0.17976551824741191</v>
      </c>
      <c r="CI53" s="433">
        <v>0.11927509537668253</v>
      </c>
      <c r="CJ53" s="433">
        <v>0.26105311102355799</v>
      </c>
      <c r="CK53" s="433">
        <v>0.25899628896575483</v>
      </c>
      <c r="CL53" s="433">
        <v>0.27649961398917294</v>
      </c>
      <c r="CM53" s="433">
        <v>0.20129058533430333</v>
      </c>
      <c r="CN53" s="433">
        <v>0.20203138400313336</v>
      </c>
      <c r="CO53" s="433">
        <v>0.14170471559769959</v>
      </c>
      <c r="CP53" s="433">
        <v>0.6472517576995086</v>
      </c>
      <c r="CQ53" s="433">
        <v>0.67663897658204775</v>
      </c>
      <c r="CR53" s="433">
        <v>0.47764154429191003</v>
      </c>
      <c r="CS53" s="433">
        <v>0.39482980361733477</v>
      </c>
      <c r="CT53" s="433">
        <v>0.44773699730205768</v>
      </c>
      <c r="CU53" s="433">
        <v>0.36269681480068267</v>
      </c>
      <c r="CV53" s="433">
        <v>0.47651872850367988</v>
      </c>
      <c r="CW53" s="433">
        <v>0.47402386605078112</v>
      </c>
      <c r="CX53" s="433">
        <v>0.39912436248524713</v>
      </c>
      <c r="CY53" s="433">
        <v>0.40410385706493002</v>
      </c>
      <c r="CZ53" s="433">
        <v>0.29692854969420929</v>
      </c>
      <c r="DA53" s="433">
        <v>0.25001150066075878</v>
      </c>
      <c r="DB53" s="433">
        <v>0.80602184361489149</v>
      </c>
      <c r="DC53" s="433">
        <v>0.29692854969420929</v>
      </c>
      <c r="DD53" s="433">
        <v>0.25001150066075878</v>
      </c>
      <c r="DE53" s="433">
        <v>0.34337347757319564</v>
      </c>
      <c r="DF53" s="433">
        <v>0.40827675582953776</v>
      </c>
      <c r="DG53" s="433">
        <v>0</v>
      </c>
      <c r="DH53" s="433">
        <v>0</v>
      </c>
      <c r="DI53" s="433">
        <v>0</v>
      </c>
      <c r="DJ53" s="433">
        <v>0.34684189653858144</v>
      </c>
      <c r="DK53" s="433">
        <v>0.33404461840598543</v>
      </c>
      <c r="DL53" s="433">
        <v>0.2837797335315666</v>
      </c>
      <c r="DM53" s="433">
        <v>0.40827675582953776</v>
      </c>
      <c r="DN53" s="433">
        <v>0</v>
      </c>
      <c r="DO53" s="433">
        <v>0</v>
      </c>
      <c r="DP53" s="433">
        <v>0</v>
      </c>
      <c r="DR53" s="409" t="s">
        <v>711</v>
      </c>
      <c r="DS53" s="409" t="s">
        <v>2198</v>
      </c>
    </row>
    <row r="54" spans="2:123" s="1471" customFormat="1">
      <c r="B54" s="428">
        <v>41768.664646180558</v>
      </c>
      <c r="C54" s="429">
        <v>1.4178429348105785</v>
      </c>
      <c r="D54" s="429">
        <v>1.4161186459136268</v>
      </c>
      <c r="E54" s="429">
        <v>1.4535782917132865</v>
      </c>
      <c r="F54" s="429">
        <v>1.3950489151583585</v>
      </c>
      <c r="G54" s="429">
        <v>1.3733793255863509</v>
      </c>
      <c r="H54" s="429">
        <v>1.4357989160708211</v>
      </c>
      <c r="I54" s="429">
        <v>1.4334248196586186</v>
      </c>
      <c r="J54" s="429">
        <v>1.4834670771960128</v>
      </c>
      <c r="K54" s="429">
        <v>1.3678148439083819</v>
      </c>
      <c r="L54" s="429">
        <v>1.4457100306232176</v>
      </c>
      <c r="M54" s="429">
        <v>1.2564804417289523</v>
      </c>
      <c r="N54" s="429">
        <v>1.214669127036653</v>
      </c>
      <c r="O54" s="429">
        <v>1.0294529200631528</v>
      </c>
      <c r="P54" s="429">
        <v>1.0844028988378271</v>
      </c>
      <c r="Q54" s="429">
        <v>2974.7896278515946</v>
      </c>
      <c r="R54" s="429">
        <v>11.668629020409043</v>
      </c>
      <c r="S54" s="429">
        <v>10.696542986207874</v>
      </c>
      <c r="T54" s="429">
        <v>3207.6148209535463</v>
      </c>
      <c r="U54" s="429">
        <v>3324.77370453497</v>
      </c>
      <c r="V54" s="429">
        <v>3378.17241878817</v>
      </c>
      <c r="W54" s="429">
        <v>814.37624281230023</v>
      </c>
      <c r="X54" s="429">
        <v>223.91803504686658</v>
      </c>
      <c r="Y54" s="429">
        <v>110.32588138450956</v>
      </c>
      <c r="Z54" s="429">
        <v>84.96160498532781</v>
      </c>
      <c r="AA54" s="429">
        <v>305.43280211051041</v>
      </c>
      <c r="AB54" s="429">
        <v>191.64369103409331</v>
      </c>
      <c r="AC54" s="429">
        <v>255.27811476647736</v>
      </c>
      <c r="AD54" s="429">
        <v>3.2915152669361043</v>
      </c>
      <c r="AE54" s="429">
        <v>0</v>
      </c>
      <c r="AF54" s="429">
        <v>0</v>
      </c>
      <c r="AG54" s="429">
        <v>0</v>
      </c>
      <c r="AH54" s="429">
        <v>2.9685479256214493</v>
      </c>
      <c r="AI54" s="429">
        <v>6.3744676142485872</v>
      </c>
      <c r="AJ54" s="429">
        <v>6.1649825327137497</v>
      </c>
      <c r="AK54" s="429">
        <v>6.9984974055696556</v>
      </c>
      <c r="AL54" s="429">
        <v>0</v>
      </c>
      <c r="AM54" s="429">
        <v>0</v>
      </c>
      <c r="AN54" s="429">
        <v>0</v>
      </c>
      <c r="AO54" s="432"/>
      <c r="AP54" s="428">
        <v>41768.664646180558</v>
      </c>
      <c r="AQ54" s="431">
        <v>93.901112821567722</v>
      </c>
      <c r="AR54" s="431">
        <v>124.48038876723598</v>
      </c>
      <c r="AS54" s="431">
        <v>189.27498342552516</v>
      </c>
      <c r="AT54" s="431">
        <v>106.08566220072828</v>
      </c>
      <c r="AU54" s="431">
        <v>16.682439657252647</v>
      </c>
      <c r="AV54" s="431">
        <v>191.55897140681037</v>
      </c>
      <c r="AW54" s="431">
        <v>14.052716966572399</v>
      </c>
      <c r="AX54" s="431">
        <v>35.795374038835945</v>
      </c>
      <c r="AY54" s="431">
        <v>117.25033020390107</v>
      </c>
      <c r="AZ54" s="431">
        <v>-86.097096698016017</v>
      </c>
      <c r="BA54" s="431">
        <v>9.4013220650483049</v>
      </c>
      <c r="BB54" s="431">
        <v>5.783988615092321</v>
      </c>
      <c r="BC54" s="431">
        <v>4.9513106665683777</v>
      </c>
      <c r="BD54" s="431">
        <v>19.548198778501508</v>
      </c>
      <c r="BE54" s="431">
        <v>364089.36095595371</v>
      </c>
      <c r="BF54" s="431">
        <v>8072.7358554871907</v>
      </c>
      <c r="BG54" s="431">
        <v>1008.4979933868711</v>
      </c>
      <c r="BH54" s="431">
        <v>383261.24995149003</v>
      </c>
      <c r="BI54" s="431">
        <v>368841.17011890863</v>
      </c>
      <c r="BJ54" s="431">
        <v>48005.700267032982</v>
      </c>
      <c r="BK54" s="431">
        <v>343111.91841703339</v>
      </c>
      <c r="BL54" s="431">
        <v>525211.52910288901</v>
      </c>
      <c r="BM54" s="431">
        <v>68357.735755948903</v>
      </c>
      <c r="BN54" s="431">
        <v>25486.522490802603</v>
      </c>
      <c r="BO54" s="431">
        <v>525211.52910288901</v>
      </c>
      <c r="BP54" s="431">
        <v>68357.735755948903</v>
      </c>
      <c r="BQ54" s="431">
        <v>352003.79908516991</v>
      </c>
      <c r="BR54" s="431">
        <v>828.07797681948819</v>
      </c>
      <c r="BS54" s="431">
        <v>0</v>
      </c>
      <c r="BT54" s="431">
        <v>0</v>
      </c>
      <c r="BU54" s="431">
        <v>0</v>
      </c>
      <c r="BV54" s="431">
        <v>772.40920709350462</v>
      </c>
      <c r="BW54" s="431">
        <v>1269.8141537291442</v>
      </c>
      <c r="BX54" s="431">
        <v>1180.5804740694155</v>
      </c>
      <c r="BY54" s="431">
        <v>976.78011825318777</v>
      </c>
      <c r="BZ54" s="431">
        <v>0</v>
      </c>
      <c r="CA54" s="431">
        <v>0</v>
      </c>
      <c r="CB54" s="431">
        <v>0</v>
      </c>
      <c r="CC54" s="432"/>
      <c r="CD54" s="428">
        <v>41768.664646180558</v>
      </c>
      <c r="CE54" s="433">
        <v>0.30887516912936769</v>
      </c>
      <c r="CF54" s="433">
        <v>0.21465334314226731</v>
      </c>
      <c r="CG54" s="433">
        <v>0.17822376316137725</v>
      </c>
      <c r="CH54" s="433">
        <v>0.1804430703502535</v>
      </c>
      <c r="CI54" s="433">
        <v>0.11969468358927447</v>
      </c>
      <c r="CJ54" s="433">
        <v>0.26218817202595668</v>
      </c>
      <c r="CK54" s="433">
        <v>0.26007046015078716</v>
      </c>
      <c r="CL54" s="433">
        <v>0.2795059670458605</v>
      </c>
      <c r="CM54" s="433">
        <v>0.20330349118764637</v>
      </c>
      <c r="CN54" s="433">
        <v>0.20405169784316468</v>
      </c>
      <c r="CO54" s="433">
        <v>0.6098978484120201</v>
      </c>
      <c r="CP54" s="433">
        <v>0.6472517576995086</v>
      </c>
      <c r="CQ54" s="433">
        <v>0.67663897658204775</v>
      </c>
      <c r="CR54" s="433">
        <v>0.47888048937537914</v>
      </c>
      <c r="CS54" s="433">
        <v>0.39443520669059223</v>
      </c>
      <c r="CT54" s="433">
        <v>0.447221292916757</v>
      </c>
      <c r="CU54" s="433">
        <v>0.3622790598707698</v>
      </c>
      <c r="CV54" s="433">
        <v>0.47604249083347333</v>
      </c>
      <c r="CW54" s="433">
        <v>0.4759898508915783</v>
      </c>
      <c r="CX54" s="433">
        <v>0.4007797062399322</v>
      </c>
      <c r="CY54" s="433">
        <v>0.40798711211863076</v>
      </c>
      <c r="CZ54" s="433">
        <v>0.29816004259848461</v>
      </c>
      <c r="DA54" s="433">
        <v>0.25104840798869349</v>
      </c>
      <c r="DB54" s="433">
        <v>0.80602184361489149</v>
      </c>
      <c r="DC54" s="433">
        <v>0.29816004259848461</v>
      </c>
      <c r="DD54" s="433">
        <v>0.25104840798869349</v>
      </c>
      <c r="DE54" s="433">
        <v>0.34680721234892764</v>
      </c>
      <c r="DF54" s="433">
        <v>0.40997005857291635</v>
      </c>
      <c r="DG54" s="433">
        <v>0</v>
      </c>
      <c r="DH54" s="433">
        <v>0</v>
      </c>
      <c r="DI54" s="433">
        <v>0</v>
      </c>
      <c r="DJ54" s="433">
        <v>0.35031031550396724</v>
      </c>
      <c r="DK54" s="433">
        <v>0.33543004792329517</v>
      </c>
      <c r="DL54" s="433">
        <v>0.2866175308668823</v>
      </c>
      <c r="DM54" s="433">
        <v>0.40997005857291635</v>
      </c>
      <c r="DN54" s="433">
        <v>0</v>
      </c>
      <c r="DO54" s="433">
        <v>0</v>
      </c>
      <c r="DP54" s="433">
        <v>0</v>
      </c>
      <c r="DR54" s="409" t="s">
        <v>711</v>
      </c>
      <c r="DS54" s="409" t="s">
        <v>2209</v>
      </c>
    </row>
    <row r="55" spans="2:123" s="1471" customFormat="1">
      <c r="B55" s="428">
        <v>41768.683731365738</v>
      </c>
      <c r="C55" s="429">
        <v>1.4178429348105785</v>
      </c>
      <c r="D55" s="429">
        <v>1.4161186459136268</v>
      </c>
      <c r="E55" s="429">
        <v>1.4535782917132865</v>
      </c>
      <c r="F55" s="429">
        <v>1.3950489151583585</v>
      </c>
      <c r="G55" s="429">
        <v>1.3733793255863509</v>
      </c>
      <c r="H55" s="429">
        <v>1.4357989160708211</v>
      </c>
      <c r="I55" s="429">
        <v>1.4334248196586186</v>
      </c>
      <c r="J55" s="429">
        <v>1.4834670771960128</v>
      </c>
      <c r="K55" s="429">
        <v>1.3678148439083819</v>
      </c>
      <c r="L55" s="429">
        <v>1.4457100306232176</v>
      </c>
      <c r="M55" s="429">
        <v>1.2564804417289523</v>
      </c>
      <c r="N55" s="429">
        <v>1.214669127036653</v>
      </c>
      <c r="O55" s="429">
        <v>1.0294529200631528</v>
      </c>
      <c r="P55" s="429">
        <v>1.0844028988378271</v>
      </c>
      <c r="Q55" s="429">
        <v>2974.7896278515946</v>
      </c>
      <c r="R55" s="429">
        <v>16.21701177304195</v>
      </c>
      <c r="S55" s="429">
        <v>10.696542986207874</v>
      </c>
      <c r="T55" s="429">
        <v>3207.6148209535463</v>
      </c>
      <c r="U55" s="429">
        <v>3324.77370453497</v>
      </c>
      <c r="V55" s="429">
        <v>3378.17241878817</v>
      </c>
      <c r="W55" s="429">
        <v>814.37624281230023</v>
      </c>
      <c r="X55" s="429">
        <v>223.91803504686658</v>
      </c>
      <c r="Y55" s="429">
        <v>110.32588138450956</v>
      </c>
      <c r="Z55" s="429">
        <v>84.96160498532781</v>
      </c>
      <c r="AA55" s="429">
        <v>305.43280211051041</v>
      </c>
      <c r="AB55" s="429">
        <v>191.64369103409331</v>
      </c>
      <c r="AC55" s="429">
        <v>255.27811476647736</v>
      </c>
      <c r="AD55" s="429">
        <v>3.2915152669361043</v>
      </c>
      <c r="AE55" s="429">
        <v>0</v>
      </c>
      <c r="AF55" s="429">
        <v>0</v>
      </c>
      <c r="AG55" s="429">
        <v>0</v>
      </c>
      <c r="AH55" s="429">
        <v>2.9685479256214493</v>
      </c>
      <c r="AI55" s="429">
        <v>6.3744676142485872</v>
      </c>
      <c r="AJ55" s="429">
        <v>6.1649825327137497</v>
      </c>
      <c r="AK55" s="429">
        <v>6.9984974055696556</v>
      </c>
      <c r="AL55" s="429">
        <v>0</v>
      </c>
      <c r="AM55" s="429">
        <v>0</v>
      </c>
      <c r="AN55" s="429">
        <v>0</v>
      </c>
      <c r="AO55" s="432"/>
      <c r="AP55" s="428">
        <v>41768.683731365738</v>
      </c>
      <c r="AQ55" s="431">
        <v>93.901112821567722</v>
      </c>
      <c r="AR55" s="431">
        <v>124.48038876723598</v>
      </c>
      <c r="AS55" s="431">
        <v>189.27498342552516</v>
      </c>
      <c r="AT55" s="431">
        <v>106.08566220072828</v>
      </c>
      <c r="AU55" s="431">
        <v>16.682439657252647</v>
      </c>
      <c r="AV55" s="431">
        <v>191.55897140681037</v>
      </c>
      <c r="AW55" s="431">
        <v>14.052716966572399</v>
      </c>
      <c r="AX55" s="431">
        <v>35.795374038835945</v>
      </c>
      <c r="AY55" s="431">
        <v>117.25033020390107</v>
      </c>
      <c r="AZ55" s="431">
        <v>-86.097096698016017</v>
      </c>
      <c r="BA55" s="431">
        <v>9.4013220650483049</v>
      </c>
      <c r="BB55" s="431">
        <v>5.783988615092321</v>
      </c>
      <c r="BC55" s="431">
        <v>4.9513106665683777</v>
      </c>
      <c r="BD55" s="431">
        <v>19.548198778501508</v>
      </c>
      <c r="BE55" s="431">
        <v>364089.36095595371</v>
      </c>
      <c r="BF55" s="431">
        <v>8150.70926730271</v>
      </c>
      <c r="BG55" s="431">
        <v>1008.4979933868711</v>
      </c>
      <c r="BH55" s="431">
        <v>383261.24995149003</v>
      </c>
      <c r="BI55" s="431">
        <v>368841.17011890863</v>
      </c>
      <c r="BJ55" s="431">
        <v>48005.700267032982</v>
      </c>
      <c r="BK55" s="431">
        <v>343111.91841703339</v>
      </c>
      <c r="BL55" s="431">
        <v>525211.52910288901</v>
      </c>
      <c r="BM55" s="431">
        <v>68357.735755948903</v>
      </c>
      <c r="BN55" s="431">
        <v>25486.522490802603</v>
      </c>
      <c r="BO55" s="431">
        <v>525211.52910288901</v>
      </c>
      <c r="BP55" s="431">
        <v>68357.735755948903</v>
      </c>
      <c r="BQ55" s="431">
        <v>352003.79908516991</v>
      </c>
      <c r="BR55" s="431">
        <v>828.07797681948819</v>
      </c>
      <c r="BS55" s="431">
        <v>0</v>
      </c>
      <c r="BT55" s="431">
        <v>0</v>
      </c>
      <c r="BU55" s="431">
        <v>0</v>
      </c>
      <c r="BV55" s="431">
        <v>772.40920709350462</v>
      </c>
      <c r="BW55" s="431">
        <v>1269.8141537291442</v>
      </c>
      <c r="BX55" s="431">
        <v>1180.5804740694155</v>
      </c>
      <c r="BY55" s="431">
        <v>976.78011825318777</v>
      </c>
      <c r="BZ55" s="431">
        <v>0</v>
      </c>
      <c r="CA55" s="431">
        <v>0</v>
      </c>
      <c r="CB55" s="431">
        <v>0</v>
      </c>
      <c r="CC55" s="432"/>
      <c r="CD55" s="428">
        <v>41768.683731365738</v>
      </c>
      <c r="CE55" s="433">
        <v>0.30887516912936769</v>
      </c>
      <c r="CF55" s="433">
        <v>0.21465334314226731</v>
      </c>
      <c r="CG55" s="433">
        <v>0.17822376316137725</v>
      </c>
      <c r="CH55" s="433">
        <v>0.1804430703502535</v>
      </c>
      <c r="CI55" s="433">
        <v>0.11969468358927447</v>
      </c>
      <c r="CJ55" s="433">
        <v>0.26218817202595668</v>
      </c>
      <c r="CK55" s="433">
        <v>0.26007046015078716</v>
      </c>
      <c r="CL55" s="433">
        <v>0.2795059670458605</v>
      </c>
      <c r="CM55" s="433">
        <v>0.20330349118764637</v>
      </c>
      <c r="CN55" s="433">
        <v>0.20405169784316468</v>
      </c>
      <c r="CO55" s="433">
        <v>0.6098978484120201</v>
      </c>
      <c r="CP55" s="433">
        <v>0.6472517576995086</v>
      </c>
      <c r="CQ55" s="433">
        <v>0.67663897658204775</v>
      </c>
      <c r="CR55" s="433">
        <v>0.47888048937537914</v>
      </c>
      <c r="CS55" s="433">
        <v>0.39443520669059223</v>
      </c>
      <c r="CT55" s="433">
        <v>0.447221292916757</v>
      </c>
      <c r="CU55" s="433">
        <v>0.3622790598707698</v>
      </c>
      <c r="CV55" s="433">
        <v>0.47604249083347333</v>
      </c>
      <c r="CW55" s="433">
        <v>0.4759898508915783</v>
      </c>
      <c r="CX55" s="433">
        <v>0.4007797062399322</v>
      </c>
      <c r="CY55" s="433">
        <v>0.40798711211863076</v>
      </c>
      <c r="CZ55" s="433">
        <v>0.29816004259848461</v>
      </c>
      <c r="DA55" s="433">
        <v>0.25104840798869349</v>
      </c>
      <c r="DB55" s="433">
        <v>0.80602184361489149</v>
      </c>
      <c r="DC55" s="433">
        <v>0.29816004259848461</v>
      </c>
      <c r="DD55" s="433">
        <v>0.25104840798869349</v>
      </c>
      <c r="DE55" s="433">
        <v>0.34680721234892764</v>
      </c>
      <c r="DF55" s="433">
        <v>0.40997005857291635</v>
      </c>
      <c r="DG55" s="433">
        <v>0</v>
      </c>
      <c r="DH55" s="433">
        <v>0</v>
      </c>
      <c r="DI55" s="433">
        <v>0</v>
      </c>
      <c r="DJ55" s="433">
        <v>0.35031031550396724</v>
      </c>
      <c r="DK55" s="433">
        <v>0.33543004792329517</v>
      </c>
      <c r="DL55" s="433">
        <v>0.2866175308668823</v>
      </c>
      <c r="DM55" s="433">
        <v>0.40997005857291635</v>
      </c>
      <c r="DN55" s="433">
        <v>0</v>
      </c>
      <c r="DO55" s="433">
        <v>0</v>
      </c>
      <c r="DP55" s="433">
        <v>0</v>
      </c>
      <c r="DR55" s="409" t="s">
        <v>855</v>
      </c>
      <c r="DS55" s="409" t="s">
        <v>2210</v>
      </c>
    </row>
    <row r="56" spans="2:123" s="1471" customFormat="1">
      <c r="B56" s="428">
        <v>41768.698938078705</v>
      </c>
      <c r="C56" s="429">
        <v>1.4178429348105785</v>
      </c>
      <c r="D56" s="429">
        <v>1.4161186459136268</v>
      </c>
      <c r="E56" s="429">
        <v>1.4535782917132865</v>
      </c>
      <c r="F56" s="429">
        <v>1.3950489151583585</v>
      </c>
      <c r="G56" s="429">
        <v>1.3733793255863509</v>
      </c>
      <c r="H56" s="429">
        <v>1.4357989160708211</v>
      </c>
      <c r="I56" s="429">
        <v>1.4334248196586186</v>
      </c>
      <c r="J56" s="429">
        <v>1.4834670771960128</v>
      </c>
      <c r="K56" s="429">
        <v>1.3678148439083819</v>
      </c>
      <c r="L56" s="429">
        <v>1.4457100306232176</v>
      </c>
      <c r="M56" s="429">
        <v>1.2564804417289523</v>
      </c>
      <c r="N56" s="429">
        <v>1.214669127036653</v>
      </c>
      <c r="O56" s="429">
        <v>1.0294529200631528</v>
      </c>
      <c r="P56" s="429">
        <v>1.0844028988378271</v>
      </c>
      <c r="Q56" s="429">
        <v>2974.7896278515946</v>
      </c>
      <c r="R56" s="429">
        <v>16.21701177304195</v>
      </c>
      <c r="S56" s="429">
        <v>10.696542986207874</v>
      </c>
      <c r="T56" s="429">
        <v>3207.6148209535463</v>
      </c>
      <c r="U56" s="429">
        <v>3324.77370453497</v>
      </c>
      <c r="V56" s="429">
        <v>3378.17241878817</v>
      </c>
      <c r="W56" s="429">
        <v>814.37624281230023</v>
      </c>
      <c r="X56" s="429">
        <v>614.40732879665256</v>
      </c>
      <c r="Y56" s="429">
        <v>500.81517513429537</v>
      </c>
      <c r="Z56" s="429">
        <v>84.96160498532781</v>
      </c>
      <c r="AA56" s="429">
        <v>667.53736195612885</v>
      </c>
      <c r="AB56" s="429">
        <v>553.74825087971158</v>
      </c>
      <c r="AC56" s="429">
        <v>343.52904062197445</v>
      </c>
      <c r="AD56" s="429">
        <v>3.2915152669361043</v>
      </c>
      <c r="AE56" s="429">
        <v>0</v>
      </c>
      <c r="AF56" s="429">
        <v>0</v>
      </c>
      <c r="AG56" s="429">
        <v>0</v>
      </c>
      <c r="AH56" s="429">
        <v>2.9685479256214493</v>
      </c>
      <c r="AI56" s="429">
        <v>6.3744676142485872</v>
      </c>
      <c r="AJ56" s="429">
        <v>6.1649825327137497</v>
      </c>
      <c r="AK56" s="429">
        <v>6.9984974055696556</v>
      </c>
      <c r="AL56" s="429">
        <v>0</v>
      </c>
      <c r="AM56" s="429">
        <v>0</v>
      </c>
      <c r="AN56" s="429">
        <v>0</v>
      </c>
      <c r="AO56" s="432"/>
      <c r="AP56" s="428">
        <v>41768.698938078705</v>
      </c>
      <c r="AQ56" s="431">
        <v>93.901112821567722</v>
      </c>
      <c r="AR56" s="431">
        <v>124.48038876723598</v>
      </c>
      <c r="AS56" s="431">
        <v>189.27498342552516</v>
      </c>
      <c r="AT56" s="431">
        <v>106.08566220072828</v>
      </c>
      <c r="AU56" s="431">
        <v>16.682439657252647</v>
      </c>
      <c r="AV56" s="431">
        <v>191.55897140681037</v>
      </c>
      <c r="AW56" s="431">
        <v>14.052716966572399</v>
      </c>
      <c r="AX56" s="431">
        <v>35.795374038835945</v>
      </c>
      <c r="AY56" s="431">
        <v>117.25033020390107</v>
      </c>
      <c r="AZ56" s="431">
        <v>-86.097096698016017</v>
      </c>
      <c r="BA56" s="431">
        <v>9.4013220650483049</v>
      </c>
      <c r="BB56" s="431">
        <v>5.783988615092321</v>
      </c>
      <c r="BC56" s="431">
        <v>4.9513106665683777</v>
      </c>
      <c r="BD56" s="431">
        <v>19.548198778501508</v>
      </c>
      <c r="BE56" s="431">
        <v>364089.36095595371</v>
      </c>
      <c r="BF56" s="431">
        <v>8150.70926730271</v>
      </c>
      <c r="BG56" s="431">
        <v>1008.4979933868711</v>
      </c>
      <c r="BH56" s="431">
        <v>383261.24995149003</v>
      </c>
      <c r="BI56" s="431">
        <v>368841.17011890863</v>
      </c>
      <c r="BJ56" s="431">
        <v>48005.700267032982</v>
      </c>
      <c r="BK56" s="431">
        <v>343111.91841703339</v>
      </c>
      <c r="BL56" s="431">
        <v>525211.52910288901</v>
      </c>
      <c r="BM56" s="431">
        <v>68357.735755948903</v>
      </c>
      <c r="BN56" s="431">
        <v>25486.522490802603</v>
      </c>
      <c r="BO56" s="431">
        <v>525211.52910288901</v>
      </c>
      <c r="BP56" s="431">
        <v>68357.735755948903</v>
      </c>
      <c r="BQ56" s="431">
        <v>352003.79908516991</v>
      </c>
      <c r="BR56" s="431">
        <v>828.07797681948819</v>
      </c>
      <c r="BS56" s="431">
        <v>0</v>
      </c>
      <c r="BT56" s="431">
        <v>0</v>
      </c>
      <c r="BU56" s="431">
        <v>0</v>
      </c>
      <c r="BV56" s="431">
        <v>772.40920709350462</v>
      </c>
      <c r="BW56" s="431">
        <v>1269.8141537291442</v>
      </c>
      <c r="BX56" s="431">
        <v>1180.5804740694155</v>
      </c>
      <c r="BY56" s="431">
        <v>976.78011825318777</v>
      </c>
      <c r="BZ56" s="431">
        <v>0</v>
      </c>
      <c r="CA56" s="431">
        <v>0</v>
      </c>
      <c r="CB56" s="431">
        <v>0</v>
      </c>
      <c r="CC56" s="432"/>
      <c r="CD56" s="428">
        <v>41768.698938078705</v>
      </c>
      <c r="CE56" s="433">
        <v>0.30887516912936769</v>
      </c>
      <c r="CF56" s="433">
        <v>0.21465334314226731</v>
      </c>
      <c r="CG56" s="433">
        <v>0.17822376316137725</v>
      </c>
      <c r="CH56" s="433">
        <v>0.1804430703502535</v>
      </c>
      <c r="CI56" s="433">
        <v>0.11969468358927447</v>
      </c>
      <c r="CJ56" s="433">
        <v>0.26218817202595668</v>
      </c>
      <c r="CK56" s="433">
        <v>0.26007046015078716</v>
      </c>
      <c r="CL56" s="433">
        <v>0.2795059670458605</v>
      </c>
      <c r="CM56" s="433">
        <v>0.20330349118764637</v>
      </c>
      <c r="CN56" s="433">
        <v>0.20405169784316468</v>
      </c>
      <c r="CO56" s="433">
        <v>0.6098978484120201</v>
      </c>
      <c r="CP56" s="433">
        <v>0.6472517576995086</v>
      </c>
      <c r="CQ56" s="433">
        <v>0.67663897658204775</v>
      </c>
      <c r="CR56" s="433">
        <v>0.47888048937537914</v>
      </c>
      <c r="CS56" s="433">
        <v>0.39443520669059223</v>
      </c>
      <c r="CT56" s="433">
        <v>0.447221292916757</v>
      </c>
      <c r="CU56" s="433">
        <v>0.3622790598707698</v>
      </c>
      <c r="CV56" s="433">
        <v>0.47604249083347333</v>
      </c>
      <c r="CW56" s="433">
        <v>0.4759898508915783</v>
      </c>
      <c r="CX56" s="433">
        <v>0.4007797062399322</v>
      </c>
      <c r="CY56" s="433">
        <v>0.40798711211863076</v>
      </c>
      <c r="CZ56" s="433">
        <v>0.29816004259848461</v>
      </c>
      <c r="DA56" s="433">
        <v>0.25104840798869349</v>
      </c>
      <c r="DB56" s="433">
        <v>0.80602184361489149</v>
      </c>
      <c r="DC56" s="433">
        <v>0.29816004259848461</v>
      </c>
      <c r="DD56" s="433">
        <v>0.25104840798869349</v>
      </c>
      <c r="DE56" s="433">
        <v>0.34680721234892764</v>
      </c>
      <c r="DF56" s="433">
        <v>0.40997005857291635</v>
      </c>
      <c r="DG56" s="433">
        <v>0</v>
      </c>
      <c r="DH56" s="433">
        <v>0</v>
      </c>
      <c r="DI56" s="433">
        <v>0</v>
      </c>
      <c r="DJ56" s="433">
        <v>0.35031031550396724</v>
      </c>
      <c r="DK56" s="433">
        <v>0.33543004792329517</v>
      </c>
      <c r="DL56" s="433">
        <v>0.2866175308668823</v>
      </c>
      <c r="DM56" s="433">
        <v>0.40997005857291635</v>
      </c>
      <c r="DN56" s="433">
        <v>0</v>
      </c>
      <c r="DO56" s="433">
        <v>0</v>
      </c>
      <c r="DP56" s="433">
        <v>0</v>
      </c>
      <c r="DR56" s="409" t="s">
        <v>855</v>
      </c>
      <c r="DS56" s="409" t="s">
        <v>2211</v>
      </c>
    </row>
    <row r="57" spans="2:123" s="1471" customFormat="1">
      <c r="B57" s="428">
        <v>41770.637997569444</v>
      </c>
      <c r="C57" s="429">
        <v>1.4178429348105785</v>
      </c>
      <c r="D57" s="429">
        <v>1.4161186459136268</v>
      </c>
      <c r="E57" s="429">
        <v>1.4492687403357087</v>
      </c>
      <c r="F57" s="429">
        <v>1.3938071295693681</v>
      </c>
      <c r="G57" s="429">
        <v>1.3722694481345243</v>
      </c>
      <c r="H57" s="429">
        <v>1.4357989160708211</v>
      </c>
      <c r="I57" s="429">
        <v>1.4322773708232475</v>
      </c>
      <c r="J57" s="429">
        <v>1.4734215752724074</v>
      </c>
      <c r="K57" s="429">
        <v>1.3675011651298783</v>
      </c>
      <c r="L57" s="429">
        <v>1.4491345180381903</v>
      </c>
      <c r="M57" s="429">
        <v>1.2547805140772186</v>
      </c>
      <c r="N57" s="429">
        <v>1.214669127036653</v>
      </c>
      <c r="O57" s="429">
        <v>1.0294529200631528</v>
      </c>
      <c r="P57" s="429">
        <v>1.0844028988378271</v>
      </c>
      <c r="Q57" s="429">
        <v>2974.7896278515946</v>
      </c>
      <c r="R57" s="429">
        <v>16.21701177304195</v>
      </c>
      <c r="S57" s="429">
        <v>10.530491126951684</v>
      </c>
      <c r="T57" s="429">
        <v>3207.6148209535463</v>
      </c>
      <c r="U57" s="429">
        <v>3324.77370453497</v>
      </c>
      <c r="V57" s="429">
        <v>3373.8552678248461</v>
      </c>
      <c r="W57" s="429">
        <v>813.5009039485185</v>
      </c>
      <c r="X57" s="429">
        <v>614.40732879665256</v>
      </c>
      <c r="Y57" s="429">
        <v>500.70786882609917</v>
      </c>
      <c r="Z57" s="429">
        <v>84.96160498532781</v>
      </c>
      <c r="AA57" s="429">
        <v>667.53736195612885</v>
      </c>
      <c r="AB57" s="429">
        <v>553.64721809113405</v>
      </c>
      <c r="AC57" s="429">
        <v>342.56805734777276</v>
      </c>
      <c r="AD57" s="429">
        <v>3.2915152669361043</v>
      </c>
      <c r="AE57" s="429">
        <v>0</v>
      </c>
      <c r="AF57" s="429">
        <v>0</v>
      </c>
      <c r="AG57" s="429">
        <v>0</v>
      </c>
      <c r="AH57" s="429">
        <v>2.966510375981307</v>
      </c>
      <c r="AI57" s="429">
        <v>6.3744676142485872</v>
      </c>
      <c r="AJ57" s="429">
        <v>6.1618628091128107</v>
      </c>
      <c r="AK57" s="429">
        <v>6.9984974055696556</v>
      </c>
      <c r="AL57" s="429">
        <v>0</v>
      </c>
      <c r="AM57" s="429">
        <v>0</v>
      </c>
      <c r="AN57" s="429">
        <v>0</v>
      </c>
      <c r="AO57" s="432"/>
      <c r="AP57" s="428">
        <v>41770.637997569444</v>
      </c>
      <c r="AQ57" s="431">
        <v>93.901112821567722</v>
      </c>
      <c r="AR57" s="431">
        <v>124.48038876723598</v>
      </c>
      <c r="AS57" s="431">
        <v>189.21904360061649</v>
      </c>
      <c r="AT57" s="431">
        <v>106.05849524287551</v>
      </c>
      <c r="AU57" s="431">
        <v>16.657775684971725</v>
      </c>
      <c r="AV57" s="431">
        <v>191.55897140681037</v>
      </c>
      <c r="AW57" s="431">
        <v>14.022954078308373</v>
      </c>
      <c r="AX57" s="431">
        <v>-6.7297862398182797</v>
      </c>
      <c r="AY57" s="431">
        <v>117.25033020390107</v>
      </c>
      <c r="AZ57" s="431">
        <v>-86.097793838503677</v>
      </c>
      <c r="BA57" s="431">
        <v>2.2356012546364048</v>
      </c>
      <c r="BB57" s="431">
        <v>5.783988615092321</v>
      </c>
      <c r="BC57" s="431">
        <v>4.9513106665683777</v>
      </c>
      <c r="BD57" s="431">
        <v>19.548198778501508</v>
      </c>
      <c r="BE57" s="431">
        <v>364089.36095595371</v>
      </c>
      <c r="BF57" s="431">
        <v>8150.70926730271</v>
      </c>
      <c r="BG57" s="431">
        <v>997.40437591736998</v>
      </c>
      <c r="BH57" s="431">
        <v>383261.24995149003</v>
      </c>
      <c r="BI57" s="431">
        <v>368841.17011890863</v>
      </c>
      <c r="BJ57" s="431">
        <v>47886.111261667385</v>
      </c>
      <c r="BK57" s="431">
        <v>343111.91841703339</v>
      </c>
      <c r="BL57" s="431">
        <v>525211.52910288901</v>
      </c>
      <c r="BM57" s="431">
        <v>68187.446944773881</v>
      </c>
      <c r="BN57" s="431">
        <v>25486.522490802603</v>
      </c>
      <c r="BO57" s="431">
        <v>525211.52910288901</v>
      </c>
      <c r="BP57" s="431">
        <v>68187.446944773881</v>
      </c>
      <c r="BQ57" s="431">
        <v>352003.79908516991</v>
      </c>
      <c r="BR57" s="431">
        <v>828.07797681948819</v>
      </c>
      <c r="BS57" s="431">
        <v>0</v>
      </c>
      <c r="BT57" s="431">
        <v>0</v>
      </c>
      <c r="BU57" s="431">
        <v>0</v>
      </c>
      <c r="BV57" s="431">
        <v>772.40920709350462</v>
      </c>
      <c r="BW57" s="431">
        <v>1269.8141537291442</v>
      </c>
      <c r="BX57" s="431">
        <v>1180.5804740694155</v>
      </c>
      <c r="BY57" s="431">
        <v>976.78011825318777</v>
      </c>
      <c r="BZ57" s="431">
        <v>0</v>
      </c>
      <c r="CA57" s="431">
        <v>0</v>
      </c>
      <c r="CB57" s="431">
        <v>0</v>
      </c>
      <c r="CC57" s="432"/>
      <c r="CD57" s="428">
        <v>41770.637997569444</v>
      </c>
      <c r="CE57" s="433">
        <v>0.30887516912936769</v>
      </c>
      <c r="CF57" s="433">
        <v>0.21465334314226731</v>
      </c>
      <c r="CG57" s="433">
        <v>0.17822376316137725</v>
      </c>
      <c r="CH57" s="433">
        <v>0.1804430703502535</v>
      </c>
      <c r="CI57" s="433">
        <v>0.11969468358927447</v>
      </c>
      <c r="CJ57" s="433">
        <v>0.26218817202595668</v>
      </c>
      <c r="CK57" s="433">
        <v>0.26007046015078716</v>
      </c>
      <c r="CL57" s="433">
        <v>0.2795059670458605</v>
      </c>
      <c r="CM57" s="433">
        <v>0.20330349118764637</v>
      </c>
      <c r="CN57" s="433">
        <v>0.20405169784316468</v>
      </c>
      <c r="CO57" s="433">
        <v>0.6098978484120201</v>
      </c>
      <c r="CP57" s="433">
        <v>0.6472517576995086</v>
      </c>
      <c r="CQ57" s="433">
        <v>0.67663897658204775</v>
      </c>
      <c r="CR57" s="433">
        <v>0.47888048937537914</v>
      </c>
      <c r="CS57" s="433">
        <v>0.39443520669059223</v>
      </c>
      <c r="CT57" s="433">
        <v>0.447221292916757</v>
      </c>
      <c r="CU57" s="433">
        <v>0.3622790598707698</v>
      </c>
      <c r="CV57" s="433">
        <v>0.47604249083347333</v>
      </c>
      <c r="CW57" s="433">
        <v>0.4759898508915783</v>
      </c>
      <c r="CX57" s="433">
        <v>0.4007797062399322</v>
      </c>
      <c r="CY57" s="433">
        <v>0.40798711211863076</v>
      </c>
      <c r="CZ57" s="433">
        <v>0.29816004259848461</v>
      </c>
      <c r="DA57" s="433">
        <v>0.25104840798869349</v>
      </c>
      <c r="DB57" s="433">
        <v>0.80602184361489149</v>
      </c>
      <c r="DC57" s="433">
        <v>0.29816004259848461</v>
      </c>
      <c r="DD57" s="433">
        <v>0.25104840798869349</v>
      </c>
      <c r="DE57" s="433">
        <v>0.34680721234892764</v>
      </c>
      <c r="DF57" s="433">
        <v>0.40997005857291635</v>
      </c>
      <c r="DG57" s="433">
        <v>0</v>
      </c>
      <c r="DH57" s="433">
        <v>0</v>
      </c>
      <c r="DI57" s="433">
        <v>0</v>
      </c>
      <c r="DJ57" s="433">
        <v>0.35031031550396724</v>
      </c>
      <c r="DK57" s="433">
        <v>0.33543004792329517</v>
      </c>
      <c r="DL57" s="433">
        <v>0.2866175308668823</v>
      </c>
      <c r="DM57" s="433">
        <v>0.40997005857291635</v>
      </c>
      <c r="DN57" s="433">
        <v>0</v>
      </c>
      <c r="DO57" s="433">
        <v>0</v>
      </c>
      <c r="DP57" s="433">
        <v>0</v>
      </c>
      <c r="DR57" s="409" t="s">
        <v>711</v>
      </c>
      <c r="DS57" s="409" t="s">
        <v>2243</v>
      </c>
    </row>
    <row r="58" spans="2:123" s="1471" customFormat="1">
      <c r="B58" s="428">
        <v>41770.676478587964</v>
      </c>
      <c r="C58" s="429">
        <v>1.4178429348105785</v>
      </c>
      <c r="D58" s="429">
        <v>1.4161186459136268</v>
      </c>
      <c r="E58" s="429">
        <v>1.4492687403357087</v>
      </c>
      <c r="F58" s="429">
        <v>1.4044467067222139</v>
      </c>
      <c r="G58" s="429">
        <v>1.3722694481345243</v>
      </c>
      <c r="H58" s="429">
        <v>1.4357989160708211</v>
      </c>
      <c r="I58" s="429">
        <v>1.4322773708232475</v>
      </c>
      <c r="J58" s="429">
        <v>1.4837766067102227</v>
      </c>
      <c r="K58" s="429">
        <v>1.3675011651298783</v>
      </c>
      <c r="L58" s="429">
        <v>1.4491345180381903</v>
      </c>
      <c r="M58" s="429">
        <v>1.2565255872469359</v>
      </c>
      <c r="N58" s="429">
        <v>1.214669127036653</v>
      </c>
      <c r="O58" s="429">
        <v>1.0294529200631528</v>
      </c>
      <c r="P58" s="429">
        <v>1.0844028988378271</v>
      </c>
      <c r="Q58" s="429">
        <v>2974.7896278515946</v>
      </c>
      <c r="R58" s="429">
        <v>16.21701177304195</v>
      </c>
      <c r="S58" s="429">
        <v>10.530491126951684</v>
      </c>
      <c r="T58" s="429">
        <v>3207.6148209535463</v>
      </c>
      <c r="U58" s="429">
        <v>3324.77370453497</v>
      </c>
      <c r="V58" s="429">
        <v>3373.8552678248461</v>
      </c>
      <c r="W58" s="429">
        <v>813.5009039485185</v>
      </c>
      <c r="X58" s="429">
        <v>614.40732879665256</v>
      </c>
      <c r="Y58" s="429">
        <v>500.70786882609917</v>
      </c>
      <c r="Z58" s="429">
        <v>84.96160498532781</v>
      </c>
      <c r="AA58" s="429">
        <v>667.53736195612885</v>
      </c>
      <c r="AB58" s="429">
        <v>553.64721809113405</v>
      </c>
      <c r="AC58" s="429">
        <v>342.56805734777276</v>
      </c>
      <c r="AD58" s="429">
        <v>3.2915152669361043</v>
      </c>
      <c r="AE58" s="429">
        <v>0</v>
      </c>
      <c r="AF58" s="429">
        <v>0</v>
      </c>
      <c r="AG58" s="429">
        <v>0</v>
      </c>
      <c r="AH58" s="429">
        <v>2.966510375981307</v>
      </c>
      <c r="AI58" s="429">
        <v>6.3744676142485872</v>
      </c>
      <c r="AJ58" s="429">
        <v>6.1618628091128107</v>
      </c>
      <c r="AK58" s="429">
        <v>6.9984974055696556</v>
      </c>
      <c r="AL58" s="429">
        <v>0</v>
      </c>
      <c r="AM58" s="429">
        <v>0</v>
      </c>
      <c r="AN58" s="429">
        <v>0</v>
      </c>
      <c r="AO58" s="432"/>
      <c r="AP58" s="428">
        <v>41770.676478587964</v>
      </c>
      <c r="AQ58" s="431">
        <v>93.901112821567722</v>
      </c>
      <c r="AR58" s="431">
        <v>124.48038876723598</v>
      </c>
      <c r="AS58" s="431">
        <v>189.21904360061649</v>
      </c>
      <c r="AT58" s="431">
        <v>149.77514273218242</v>
      </c>
      <c r="AU58" s="431">
        <v>16.657775684971725</v>
      </c>
      <c r="AV58" s="431">
        <v>191.55897140681037</v>
      </c>
      <c r="AW58" s="431">
        <v>14.022954078308373</v>
      </c>
      <c r="AX58" s="431">
        <v>35.817699680388927</v>
      </c>
      <c r="AY58" s="431">
        <v>117.25033020390107</v>
      </c>
      <c r="AZ58" s="431">
        <v>-86.097793838503677</v>
      </c>
      <c r="BA58" s="431">
        <v>9.4058813802119978</v>
      </c>
      <c r="BB58" s="431">
        <v>5.783988615092321</v>
      </c>
      <c r="BC58" s="431">
        <v>4.9513106665683777</v>
      </c>
      <c r="BD58" s="431">
        <v>19.548198778501508</v>
      </c>
      <c r="BE58" s="431">
        <v>364089.36095595371</v>
      </c>
      <c r="BF58" s="431">
        <v>8150.70926730271</v>
      </c>
      <c r="BG58" s="431">
        <v>997.40437591736998</v>
      </c>
      <c r="BH58" s="431">
        <v>383261.24995149003</v>
      </c>
      <c r="BI58" s="431">
        <v>368841.17011890863</v>
      </c>
      <c r="BJ58" s="431">
        <v>47886.111261667385</v>
      </c>
      <c r="BK58" s="431">
        <v>343111.91841703339</v>
      </c>
      <c r="BL58" s="431">
        <v>525211.52910288901</v>
      </c>
      <c r="BM58" s="431">
        <v>68187.446944773881</v>
      </c>
      <c r="BN58" s="431">
        <v>25486.522490802603</v>
      </c>
      <c r="BO58" s="431">
        <v>525211.52910288901</v>
      </c>
      <c r="BP58" s="431">
        <v>68187.446944773881</v>
      </c>
      <c r="BQ58" s="431">
        <v>352003.79908516991</v>
      </c>
      <c r="BR58" s="431">
        <v>828.07797681948819</v>
      </c>
      <c r="BS58" s="431">
        <v>0</v>
      </c>
      <c r="BT58" s="431">
        <v>0</v>
      </c>
      <c r="BU58" s="431">
        <v>0</v>
      </c>
      <c r="BV58" s="431">
        <v>772.40920709350462</v>
      </c>
      <c r="BW58" s="431">
        <v>1269.8141537291442</v>
      </c>
      <c r="BX58" s="431">
        <v>1180.5804740694155</v>
      </c>
      <c r="BY58" s="431">
        <v>976.78011825318777</v>
      </c>
      <c r="BZ58" s="431">
        <v>0</v>
      </c>
      <c r="CA58" s="431">
        <v>0</v>
      </c>
      <c r="CB58" s="431">
        <v>0</v>
      </c>
      <c r="CC58" s="432"/>
      <c r="CD58" s="428">
        <v>41770.676478587964</v>
      </c>
      <c r="CE58" s="433">
        <v>0.30887516912936769</v>
      </c>
      <c r="CF58" s="433">
        <v>0.21465334314226731</v>
      </c>
      <c r="CG58" s="433">
        <v>0.17822376316137725</v>
      </c>
      <c r="CH58" s="433">
        <v>0.1804430703502535</v>
      </c>
      <c r="CI58" s="433">
        <v>0.11969468358927447</v>
      </c>
      <c r="CJ58" s="433">
        <v>0.26218817202595668</v>
      </c>
      <c r="CK58" s="433">
        <v>0.26007046015078716</v>
      </c>
      <c r="CL58" s="433">
        <v>0.2795059670458605</v>
      </c>
      <c r="CM58" s="433">
        <v>0.20330349118764637</v>
      </c>
      <c r="CN58" s="433">
        <v>0.20405169784316468</v>
      </c>
      <c r="CO58" s="433">
        <v>0.6098978484120201</v>
      </c>
      <c r="CP58" s="433">
        <v>0.6472517576995086</v>
      </c>
      <c r="CQ58" s="433">
        <v>0.67663897658204775</v>
      </c>
      <c r="CR58" s="433">
        <v>0.47888048937537914</v>
      </c>
      <c r="CS58" s="433">
        <v>0.39443520669059223</v>
      </c>
      <c r="CT58" s="433">
        <v>0.447221292916757</v>
      </c>
      <c r="CU58" s="433">
        <v>0.3622790598707698</v>
      </c>
      <c r="CV58" s="433">
        <v>0.47604249083347333</v>
      </c>
      <c r="CW58" s="433">
        <v>0.4759898508915783</v>
      </c>
      <c r="CX58" s="433">
        <v>0.4007797062399322</v>
      </c>
      <c r="CY58" s="433">
        <v>0.40798711211863076</v>
      </c>
      <c r="CZ58" s="433">
        <v>0.29816004259848461</v>
      </c>
      <c r="DA58" s="433">
        <v>0.25104840798869349</v>
      </c>
      <c r="DB58" s="433">
        <v>0.80602184361489149</v>
      </c>
      <c r="DC58" s="433">
        <v>0.29816004259848461</v>
      </c>
      <c r="DD58" s="433">
        <v>0.25104840798869349</v>
      </c>
      <c r="DE58" s="433">
        <v>0.34680721234892764</v>
      </c>
      <c r="DF58" s="433">
        <v>0.40997005857291635</v>
      </c>
      <c r="DG58" s="433">
        <v>0</v>
      </c>
      <c r="DH58" s="433">
        <v>0</v>
      </c>
      <c r="DI58" s="433">
        <v>0</v>
      </c>
      <c r="DJ58" s="433">
        <v>0.35031031550396724</v>
      </c>
      <c r="DK58" s="433">
        <v>0.33543004792329517</v>
      </c>
      <c r="DL58" s="433">
        <v>0.2866175308668823</v>
      </c>
      <c r="DM58" s="433">
        <v>0.40997005857291635</v>
      </c>
      <c r="DN58" s="433">
        <v>0</v>
      </c>
      <c r="DO58" s="433">
        <v>0</v>
      </c>
      <c r="DP58" s="433">
        <v>0</v>
      </c>
      <c r="DR58" s="409" t="s">
        <v>711</v>
      </c>
      <c r="DS58" s="409" t="s">
        <v>2265</v>
      </c>
    </row>
    <row r="59" spans="2:123" s="1471" customFormat="1">
      <c r="B59" s="428">
        <v>41770.719518287035</v>
      </c>
      <c r="C59" s="429">
        <v>1.4178429348105785</v>
      </c>
      <c r="D59" s="429">
        <v>1.4161186459136268</v>
      </c>
      <c r="E59" s="429">
        <v>1.434370469627253</v>
      </c>
      <c r="F59" s="429">
        <v>1.4044467067222139</v>
      </c>
      <c r="G59" s="429">
        <v>1.3743793352168696</v>
      </c>
      <c r="H59" s="429">
        <v>1.4095800272262689</v>
      </c>
      <c r="I59" s="429">
        <v>1.4338663717033362</v>
      </c>
      <c r="J59" s="429">
        <v>1.4837766067102227</v>
      </c>
      <c r="K59" s="429">
        <v>1.3675011651298783</v>
      </c>
      <c r="L59" s="429">
        <v>1.4491345180381903</v>
      </c>
      <c r="M59" s="429">
        <v>1.2560257262688428</v>
      </c>
      <c r="N59" s="429">
        <v>1.2138930224574191</v>
      </c>
      <c r="O59" s="429">
        <v>1.0287885455048233</v>
      </c>
      <c r="P59" s="429">
        <v>1.0833448100243031</v>
      </c>
      <c r="Q59" s="429">
        <v>2974.7896278515946</v>
      </c>
      <c r="R59" s="429">
        <v>16.21701177304195</v>
      </c>
      <c r="S59" s="429">
        <v>10.663342462388119</v>
      </c>
      <c r="T59" s="429">
        <v>3207.6148209535463</v>
      </c>
      <c r="U59" s="429">
        <v>3324.77370453497</v>
      </c>
      <c r="V59" s="429">
        <v>3380.2399652066715</v>
      </c>
      <c r="W59" s="429">
        <v>813.5009039485185</v>
      </c>
      <c r="X59" s="429">
        <v>614.40732879665256</v>
      </c>
      <c r="Y59" s="429">
        <v>509.79936117139908</v>
      </c>
      <c r="Z59" s="429">
        <v>81.541783797878153</v>
      </c>
      <c r="AA59" s="429">
        <v>667.53736195612885</v>
      </c>
      <c r="AB59" s="429">
        <v>562.73871043643396</v>
      </c>
      <c r="AC59" s="429">
        <v>342.56805734777276</v>
      </c>
      <c r="AD59" s="429">
        <v>3.2915152669361043</v>
      </c>
      <c r="AE59" s="429">
        <v>0</v>
      </c>
      <c r="AF59" s="429">
        <v>0</v>
      </c>
      <c r="AG59" s="429">
        <v>0</v>
      </c>
      <c r="AH59" s="429">
        <v>2.966510375981307</v>
      </c>
      <c r="AI59" s="429">
        <v>6.3744676142485872</v>
      </c>
      <c r="AJ59" s="429">
        <v>6.1618628091128107</v>
      </c>
      <c r="AK59" s="429">
        <v>6.9984974055696556</v>
      </c>
      <c r="AL59" s="429">
        <v>0</v>
      </c>
      <c r="AM59" s="429">
        <v>0</v>
      </c>
      <c r="AN59" s="429">
        <v>0</v>
      </c>
      <c r="AO59" s="432"/>
      <c r="AP59" s="428">
        <v>41770.719518287035</v>
      </c>
      <c r="AQ59" s="431">
        <v>93.901112821567722</v>
      </c>
      <c r="AR59" s="431">
        <v>124.48038876723598</v>
      </c>
      <c r="AS59" s="431">
        <v>122.04308426788302</v>
      </c>
      <c r="AT59" s="431">
        <v>149.77514273218242</v>
      </c>
      <c r="AU59" s="431">
        <v>25.327029029918975</v>
      </c>
      <c r="AV59" s="431">
        <v>83.450007291166116</v>
      </c>
      <c r="AW59" s="431">
        <v>20.5519533361838</v>
      </c>
      <c r="AX59" s="431">
        <v>35.817699680388927</v>
      </c>
      <c r="AY59" s="431">
        <v>117.25033020390107</v>
      </c>
      <c r="AZ59" s="431">
        <v>-86.097793838503677</v>
      </c>
      <c r="BA59" s="431">
        <v>7.352017221981975</v>
      </c>
      <c r="BB59" s="431">
        <v>2.5950752007907312</v>
      </c>
      <c r="BC59" s="431">
        <v>2.2214814684619042</v>
      </c>
      <c r="BD59" s="431">
        <v>15.200648588423212</v>
      </c>
      <c r="BE59" s="431">
        <v>364089.36095595371</v>
      </c>
      <c r="BF59" s="431">
        <v>8150.70926730271</v>
      </c>
      <c r="BG59" s="431">
        <v>1543.2733438589075</v>
      </c>
      <c r="BH59" s="431">
        <v>383261.24995149003</v>
      </c>
      <c r="BI59" s="431">
        <v>368841.17011890863</v>
      </c>
      <c r="BJ59" s="431">
        <v>74120.007661628202</v>
      </c>
      <c r="BK59" s="431">
        <v>343111.91841703339</v>
      </c>
      <c r="BL59" s="431">
        <v>525211.52910288901</v>
      </c>
      <c r="BM59" s="431">
        <v>105543.21403039579</v>
      </c>
      <c r="BN59" s="431">
        <v>11434.919200514605</v>
      </c>
      <c r="BO59" s="431">
        <v>525211.52910288901</v>
      </c>
      <c r="BP59" s="431">
        <v>105543.21403039579</v>
      </c>
      <c r="BQ59" s="431">
        <v>352003.79908516991</v>
      </c>
      <c r="BR59" s="431">
        <v>828.07797681948819</v>
      </c>
      <c r="BS59" s="431">
        <v>0</v>
      </c>
      <c r="BT59" s="431">
        <v>0</v>
      </c>
      <c r="BU59" s="431">
        <v>0</v>
      </c>
      <c r="BV59" s="431">
        <v>772.40920709350462</v>
      </c>
      <c r="BW59" s="431">
        <v>1269.8141537291442</v>
      </c>
      <c r="BX59" s="431">
        <v>1180.5804740694155</v>
      </c>
      <c r="BY59" s="431">
        <v>976.78011825318777</v>
      </c>
      <c r="BZ59" s="431">
        <v>0</v>
      </c>
      <c r="CA59" s="431">
        <v>0</v>
      </c>
      <c r="CB59" s="431">
        <v>0</v>
      </c>
      <c r="CC59" s="432"/>
      <c r="CD59" s="428">
        <v>41770.719518287035</v>
      </c>
      <c r="CE59" s="433">
        <v>0.30887516912936769</v>
      </c>
      <c r="CF59" s="433">
        <v>0.21465334314226731</v>
      </c>
      <c r="CG59" s="433">
        <v>0.17822376316137725</v>
      </c>
      <c r="CH59" s="433">
        <v>0.1804430703502535</v>
      </c>
      <c r="CI59" s="433">
        <v>0.11969468358927447</v>
      </c>
      <c r="CJ59" s="433">
        <v>0.26218817202595668</v>
      </c>
      <c r="CK59" s="433">
        <v>0.26007046015078716</v>
      </c>
      <c r="CL59" s="433">
        <v>0.2795059670458605</v>
      </c>
      <c r="CM59" s="433">
        <v>0.20330349118764637</v>
      </c>
      <c r="CN59" s="433">
        <v>0.20405169784316468</v>
      </c>
      <c r="CO59" s="433">
        <v>0.6098978484120201</v>
      </c>
      <c r="CP59" s="433">
        <v>0.6472517576995086</v>
      </c>
      <c r="CQ59" s="433">
        <v>0.67663897658204775</v>
      </c>
      <c r="CR59" s="433">
        <v>0.47888048937537914</v>
      </c>
      <c r="CS59" s="433">
        <v>0.39443520669059223</v>
      </c>
      <c r="CT59" s="433">
        <v>0.447221292916757</v>
      </c>
      <c r="CU59" s="433">
        <v>0.3622790598707698</v>
      </c>
      <c r="CV59" s="433">
        <v>0.47604249083347333</v>
      </c>
      <c r="CW59" s="433">
        <v>0.4759898508915783</v>
      </c>
      <c r="CX59" s="433">
        <v>0.4007797062399322</v>
      </c>
      <c r="CY59" s="433">
        <v>0.40798711211863076</v>
      </c>
      <c r="CZ59" s="433">
        <v>0.29816004259848461</v>
      </c>
      <c r="DA59" s="433">
        <v>0.25104840798869349</v>
      </c>
      <c r="DB59" s="433">
        <v>0.80602184361489149</v>
      </c>
      <c r="DC59" s="433">
        <v>0.29816004259848461</v>
      </c>
      <c r="DD59" s="433">
        <v>0.25104840798869349</v>
      </c>
      <c r="DE59" s="433">
        <v>0.34680721234892764</v>
      </c>
      <c r="DF59" s="433">
        <v>0.40997005857291635</v>
      </c>
      <c r="DG59" s="433">
        <v>0</v>
      </c>
      <c r="DH59" s="433">
        <v>0</v>
      </c>
      <c r="DI59" s="433">
        <v>0</v>
      </c>
      <c r="DJ59" s="433">
        <v>0.35031031550396724</v>
      </c>
      <c r="DK59" s="433">
        <v>0.33543004792329517</v>
      </c>
      <c r="DL59" s="433">
        <v>0.2866175308668823</v>
      </c>
      <c r="DM59" s="433">
        <v>0.40997005857291635</v>
      </c>
      <c r="DN59" s="433">
        <v>0</v>
      </c>
      <c r="DO59" s="433">
        <v>0</v>
      </c>
      <c r="DP59" s="433">
        <v>0</v>
      </c>
      <c r="DR59" s="409" t="s">
        <v>711</v>
      </c>
      <c r="DS59" s="409" t="s">
        <v>2272</v>
      </c>
    </row>
    <row r="60" spans="2:123" s="1471" customFormat="1">
      <c r="B60" s="428">
        <v>41770.795195370367</v>
      </c>
      <c r="C60" s="429">
        <v>1.4178429348105785</v>
      </c>
      <c r="D60" s="429">
        <v>1.4161186459136268</v>
      </c>
      <c r="E60" s="429">
        <v>1.434370469627253</v>
      </c>
      <c r="F60" s="429">
        <v>1.4044467067222139</v>
      </c>
      <c r="G60" s="429">
        <v>1.3743793352168696</v>
      </c>
      <c r="H60" s="429">
        <v>1.4095800272262689</v>
      </c>
      <c r="I60" s="429">
        <v>1.4338663717033362</v>
      </c>
      <c r="J60" s="429">
        <v>1.4837766067102227</v>
      </c>
      <c r="K60" s="429">
        <v>1.3675011651298783</v>
      </c>
      <c r="L60" s="429">
        <v>1.4457098609560444</v>
      </c>
      <c r="M60" s="429">
        <v>1.2560257262688428</v>
      </c>
      <c r="N60" s="429">
        <v>1.2138930224574191</v>
      </c>
      <c r="O60" s="429">
        <v>1.0287885455048233</v>
      </c>
      <c r="P60" s="429">
        <v>1.0833448100243031</v>
      </c>
      <c r="Q60" s="429">
        <v>2974.7896278515946</v>
      </c>
      <c r="R60" s="429">
        <v>16.21701177304195</v>
      </c>
      <c r="S60" s="429">
        <v>10.663342462388119</v>
      </c>
      <c r="T60" s="429">
        <v>3207.6148209535463</v>
      </c>
      <c r="U60" s="429">
        <v>3324.77370453497</v>
      </c>
      <c r="V60" s="429">
        <v>3380.2399652066715</v>
      </c>
      <c r="W60" s="429">
        <v>813.5009039485185</v>
      </c>
      <c r="X60" s="429">
        <v>614.40732879665256</v>
      </c>
      <c r="Y60" s="429">
        <v>509.79936117139908</v>
      </c>
      <c r="Z60" s="429">
        <v>81.541783797878153</v>
      </c>
      <c r="AA60" s="429">
        <v>667.53736195612885</v>
      </c>
      <c r="AB60" s="429">
        <v>562.73871043643396</v>
      </c>
      <c r="AC60" s="429">
        <v>342.56805734777276</v>
      </c>
      <c r="AD60" s="429">
        <v>3.2915152669361043</v>
      </c>
      <c r="AE60" s="429">
        <v>0</v>
      </c>
      <c r="AF60" s="429">
        <v>0</v>
      </c>
      <c r="AG60" s="429">
        <v>0</v>
      </c>
      <c r="AH60" s="429">
        <v>2.966510375981307</v>
      </c>
      <c r="AI60" s="429">
        <v>6.3744676142485872</v>
      </c>
      <c r="AJ60" s="429">
        <v>6.1618628091128107</v>
      </c>
      <c r="AK60" s="429">
        <v>6.9984974055696556</v>
      </c>
      <c r="AL60" s="429">
        <v>0</v>
      </c>
      <c r="AM60" s="429">
        <v>0</v>
      </c>
      <c r="AN60" s="429">
        <v>0</v>
      </c>
      <c r="AO60" s="432"/>
      <c r="AP60" s="428">
        <v>41770.795195370367</v>
      </c>
      <c r="AQ60" s="431">
        <v>93.901112821567722</v>
      </c>
      <c r="AR60" s="431">
        <v>124.48038876723598</v>
      </c>
      <c r="AS60" s="431">
        <v>122.04308426788302</v>
      </c>
      <c r="AT60" s="431">
        <v>149.77514273218242</v>
      </c>
      <c r="AU60" s="431">
        <v>25.327029029918975</v>
      </c>
      <c r="AV60" s="431">
        <v>83.450007291166116</v>
      </c>
      <c r="AW60" s="431">
        <v>20.5519533361838</v>
      </c>
      <c r="AX60" s="431">
        <v>35.817699680388927</v>
      </c>
      <c r="AY60" s="431">
        <v>117.25033020390107</v>
      </c>
      <c r="AZ60" s="431">
        <v>-86.097793838503677</v>
      </c>
      <c r="BA60" s="431">
        <v>7.352017221981975</v>
      </c>
      <c r="BB60" s="431">
        <v>2.5950752007907312</v>
      </c>
      <c r="BC60" s="431">
        <v>2.2214814684619042</v>
      </c>
      <c r="BD60" s="431">
        <v>15.200648588423212</v>
      </c>
      <c r="BE60" s="431">
        <v>364089.36095595371</v>
      </c>
      <c r="BF60" s="431">
        <v>8150.70926730271</v>
      </c>
      <c r="BG60" s="431">
        <v>1543.2733438589075</v>
      </c>
      <c r="BH60" s="431">
        <v>383261.24995149003</v>
      </c>
      <c r="BI60" s="431">
        <v>368841.17011890863</v>
      </c>
      <c r="BJ60" s="431">
        <v>74120.007661628202</v>
      </c>
      <c r="BK60" s="431">
        <v>343111.91841703339</v>
      </c>
      <c r="BL60" s="431">
        <v>525211.52910288901</v>
      </c>
      <c r="BM60" s="431">
        <v>105543.21403039579</v>
      </c>
      <c r="BN60" s="431">
        <v>11434.919200514605</v>
      </c>
      <c r="BO60" s="431">
        <v>525211.52910288901</v>
      </c>
      <c r="BP60" s="431">
        <v>105543.21403039579</v>
      </c>
      <c r="BQ60" s="431">
        <v>352003.79908516991</v>
      </c>
      <c r="BR60" s="431">
        <v>828.07797681948819</v>
      </c>
      <c r="BS60" s="431">
        <v>0</v>
      </c>
      <c r="BT60" s="431">
        <v>0</v>
      </c>
      <c r="BU60" s="431">
        <v>0</v>
      </c>
      <c r="BV60" s="431">
        <v>772.40920709350462</v>
      </c>
      <c r="BW60" s="431">
        <v>1269.8141537291442</v>
      </c>
      <c r="BX60" s="431">
        <v>1180.5804740694155</v>
      </c>
      <c r="BY60" s="431">
        <v>976.78011825318777</v>
      </c>
      <c r="BZ60" s="431">
        <v>0</v>
      </c>
      <c r="CA60" s="431">
        <v>0</v>
      </c>
      <c r="CB60" s="431">
        <v>0</v>
      </c>
      <c r="CC60" s="432"/>
      <c r="CD60" s="428">
        <v>41770.795195370367</v>
      </c>
      <c r="CE60" s="433">
        <v>0.30887516912936769</v>
      </c>
      <c r="CF60" s="433">
        <v>0.21465334314226731</v>
      </c>
      <c r="CG60" s="433">
        <v>0.17822376316137725</v>
      </c>
      <c r="CH60" s="433">
        <v>0.1804430703502535</v>
      </c>
      <c r="CI60" s="433">
        <v>0.11969468358927447</v>
      </c>
      <c r="CJ60" s="433">
        <v>0.26218817202595668</v>
      </c>
      <c r="CK60" s="433">
        <v>0.26007046015078716</v>
      </c>
      <c r="CL60" s="433">
        <v>0.2795059670458605</v>
      </c>
      <c r="CM60" s="433">
        <v>0.20330349118764637</v>
      </c>
      <c r="CN60" s="433">
        <v>0.20405169784316468</v>
      </c>
      <c r="CO60" s="433">
        <v>0.6098978484120201</v>
      </c>
      <c r="CP60" s="433">
        <v>0.6472517576995086</v>
      </c>
      <c r="CQ60" s="433">
        <v>0.67663897658204775</v>
      </c>
      <c r="CR60" s="433">
        <v>0.47888048937537914</v>
      </c>
      <c r="CS60" s="433">
        <v>0.39443520669059223</v>
      </c>
      <c r="CT60" s="433">
        <v>0.447221292916757</v>
      </c>
      <c r="CU60" s="433">
        <v>0.3622790598707698</v>
      </c>
      <c r="CV60" s="433">
        <v>0.47604249083347333</v>
      </c>
      <c r="CW60" s="433">
        <v>0.4759898508915783</v>
      </c>
      <c r="CX60" s="433">
        <v>0.4007797062399322</v>
      </c>
      <c r="CY60" s="433">
        <v>0.40798711211863076</v>
      </c>
      <c r="CZ60" s="433">
        <v>0.29816004259848461</v>
      </c>
      <c r="DA60" s="433">
        <v>0.25104840798869349</v>
      </c>
      <c r="DB60" s="433">
        <v>0.80602184361489149</v>
      </c>
      <c r="DC60" s="433">
        <v>0.29816004259848461</v>
      </c>
      <c r="DD60" s="433">
        <v>0.25104840798869349</v>
      </c>
      <c r="DE60" s="433">
        <v>0.34680721234892764</v>
      </c>
      <c r="DF60" s="433">
        <v>0.40997005857291635</v>
      </c>
      <c r="DG60" s="433">
        <v>0</v>
      </c>
      <c r="DH60" s="433">
        <v>0</v>
      </c>
      <c r="DI60" s="433">
        <v>0</v>
      </c>
      <c r="DJ60" s="433">
        <v>0.35031031550396724</v>
      </c>
      <c r="DK60" s="433">
        <v>0.33543004792329517</v>
      </c>
      <c r="DL60" s="433">
        <v>0.2866175308668823</v>
      </c>
      <c r="DM60" s="433">
        <v>0.40997005857291635</v>
      </c>
      <c r="DN60" s="433">
        <v>0</v>
      </c>
      <c r="DO60" s="433">
        <v>0</v>
      </c>
      <c r="DP60" s="433">
        <v>0</v>
      </c>
      <c r="DR60" s="409" t="s">
        <v>711</v>
      </c>
      <c r="DS60" s="409" t="s">
        <v>2278</v>
      </c>
    </row>
    <row r="61" spans="2:123" s="1471" customFormat="1">
      <c r="B61" s="428">
        <v>41770.83659525463</v>
      </c>
      <c r="C61" s="429">
        <v>1.4178429348105785</v>
      </c>
      <c r="D61" s="429">
        <v>1.4161186459136268</v>
      </c>
      <c r="E61" s="429">
        <v>1.434370469627253</v>
      </c>
      <c r="F61" s="429">
        <v>1.4044467067222139</v>
      </c>
      <c r="G61" s="429">
        <v>1.3743793352168696</v>
      </c>
      <c r="H61" s="429">
        <v>1.4095800272262689</v>
      </c>
      <c r="I61" s="429">
        <v>1.4338663717033362</v>
      </c>
      <c r="J61" s="429">
        <v>1.4837766067102227</v>
      </c>
      <c r="K61" s="429">
        <v>1.3675011651298783</v>
      </c>
      <c r="L61" s="429">
        <v>1.4457098609560444</v>
      </c>
      <c r="M61" s="429">
        <v>1.2560257262688428</v>
      </c>
      <c r="N61" s="429">
        <v>1.2138930224574191</v>
      </c>
      <c r="O61" s="429">
        <v>1.0287885455048233</v>
      </c>
      <c r="P61" s="429">
        <v>1.0833448100243031</v>
      </c>
      <c r="Q61" s="429">
        <v>2974.7896278515946</v>
      </c>
      <c r="R61" s="429">
        <v>16.21701177304195</v>
      </c>
      <c r="S61" s="429">
        <v>10.663342462388119</v>
      </c>
      <c r="T61" s="429">
        <v>3207.6148209535463</v>
      </c>
      <c r="U61" s="429">
        <v>3324.77370453497</v>
      </c>
      <c r="V61" s="429">
        <v>3380.2399652066715</v>
      </c>
      <c r="W61" s="429">
        <v>813.5009039485185</v>
      </c>
      <c r="X61" s="429">
        <v>8.8133566979104394</v>
      </c>
      <c r="Y61" s="429">
        <v>9.2619776180777365</v>
      </c>
      <c r="Z61" s="429">
        <v>15.219383092097599</v>
      </c>
      <c r="AA61" s="429">
        <v>7.462366069872342</v>
      </c>
      <c r="AB61" s="429">
        <v>7.829419550009221</v>
      </c>
      <c r="AC61" s="429">
        <v>3.8791005526562583</v>
      </c>
      <c r="AD61" s="429">
        <v>3.2915152669361043</v>
      </c>
      <c r="AE61" s="429">
        <v>0</v>
      </c>
      <c r="AF61" s="429">
        <v>0</v>
      </c>
      <c r="AG61" s="429">
        <v>0</v>
      </c>
      <c r="AH61" s="429">
        <v>2.966510375981307</v>
      </c>
      <c r="AI61" s="429">
        <v>6.3744676142485872</v>
      </c>
      <c r="AJ61" s="429">
        <v>6.1618628091128107</v>
      </c>
      <c r="AK61" s="429">
        <v>6.9984974055696556</v>
      </c>
      <c r="AL61" s="429">
        <v>0</v>
      </c>
      <c r="AM61" s="429">
        <v>0</v>
      </c>
      <c r="AN61" s="429">
        <v>0</v>
      </c>
      <c r="AO61" s="432"/>
      <c r="AP61" s="428">
        <v>41770.83659525463</v>
      </c>
      <c r="AQ61" s="431">
        <v>93.901112821567722</v>
      </c>
      <c r="AR61" s="431">
        <v>124.48038876723598</v>
      </c>
      <c r="AS61" s="431">
        <v>122.04308426788302</v>
      </c>
      <c r="AT61" s="431">
        <v>149.77514273218242</v>
      </c>
      <c r="AU61" s="431">
        <v>25.327029029918975</v>
      </c>
      <c r="AV61" s="431">
        <v>83.450007291166116</v>
      </c>
      <c r="AW61" s="431">
        <v>20.5519533361838</v>
      </c>
      <c r="AX61" s="431">
        <v>35.817699680388927</v>
      </c>
      <c r="AY61" s="431">
        <v>117.25033020390107</v>
      </c>
      <c r="AZ61" s="431">
        <v>-86.097793838503677</v>
      </c>
      <c r="BA61" s="431">
        <v>7.352017221981975</v>
      </c>
      <c r="BB61" s="431">
        <v>2.5950752007907312</v>
      </c>
      <c r="BC61" s="431">
        <v>2.2214814684619042</v>
      </c>
      <c r="BD61" s="431">
        <v>15.200648588423212</v>
      </c>
      <c r="BE61" s="431">
        <v>364089.36095595371</v>
      </c>
      <c r="BF61" s="431">
        <v>8150.70926730271</v>
      </c>
      <c r="BG61" s="431">
        <v>1543.2733438589075</v>
      </c>
      <c r="BH61" s="431">
        <v>383261.24995149003</v>
      </c>
      <c r="BI61" s="431">
        <v>368841.17011890863</v>
      </c>
      <c r="BJ61" s="431">
        <v>74120.007661628202</v>
      </c>
      <c r="BK61" s="431">
        <v>343111.91841703339</v>
      </c>
      <c r="BL61" s="431">
        <v>2983.2525778819609</v>
      </c>
      <c r="BM61" s="431">
        <v>599.49572293650897</v>
      </c>
      <c r="BN61" s="431">
        <v>136.77965912654955</v>
      </c>
      <c r="BO61" s="431">
        <v>2440.8430182670586</v>
      </c>
      <c r="BP61" s="431">
        <v>490.49650058441642</v>
      </c>
      <c r="BQ61" s="431">
        <v>1611.7100219973186</v>
      </c>
      <c r="BR61" s="431">
        <v>828.07797681948819</v>
      </c>
      <c r="BS61" s="431">
        <v>0</v>
      </c>
      <c r="BT61" s="431">
        <v>0</v>
      </c>
      <c r="BU61" s="431">
        <v>0</v>
      </c>
      <c r="BV61" s="431">
        <v>772.40920709350462</v>
      </c>
      <c r="BW61" s="431">
        <v>1269.8141537291442</v>
      </c>
      <c r="BX61" s="431">
        <v>1180.5804740694155</v>
      </c>
      <c r="BY61" s="431">
        <v>976.78011825318777</v>
      </c>
      <c r="BZ61" s="431">
        <v>0</v>
      </c>
      <c r="CA61" s="431">
        <v>0</v>
      </c>
      <c r="CB61" s="431">
        <v>0</v>
      </c>
      <c r="CC61" s="432"/>
      <c r="CD61" s="428">
        <v>41770.83659525463</v>
      </c>
      <c r="CE61" s="433">
        <v>0.30887516912936769</v>
      </c>
      <c r="CF61" s="433">
        <v>0.21465334314226731</v>
      </c>
      <c r="CG61" s="433">
        <v>0.17822376316137725</v>
      </c>
      <c r="CH61" s="433">
        <v>0.1804430703502535</v>
      </c>
      <c r="CI61" s="433">
        <v>0.11969468358927447</v>
      </c>
      <c r="CJ61" s="433">
        <v>0.26218817202595668</v>
      </c>
      <c r="CK61" s="433">
        <v>0.26007046015078716</v>
      </c>
      <c r="CL61" s="433">
        <v>0.2795059670458605</v>
      </c>
      <c r="CM61" s="433">
        <v>0.20330349118764637</v>
      </c>
      <c r="CN61" s="433">
        <v>0.20405169784316468</v>
      </c>
      <c r="CO61" s="433">
        <v>0.6098978484120201</v>
      </c>
      <c r="CP61" s="433">
        <v>0.6472517576995086</v>
      </c>
      <c r="CQ61" s="433">
        <v>0.67663897658204775</v>
      </c>
      <c r="CR61" s="433">
        <v>0.47888048937537914</v>
      </c>
      <c r="CS61" s="433">
        <v>0.39443520669059223</v>
      </c>
      <c r="CT61" s="433">
        <v>0.447221292916757</v>
      </c>
      <c r="CU61" s="433">
        <v>0.3622790598707698</v>
      </c>
      <c r="CV61" s="433">
        <v>0.47604249083347333</v>
      </c>
      <c r="CW61" s="433">
        <v>0.4759898508915783</v>
      </c>
      <c r="CX61" s="433">
        <v>0.4007797062399322</v>
      </c>
      <c r="CY61" s="433">
        <v>0.40798711211863076</v>
      </c>
      <c r="CZ61" s="433">
        <v>0.29816004259848461</v>
      </c>
      <c r="DA61" s="433">
        <v>0.25104840798869349</v>
      </c>
      <c r="DB61" s="433">
        <v>0.80602184361489149</v>
      </c>
      <c r="DC61" s="433">
        <v>0.29816004259848461</v>
      </c>
      <c r="DD61" s="433">
        <v>0.25104840798869349</v>
      </c>
      <c r="DE61" s="433">
        <v>0.34680721234892764</v>
      </c>
      <c r="DF61" s="433">
        <v>0.40997005857291635</v>
      </c>
      <c r="DG61" s="433">
        <v>0</v>
      </c>
      <c r="DH61" s="433">
        <v>0</v>
      </c>
      <c r="DI61" s="433">
        <v>0</v>
      </c>
      <c r="DJ61" s="433">
        <v>0.35031031550396724</v>
      </c>
      <c r="DK61" s="433">
        <v>0.33543004792329517</v>
      </c>
      <c r="DL61" s="433">
        <v>0.2866175308668823</v>
      </c>
      <c r="DM61" s="433">
        <v>0.40997005857291635</v>
      </c>
      <c r="DN61" s="433">
        <v>0</v>
      </c>
      <c r="DO61" s="433">
        <v>0</v>
      </c>
      <c r="DP61" s="433">
        <v>0</v>
      </c>
      <c r="DR61" s="409" t="s">
        <v>711</v>
      </c>
      <c r="DS61" s="409" t="s">
        <v>2281</v>
      </c>
    </row>
    <row r="62" spans="2:123" s="1471" customFormat="1">
      <c r="B62" s="428">
        <v>41793.864107638889</v>
      </c>
      <c r="C62" s="429">
        <v>1.4178429348105785</v>
      </c>
      <c r="D62" s="429">
        <v>1.4161186459136268</v>
      </c>
      <c r="E62" s="429">
        <v>1.434370469627253</v>
      </c>
      <c r="F62" s="429">
        <v>1.4044467067222139</v>
      </c>
      <c r="G62" s="429">
        <v>1.3743793352168696</v>
      </c>
      <c r="H62" s="429">
        <v>1.4095800272262689</v>
      </c>
      <c r="I62" s="429">
        <v>1.4338663717033362</v>
      </c>
      <c r="J62" s="429">
        <v>1.4837766067102227</v>
      </c>
      <c r="K62" s="429">
        <v>1.3675011651298783</v>
      </c>
      <c r="L62" s="429">
        <v>1.4457098609560444</v>
      </c>
      <c r="M62" s="429">
        <v>1.2560257262688428</v>
      </c>
      <c r="N62" s="429">
        <v>1.2138930224574191</v>
      </c>
      <c r="O62" s="429">
        <v>1.0287885455048233</v>
      </c>
      <c r="P62" s="429">
        <v>1.0778420900182555</v>
      </c>
      <c r="Q62" s="429">
        <v>2974.7896278515946</v>
      </c>
      <c r="R62" s="429">
        <v>16.21701177304195</v>
      </c>
      <c r="S62" s="429">
        <v>10.663342462388119</v>
      </c>
      <c r="T62" s="429">
        <v>3207.6148209535463</v>
      </c>
      <c r="U62" s="429">
        <v>3324.77370453497</v>
      </c>
      <c r="V62" s="429">
        <v>3380.2399652066715</v>
      </c>
      <c r="W62" s="429">
        <v>813.5009039485185</v>
      </c>
      <c r="X62" s="429">
        <v>8.8133566979104394</v>
      </c>
      <c r="Y62" s="429">
        <v>9.2619776180777365</v>
      </c>
      <c r="Z62" s="429">
        <v>15.219383092097599</v>
      </c>
      <c r="AA62" s="429">
        <v>7.462366069872342</v>
      </c>
      <c r="AB62" s="429">
        <v>7.829419550009221</v>
      </c>
      <c r="AC62" s="429">
        <v>3.8791005526562583</v>
      </c>
      <c r="AD62" s="429">
        <v>3.2915152669361043</v>
      </c>
      <c r="AE62" s="429">
        <v>0</v>
      </c>
      <c r="AF62" s="429">
        <v>0</v>
      </c>
      <c r="AG62" s="429">
        <v>0</v>
      </c>
      <c r="AH62" s="429">
        <v>2.966510375981307</v>
      </c>
      <c r="AI62" s="429">
        <v>6.3744676142485872</v>
      </c>
      <c r="AJ62" s="429">
        <v>6.1618628091128107</v>
      </c>
      <c r="AK62" s="429">
        <v>6.9984974055696556</v>
      </c>
      <c r="AL62" s="429">
        <v>0</v>
      </c>
      <c r="AM62" s="429">
        <v>0</v>
      </c>
      <c r="AN62" s="429">
        <v>0</v>
      </c>
      <c r="AO62" s="432"/>
      <c r="AP62" s="428">
        <v>41793.864107638889</v>
      </c>
      <c r="AQ62" s="431">
        <v>93.901112821567722</v>
      </c>
      <c r="AR62" s="431">
        <v>124.48038876723598</v>
      </c>
      <c r="AS62" s="431">
        <v>122.04308426788302</v>
      </c>
      <c r="AT62" s="431">
        <v>149.77514273218242</v>
      </c>
      <c r="AU62" s="431">
        <v>25.327029029918975</v>
      </c>
      <c r="AV62" s="431">
        <v>83.450007291166116</v>
      </c>
      <c r="AW62" s="431">
        <v>20.5519533361838</v>
      </c>
      <c r="AX62" s="431">
        <v>35.817699680388927</v>
      </c>
      <c r="AY62" s="431">
        <v>117.25033020390107</v>
      </c>
      <c r="AZ62" s="431">
        <v>-86.097793838503677</v>
      </c>
      <c r="BA62" s="431">
        <v>7.352017221981975</v>
      </c>
      <c r="BB62" s="431">
        <v>2.5950752007907312</v>
      </c>
      <c r="BC62" s="431">
        <v>2.2214814684619042</v>
      </c>
      <c r="BD62" s="431">
        <v>67.625838268347948</v>
      </c>
      <c r="BE62" s="431">
        <v>364089.36095595371</v>
      </c>
      <c r="BF62" s="431">
        <v>8150.70926730271</v>
      </c>
      <c r="BG62" s="431">
        <v>1543.2733438589075</v>
      </c>
      <c r="BH62" s="431">
        <v>383261.24995149003</v>
      </c>
      <c r="BI62" s="431">
        <v>368841.17011890863</v>
      </c>
      <c r="BJ62" s="431">
        <v>74120.007661628202</v>
      </c>
      <c r="BK62" s="431">
        <v>343111.91841703339</v>
      </c>
      <c r="BL62" s="431">
        <v>2983.2525778819609</v>
      </c>
      <c r="BM62" s="431">
        <v>599.49572293650897</v>
      </c>
      <c r="BN62" s="431">
        <v>136.77965912654955</v>
      </c>
      <c r="BO62" s="431">
        <v>2440.8430182670586</v>
      </c>
      <c r="BP62" s="431">
        <v>490.49650058441642</v>
      </c>
      <c r="BQ62" s="431">
        <v>1611.7100219973186</v>
      </c>
      <c r="BR62" s="431">
        <v>828.07797681948819</v>
      </c>
      <c r="BS62" s="431">
        <v>0</v>
      </c>
      <c r="BT62" s="431">
        <v>0</v>
      </c>
      <c r="BU62" s="431">
        <v>0</v>
      </c>
      <c r="BV62" s="431">
        <v>772.40920709350462</v>
      </c>
      <c r="BW62" s="431">
        <v>1269.8141537291442</v>
      </c>
      <c r="BX62" s="431">
        <v>1180.5804740694155</v>
      </c>
      <c r="BY62" s="431">
        <v>976.78011825318777</v>
      </c>
      <c r="BZ62" s="431">
        <v>0</v>
      </c>
      <c r="CA62" s="431">
        <v>0</v>
      </c>
      <c r="CB62" s="431">
        <v>0</v>
      </c>
      <c r="CC62" s="432"/>
      <c r="CD62" s="428">
        <v>41793.864107638889</v>
      </c>
      <c r="CE62" s="433">
        <v>0.30887516912936769</v>
      </c>
      <c r="CF62" s="433">
        <v>0.21465334314226731</v>
      </c>
      <c r="CG62" s="433">
        <v>0.17822376316137725</v>
      </c>
      <c r="CH62" s="433">
        <v>0.1804430703502535</v>
      </c>
      <c r="CI62" s="433">
        <v>0.11969468358927447</v>
      </c>
      <c r="CJ62" s="433">
        <v>0.26218817202595668</v>
      </c>
      <c r="CK62" s="433">
        <v>0.26007046015078716</v>
      </c>
      <c r="CL62" s="433">
        <v>0.2795059670458605</v>
      </c>
      <c r="CM62" s="433">
        <v>0.20330349118764637</v>
      </c>
      <c r="CN62" s="433">
        <v>0.20405169784316468</v>
      </c>
      <c r="CO62" s="433">
        <v>0.6098978484120201</v>
      </c>
      <c r="CP62" s="433">
        <v>0.6472517576995086</v>
      </c>
      <c r="CQ62" s="433">
        <v>0.67663897658204775</v>
      </c>
      <c r="CR62" s="433">
        <v>0.41104225845250458</v>
      </c>
      <c r="CS62" s="433">
        <v>0.39443520669059223</v>
      </c>
      <c r="CT62" s="433">
        <v>0.447221292916757</v>
      </c>
      <c r="CU62" s="433">
        <v>0.3622790598707698</v>
      </c>
      <c r="CV62" s="433">
        <v>0.47604249083347333</v>
      </c>
      <c r="CW62" s="433">
        <v>0.4759898508915783</v>
      </c>
      <c r="CX62" s="433">
        <v>0.4007797062399322</v>
      </c>
      <c r="CY62" s="433">
        <v>0.40798711211863076</v>
      </c>
      <c r="CZ62" s="433">
        <v>0.29816004259848461</v>
      </c>
      <c r="DA62" s="433">
        <v>0.25104840798869349</v>
      </c>
      <c r="DB62" s="433">
        <v>0.80602184361489149</v>
      </c>
      <c r="DC62" s="433">
        <v>0.29816004259848461</v>
      </c>
      <c r="DD62" s="433">
        <v>0.25104840798869349</v>
      </c>
      <c r="DE62" s="433">
        <v>0.34680721234892764</v>
      </c>
      <c r="DF62" s="433">
        <v>0.40997005857291635</v>
      </c>
      <c r="DG62" s="433">
        <v>0</v>
      </c>
      <c r="DH62" s="433">
        <v>0</v>
      </c>
      <c r="DI62" s="433">
        <v>0</v>
      </c>
      <c r="DJ62" s="433">
        <v>0.35031031550396724</v>
      </c>
      <c r="DK62" s="433">
        <v>0.33543004792329517</v>
      </c>
      <c r="DL62" s="433">
        <v>0.2866175308668823</v>
      </c>
      <c r="DM62" s="433">
        <v>0.40997005857291635</v>
      </c>
      <c r="DN62" s="433">
        <v>0</v>
      </c>
      <c r="DO62" s="433">
        <v>0</v>
      </c>
      <c r="DP62" s="433">
        <v>0</v>
      </c>
      <c r="DR62" s="409" t="s">
        <v>855</v>
      </c>
      <c r="DS62" s="409" t="s">
        <v>2298</v>
      </c>
    </row>
    <row r="63" spans="2:123" s="1471" customFormat="1">
      <c r="B63" s="428">
        <v>41793.866094791665</v>
      </c>
      <c r="C63" s="429">
        <v>1.4178429348105785</v>
      </c>
      <c r="D63" s="429">
        <v>1.4161186459136268</v>
      </c>
      <c r="E63" s="429">
        <v>1.434370469627253</v>
      </c>
      <c r="F63" s="429">
        <v>1.4044467067222139</v>
      </c>
      <c r="G63" s="429">
        <v>1.3743793352168696</v>
      </c>
      <c r="H63" s="429">
        <v>1.4095800272262689</v>
      </c>
      <c r="I63" s="429">
        <v>1.4338663717033362</v>
      </c>
      <c r="J63" s="429">
        <v>1.4837766067102227</v>
      </c>
      <c r="K63" s="429">
        <v>1.3675011651298783</v>
      </c>
      <c r="L63" s="429">
        <v>1.4457098609560444</v>
      </c>
      <c r="M63" s="429">
        <v>1.242038173446179</v>
      </c>
      <c r="N63" s="429">
        <v>1.2032875047962963</v>
      </c>
      <c r="O63" s="429">
        <v>1.0287885455048233</v>
      </c>
      <c r="P63" s="429">
        <v>1.0778420900182555</v>
      </c>
      <c r="Q63" s="429">
        <v>2974.7896278515946</v>
      </c>
      <c r="R63" s="429">
        <v>16.21701177304195</v>
      </c>
      <c r="S63" s="429">
        <v>10.663342462388119</v>
      </c>
      <c r="T63" s="429">
        <v>3207.6148209535463</v>
      </c>
      <c r="U63" s="429">
        <v>3324.77370453497</v>
      </c>
      <c r="V63" s="429">
        <v>3380.2399652066715</v>
      </c>
      <c r="W63" s="429">
        <v>813.5009039485185</v>
      </c>
      <c r="X63" s="429">
        <v>8.8133566979104394</v>
      </c>
      <c r="Y63" s="429">
        <v>9.2619776180777365</v>
      </c>
      <c r="Z63" s="429">
        <v>15.219383092097599</v>
      </c>
      <c r="AA63" s="429">
        <v>7.462366069872342</v>
      </c>
      <c r="AB63" s="429">
        <v>7.829419550009221</v>
      </c>
      <c r="AC63" s="429">
        <v>3.8791005526562583</v>
      </c>
      <c r="AD63" s="429">
        <v>3.2915152669361043</v>
      </c>
      <c r="AE63" s="429">
        <v>0</v>
      </c>
      <c r="AF63" s="429">
        <v>0</v>
      </c>
      <c r="AG63" s="429">
        <v>0</v>
      </c>
      <c r="AH63" s="429">
        <v>2.966510375981307</v>
      </c>
      <c r="AI63" s="429">
        <v>6.3744676142485872</v>
      </c>
      <c r="AJ63" s="429">
        <v>6.1618628091128107</v>
      </c>
      <c r="AK63" s="429">
        <v>6.9984974055696556</v>
      </c>
      <c r="AL63" s="429">
        <v>0</v>
      </c>
      <c r="AM63" s="429">
        <v>0</v>
      </c>
      <c r="AN63" s="429">
        <v>0</v>
      </c>
      <c r="AO63" s="432"/>
      <c r="AP63" s="428">
        <v>41793.866094791665</v>
      </c>
      <c r="AQ63" s="431">
        <v>93.901112821567722</v>
      </c>
      <c r="AR63" s="431">
        <v>124.48038876723598</v>
      </c>
      <c r="AS63" s="431">
        <v>122.04308426788302</v>
      </c>
      <c r="AT63" s="431">
        <v>149.77514273218242</v>
      </c>
      <c r="AU63" s="431">
        <v>25.327029029918975</v>
      </c>
      <c r="AV63" s="431">
        <v>83.450007291166116</v>
      </c>
      <c r="AW63" s="431">
        <v>20.5519533361838</v>
      </c>
      <c r="AX63" s="431">
        <v>35.817699680388927</v>
      </c>
      <c r="AY63" s="431">
        <v>117.25033020390107</v>
      </c>
      <c r="AZ63" s="431">
        <v>-86.097793838503677</v>
      </c>
      <c r="BA63" s="431">
        <v>7.352017221981975</v>
      </c>
      <c r="BB63" s="431">
        <v>2.5950752007907312</v>
      </c>
      <c r="BC63" s="431">
        <v>2.2214814684619042</v>
      </c>
      <c r="BD63" s="431">
        <v>67.625838268347948</v>
      </c>
      <c r="BE63" s="431">
        <v>364089.36095595371</v>
      </c>
      <c r="BF63" s="431">
        <v>8150.70926730271</v>
      </c>
      <c r="BG63" s="431">
        <v>1543.2733438589075</v>
      </c>
      <c r="BH63" s="431">
        <v>383261.24995149003</v>
      </c>
      <c r="BI63" s="431">
        <v>368841.17011890863</v>
      </c>
      <c r="BJ63" s="431">
        <v>74120.007661628202</v>
      </c>
      <c r="BK63" s="431">
        <v>343111.91841703339</v>
      </c>
      <c r="BL63" s="431">
        <v>2983.2525778819609</v>
      </c>
      <c r="BM63" s="431">
        <v>599.49572293650897</v>
      </c>
      <c r="BN63" s="431">
        <v>136.77965912654955</v>
      </c>
      <c r="BO63" s="431">
        <v>2440.8430182670586</v>
      </c>
      <c r="BP63" s="431">
        <v>490.49650058441642</v>
      </c>
      <c r="BQ63" s="431">
        <v>1611.7100219973186</v>
      </c>
      <c r="BR63" s="431">
        <v>828.07797681948819</v>
      </c>
      <c r="BS63" s="431">
        <v>0</v>
      </c>
      <c r="BT63" s="431">
        <v>0</v>
      </c>
      <c r="BU63" s="431">
        <v>0</v>
      </c>
      <c r="BV63" s="431">
        <v>772.40920709350462</v>
      </c>
      <c r="BW63" s="431">
        <v>1269.8141537291442</v>
      </c>
      <c r="BX63" s="431">
        <v>1180.5804740694155</v>
      </c>
      <c r="BY63" s="431">
        <v>976.78011825318777</v>
      </c>
      <c r="BZ63" s="431">
        <v>0</v>
      </c>
      <c r="CA63" s="431">
        <v>0</v>
      </c>
      <c r="CB63" s="431">
        <v>0</v>
      </c>
      <c r="CC63" s="432"/>
      <c r="CD63" s="428">
        <v>41793.866094791665</v>
      </c>
      <c r="CE63" s="433">
        <v>0.30887516912936769</v>
      </c>
      <c r="CF63" s="433">
        <v>0.21465334314226731</v>
      </c>
      <c r="CG63" s="433">
        <v>0.17822376316137725</v>
      </c>
      <c r="CH63" s="433">
        <v>0.1804430703502535</v>
      </c>
      <c r="CI63" s="433">
        <v>0.11969468358927447</v>
      </c>
      <c r="CJ63" s="433">
        <v>0.26218817202595668</v>
      </c>
      <c r="CK63" s="433">
        <v>0.26007046015078716</v>
      </c>
      <c r="CL63" s="433">
        <v>0.2795059670458605</v>
      </c>
      <c r="CM63" s="433">
        <v>0.20330349118764637</v>
      </c>
      <c r="CN63" s="433">
        <v>0.20405169784316468</v>
      </c>
      <c r="CO63" s="433">
        <v>0.6098978484120201</v>
      </c>
      <c r="CP63" s="433">
        <v>0.6472517576995086</v>
      </c>
      <c r="CQ63" s="433">
        <v>0.67663897658204775</v>
      </c>
      <c r="CR63" s="433">
        <v>0.41104225845250458</v>
      </c>
      <c r="CS63" s="433">
        <v>0.39443520669059223</v>
      </c>
      <c r="CT63" s="433">
        <v>0.447221292916757</v>
      </c>
      <c r="CU63" s="433">
        <v>0.3622790598707698</v>
      </c>
      <c r="CV63" s="433">
        <v>0.47604249083347333</v>
      </c>
      <c r="CW63" s="433">
        <v>0.4759898508915783</v>
      </c>
      <c r="CX63" s="433">
        <v>0.4007797062399322</v>
      </c>
      <c r="CY63" s="433">
        <v>0.40798711211863076</v>
      </c>
      <c r="CZ63" s="433">
        <v>0.29816004259848461</v>
      </c>
      <c r="DA63" s="433">
        <v>0.25104840798869349</v>
      </c>
      <c r="DB63" s="433">
        <v>0.80602184361489149</v>
      </c>
      <c r="DC63" s="433">
        <v>0.29816004259848461</v>
      </c>
      <c r="DD63" s="433">
        <v>0.25104840798869349</v>
      </c>
      <c r="DE63" s="433">
        <v>0.34680721234892764</v>
      </c>
      <c r="DF63" s="433">
        <v>0.40997005857291635</v>
      </c>
      <c r="DG63" s="433">
        <v>0</v>
      </c>
      <c r="DH63" s="433">
        <v>0</v>
      </c>
      <c r="DI63" s="433">
        <v>0</v>
      </c>
      <c r="DJ63" s="433">
        <v>0.35031031550396724</v>
      </c>
      <c r="DK63" s="433">
        <v>0.33543004792329517</v>
      </c>
      <c r="DL63" s="433">
        <v>0.2866175308668823</v>
      </c>
      <c r="DM63" s="433">
        <v>0.40997005857291635</v>
      </c>
      <c r="DN63" s="433">
        <v>0</v>
      </c>
      <c r="DO63" s="433">
        <v>0</v>
      </c>
      <c r="DP63" s="433">
        <v>0</v>
      </c>
      <c r="DR63" s="409" t="s">
        <v>855</v>
      </c>
      <c r="DS63" s="409" t="s">
        <v>2299</v>
      </c>
    </row>
    <row r="64" spans="2:123" s="1471" customFormat="1">
      <c r="B64" s="428">
        <v>41794.449590972225</v>
      </c>
      <c r="C64" s="429">
        <v>1.4178547314957801</v>
      </c>
      <c r="D64" s="429">
        <v>1.4161362314500576</v>
      </c>
      <c r="E64" s="429">
        <v>1.4343940788633116</v>
      </c>
      <c r="F64" s="429">
        <v>1.4044703159582723</v>
      </c>
      <c r="G64" s="429">
        <v>1.3743992514902776</v>
      </c>
      <c r="H64" s="429">
        <v>1.4095940453651772</v>
      </c>
      <c r="I64" s="429">
        <v>1.4338781683885378</v>
      </c>
      <c r="J64" s="429">
        <v>1.4838001096400184</v>
      </c>
      <c r="K64" s="429">
        <v>1.3675011651298783</v>
      </c>
      <c r="L64" s="429">
        <v>1.4457098609560444</v>
      </c>
      <c r="M64" s="429">
        <v>1.2420431299780303</v>
      </c>
      <c r="N64" s="429">
        <v>1.2032875047962963</v>
      </c>
      <c r="O64" s="429">
        <v>1.0287885455048233</v>
      </c>
      <c r="P64" s="429">
        <v>1.0778515871551861</v>
      </c>
      <c r="Q64" s="429">
        <v>2974.8301702822546</v>
      </c>
      <c r="R64" s="429">
        <v>16.218118966039356</v>
      </c>
      <c r="S64" s="429">
        <v>10.664449655385523</v>
      </c>
      <c r="T64" s="429">
        <v>3207.6574982309326</v>
      </c>
      <c r="U64" s="429">
        <v>3324.8211042979688</v>
      </c>
      <c r="V64" s="429">
        <v>3380.2873649696703</v>
      </c>
      <c r="W64" s="429">
        <v>813.50386892472147</v>
      </c>
      <c r="X64" s="429">
        <v>8.8137400755716477</v>
      </c>
      <c r="Y64" s="429">
        <v>9.262360995738943</v>
      </c>
      <c r="Z64" s="429">
        <v>15.219383092097599</v>
      </c>
      <c r="AA64" s="429">
        <v>7.462679742504239</v>
      </c>
      <c r="AB64" s="429">
        <v>7.829733222641118</v>
      </c>
      <c r="AC64" s="429">
        <v>3.8791005526562583</v>
      </c>
      <c r="AD64" s="429">
        <v>3.2916203966557833</v>
      </c>
      <c r="AE64" s="429">
        <v>0</v>
      </c>
      <c r="AF64" s="429">
        <v>0</v>
      </c>
      <c r="AG64" s="429">
        <v>0</v>
      </c>
      <c r="AH64" s="429">
        <v>2.966510375981307</v>
      </c>
      <c r="AI64" s="429">
        <v>6.3746285799797677</v>
      </c>
      <c r="AJ64" s="429">
        <v>6.1618628091128107</v>
      </c>
      <c r="AK64" s="429">
        <v>6.9986212253628715</v>
      </c>
      <c r="AL64" s="429">
        <v>0</v>
      </c>
      <c r="AM64" s="429">
        <v>0</v>
      </c>
      <c r="AN64" s="429">
        <v>0</v>
      </c>
      <c r="AO64" s="432"/>
      <c r="AP64" s="428">
        <v>41794.449590972225</v>
      </c>
      <c r="AQ64" s="431">
        <v>93.901112821567722</v>
      </c>
      <c r="AR64" s="431">
        <v>124.48038876723598</v>
      </c>
      <c r="AS64" s="431">
        <v>122.04308426788302</v>
      </c>
      <c r="AT64" s="431">
        <v>149.77514273218242</v>
      </c>
      <c r="AU64" s="431">
        <v>25.327029029918975</v>
      </c>
      <c r="AV64" s="431">
        <v>83.450007291166116</v>
      </c>
      <c r="AW64" s="431">
        <v>20.5519533361838</v>
      </c>
      <c r="AX64" s="431">
        <v>35.817699680388927</v>
      </c>
      <c r="AY64" s="431">
        <v>117.25033020390107</v>
      </c>
      <c r="AZ64" s="431">
        <v>-86.097793838503677</v>
      </c>
      <c r="BA64" s="431">
        <v>7.352017221981975</v>
      </c>
      <c r="BB64" s="431">
        <v>2.5950752007907312</v>
      </c>
      <c r="BC64" s="431">
        <v>2.2214814684619042</v>
      </c>
      <c r="BD64" s="431">
        <v>67.625838268347948</v>
      </c>
      <c r="BE64" s="431">
        <v>364089.36095595371</v>
      </c>
      <c r="BF64" s="431">
        <v>8150.70926730271</v>
      </c>
      <c r="BG64" s="431">
        <v>1543.2733438589075</v>
      </c>
      <c r="BH64" s="431">
        <v>383261.24995149003</v>
      </c>
      <c r="BI64" s="431">
        <v>368841.17011890863</v>
      </c>
      <c r="BJ64" s="431">
        <v>74120.007661628202</v>
      </c>
      <c r="BK64" s="431">
        <v>343111.91841703339</v>
      </c>
      <c r="BL64" s="431">
        <v>2983.2525778819609</v>
      </c>
      <c r="BM64" s="431">
        <v>599.49572293650897</v>
      </c>
      <c r="BN64" s="431">
        <v>136.77965912654955</v>
      </c>
      <c r="BO64" s="431">
        <v>2440.8430182670586</v>
      </c>
      <c r="BP64" s="431">
        <v>490.49650058441642</v>
      </c>
      <c r="BQ64" s="431">
        <v>1611.7100219973186</v>
      </c>
      <c r="BR64" s="431">
        <v>828.07797681948819</v>
      </c>
      <c r="BS64" s="431">
        <v>0</v>
      </c>
      <c r="BT64" s="431">
        <v>0</v>
      </c>
      <c r="BU64" s="431">
        <v>0</v>
      </c>
      <c r="BV64" s="431">
        <v>772.40920709350462</v>
      </c>
      <c r="BW64" s="431">
        <v>1269.8141537291442</v>
      </c>
      <c r="BX64" s="431">
        <v>1180.5804740694155</v>
      </c>
      <c r="BY64" s="431">
        <v>976.78011825318777</v>
      </c>
      <c r="BZ64" s="431">
        <v>0</v>
      </c>
      <c r="CA64" s="431">
        <v>0</v>
      </c>
      <c r="CB64" s="431">
        <v>0</v>
      </c>
      <c r="CC64" s="432"/>
      <c r="CD64" s="428">
        <v>41794.449590972225</v>
      </c>
      <c r="CE64" s="433">
        <v>0.30887516912936769</v>
      </c>
      <c r="CF64" s="433">
        <v>0.21465334314226731</v>
      </c>
      <c r="CG64" s="433">
        <v>0.17822376316137725</v>
      </c>
      <c r="CH64" s="433">
        <v>0.1804430703502535</v>
      </c>
      <c r="CI64" s="433">
        <v>0.11969468358927447</v>
      </c>
      <c r="CJ64" s="433">
        <v>0.26218817202595668</v>
      </c>
      <c r="CK64" s="433">
        <v>0.26007046015078716</v>
      </c>
      <c r="CL64" s="433">
        <v>0.2795059670458605</v>
      </c>
      <c r="CM64" s="433">
        <v>0.20330349118764637</v>
      </c>
      <c r="CN64" s="433">
        <v>0.20405169784316468</v>
      </c>
      <c r="CO64" s="433">
        <v>0.6098978484120201</v>
      </c>
      <c r="CP64" s="433">
        <v>0.6472517576995086</v>
      </c>
      <c r="CQ64" s="433">
        <v>0.67663897658204775</v>
      </c>
      <c r="CR64" s="433">
        <v>0.41104225845250458</v>
      </c>
      <c r="CS64" s="433">
        <v>0.39443520669059223</v>
      </c>
      <c r="CT64" s="433">
        <v>0.447221292916757</v>
      </c>
      <c r="CU64" s="433">
        <v>0.3622790598707698</v>
      </c>
      <c r="CV64" s="433">
        <v>0.47604249083347333</v>
      </c>
      <c r="CW64" s="433">
        <v>0.4759898508915783</v>
      </c>
      <c r="CX64" s="433">
        <v>0.4007797062399322</v>
      </c>
      <c r="CY64" s="433">
        <v>0.40798711211863076</v>
      </c>
      <c r="CZ64" s="433">
        <v>0.29816004259848461</v>
      </c>
      <c r="DA64" s="433">
        <v>0.25104840798869349</v>
      </c>
      <c r="DB64" s="433">
        <v>0.80602184361489149</v>
      </c>
      <c r="DC64" s="433">
        <v>0.29816004259848461</v>
      </c>
      <c r="DD64" s="433">
        <v>0.25104840798869349</v>
      </c>
      <c r="DE64" s="433">
        <v>0.34680721234892764</v>
      </c>
      <c r="DF64" s="433">
        <v>0.40997005857291635</v>
      </c>
      <c r="DG64" s="433">
        <v>0</v>
      </c>
      <c r="DH64" s="433">
        <v>0</v>
      </c>
      <c r="DI64" s="433">
        <v>0</v>
      </c>
      <c r="DJ64" s="433">
        <v>0.35031031550396724</v>
      </c>
      <c r="DK64" s="433">
        <v>0.33543004792329517</v>
      </c>
      <c r="DL64" s="433">
        <v>0.2866175308668823</v>
      </c>
      <c r="DM64" s="433">
        <v>0.40997005857291635</v>
      </c>
      <c r="DN64" s="433">
        <v>0</v>
      </c>
      <c r="DO64" s="433">
        <v>0</v>
      </c>
      <c r="DP64" s="433">
        <v>0</v>
      </c>
      <c r="DR64" s="409" t="s">
        <v>711</v>
      </c>
      <c r="DS64" s="409" t="s">
        <v>2341</v>
      </c>
    </row>
    <row r="65" spans="2:123" s="1471" customFormat="1">
      <c r="B65" s="428">
        <v>41794.499108564814</v>
      </c>
      <c r="C65" s="429">
        <v>1.4178547314957801</v>
      </c>
      <c r="D65" s="429">
        <v>1.4161362314500576</v>
      </c>
      <c r="E65" s="429">
        <v>1.4341285416287053</v>
      </c>
      <c r="F65" s="429">
        <v>1.4042051844162011</v>
      </c>
      <c r="G65" s="429">
        <v>1.3727733462988843</v>
      </c>
      <c r="H65" s="429">
        <v>1.4095940453651772</v>
      </c>
      <c r="I65" s="429">
        <v>1.4328191893860449</v>
      </c>
      <c r="J65" s="429">
        <v>1.4822722218895741</v>
      </c>
      <c r="K65" s="429">
        <v>1.3675011651298783</v>
      </c>
      <c r="L65" s="429">
        <v>1.4457098609560444</v>
      </c>
      <c r="M65" s="429">
        <v>1.2417839933980925</v>
      </c>
      <c r="N65" s="429">
        <v>1.2032875047962963</v>
      </c>
      <c r="O65" s="429">
        <v>1.0287885455048233</v>
      </c>
      <c r="P65" s="429">
        <v>1.0778515871551861</v>
      </c>
      <c r="Q65" s="429">
        <v>2974.8301702822546</v>
      </c>
      <c r="R65" s="429">
        <v>16.218118966039356</v>
      </c>
      <c r="S65" s="429">
        <v>10.580734317155976</v>
      </c>
      <c r="T65" s="429">
        <v>3207.6574982309326</v>
      </c>
      <c r="U65" s="429">
        <v>3324.8211042979688</v>
      </c>
      <c r="V65" s="429">
        <v>3376.0323261277499</v>
      </c>
      <c r="W65" s="429">
        <v>813.50386892472147</v>
      </c>
      <c r="X65" s="429">
        <v>8.8137400755716477</v>
      </c>
      <c r="Y65" s="429">
        <v>9.2279454894925657</v>
      </c>
      <c r="Z65" s="429">
        <v>15.219383092097599</v>
      </c>
      <c r="AA65" s="429">
        <v>7.462679742504239</v>
      </c>
      <c r="AB65" s="429">
        <v>7.8015750811668099</v>
      </c>
      <c r="AC65" s="429">
        <v>3.8791005526562583</v>
      </c>
      <c r="AD65" s="429">
        <v>3.2916203966557833</v>
      </c>
      <c r="AE65" s="429">
        <v>0</v>
      </c>
      <c r="AF65" s="429">
        <v>0</v>
      </c>
      <c r="AG65" s="429">
        <v>0</v>
      </c>
      <c r="AH65" s="429">
        <v>2.966510375981307</v>
      </c>
      <c r="AI65" s="429">
        <v>6.3746285799797677</v>
      </c>
      <c r="AJ65" s="429">
        <v>6.1618628091128107</v>
      </c>
      <c r="AK65" s="429">
        <v>6.9986212253628715</v>
      </c>
      <c r="AL65" s="429">
        <v>0</v>
      </c>
      <c r="AM65" s="429">
        <v>0</v>
      </c>
      <c r="AN65" s="429">
        <v>0</v>
      </c>
      <c r="AO65" s="432"/>
      <c r="AP65" s="428">
        <v>41794.499108564814</v>
      </c>
      <c r="AQ65" s="431">
        <v>93.901112821567722</v>
      </c>
      <c r="AR65" s="431">
        <v>124.48038876723598</v>
      </c>
      <c r="AS65" s="431">
        <v>121.7897255693648</v>
      </c>
      <c r="AT65" s="431">
        <v>149.52217111961397</v>
      </c>
      <c r="AU65" s="431">
        <v>23.775693964552175</v>
      </c>
      <c r="AV65" s="431">
        <v>83.450007291166116</v>
      </c>
      <c r="AW65" s="431">
        <v>19.32345986862612</v>
      </c>
      <c r="AX65" s="431">
        <v>34.359886607550855</v>
      </c>
      <c r="AY65" s="431">
        <v>117.25033020390107</v>
      </c>
      <c r="AZ65" s="431">
        <v>-86.097793838503677</v>
      </c>
      <c r="BA65" s="431">
        <v>7.1047656200405092</v>
      </c>
      <c r="BB65" s="431">
        <v>2.5950752007907312</v>
      </c>
      <c r="BC65" s="431">
        <v>2.2214814684619042</v>
      </c>
      <c r="BD65" s="431">
        <v>67.625838268347948</v>
      </c>
      <c r="BE65" s="431">
        <v>364089.36095595371</v>
      </c>
      <c r="BF65" s="431">
        <v>8150.70926730271</v>
      </c>
      <c r="BG65" s="431">
        <v>1458.5738951802268</v>
      </c>
      <c r="BH65" s="431">
        <v>383261.24995149003</v>
      </c>
      <c r="BI65" s="431">
        <v>368841.17011890863</v>
      </c>
      <c r="BJ65" s="431">
        <v>69183.849900993984</v>
      </c>
      <c r="BK65" s="431">
        <v>343111.91841703339</v>
      </c>
      <c r="BL65" s="431">
        <v>2983.2525778819609</v>
      </c>
      <c r="BM65" s="431">
        <v>559.57120648543957</v>
      </c>
      <c r="BN65" s="431">
        <v>136.77965912654955</v>
      </c>
      <c r="BO65" s="431">
        <v>2440.8430182670586</v>
      </c>
      <c r="BP65" s="431">
        <v>457.83098712445053</v>
      </c>
      <c r="BQ65" s="431">
        <v>1611.7100219973186</v>
      </c>
      <c r="BR65" s="431">
        <v>828.07797681948819</v>
      </c>
      <c r="BS65" s="431">
        <v>0</v>
      </c>
      <c r="BT65" s="431">
        <v>0</v>
      </c>
      <c r="BU65" s="431">
        <v>0</v>
      </c>
      <c r="BV65" s="431">
        <v>772.40920709350462</v>
      </c>
      <c r="BW65" s="431">
        <v>1269.8141537291442</v>
      </c>
      <c r="BX65" s="431">
        <v>1180.5804740694155</v>
      </c>
      <c r="BY65" s="431">
        <v>976.78011825318777</v>
      </c>
      <c r="BZ65" s="431">
        <v>0</v>
      </c>
      <c r="CA65" s="431">
        <v>0</v>
      </c>
      <c r="CB65" s="431">
        <v>0</v>
      </c>
      <c r="CC65" s="432"/>
      <c r="CD65" s="428">
        <v>41794.499108564814</v>
      </c>
      <c r="CE65" s="433">
        <v>0.30887516912936769</v>
      </c>
      <c r="CF65" s="433">
        <v>0.21465334314226731</v>
      </c>
      <c r="CG65" s="433">
        <v>0.17822376316137725</v>
      </c>
      <c r="CH65" s="433">
        <v>0.1804430703502535</v>
      </c>
      <c r="CI65" s="433">
        <v>0.11969468358927447</v>
      </c>
      <c r="CJ65" s="433">
        <v>0.26218817202595668</v>
      </c>
      <c r="CK65" s="433">
        <v>0.26007046015078716</v>
      </c>
      <c r="CL65" s="433">
        <v>0.2795059670458605</v>
      </c>
      <c r="CM65" s="433">
        <v>0.20330349118764637</v>
      </c>
      <c r="CN65" s="433">
        <v>0.20405169784316468</v>
      </c>
      <c r="CO65" s="433">
        <v>0.6098978484120201</v>
      </c>
      <c r="CP65" s="433">
        <v>0.6472517576995086</v>
      </c>
      <c r="CQ65" s="433">
        <v>0.67663897658204775</v>
      </c>
      <c r="CR65" s="433">
        <v>0.41104225845250458</v>
      </c>
      <c r="CS65" s="433">
        <v>0.39443520669059223</v>
      </c>
      <c r="CT65" s="433">
        <v>0.447221292916757</v>
      </c>
      <c r="CU65" s="433">
        <v>0.3622790598707698</v>
      </c>
      <c r="CV65" s="433">
        <v>0.47604249083347333</v>
      </c>
      <c r="CW65" s="433">
        <v>0.4759898508915783</v>
      </c>
      <c r="CX65" s="433">
        <v>0.4007797062399322</v>
      </c>
      <c r="CY65" s="433">
        <v>0.40798711211863076</v>
      </c>
      <c r="CZ65" s="433">
        <v>0.29816004259848461</v>
      </c>
      <c r="DA65" s="433">
        <v>0.25104840798869349</v>
      </c>
      <c r="DB65" s="433">
        <v>0.80602184361489149</v>
      </c>
      <c r="DC65" s="433">
        <v>0.29816004259848461</v>
      </c>
      <c r="DD65" s="433">
        <v>0.25104840798869349</v>
      </c>
      <c r="DE65" s="433">
        <v>0.34680721234892764</v>
      </c>
      <c r="DF65" s="433">
        <v>0.40997005857291635</v>
      </c>
      <c r="DG65" s="433">
        <v>0</v>
      </c>
      <c r="DH65" s="433">
        <v>0</v>
      </c>
      <c r="DI65" s="433">
        <v>0</v>
      </c>
      <c r="DJ65" s="433">
        <v>0.35031031550396724</v>
      </c>
      <c r="DK65" s="433">
        <v>0.33543004792329517</v>
      </c>
      <c r="DL65" s="433">
        <v>0.2866175308668823</v>
      </c>
      <c r="DM65" s="433">
        <v>0.40997005857291635</v>
      </c>
      <c r="DN65" s="433">
        <v>0</v>
      </c>
      <c r="DO65" s="433">
        <v>0</v>
      </c>
      <c r="DP65" s="433">
        <v>0</v>
      </c>
      <c r="DR65" s="409" t="s">
        <v>711</v>
      </c>
      <c r="DS65" s="409" t="s">
        <v>2344</v>
      </c>
    </row>
    <row r="66" spans="2:123" s="1471" customFormat="1">
      <c r="B66" s="428">
        <v>41794.551079513891</v>
      </c>
      <c r="C66" s="429">
        <v>1.4178547314957801</v>
      </c>
      <c r="D66" s="429">
        <v>1.4161362314500576</v>
      </c>
      <c r="E66" s="429">
        <v>1.4341285416287053</v>
      </c>
      <c r="F66" s="429">
        <v>1.4042051844162011</v>
      </c>
      <c r="G66" s="429">
        <v>1.3727733462988843</v>
      </c>
      <c r="H66" s="429">
        <v>1.4095940453651772</v>
      </c>
      <c r="I66" s="429">
        <v>1.4328191893860449</v>
      </c>
      <c r="J66" s="429">
        <v>1.4802318153628948</v>
      </c>
      <c r="K66" s="429">
        <v>1.3675011651298783</v>
      </c>
      <c r="L66" s="429">
        <v>1.4457098609560444</v>
      </c>
      <c r="M66" s="429">
        <v>1.2414401355637241</v>
      </c>
      <c r="N66" s="429">
        <v>1.2032875047962963</v>
      </c>
      <c r="O66" s="429">
        <v>1.0287885455048233</v>
      </c>
      <c r="P66" s="429">
        <v>1.0778515871551861</v>
      </c>
      <c r="Q66" s="429">
        <v>2974.8301702822546</v>
      </c>
      <c r="R66" s="429">
        <v>16.218118966039356</v>
      </c>
      <c r="S66" s="429">
        <v>10.580734317155976</v>
      </c>
      <c r="T66" s="429">
        <v>3207.6574982309326</v>
      </c>
      <c r="U66" s="429">
        <v>3324.8211042979688</v>
      </c>
      <c r="V66" s="429">
        <v>3376.0323261277499</v>
      </c>
      <c r="W66" s="429">
        <v>813.50386892472147</v>
      </c>
      <c r="X66" s="429">
        <v>8.8137400755716477</v>
      </c>
      <c r="Y66" s="429">
        <v>9.2279454894925657</v>
      </c>
      <c r="Z66" s="429">
        <v>15.219383092097599</v>
      </c>
      <c r="AA66" s="429">
        <v>7.462679742504239</v>
      </c>
      <c r="AB66" s="429">
        <v>7.8015750811668099</v>
      </c>
      <c r="AC66" s="429">
        <v>3.8791005526562583</v>
      </c>
      <c r="AD66" s="429">
        <v>3.2916203966557833</v>
      </c>
      <c r="AE66" s="429">
        <v>0</v>
      </c>
      <c r="AF66" s="429">
        <v>0</v>
      </c>
      <c r="AG66" s="429">
        <v>0</v>
      </c>
      <c r="AH66" s="429">
        <v>2.966510375981307</v>
      </c>
      <c r="AI66" s="429">
        <v>6.3746285799797677</v>
      </c>
      <c r="AJ66" s="429">
        <v>6.1618628091128107</v>
      </c>
      <c r="AK66" s="429">
        <v>6.9986212253628715</v>
      </c>
      <c r="AL66" s="429">
        <v>0</v>
      </c>
      <c r="AM66" s="429">
        <v>0</v>
      </c>
      <c r="AN66" s="429">
        <v>0</v>
      </c>
      <c r="AO66" s="432"/>
      <c r="AP66" s="428">
        <v>41794.551079513891</v>
      </c>
      <c r="AQ66" s="431">
        <v>93.901112821567722</v>
      </c>
      <c r="AR66" s="431">
        <v>124.48038876723598</v>
      </c>
      <c r="AS66" s="431">
        <v>121.7897255693648</v>
      </c>
      <c r="AT66" s="431">
        <v>149.52217111961397</v>
      </c>
      <c r="AU66" s="431">
        <v>23.775693964552175</v>
      </c>
      <c r="AV66" s="431">
        <v>83.450007291166116</v>
      </c>
      <c r="AW66" s="431">
        <v>19.32345986862612</v>
      </c>
      <c r="AX66" s="431">
        <v>25.976119886346407</v>
      </c>
      <c r="AY66" s="431">
        <v>117.25033020390107</v>
      </c>
      <c r="AZ66" s="431">
        <v>-86.097793838503677</v>
      </c>
      <c r="BA66" s="431">
        <v>5.6918982179277053</v>
      </c>
      <c r="BB66" s="431">
        <v>2.5950752007907312</v>
      </c>
      <c r="BC66" s="431">
        <v>2.2214814684619042</v>
      </c>
      <c r="BD66" s="431">
        <v>67.625838268347948</v>
      </c>
      <c r="BE66" s="431">
        <v>364089.36095595371</v>
      </c>
      <c r="BF66" s="431">
        <v>8150.70926730271</v>
      </c>
      <c r="BG66" s="431">
        <v>1458.5738951802268</v>
      </c>
      <c r="BH66" s="431">
        <v>383261.24995149003</v>
      </c>
      <c r="BI66" s="431">
        <v>368841.17011890863</v>
      </c>
      <c r="BJ66" s="431">
        <v>69183.849900993984</v>
      </c>
      <c r="BK66" s="431">
        <v>343111.91841703339</v>
      </c>
      <c r="BL66" s="431">
        <v>2983.2525778819609</v>
      </c>
      <c r="BM66" s="431">
        <v>559.57120648543957</v>
      </c>
      <c r="BN66" s="431">
        <v>136.77965912654955</v>
      </c>
      <c r="BO66" s="431">
        <v>2440.8430182670586</v>
      </c>
      <c r="BP66" s="431">
        <v>457.83098712445053</v>
      </c>
      <c r="BQ66" s="431">
        <v>1611.7100219973186</v>
      </c>
      <c r="BR66" s="431">
        <v>828.07797681948819</v>
      </c>
      <c r="BS66" s="431">
        <v>0</v>
      </c>
      <c r="BT66" s="431">
        <v>0</v>
      </c>
      <c r="BU66" s="431">
        <v>0</v>
      </c>
      <c r="BV66" s="431">
        <v>772.40920709350462</v>
      </c>
      <c r="BW66" s="431">
        <v>1269.8141537291442</v>
      </c>
      <c r="BX66" s="431">
        <v>1180.5804740694155</v>
      </c>
      <c r="BY66" s="431">
        <v>976.78011825318777</v>
      </c>
      <c r="BZ66" s="431">
        <v>0</v>
      </c>
      <c r="CA66" s="431">
        <v>0</v>
      </c>
      <c r="CB66" s="431">
        <v>0</v>
      </c>
      <c r="CC66" s="432"/>
      <c r="CD66" s="428">
        <v>41794.551079513891</v>
      </c>
      <c r="CE66" s="433">
        <v>0.30887516912936769</v>
      </c>
      <c r="CF66" s="433">
        <v>0.21465334314226731</v>
      </c>
      <c r="CG66" s="433">
        <v>0.17822376316137725</v>
      </c>
      <c r="CH66" s="433">
        <v>0.1804430703502535</v>
      </c>
      <c r="CI66" s="433">
        <v>0.11969468358927447</v>
      </c>
      <c r="CJ66" s="433">
        <v>0.26218817202595668</v>
      </c>
      <c r="CK66" s="433">
        <v>0.26007046015078716</v>
      </c>
      <c r="CL66" s="433">
        <v>0.2795059670458605</v>
      </c>
      <c r="CM66" s="433">
        <v>0.20330349118764637</v>
      </c>
      <c r="CN66" s="433">
        <v>0.20405169784316468</v>
      </c>
      <c r="CO66" s="433">
        <v>0.6098978484120201</v>
      </c>
      <c r="CP66" s="433">
        <v>0.6472517576995086</v>
      </c>
      <c r="CQ66" s="433">
        <v>0.67663897658204775</v>
      </c>
      <c r="CR66" s="433">
        <v>0.41104225845250458</v>
      </c>
      <c r="CS66" s="433">
        <v>0.39443520669059223</v>
      </c>
      <c r="CT66" s="433">
        <v>0.447221292916757</v>
      </c>
      <c r="CU66" s="433">
        <v>0.3622790598707698</v>
      </c>
      <c r="CV66" s="433">
        <v>0.47604249083347333</v>
      </c>
      <c r="CW66" s="433">
        <v>0.4759898508915783</v>
      </c>
      <c r="CX66" s="433">
        <v>0.4007797062399322</v>
      </c>
      <c r="CY66" s="433">
        <v>0.40798711211863076</v>
      </c>
      <c r="CZ66" s="433">
        <v>0.29816004259848461</v>
      </c>
      <c r="DA66" s="433">
        <v>0.25104840798869349</v>
      </c>
      <c r="DB66" s="433">
        <v>0.80602184361489149</v>
      </c>
      <c r="DC66" s="433">
        <v>0.29816004259848461</v>
      </c>
      <c r="DD66" s="433">
        <v>0.25104840798869349</v>
      </c>
      <c r="DE66" s="433">
        <v>0.34680721234892764</v>
      </c>
      <c r="DF66" s="433">
        <v>0.40997005857291635</v>
      </c>
      <c r="DG66" s="433">
        <v>0</v>
      </c>
      <c r="DH66" s="433">
        <v>0</v>
      </c>
      <c r="DI66" s="433">
        <v>0</v>
      </c>
      <c r="DJ66" s="433">
        <v>0.35031031550396724</v>
      </c>
      <c r="DK66" s="433">
        <v>0.33543004792329517</v>
      </c>
      <c r="DL66" s="433">
        <v>0.2866175308668823</v>
      </c>
      <c r="DM66" s="433">
        <v>0.40997005857291635</v>
      </c>
      <c r="DN66" s="433">
        <v>0</v>
      </c>
      <c r="DO66" s="433">
        <v>0</v>
      </c>
      <c r="DP66" s="433">
        <v>0</v>
      </c>
      <c r="DR66" s="409" t="s">
        <v>711</v>
      </c>
      <c r="DS66" s="409" t="s">
        <v>2347</v>
      </c>
    </row>
    <row r="67" spans="2:123" s="1471" customFormat="1">
      <c r="B67" s="428">
        <v>41794.642275925929</v>
      </c>
      <c r="C67" s="429">
        <v>1.41785436336649</v>
      </c>
      <c r="D67" s="429">
        <v>1.4161355416935255</v>
      </c>
      <c r="E67" s="429">
        <v>1.4341276259604405</v>
      </c>
      <c r="F67" s="429">
        <v>1.4042045055857333</v>
      </c>
      <c r="G67" s="429">
        <v>1.3727733462988843</v>
      </c>
      <c r="H67" s="429">
        <v>1.4095938646857986</v>
      </c>
      <c r="I67" s="429">
        <v>1.4328207808360824</v>
      </c>
      <c r="J67" s="429">
        <v>1.4802318153628948</v>
      </c>
      <c r="K67" s="429">
        <v>1.3675000289882107</v>
      </c>
      <c r="L67" s="429">
        <v>1.445705329815091</v>
      </c>
      <c r="M67" s="429">
        <v>1.2414314796182744</v>
      </c>
      <c r="N67" s="429">
        <v>1.2032740652217033</v>
      </c>
      <c r="O67" s="429">
        <v>1.0287770407261205</v>
      </c>
      <c r="P67" s="429">
        <v>1.0778469070348959</v>
      </c>
      <c r="Q67" s="429">
        <v>2974.8268928277421</v>
      </c>
      <c r="R67" s="429">
        <v>16.218100080940367</v>
      </c>
      <c r="S67" s="429">
        <v>10.580769517182894</v>
      </c>
      <c r="T67" s="429">
        <v>3207.6540481951783</v>
      </c>
      <c r="U67" s="429">
        <v>3324.8196251332029</v>
      </c>
      <c r="V67" s="429">
        <v>3376.038720665988</v>
      </c>
      <c r="W67" s="429">
        <v>813.50377639918861</v>
      </c>
      <c r="X67" s="429">
        <v>8.8137281118255721</v>
      </c>
      <c r="Y67" s="429">
        <v>9.2279972096480947</v>
      </c>
      <c r="Z67" s="429">
        <v>15.2186747271026</v>
      </c>
      <c r="AA67" s="429">
        <v>7.4626699539847223</v>
      </c>
      <c r="AB67" s="429">
        <v>7.8016173976576972</v>
      </c>
      <c r="AC67" s="429">
        <v>3.8790846157971108</v>
      </c>
      <c r="AD67" s="429">
        <v>3.2916171159605354</v>
      </c>
      <c r="AE67" s="429">
        <v>0</v>
      </c>
      <c r="AF67" s="429">
        <v>0</v>
      </c>
      <c r="AG67" s="429">
        <v>0</v>
      </c>
      <c r="AH67" s="429">
        <v>2.9665029959951403</v>
      </c>
      <c r="AI67" s="429">
        <v>6.3746235568568013</v>
      </c>
      <c r="AJ67" s="429">
        <v>6.1618515095024522</v>
      </c>
      <c r="AK67" s="429">
        <v>6.9986173614221281</v>
      </c>
      <c r="AL67" s="429">
        <v>0</v>
      </c>
      <c r="AM67" s="429">
        <v>0</v>
      </c>
      <c r="AN67" s="429">
        <v>0</v>
      </c>
      <c r="AO67" s="432"/>
      <c r="AP67" s="428">
        <v>41794.642275925929</v>
      </c>
      <c r="AQ67" s="431">
        <v>93.901492589250566</v>
      </c>
      <c r="AR67" s="431">
        <v>124.48110033039301</v>
      </c>
      <c r="AS67" s="431">
        <v>121.79067018644471</v>
      </c>
      <c r="AT67" s="431">
        <v>149.52287141127968</v>
      </c>
      <c r="AU67" s="431">
        <v>23.775693964552175</v>
      </c>
      <c r="AV67" s="431">
        <v>83.450193682715977</v>
      </c>
      <c r="AW67" s="431">
        <v>19.321818104959654</v>
      </c>
      <c r="AX67" s="431">
        <v>25.976119886346407</v>
      </c>
      <c r="AY67" s="431">
        <v>117.25150226464184</v>
      </c>
      <c r="AZ67" s="431">
        <v>-86.093119445711579</v>
      </c>
      <c r="BA67" s="431">
        <v>5.7008278207443066</v>
      </c>
      <c r="BB67" s="431">
        <v>2.6089396669932015</v>
      </c>
      <c r="BC67" s="431">
        <v>2.2333499702800856</v>
      </c>
      <c r="BD67" s="431">
        <v>67.630666350452842</v>
      </c>
      <c r="BE67" s="431">
        <v>364092.74202705867</v>
      </c>
      <c r="BF67" s="431">
        <v>8150.728749453343</v>
      </c>
      <c r="BG67" s="431">
        <v>1458.537582305876</v>
      </c>
      <c r="BH67" s="431">
        <v>383264.80905998591</v>
      </c>
      <c r="BI67" s="431">
        <v>368842.6960474092</v>
      </c>
      <c r="BJ67" s="431">
        <v>69177.253199686776</v>
      </c>
      <c r="BK67" s="431">
        <v>343112.01386775728</v>
      </c>
      <c r="BL67" s="431">
        <v>2983.2649198613867</v>
      </c>
      <c r="BM67" s="431">
        <v>559.51785119927683</v>
      </c>
      <c r="BN67" s="431">
        <v>137.51041905233805</v>
      </c>
      <c r="BO67" s="431">
        <v>2440.8531162502254</v>
      </c>
      <c r="BP67" s="431">
        <v>457.78733279940826</v>
      </c>
      <c r="BQ67" s="431">
        <v>1611.7264626996259</v>
      </c>
      <c r="BR67" s="431">
        <v>828.08136123378415</v>
      </c>
      <c r="BS67" s="431">
        <v>0</v>
      </c>
      <c r="BT67" s="431">
        <v>0</v>
      </c>
      <c r="BU67" s="431">
        <v>0</v>
      </c>
      <c r="BV67" s="431">
        <v>772.41682039763691</v>
      </c>
      <c r="BW67" s="431">
        <v>1269.8193356579407</v>
      </c>
      <c r="BX67" s="431">
        <v>1180.5921309165001</v>
      </c>
      <c r="BY67" s="431">
        <v>976.78410435226203</v>
      </c>
      <c r="BZ67" s="431">
        <v>0</v>
      </c>
      <c r="CA67" s="431">
        <v>0</v>
      </c>
      <c r="CB67" s="431">
        <v>0</v>
      </c>
      <c r="CC67" s="432"/>
      <c r="CD67" s="428">
        <v>41794.642275925929</v>
      </c>
      <c r="CE67" s="433">
        <v>0.30887516912936769</v>
      </c>
      <c r="CF67" s="433">
        <v>0.21465334314226731</v>
      </c>
      <c r="CG67" s="433">
        <v>0.17822376316137725</v>
      </c>
      <c r="CH67" s="433">
        <v>0.1804430703502535</v>
      </c>
      <c r="CI67" s="433">
        <v>0.11969468358927447</v>
      </c>
      <c r="CJ67" s="433">
        <v>0.26218817202595668</v>
      </c>
      <c r="CK67" s="433">
        <v>0.26007046015078716</v>
      </c>
      <c r="CL67" s="433">
        <v>0.2795059670458605</v>
      </c>
      <c r="CM67" s="433">
        <v>0.20330349118764637</v>
      </c>
      <c r="CN67" s="433">
        <v>0.20405169784316468</v>
      </c>
      <c r="CO67" s="433">
        <v>0.6098978484120201</v>
      </c>
      <c r="CP67" s="433">
        <v>0.6472517576995086</v>
      </c>
      <c r="CQ67" s="433">
        <v>0.67663897658204775</v>
      </c>
      <c r="CR67" s="433">
        <v>0.41104225845250458</v>
      </c>
      <c r="CS67" s="433">
        <v>0.39443520669059223</v>
      </c>
      <c r="CT67" s="433">
        <v>0.447221292916757</v>
      </c>
      <c r="CU67" s="433">
        <v>0.3622790598707698</v>
      </c>
      <c r="CV67" s="433">
        <v>0.47604249083347333</v>
      </c>
      <c r="CW67" s="433">
        <v>0.4759898508915783</v>
      </c>
      <c r="CX67" s="433">
        <v>0.4007797062399322</v>
      </c>
      <c r="CY67" s="433">
        <v>0.40798711211863076</v>
      </c>
      <c r="CZ67" s="433">
        <v>0.29816004259848461</v>
      </c>
      <c r="DA67" s="433">
        <v>0.25104840798869349</v>
      </c>
      <c r="DB67" s="433">
        <v>0.80602184361489149</v>
      </c>
      <c r="DC67" s="433">
        <v>0.29816004259848461</v>
      </c>
      <c r="DD67" s="433">
        <v>0.25104840798869349</v>
      </c>
      <c r="DE67" s="433">
        <v>0.34680721234892764</v>
      </c>
      <c r="DF67" s="433">
        <v>0.40997005857291635</v>
      </c>
      <c r="DG67" s="433">
        <v>0</v>
      </c>
      <c r="DH67" s="433">
        <v>0</v>
      </c>
      <c r="DI67" s="433">
        <v>0</v>
      </c>
      <c r="DJ67" s="433">
        <v>0.35031031550396724</v>
      </c>
      <c r="DK67" s="433">
        <v>0.33543004792329517</v>
      </c>
      <c r="DL67" s="433">
        <v>0.2866175308668823</v>
      </c>
      <c r="DM67" s="433">
        <v>0.40997005857291635</v>
      </c>
      <c r="DN67" s="433">
        <v>0</v>
      </c>
      <c r="DO67" s="433">
        <v>0</v>
      </c>
      <c r="DP67" s="433">
        <v>0</v>
      </c>
      <c r="DR67" s="409" t="s">
        <v>711</v>
      </c>
      <c r="DS67" s="409" t="s">
        <v>2367</v>
      </c>
    </row>
    <row r="68" spans="2:123" s="1471" customFormat="1">
      <c r="B68" s="428">
        <v>41794.647984027775</v>
      </c>
      <c r="C68" s="429">
        <v>1.41785436336649</v>
      </c>
      <c r="D68" s="429">
        <v>1.4161355416935255</v>
      </c>
      <c r="E68" s="429">
        <v>1.4341276259604405</v>
      </c>
      <c r="F68" s="429">
        <v>1.4042045055857333</v>
      </c>
      <c r="G68" s="429">
        <v>1.3727733462988843</v>
      </c>
      <c r="H68" s="429">
        <v>1.4095938646857986</v>
      </c>
      <c r="I68" s="429">
        <v>1.4328207808360824</v>
      </c>
      <c r="J68" s="429">
        <v>1.4802318153628948</v>
      </c>
      <c r="K68" s="429">
        <v>1.3675000289882107</v>
      </c>
      <c r="L68" s="429">
        <v>1.445705329815091</v>
      </c>
      <c r="M68" s="429">
        <v>1.2414487308700253</v>
      </c>
      <c r="N68" s="429">
        <v>1.2033008502200693</v>
      </c>
      <c r="O68" s="429">
        <v>1.0287999696869017</v>
      </c>
      <c r="P68" s="429">
        <v>1.0778554920871577</v>
      </c>
      <c r="Q68" s="429">
        <v>2974.8268928277421</v>
      </c>
      <c r="R68" s="429">
        <v>16.218100080940367</v>
      </c>
      <c r="S68" s="429">
        <v>10.580769517182894</v>
      </c>
      <c r="T68" s="429">
        <v>3207.6540481951783</v>
      </c>
      <c r="U68" s="429">
        <v>3324.8196251332029</v>
      </c>
      <c r="V68" s="429">
        <v>3376.038720665988</v>
      </c>
      <c r="W68" s="429">
        <v>813.50377639918861</v>
      </c>
      <c r="X68" s="429">
        <v>8.8137281118255721</v>
      </c>
      <c r="Y68" s="429">
        <v>9.2279972096480947</v>
      </c>
      <c r="Z68" s="429">
        <v>15.220086494647948</v>
      </c>
      <c r="AA68" s="429">
        <v>7.4626699539847223</v>
      </c>
      <c r="AB68" s="429">
        <v>7.8016173976576972</v>
      </c>
      <c r="AC68" s="429">
        <v>3.8790846157971108</v>
      </c>
      <c r="AD68" s="429">
        <v>3.2916171159605354</v>
      </c>
      <c r="AE68" s="429">
        <v>0</v>
      </c>
      <c r="AF68" s="429">
        <v>0</v>
      </c>
      <c r="AG68" s="429">
        <v>0</v>
      </c>
      <c r="AH68" s="429">
        <v>2.9665029959951403</v>
      </c>
      <c r="AI68" s="429">
        <v>6.3746235568568013</v>
      </c>
      <c r="AJ68" s="429">
        <v>6.1618515095024522</v>
      </c>
      <c r="AK68" s="429">
        <v>6.9986173614221281</v>
      </c>
      <c r="AL68" s="429">
        <v>0</v>
      </c>
      <c r="AM68" s="429">
        <v>0</v>
      </c>
      <c r="AN68" s="429">
        <v>0</v>
      </c>
      <c r="AO68" s="432"/>
      <c r="AP68" s="428">
        <v>41794.647984027775</v>
      </c>
      <c r="AQ68" s="431">
        <v>93.901492589250566</v>
      </c>
      <c r="AR68" s="431">
        <v>124.48110033039301</v>
      </c>
      <c r="AS68" s="431">
        <v>121.79067018644471</v>
      </c>
      <c r="AT68" s="431">
        <v>149.52287141127968</v>
      </c>
      <c r="AU68" s="431">
        <v>23.775693964552175</v>
      </c>
      <c r="AV68" s="431">
        <v>83.450193682715977</v>
      </c>
      <c r="AW68" s="431">
        <v>19.321818104959654</v>
      </c>
      <c r="AX68" s="431">
        <v>25.976119886346407</v>
      </c>
      <c r="AY68" s="431">
        <v>117.25150226464184</v>
      </c>
      <c r="AZ68" s="431">
        <v>-86.093119445711579</v>
      </c>
      <c r="BA68" s="431">
        <v>5.7717109846815351</v>
      </c>
      <c r="BB68" s="431">
        <v>2.7189957636546107</v>
      </c>
      <c r="BC68" s="431">
        <v>2.3275621068494132</v>
      </c>
      <c r="BD68" s="431">
        <v>67.665941220687017</v>
      </c>
      <c r="BE68" s="431">
        <v>364092.74202705867</v>
      </c>
      <c r="BF68" s="431">
        <v>8150.728749453343</v>
      </c>
      <c r="BG68" s="431">
        <v>1458.537582305876</v>
      </c>
      <c r="BH68" s="431">
        <v>383264.80905998591</v>
      </c>
      <c r="BI68" s="431">
        <v>368842.6960474092</v>
      </c>
      <c r="BJ68" s="431">
        <v>69177.253199686776</v>
      </c>
      <c r="BK68" s="431">
        <v>343112.01386775728</v>
      </c>
      <c r="BL68" s="431">
        <v>2983.2649198613867</v>
      </c>
      <c r="BM68" s="431">
        <v>559.51785119927683</v>
      </c>
      <c r="BN68" s="431">
        <v>143.31118944294533</v>
      </c>
      <c r="BO68" s="431">
        <v>2440.8531162502254</v>
      </c>
      <c r="BP68" s="431">
        <v>457.78733279940826</v>
      </c>
      <c r="BQ68" s="431">
        <v>1611.7264626996259</v>
      </c>
      <c r="BR68" s="431">
        <v>828.08136123378415</v>
      </c>
      <c r="BS68" s="431">
        <v>0</v>
      </c>
      <c r="BT68" s="431">
        <v>0</v>
      </c>
      <c r="BU68" s="431">
        <v>0</v>
      </c>
      <c r="BV68" s="431">
        <v>772.41682039763691</v>
      </c>
      <c r="BW68" s="431">
        <v>1269.8193356579407</v>
      </c>
      <c r="BX68" s="431">
        <v>1180.5921309165001</v>
      </c>
      <c r="BY68" s="431">
        <v>976.78410435226203</v>
      </c>
      <c r="BZ68" s="431">
        <v>0</v>
      </c>
      <c r="CA68" s="431">
        <v>0</v>
      </c>
      <c r="CB68" s="431">
        <v>0</v>
      </c>
      <c r="CC68" s="432"/>
      <c r="CD68" s="428">
        <v>41794.647984027775</v>
      </c>
      <c r="CE68" s="433">
        <v>0.30887516912936769</v>
      </c>
      <c r="CF68" s="433">
        <v>0.21465334314226731</v>
      </c>
      <c r="CG68" s="433">
        <v>0.17822376316137725</v>
      </c>
      <c r="CH68" s="433">
        <v>0.1804430703502535</v>
      </c>
      <c r="CI68" s="433">
        <v>0.11969468358927447</v>
      </c>
      <c r="CJ68" s="433">
        <v>0.26218817202595668</v>
      </c>
      <c r="CK68" s="433">
        <v>0.26007046015078716</v>
      </c>
      <c r="CL68" s="433">
        <v>0.2795059670458605</v>
      </c>
      <c r="CM68" s="433">
        <v>0.20330349118764637</v>
      </c>
      <c r="CN68" s="433">
        <v>0.20405169784316468</v>
      </c>
      <c r="CO68" s="433">
        <v>0.6098978484120201</v>
      </c>
      <c r="CP68" s="433">
        <v>0.6472517576995086</v>
      </c>
      <c r="CQ68" s="433">
        <v>0.67663897658204775</v>
      </c>
      <c r="CR68" s="433">
        <v>0.41104225845250458</v>
      </c>
      <c r="CS68" s="433">
        <v>0.39443520669059223</v>
      </c>
      <c r="CT68" s="433">
        <v>0.447221292916757</v>
      </c>
      <c r="CU68" s="433">
        <v>0.3622790598707698</v>
      </c>
      <c r="CV68" s="433">
        <v>0.47604249083347333</v>
      </c>
      <c r="CW68" s="433">
        <v>0.4759898508915783</v>
      </c>
      <c r="CX68" s="433">
        <v>0.4007797062399322</v>
      </c>
      <c r="CY68" s="433">
        <v>0.40798711211863076</v>
      </c>
      <c r="CZ68" s="433">
        <v>0.29816004259848461</v>
      </c>
      <c r="DA68" s="433">
        <v>0.25104840798869349</v>
      </c>
      <c r="DB68" s="433">
        <v>0.80602184361489149</v>
      </c>
      <c r="DC68" s="433">
        <v>0.29816004259848461</v>
      </c>
      <c r="DD68" s="433">
        <v>0.25104840798869349</v>
      </c>
      <c r="DE68" s="433">
        <v>0.34680721234892764</v>
      </c>
      <c r="DF68" s="433">
        <v>0.40997005857291635</v>
      </c>
      <c r="DG68" s="433">
        <v>0</v>
      </c>
      <c r="DH68" s="433">
        <v>0</v>
      </c>
      <c r="DI68" s="433">
        <v>0</v>
      </c>
      <c r="DJ68" s="433">
        <v>0.35031031550396724</v>
      </c>
      <c r="DK68" s="433">
        <v>0.33543004792329517</v>
      </c>
      <c r="DL68" s="433">
        <v>0.2866175308668823</v>
      </c>
      <c r="DM68" s="433">
        <v>0.40997005857291635</v>
      </c>
      <c r="DN68" s="433">
        <v>0</v>
      </c>
      <c r="DO68" s="433">
        <v>0</v>
      </c>
      <c r="DP68" s="433">
        <v>0</v>
      </c>
      <c r="DR68" s="409" t="s">
        <v>711</v>
      </c>
      <c r="DS68" s="409" t="s">
        <v>2371</v>
      </c>
    </row>
    <row r="69" spans="2:123" s="1471" customFormat="1">
      <c r="B69" s="428">
        <v>41794.651405787037</v>
      </c>
      <c r="C69" s="429">
        <v>1.41785436336649</v>
      </c>
      <c r="D69" s="429">
        <v>1.4161355416935255</v>
      </c>
      <c r="E69" s="429">
        <v>1.4342666289793486</v>
      </c>
      <c r="F69" s="429">
        <v>1.4041605388295761</v>
      </c>
      <c r="G69" s="429">
        <v>1.372503722486772</v>
      </c>
      <c r="H69" s="429">
        <v>1.409614485079129</v>
      </c>
      <c r="I69" s="429">
        <v>1.4326598286885686</v>
      </c>
      <c r="J69" s="429">
        <v>1.4799784457802556</v>
      </c>
      <c r="K69" s="429">
        <v>1.3675000289882107</v>
      </c>
      <c r="L69" s="429">
        <v>1.4457755220331778</v>
      </c>
      <c r="M69" s="429">
        <v>1.24140575825827</v>
      </c>
      <c r="N69" s="429">
        <v>1.2033008502200693</v>
      </c>
      <c r="O69" s="429">
        <v>1.0287999696869017</v>
      </c>
      <c r="P69" s="429">
        <v>1.0778554920871577</v>
      </c>
      <c r="Q69" s="429">
        <v>2974.8268928277421</v>
      </c>
      <c r="R69" s="429">
        <v>16.218100080940367</v>
      </c>
      <c r="S69" s="429">
        <v>10.567211220601745</v>
      </c>
      <c r="T69" s="429">
        <v>3207.6540481951783</v>
      </c>
      <c r="U69" s="429">
        <v>3324.8196251332029</v>
      </c>
      <c r="V69" s="429">
        <v>3375.392005634103</v>
      </c>
      <c r="W69" s="429">
        <v>813.50377639918861</v>
      </c>
      <c r="X69" s="429">
        <v>8.8137281118255721</v>
      </c>
      <c r="Y69" s="429">
        <v>9.2227664641610794</v>
      </c>
      <c r="Z69" s="429">
        <v>15.220086494647948</v>
      </c>
      <c r="AA69" s="429">
        <v>7.4626699539847223</v>
      </c>
      <c r="AB69" s="429">
        <v>7.7973376968046848</v>
      </c>
      <c r="AC69" s="429">
        <v>3.8790846157971108</v>
      </c>
      <c r="AD69" s="429">
        <v>3.2916171159605354</v>
      </c>
      <c r="AE69" s="429">
        <v>0</v>
      </c>
      <c r="AF69" s="429">
        <v>0</v>
      </c>
      <c r="AG69" s="429">
        <v>0</v>
      </c>
      <c r="AH69" s="429">
        <v>2.9665029959951403</v>
      </c>
      <c r="AI69" s="429">
        <v>6.3746235568568013</v>
      </c>
      <c r="AJ69" s="429">
        <v>6.1618515095024522</v>
      </c>
      <c r="AK69" s="429">
        <v>6.9986173614221281</v>
      </c>
      <c r="AL69" s="429">
        <v>0</v>
      </c>
      <c r="AM69" s="429">
        <v>0</v>
      </c>
      <c r="AN69" s="429">
        <v>0</v>
      </c>
      <c r="AO69" s="432"/>
      <c r="AP69" s="428">
        <v>41794.651405787037</v>
      </c>
      <c r="AQ69" s="431">
        <v>93.901492589250566</v>
      </c>
      <c r="AR69" s="431">
        <v>124.48110033039301</v>
      </c>
      <c r="AS69" s="431">
        <v>122.09011257573411</v>
      </c>
      <c r="AT69" s="431">
        <v>149.42815756537627</v>
      </c>
      <c r="AU69" s="431">
        <v>23.194866302373534</v>
      </c>
      <c r="AV69" s="431">
        <v>83.494614443469573</v>
      </c>
      <c r="AW69" s="431">
        <v>18.975092573446741</v>
      </c>
      <c r="AX69" s="431">
        <v>25.430307329218532</v>
      </c>
      <c r="AY69" s="431">
        <v>117.25150226464184</v>
      </c>
      <c r="AZ69" s="431">
        <v>-85.941910316164822</v>
      </c>
      <c r="BA69" s="431">
        <v>5.6791387395672084</v>
      </c>
      <c r="BB69" s="431">
        <v>2.7189957636546107</v>
      </c>
      <c r="BC69" s="431">
        <v>2.3275621068494132</v>
      </c>
      <c r="BD69" s="431">
        <v>67.665941220687017</v>
      </c>
      <c r="BE69" s="431">
        <v>364092.74202705867</v>
      </c>
      <c r="BF69" s="431">
        <v>8150.728749453343</v>
      </c>
      <c r="BG69" s="431">
        <v>1429.3300963473416</v>
      </c>
      <c r="BH69" s="431">
        <v>383264.80905998591</v>
      </c>
      <c r="BI69" s="431">
        <v>368842.6960474092</v>
      </c>
      <c r="BJ69" s="431">
        <v>67784.089973031587</v>
      </c>
      <c r="BK69" s="431">
        <v>343112.01386775728</v>
      </c>
      <c r="BL69" s="431">
        <v>2983.2649198613867</v>
      </c>
      <c r="BM69" s="431">
        <v>548.24970077564194</v>
      </c>
      <c r="BN69" s="431">
        <v>143.31118944294533</v>
      </c>
      <c r="BO69" s="431">
        <v>2440.8531162502254</v>
      </c>
      <c r="BP69" s="431">
        <v>448.56793699825238</v>
      </c>
      <c r="BQ69" s="431">
        <v>1611.7264626996259</v>
      </c>
      <c r="BR69" s="431">
        <v>828.08136123378415</v>
      </c>
      <c r="BS69" s="431">
        <v>0</v>
      </c>
      <c r="BT69" s="431">
        <v>0</v>
      </c>
      <c r="BU69" s="431">
        <v>0</v>
      </c>
      <c r="BV69" s="431">
        <v>772.41682039763691</v>
      </c>
      <c r="BW69" s="431">
        <v>1269.8193356579407</v>
      </c>
      <c r="BX69" s="431">
        <v>1180.5921309165001</v>
      </c>
      <c r="BY69" s="431">
        <v>976.78410435226203</v>
      </c>
      <c r="BZ69" s="431">
        <v>0</v>
      </c>
      <c r="CA69" s="431">
        <v>0</v>
      </c>
      <c r="CB69" s="431">
        <v>0</v>
      </c>
      <c r="CC69" s="432"/>
      <c r="CD69" s="428">
        <v>41794.651405787037</v>
      </c>
      <c r="CE69" s="433">
        <v>0.30887516912936769</v>
      </c>
      <c r="CF69" s="433">
        <v>0.21465334314226731</v>
      </c>
      <c r="CG69" s="433">
        <v>0.17822376316137725</v>
      </c>
      <c r="CH69" s="433">
        <v>0.1804430703502535</v>
      </c>
      <c r="CI69" s="433">
        <v>0.11969468358927447</v>
      </c>
      <c r="CJ69" s="433">
        <v>0.26218817202595668</v>
      </c>
      <c r="CK69" s="433">
        <v>0.26007046015078716</v>
      </c>
      <c r="CL69" s="433">
        <v>0.2795059670458605</v>
      </c>
      <c r="CM69" s="433">
        <v>0.20330349118764637</v>
      </c>
      <c r="CN69" s="433">
        <v>0.20405169784316468</v>
      </c>
      <c r="CO69" s="433">
        <v>0.6098978484120201</v>
      </c>
      <c r="CP69" s="433">
        <v>0.6472517576995086</v>
      </c>
      <c r="CQ69" s="433">
        <v>0.67663897658204775</v>
      </c>
      <c r="CR69" s="433">
        <v>0.41104225845250458</v>
      </c>
      <c r="CS69" s="433">
        <v>0.39443520669059223</v>
      </c>
      <c r="CT69" s="433">
        <v>0.447221292916757</v>
      </c>
      <c r="CU69" s="433">
        <v>0.3622790598707698</v>
      </c>
      <c r="CV69" s="433">
        <v>0.47604249083347333</v>
      </c>
      <c r="CW69" s="433">
        <v>0.4759898508915783</v>
      </c>
      <c r="CX69" s="433">
        <v>0.4007797062399322</v>
      </c>
      <c r="CY69" s="433">
        <v>0.40798711211863076</v>
      </c>
      <c r="CZ69" s="433">
        <v>0.29816004259848461</v>
      </c>
      <c r="DA69" s="433">
        <v>0.25104840798869349</v>
      </c>
      <c r="DB69" s="433">
        <v>0.80602184361489149</v>
      </c>
      <c r="DC69" s="433">
        <v>0.29816004259848461</v>
      </c>
      <c r="DD69" s="433">
        <v>0.25104840798869349</v>
      </c>
      <c r="DE69" s="433">
        <v>0.34680721234892764</v>
      </c>
      <c r="DF69" s="433">
        <v>0.40997005857291635</v>
      </c>
      <c r="DG69" s="433">
        <v>0</v>
      </c>
      <c r="DH69" s="433">
        <v>0</v>
      </c>
      <c r="DI69" s="433">
        <v>0</v>
      </c>
      <c r="DJ69" s="433">
        <v>0.35031031550396724</v>
      </c>
      <c r="DK69" s="433">
        <v>0.33543004792329517</v>
      </c>
      <c r="DL69" s="433">
        <v>0.2866175308668823</v>
      </c>
      <c r="DM69" s="433">
        <v>0.40997005857291635</v>
      </c>
      <c r="DN69" s="433">
        <v>0</v>
      </c>
      <c r="DO69" s="433">
        <v>0</v>
      </c>
      <c r="DP69" s="433">
        <v>0</v>
      </c>
      <c r="DR69" s="409" t="s">
        <v>711</v>
      </c>
      <c r="DS69" s="409" t="s">
        <v>2375</v>
      </c>
    </row>
    <row r="70" spans="2:123" s="1471" customFormat="1">
      <c r="B70" s="428">
        <v>41794.662431828707</v>
      </c>
      <c r="C70" s="429">
        <v>1.41785436336649</v>
      </c>
      <c r="D70" s="429">
        <v>1.4161355416935255</v>
      </c>
      <c r="E70" s="429">
        <v>1.4253361348948801</v>
      </c>
      <c r="F70" s="429">
        <v>1.4041605388295761</v>
      </c>
      <c r="G70" s="429">
        <v>1.372503722486772</v>
      </c>
      <c r="H70" s="429">
        <v>1.4086280978382346</v>
      </c>
      <c r="I70" s="429">
        <v>1.4326598286885686</v>
      </c>
      <c r="J70" s="429">
        <v>1.4799784457802556</v>
      </c>
      <c r="K70" s="429">
        <v>1.3675000289882107</v>
      </c>
      <c r="L70" s="429">
        <v>1.4457755220331778</v>
      </c>
      <c r="M70" s="429">
        <v>1.24140575825827</v>
      </c>
      <c r="N70" s="429">
        <v>1.2033008502200693</v>
      </c>
      <c r="O70" s="429">
        <v>1.0287999696869017</v>
      </c>
      <c r="P70" s="429">
        <v>1.0778554920871577</v>
      </c>
      <c r="Q70" s="429">
        <v>2974.8268928277421</v>
      </c>
      <c r="R70" s="429">
        <v>16.218100080940367</v>
      </c>
      <c r="S70" s="429">
        <v>10.567211220601745</v>
      </c>
      <c r="T70" s="429">
        <v>3207.6540481951783</v>
      </c>
      <c r="U70" s="429">
        <v>3324.8196251332029</v>
      </c>
      <c r="V70" s="429">
        <v>3375.392005634103</v>
      </c>
      <c r="W70" s="429">
        <v>813.50377639918861</v>
      </c>
      <c r="X70" s="429">
        <v>8.8137281118255721</v>
      </c>
      <c r="Y70" s="429">
        <v>9.2227664641610794</v>
      </c>
      <c r="Z70" s="429">
        <v>15.220086494647948</v>
      </c>
      <c r="AA70" s="429">
        <v>7.4626699539847223</v>
      </c>
      <c r="AB70" s="429">
        <v>7.7973376968046848</v>
      </c>
      <c r="AC70" s="429">
        <v>3.8790846157971108</v>
      </c>
      <c r="AD70" s="429">
        <v>3.2916171159605354</v>
      </c>
      <c r="AE70" s="429">
        <v>0</v>
      </c>
      <c r="AF70" s="429">
        <v>0</v>
      </c>
      <c r="AG70" s="429">
        <v>0</v>
      </c>
      <c r="AH70" s="429">
        <v>2.9665029959951403</v>
      </c>
      <c r="AI70" s="429">
        <v>6.3746235568568013</v>
      </c>
      <c r="AJ70" s="429">
        <v>6.1618515095024522</v>
      </c>
      <c r="AK70" s="429">
        <v>6.9986173614221281</v>
      </c>
      <c r="AL70" s="429">
        <v>0</v>
      </c>
      <c r="AM70" s="429">
        <v>0</v>
      </c>
      <c r="AN70" s="429">
        <v>0</v>
      </c>
      <c r="AO70" s="432"/>
      <c r="AP70" s="428">
        <v>41794.662431828707</v>
      </c>
      <c r="AQ70" s="431">
        <v>93.901492589250566</v>
      </c>
      <c r="AR70" s="431">
        <v>124.48110033039301</v>
      </c>
      <c r="AS70" s="431">
        <v>85.39586653686456</v>
      </c>
      <c r="AT70" s="431">
        <v>149.42815756537627</v>
      </c>
      <c r="AU70" s="431">
        <v>23.194866302373534</v>
      </c>
      <c r="AV70" s="431">
        <v>79.441676748798656</v>
      </c>
      <c r="AW70" s="431">
        <v>18.975092573446741</v>
      </c>
      <c r="AX70" s="431">
        <v>25.430307329218532</v>
      </c>
      <c r="AY70" s="431">
        <v>117.25150226464184</v>
      </c>
      <c r="AZ70" s="431">
        <v>-85.941910316164822</v>
      </c>
      <c r="BA70" s="431">
        <v>5.6791387395672084</v>
      </c>
      <c r="BB70" s="431">
        <v>2.7189957636546107</v>
      </c>
      <c r="BC70" s="431">
        <v>2.3275621068494132</v>
      </c>
      <c r="BD70" s="431">
        <v>67.665941220687017</v>
      </c>
      <c r="BE70" s="431">
        <v>364092.74202705867</v>
      </c>
      <c r="BF70" s="431">
        <v>8150.728749453343</v>
      </c>
      <c r="BG70" s="431">
        <v>1429.3300963473416</v>
      </c>
      <c r="BH70" s="431">
        <v>383264.80905998591</v>
      </c>
      <c r="BI70" s="431">
        <v>368842.6960474092</v>
      </c>
      <c r="BJ70" s="431">
        <v>67784.089973031587</v>
      </c>
      <c r="BK70" s="431">
        <v>343112.01386775728</v>
      </c>
      <c r="BL70" s="431">
        <v>2983.2649198613867</v>
      </c>
      <c r="BM70" s="431">
        <v>548.24970077564194</v>
      </c>
      <c r="BN70" s="431">
        <v>143.31118944294533</v>
      </c>
      <c r="BO70" s="431">
        <v>2440.8531162502254</v>
      </c>
      <c r="BP70" s="431">
        <v>448.56793699825238</v>
      </c>
      <c r="BQ70" s="431">
        <v>1611.7264626996259</v>
      </c>
      <c r="BR70" s="431">
        <v>828.08136123378415</v>
      </c>
      <c r="BS70" s="431">
        <v>0</v>
      </c>
      <c r="BT70" s="431">
        <v>0</v>
      </c>
      <c r="BU70" s="431">
        <v>0</v>
      </c>
      <c r="BV70" s="431">
        <v>772.41682039763691</v>
      </c>
      <c r="BW70" s="431">
        <v>1269.8193356579407</v>
      </c>
      <c r="BX70" s="431">
        <v>1180.5921309165001</v>
      </c>
      <c r="BY70" s="431">
        <v>976.78410435226203</v>
      </c>
      <c r="BZ70" s="431">
        <v>0</v>
      </c>
      <c r="CA70" s="431">
        <v>0</v>
      </c>
      <c r="CB70" s="431">
        <v>0</v>
      </c>
      <c r="CC70" s="432"/>
      <c r="CD70" s="428">
        <v>41794.662431828707</v>
      </c>
      <c r="CE70" s="433">
        <v>0.30887516912936769</v>
      </c>
      <c r="CF70" s="433">
        <v>0.21465334314226731</v>
      </c>
      <c r="CG70" s="433">
        <v>0.17822376316137725</v>
      </c>
      <c r="CH70" s="433">
        <v>0.1804430703502535</v>
      </c>
      <c r="CI70" s="433">
        <v>0.11969468358927447</v>
      </c>
      <c r="CJ70" s="433">
        <v>0.26218817202595668</v>
      </c>
      <c r="CK70" s="433">
        <v>0.26007046015078716</v>
      </c>
      <c r="CL70" s="433">
        <v>0.2795059670458605</v>
      </c>
      <c r="CM70" s="433">
        <v>0.20330349118764637</v>
      </c>
      <c r="CN70" s="433">
        <v>0.20405169784316468</v>
      </c>
      <c r="CO70" s="433">
        <v>0.6098978484120201</v>
      </c>
      <c r="CP70" s="433">
        <v>0.6472517576995086</v>
      </c>
      <c r="CQ70" s="433">
        <v>0.67663897658204775</v>
      </c>
      <c r="CR70" s="433">
        <v>0.41104225845250458</v>
      </c>
      <c r="CS70" s="433">
        <v>0.39443520669059223</v>
      </c>
      <c r="CT70" s="433">
        <v>0.447221292916757</v>
      </c>
      <c r="CU70" s="433">
        <v>0.3622790598707698</v>
      </c>
      <c r="CV70" s="433">
        <v>0.47604249083347333</v>
      </c>
      <c r="CW70" s="433">
        <v>0.4759898508915783</v>
      </c>
      <c r="CX70" s="433">
        <v>0.4007797062399322</v>
      </c>
      <c r="CY70" s="433">
        <v>0.40798711211863076</v>
      </c>
      <c r="CZ70" s="433">
        <v>0.29816004259848461</v>
      </c>
      <c r="DA70" s="433">
        <v>0.25104840798869349</v>
      </c>
      <c r="DB70" s="433">
        <v>0.80602184361489149</v>
      </c>
      <c r="DC70" s="433">
        <v>0.29816004259848461</v>
      </c>
      <c r="DD70" s="433">
        <v>0.25104840798869349</v>
      </c>
      <c r="DE70" s="433">
        <v>0.34680721234892764</v>
      </c>
      <c r="DF70" s="433">
        <v>0.40997005857291635</v>
      </c>
      <c r="DG70" s="433">
        <v>0</v>
      </c>
      <c r="DH70" s="433">
        <v>0</v>
      </c>
      <c r="DI70" s="433">
        <v>0</v>
      </c>
      <c r="DJ70" s="433">
        <v>0.35031031550396724</v>
      </c>
      <c r="DK70" s="433">
        <v>0.33543004792329517</v>
      </c>
      <c r="DL70" s="433">
        <v>0.2866175308668823</v>
      </c>
      <c r="DM70" s="433">
        <v>0.40997005857291635</v>
      </c>
      <c r="DN70" s="433">
        <v>0</v>
      </c>
      <c r="DO70" s="433">
        <v>0</v>
      </c>
      <c r="DP70" s="433">
        <v>0</v>
      </c>
      <c r="DR70" s="409" t="s">
        <v>711</v>
      </c>
      <c r="DS70" s="409" t="s">
        <v>2376</v>
      </c>
    </row>
    <row r="71" spans="2:123" s="1471" customFormat="1">
      <c r="B71" s="428">
        <v>41794.886461574075</v>
      </c>
      <c r="C71" s="429">
        <v>1.41785436336649</v>
      </c>
      <c r="D71" s="429">
        <v>1.4161355416935255</v>
      </c>
      <c r="E71" s="429">
        <v>1.4253361348948801</v>
      </c>
      <c r="F71" s="429">
        <v>1.4041605388295761</v>
      </c>
      <c r="G71" s="429">
        <v>1.372503722486772</v>
      </c>
      <c r="H71" s="429">
        <v>1.4086280978382346</v>
      </c>
      <c r="I71" s="429">
        <v>1.4326598286885686</v>
      </c>
      <c r="J71" s="429">
        <v>1.4799784457802556</v>
      </c>
      <c r="K71" s="429">
        <v>1.3675000289882107</v>
      </c>
      <c r="L71" s="429">
        <v>1.4457755220331778</v>
      </c>
      <c r="M71" s="429">
        <v>1.24140575825827</v>
      </c>
      <c r="N71" s="429">
        <v>1.2033008502200693</v>
      </c>
      <c r="O71" s="429">
        <v>1.0287999696869017</v>
      </c>
      <c r="P71" s="429">
        <v>1.0778554920871577</v>
      </c>
      <c r="Q71" s="429">
        <v>2974.8268928277421</v>
      </c>
      <c r="R71" s="429">
        <v>16.218100080940367</v>
      </c>
      <c r="S71" s="429">
        <v>24.068338063759736</v>
      </c>
      <c r="T71" s="429">
        <v>3207.6540481951783</v>
      </c>
      <c r="U71" s="429">
        <v>3324.8196251332029</v>
      </c>
      <c r="V71" s="429">
        <v>3375.392005634103</v>
      </c>
      <c r="W71" s="429">
        <v>813.50377639918861</v>
      </c>
      <c r="X71" s="429">
        <v>8.8137281118255721</v>
      </c>
      <c r="Y71" s="429">
        <v>9.2227664641610794</v>
      </c>
      <c r="Z71" s="429">
        <v>15.220086494647948</v>
      </c>
      <c r="AA71" s="429">
        <v>7.4626699539847223</v>
      </c>
      <c r="AB71" s="429">
        <v>7.7973376968046848</v>
      </c>
      <c r="AC71" s="429">
        <v>3.8790846157971108</v>
      </c>
      <c r="AD71" s="429">
        <v>3.2916171159605354</v>
      </c>
      <c r="AE71" s="429">
        <v>0</v>
      </c>
      <c r="AF71" s="429">
        <v>0</v>
      </c>
      <c r="AG71" s="429">
        <v>0</v>
      </c>
      <c r="AH71" s="429">
        <v>2.9665029959951403</v>
      </c>
      <c r="AI71" s="429">
        <v>6.3746235568568013</v>
      </c>
      <c r="AJ71" s="429">
        <v>6.1618515095024522</v>
      </c>
      <c r="AK71" s="429">
        <v>6.9986173614221281</v>
      </c>
      <c r="AL71" s="429">
        <v>0</v>
      </c>
      <c r="AM71" s="429">
        <v>0</v>
      </c>
      <c r="AN71" s="429">
        <v>0</v>
      </c>
      <c r="AO71" s="432"/>
      <c r="AP71" s="428">
        <v>41794.886461574075</v>
      </c>
      <c r="AQ71" s="431">
        <v>93.901492589250566</v>
      </c>
      <c r="AR71" s="431">
        <v>124.48110033039301</v>
      </c>
      <c r="AS71" s="431">
        <v>85.39586653686456</v>
      </c>
      <c r="AT71" s="431">
        <v>149.42815756537627</v>
      </c>
      <c r="AU71" s="431">
        <v>23.194866302373534</v>
      </c>
      <c r="AV71" s="431">
        <v>79.441676748798656</v>
      </c>
      <c r="AW71" s="431">
        <v>18.975092573446741</v>
      </c>
      <c r="AX71" s="431">
        <v>25.430307329218532</v>
      </c>
      <c r="AY71" s="431">
        <v>117.25150226464184</v>
      </c>
      <c r="AZ71" s="431">
        <v>-85.941910316164822</v>
      </c>
      <c r="BA71" s="431">
        <v>5.6791387395672084</v>
      </c>
      <c r="BB71" s="431">
        <v>2.7189957636546107</v>
      </c>
      <c r="BC71" s="431">
        <v>2.3275621068494132</v>
      </c>
      <c r="BD71" s="431">
        <v>67.665941220687017</v>
      </c>
      <c r="BE71" s="431">
        <v>364092.74202705867</v>
      </c>
      <c r="BF71" s="431">
        <v>8150.728749453343</v>
      </c>
      <c r="BG71" s="431">
        <v>2339.9398427092538</v>
      </c>
      <c r="BH71" s="431">
        <v>383264.80905998591</v>
      </c>
      <c r="BI71" s="431">
        <v>368842.6960474092</v>
      </c>
      <c r="BJ71" s="431">
        <v>67784.089973031587</v>
      </c>
      <c r="BK71" s="431">
        <v>343112.01386775728</v>
      </c>
      <c r="BL71" s="431">
        <v>2983.2649198613867</v>
      </c>
      <c r="BM71" s="431">
        <v>548.24970077564194</v>
      </c>
      <c r="BN71" s="431">
        <v>143.31118944294533</v>
      </c>
      <c r="BO71" s="431">
        <v>2440.8531162502254</v>
      </c>
      <c r="BP71" s="431">
        <v>448.56793699825238</v>
      </c>
      <c r="BQ71" s="431">
        <v>1611.7264626996259</v>
      </c>
      <c r="BR71" s="431">
        <v>828.08136123378415</v>
      </c>
      <c r="BS71" s="431">
        <v>0</v>
      </c>
      <c r="BT71" s="431">
        <v>0</v>
      </c>
      <c r="BU71" s="431">
        <v>0</v>
      </c>
      <c r="BV71" s="431">
        <v>772.41682039763691</v>
      </c>
      <c r="BW71" s="431">
        <v>1269.8193356579407</v>
      </c>
      <c r="BX71" s="431">
        <v>1180.5921309165001</v>
      </c>
      <c r="BY71" s="431">
        <v>976.78410435226203</v>
      </c>
      <c r="BZ71" s="431">
        <v>0</v>
      </c>
      <c r="CA71" s="431">
        <v>0</v>
      </c>
      <c r="CB71" s="431">
        <v>0</v>
      </c>
      <c r="CC71" s="432"/>
      <c r="CD71" s="428">
        <v>41794.886461574075</v>
      </c>
      <c r="CE71" s="433">
        <v>0.30887516912936769</v>
      </c>
      <c r="CF71" s="433">
        <v>0.21465334314226731</v>
      </c>
      <c r="CG71" s="433">
        <v>0.17822376316137725</v>
      </c>
      <c r="CH71" s="433">
        <v>0.1804430703502535</v>
      </c>
      <c r="CI71" s="433">
        <v>0.11969468358927447</v>
      </c>
      <c r="CJ71" s="433">
        <v>0.26218817202595668</v>
      </c>
      <c r="CK71" s="433">
        <v>0.26007046015078716</v>
      </c>
      <c r="CL71" s="433">
        <v>0.2795059670458605</v>
      </c>
      <c r="CM71" s="433">
        <v>0.20330349118764637</v>
      </c>
      <c r="CN71" s="433">
        <v>0.20405169784316468</v>
      </c>
      <c r="CO71" s="433">
        <v>0.6098978484120201</v>
      </c>
      <c r="CP71" s="433">
        <v>0.6472517576995086</v>
      </c>
      <c r="CQ71" s="433">
        <v>0.67663897658204775</v>
      </c>
      <c r="CR71" s="433">
        <v>0.41104225845250458</v>
      </c>
      <c r="CS71" s="433">
        <v>0.39443520669059223</v>
      </c>
      <c r="CT71" s="433">
        <v>0.447221292916757</v>
      </c>
      <c r="CU71" s="433">
        <v>0.3622790598707698</v>
      </c>
      <c r="CV71" s="433">
        <v>0.47604249083347333</v>
      </c>
      <c r="CW71" s="433">
        <v>0.4759898508915783</v>
      </c>
      <c r="CX71" s="433">
        <v>0.4007797062399322</v>
      </c>
      <c r="CY71" s="433">
        <v>0.40798711211863076</v>
      </c>
      <c r="CZ71" s="433">
        <v>0.29816004259848461</v>
      </c>
      <c r="DA71" s="433">
        <v>0.25104840798869349</v>
      </c>
      <c r="DB71" s="433">
        <v>0.80602184361489149</v>
      </c>
      <c r="DC71" s="433">
        <v>0.29816004259848461</v>
      </c>
      <c r="DD71" s="433">
        <v>0.25104840798869349</v>
      </c>
      <c r="DE71" s="433">
        <v>0.34680721234892764</v>
      </c>
      <c r="DF71" s="433">
        <v>0.40997005857291635</v>
      </c>
      <c r="DG71" s="433">
        <v>0</v>
      </c>
      <c r="DH71" s="433">
        <v>0</v>
      </c>
      <c r="DI71" s="433">
        <v>0</v>
      </c>
      <c r="DJ71" s="433">
        <v>0.35031031550396724</v>
      </c>
      <c r="DK71" s="433">
        <v>0.33543004792329517</v>
      </c>
      <c r="DL71" s="433">
        <v>0.2866175308668823</v>
      </c>
      <c r="DM71" s="433">
        <v>0.40997005857291635</v>
      </c>
      <c r="DN71" s="433">
        <v>0</v>
      </c>
      <c r="DO71" s="433">
        <v>0</v>
      </c>
      <c r="DP71" s="433">
        <v>0</v>
      </c>
      <c r="DR71" s="409" t="s">
        <v>2011</v>
      </c>
      <c r="DS71" s="409" t="s">
        <v>2379</v>
      </c>
    </row>
    <row r="72" spans="2:123" s="1471" customFormat="1">
      <c r="B72" s="428">
        <v>41794.965700115739</v>
      </c>
      <c r="C72" s="429">
        <v>1.4149491759725235</v>
      </c>
      <c r="D72" s="429">
        <v>1.4161355416935255</v>
      </c>
      <c r="E72" s="429">
        <v>1.4253361348948801</v>
      </c>
      <c r="F72" s="429">
        <v>1.4041605388295761</v>
      </c>
      <c r="G72" s="429">
        <v>1.372503722486772</v>
      </c>
      <c r="H72" s="429">
        <v>1.405725590819471</v>
      </c>
      <c r="I72" s="429">
        <v>1.4299049049334678</v>
      </c>
      <c r="J72" s="429">
        <v>1.4770635720228369</v>
      </c>
      <c r="K72" s="429">
        <v>1.3675000289882104</v>
      </c>
      <c r="L72" s="429">
        <v>1.4457755220331778</v>
      </c>
      <c r="M72" s="429">
        <v>1.22095554137633</v>
      </c>
      <c r="N72" s="429">
        <v>1.2058546114173931</v>
      </c>
      <c r="O72" s="429">
        <v>1.0157542256986647</v>
      </c>
      <c r="P72" s="429">
        <v>1.1037329374732487</v>
      </c>
      <c r="Q72" s="429">
        <v>2974.8268928277421</v>
      </c>
      <c r="R72" s="429">
        <v>16.218100080940367</v>
      </c>
      <c r="S72" s="429">
        <v>24.068338063759736</v>
      </c>
      <c r="T72" s="429">
        <v>3207.6540481951783</v>
      </c>
      <c r="U72" s="429">
        <v>3324.8196251332029</v>
      </c>
      <c r="V72" s="429">
        <v>3375.392005634103</v>
      </c>
      <c r="W72" s="429">
        <v>813.50377639918861</v>
      </c>
      <c r="X72" s="429">
        <v>8.8137281118255721</v>
      </c>
      <c r="Y72" s="429">
        <v>9.2227664641610794</v>
      </c>
      <c r="Z72" s="429">
        <v>15.220086494647948</v>
      </c>
      <c r="AA72" s="429">
        <v>7.4626699539847223</v>
      </c>
      <c r="AB72" s="429">
        <v>7.7973376968046848</v>
      </c>
      <c r="AC72" s="429">
        <v>3.8790846157971108</v>
      </c>
      <c r="AD72" s="429">
        <v>3.2916171159605354</v>
      </c>
      <c r="AE72" s="429">
        <v>0</v>
      </c>
      <c r="AF72" s="429">
        <v>0</v>
      </c>
      <c r="AG72" s="429">
        <v>0</v>
      </c>
      <c r="AH72" s="429">
        <v>2.9665029959951403</v>
      </c>
      <c r="AI72" s="429">
        <v>6.3746235568568013</v>
      </c>
      <c r="AJ72" s="429">
        <v>6.1618515095024522</v>
      </c>
      <c r="AK72" s="429">
        <v>6.9986173614221281</v>
      </c>
      <c r="AL72" s="429">
        <v>0</v>
      </c>
      <c r="AM72" s="429">
        <v>0</v>
      </c>
      <c r="AN72" s="429">
        <v>0</v>
      </c>
      <c r="AO72" s="432"/>
      <c r="AP72" s="428">
        <v>41794.965700115739</v>
      </c>
      <c r="AQ72" s="431">
        <v>93.184687302309726</v>
      </c>
      <c r="AR72" s="431">
        <v>124.48110033039301</v>
      </c>
      <c r="AS72" s="431">
        <v>85.39586653686456</v>
      </c>
      <c r="AT72" s="431">
        <v>149.42815756537627</v>
      </c>
      <c r="AU72" s="431">
        <v>23.194866302373534</v>
      </c>
      <c r="AV72" s="431">
        <v>78.835251735449035</v>
      </c>
      <c r="AW72" s="431">
        <v>18.830244538534934</v>
      </c>
      <c r="AX72" s="431">
        <v>25.236182845789383</v>
      </c>
      <c r="AY72" s="431">
        <v>117.25150226464184</v>
      </c>
      <c r="AZ72" s="431">
        <v>-85.941910316164837</v>
      </c>
      <c r="BA72" s="431">
        <v>5.4099857473922279</v>
      </c>
      <c r="BB72" s="431">
        <v>2.4852772090748214</v>
      </c>
      <c r="BC72" s="431">
        <v>1.9539213531530961</v>
      </c>
      <c r="BD72" s="431">
        <v>155.18271206210764</v>
      </c>
      <c r="BE72" s="431">
        <v>364092.74202705867</v>
      </c>
      <c r="BF72" s="431">
        <v>8150.728749453343</v>
      </c>
      <c r="BG72" s="431">
        <v>2339.9398427092538</v>
      </c>
      <c r="BH72" s="431">
        <v>383264.80905998591</v>
      </c>
      <c r="BI72" s="431">
        <v>368842.6960474092</v>
      </c>
      <c r="BJ72" s="431">
        <v>67784.089973031587</v>
      </c>
      <c r="BK72" s="431">
        <v>343112.01386775728</v>
      </c>
      <c r="BL72" s="431">
        <v>2983.2649198613867</v>
      </c>
      <c r="BM72" s="431">
        <v>548.24970077564194</v>
      </c>
      <c r="BN72" s="431">
        <v>143.31118944294533</v>
      </c>
      <c r="BO72" s="431">
        <v>2440.8531162502254</v>
      </c>
      <c r="BP72" s="431">
        <v>448.56793699825238</v>
      </c>
      <c r="BQ72" s="431">
        <v>1611.7264626996259</v>
      </c>
      <c r="BR72" s="431">
        <v>828.08136123378415</v>
      </c>
      <c r="BS72" s="431">
        <v>0</v>
      </c>
      <c r="BT72" s="431">
        <v>0</v>
      </c>
      <c r="BU72" s="431">
        <v>0</v>
      </c>
      <c r="BV72" s="431">
        <v>772.41682039763691</v>
      </c>
      <c r="BW72" s="431">
        <v>1269.8193356579407</v>
      </c>
      <c r="BX72" s="431">
        <v>1180.5921309165001</v>
      </c>
      <c r="BY72" s="431">
        <v>976.78410435226203</v>
      </c>
      <c r="BZ72" s="431">
        <v>0</v>
      </c>
      <c r="CA72" s="431">
        <v>0</v>
      </c>
      <c r="CB72" s="431">
        <v>0</v>
      </c>
      <c r="CC72" s="432"/>
      <c r="CD72" s="428">
        <v>41794.965700115739</v>
      </c>
      <c r="CE72" s="433">
        <v>0.30887516912936769</v>
      </c>
      <c r="CF72" s="433">
        <v>0.21465334314226731</v>
      </c>
      <c r="CG72" s="433">
        <v>0.17822376316137725</v>
      </c>
      <c r="CH72" s="433">
        <v>0.1804430703502535</v>
      </c>
      <c r="CI72" s="433">
        <v>0.11969468358927447</v>
      </c>
      <c r="CJ72" s="433">
        <v>0.26218817202595668</v>
      </c>
      <c r="CK72" s="433">
        <v>0.26007046015078716</v>
      </c>
      <c r="CL72" s="433">
        <v>0.2795059670458605</v>
      </c>
      <c r="CM72" s="433">
        <v>0.2017515561404124</v>
      </c>
      <c r="CN72" s="433">
        <v>0.20249405129474354</v>
      </c>
      <c r="CO72" s="433">
        <v>0.67961967329017892</v>
      </c>
      <c r="CP72" s="433">
        <v>0.71559670575432477</v>
      </c>
      <c r="CQ72" s="433">
        <v>0.77768509959387233</v>
      </c>
      <c r="CR72" s="433">
        <v>0.34209534585351969</v>
      </c>
      <c r="CS72" s="433">
        <v>0.39443520669059223</v>
      </c>
      <c r="CT72" s="433">
        <v>0.447221292916757</v>
      </c>
      <c r="CU72" s="433">
        <v>0.3622790598707698</v>
      </c>
      <c r="CV72" s="433">
        <v>0.47604249083347333</v>
      </c>
      <c r="CW72" s="433">
        <v>0.4759898508915783</v>
      </c>
      <c r="CX72" s="433">
        <v>0.4007797062399322</v>
      </c>
      <c r="CY72" s="433">
        <v>0.40798711211863076</v>
      </c>
      <c r="CZ72" s="433">
        <v>0.29816004259848461</v>
      </c>
      <c r="DA72" s="433">
        <v>0.25104840798869349</v>
      </c>
      <c r="DB72" s="433">
        <v>0.80602184361489149</v>
      </c>
      <c r="DC72" s="433">
        <v>0.29816004259848461</v>
      </c>
      <c r="DD72" s="433">
        <v>0.25104840798869349</v>
      </c>
      <c r="DE72" s="433">
        <v>0.34680721234892764</v>
      </c>
      <c r="DF72" s="433">
        <v>0.40997005857291635</v>
      </c>
      <c r="DG72" s="433">
        <v>0</v>
      </c>
      <c r="DH72" s="433">
        <v>0</v>
      </c>
      <c r="DI72" s="433">
        <v>0</v>
      </c>
      <c r="DJ72" s="433">
        <v>0.35031031550396724</v>
      </c>
      <c r="DK72" s="433">
        <v>0.33543004792329517</v>
      </c>
      <c r="DL72" s="433">
        <v>0.2866175308668823</v>
      </c>
      <c r="DM72" s="433">
        <v>0.40997005857291635</v>
      </c>
      <c r="DN72" s="433">
        <v>0</v>
      </c>
      <c r="DO72" s="433">
        <v>0</v>
      </c>
      <c r="DP72" s="433">
        <v>0</v>
      </c>
      <c r="DR72" s="409" t="s">
        <v>855</v>
      </c>
      <c r="DS72" s="409" t="s">
        <v>2384</v>
      </c>
    </row>
    <row r="73" spans="2:123" s="1471" customFormat="1">
      <c r="B73" s="428">
        <v>41794.972003356481</v>
      </c>
      <c r="C73" s="429">
        <v>1.4149491759725235</v>
      </c>
      <c r="D73" s="429">
        <v>1.4161355416935255</v>
      </c>
      <c r="E73" s="429">
        <v>1.4253361348948801</v>
      </c>
      <c r="F73" s="429">
        <v>1.4041605388295761</v>
      </c>
      <c r="G73" s="429">
        <v>1.372503722486772</v>
      </c>
      <c r="H73" s="429">
        <v>1.405725590819471</v>
      </c>
      <c r="I73" s="429">
        <v>1.4299049049334678</v>
      </c>
      <c r="J73" s="429">
        <v>1.4770635720228369</v>
      </c>
      <c r="K73" s="429">
        <v>1.3675000289882104</v>
      </c>
      <c r="L73" s="429">
        <v>1.4457755220331778</v>
      </c>
      <c r="M73" s="429">
        <v>1.2308192211390605</v>
      </c>
      <c r="N73" s="429">
        <v>1.2059589076177535</v>
      </c>
      <c r="O73" s="429">
        <v>1.0157542256986645</v>
      </c>
      <c r="P73" s="429">
        <v>1.0830862181009844</v>
      </c>
      <c r="Q73" s="429">
        <v>2974.8268928277421</v>
      </c>
      <c r="R73" s="429">
        <v>16.218100080940367</v>
      </c>
      <c r="S73" s="429">
        <v>24.068338063759736</v>
      </c>
      <c r="T73" s="429">
        <v>3207.6540481951783</v>
      </c>
      <c r="U73" s="429">
        <v>3324.8196251332029</v>
      </c>
      <c r="V73" s="429">
        <v>3375.392005634103</v>
      </c>
      <c r="W73" s="429">
        <v>813.50377639918861</v>
      </c>
      <c r="X73" s="429">
        <v>8.8137281118255721</v>
      </c>
      <c r="Y73" s="429">
        <v>9.2227664641610794</v>
      </c>
      <c r="Z73" s="429">
        <v>15.220086494647948</v>
      </c>
      <c r="AA73" s="429">
        <v>7.4626699539847223</v>
      </c>
      <c r="AB73" s="429">
        <v>7.7973376968046848</v>
      </c>
      <c r="AC73" s="429">
        <v>3.8790846157971108</v>
      </c>
      <c r="AD73" s="429">
        <v>3.2916171159605354</v>
      </c>
      <c r="AE73" s="429">
        <v>0</v>
      </c>
      <c r="AF73" s="429">
        <v>0</v>
      </c>
      <c r="AG73" s="429">
        <v>0</v>
      </c>
      <c r="AH73" s="429">
        <v>2.9665029959951403</v>
      </c>
      <c r="AI73" s="429">
        <v>6.3746235568568013</v>
      </c>
      <c r="AJ73" s="429">
        <v>6.1618515095024522</v>
      </c>
      <c r="AK73" s="429">
        <v>6.9986173614221281</v>
      </c>
      <c r="AL73" s="429">
        <v>0</v>
      </c>
      <c r="AM73" s="429">
        <v>0</v>
      </c>
      <c r="AN73" s="429">
        <v>0</v>
      </c>
      <c r="AO73" s="432"/>
      <c r="AP73" s="428">
        <v>41794.972003356481</v>
      </c>
      <c r="AQ73" s="431">
        <v>93.184687302309726</v>
      </c>
      <c r="AR73" s="431">
        <v>124.48110033039301</v>
      </c>
      <c r="AS73" s="431">
        <v>85.39586653686456</v>
      </c>
      <c r="AT73" s="431">
        <v>149.42815756537627</v>
      </c>
      <c r="AU73" s="431">
        <v>23.194866302373534</v>
      </c>
      <c r="AV73" s="431">
        <v>78.835251735449035</v>
      </c>
      <c r="AW73" s="431">
        <v>18.830244538534934</v>
      </c>
      <c r="AX73" s="431">
        <v>25.236182845789383</v>
      </c>
      <c r="AY73" s="431">
        <v>117.25150226464184</v>
      </c>
      <c r="AZ73" s="431">
        <v>-85.941910316164837</v>
      </c>
      <c r="BA73" s="431">
        <v>5.5759411771684997</v>
      </c>
      <c r="BB73" s="431">
        <v>2.6474508127033767</v>
      </c>
      <c r="BC73" s="431">
        <v>1.9539213531530961</v>
      </c>
      <c r="BD73" s="431">
        <v>80.025462213362303</v>
      </c>
      <c r="BE73" s="431">
        <v>364092.74202705867</v>
      </c>
      <c r="BF73" s="431">
        <v>8150.728749453343</v>
      </c>
      <c r="BG73" s="431">
        <v>2339.9398427092538</v>
      </c>
      <c r="BH73" s="431">
        <v>383264.80905998591</v>
      </c>
      <c r="BI73" s="431">
        <v>368842.6960474092</v>
      </c>
      <c r="BJ73" s="431">
        <v>67784.089973031587</v>
      </c>
      <c r="BK73" s="431">
        <v>343112.01386775728</v>
      </c>
      <c r="BL73" s="431">
        <v>2983.2649198613867</v>
      </c>
      <c r="BM73" s="431">
        <v>548.24970077564194</v>
      </c>
      <c r="BN73" s="431">
        <v>143.31118944294533</v>
      </c>
      <c r="BO73" s="431">
        <v>2440.8531162502254</v>
      </c>
      <c r="BP73" s="431">
        <v>448.56793699825238</v>
      </c>
      <c r="BQ73" s="431">
        <v>1611.7264626996259</v>
      </c>
      <c r="BR73" s="431">
        <v>828.08136123378415</v>
      </c>
      <c r="BS73" s="431">
        <v>0</v>
      </c>
      <c r="BT73" s="431">
        <v>0</v>
      </c>
      <c r="BU73" s="431">
        <v>0</v>
      </c>
      <c r="BV73" s="431">
        <v>772.41682039763691</v>
      </c>
      <c r="BW73" s="431">
        <v>1269.8193356579407</v>
      </c>
      <c r="BX73" s="431">
        <v>1180.5921309165001</v>
      </c>
      <c r="BY73" s="431">
        <v>976.78410435226203</v>
      </c>
      <c r="BZ73" s="431">
        <v>0</v>
      </c>
      <c r="CA73" s="431">
        <v>0</v>
      </c>
      <c r="CB73" s="431">
        <v>0</v>
      </c>
      <c r="CC73" s="432"/>
      <c r="CD73" s="428">
        <v>41794.972003356481</v>
      </c>
      <c r="CE73" s="433">
        <v>0.30887516912936769</v>
      </c>
      <c r="CF73" s="433">
        <v>0.21465334314226731</v>
      </c>
      <c r="CG73" s="433">
        <v>0.17822376316137725</v>
      </c>
      <c r="CH73" s="433">
        <v>0.1804430703502535</v>
      </c>
      <c r="CI73" s="433">
        <v>0.11969468358927447</v>
      </c>
      <c r="CJ73" s="433">
        <v>0.26218817202595668</v>
      </c>
      <c r="CK73" s="433">
        <v>0.26007046015078716</v>
      </c>
      <c r="CL73" s="433">
        <v>0.2795059670458605</v>
      </c>
      <c r="CM73" s="433">
        <v>0.2017515561404124</v>
      </c>
      <c r="CN73" s="433">
        <v>0.20249405129474354</v>
      </c>
      <c r="CO73" s="433">
        <v>0.62654907473547627</v>
      </c>
      <c r="CP73" s="433">
        <v>0.66252610719962202</v>
      </c>
      <c r="CQ73" s="433">
        <v>0.70077118864502774</v>
      </c>
      <c r="CR73" s="433">
        <v>0.38975168317710257</v>
      </c>
      <c r="CS73" s="433">
        <v>0.39443520669059223</v>
      </c>
      <c r="CT73" s="433">
        <v>0.447221292916757</v>
      </c>
      <c r="CU73" s="433">
        <v>0.3622790598707698</v>
      </c>
      <c r="CV73" s="433">
        <v>0.47604249083347333</v>
      </c>
      <c r="CW73" s="433">
        <v>0.4759898508915783</v>
      </c>
      <c r="CX73" s="433">
        <v>0.4007797062399322</v>
      </c>
      <c r="CY73" s="433">
        <v>0.40798711211863076</v>
      </c>
      <c r="CZ73" s="433">
        <v>0.29816004259848461</v>
      </c>
      <c r="DA73" s="433">
        <v>0.25104840798869349</v>
      </c>
      <c r="DB73" s="433">
        <v>0.80602184361489149</v>
      </c>
      <c r="DC73" s="433">
        <v>0.29816004259848461</v>
      </c>
      <c r="DD73" s="433">
        <v>0.25104840798869349</v>
      </c>
      <c r="DE73" s="433">
        <v>0.34680721234892764</v>
      </c>
      <c r="DF73" s="433">
        <v>0.40997005857291635</v>
      </c>
      <c r="DG73" s="433">
        <v>0</v>
      </c>
      <c r="DH73" s="433">
        <v>0</v>
      </c>
      <c r="DI73" s="433">
        <v>0</v>
      </c>
      <c r="DJ73" s="433">
        <v>0.35031031550396724</v>
      </c>
      <c r="DK73" s="433">
        <v>0.33543004792329517</v>
      </c>
      <c r="DL73" s="433">
        <v>0.2866175308668823</v>
      </c>
      <c r="DM73" s="433">
        <v>0.40997005857291635</v>
      </c>
      <c r="DN73" s="433">
        <v>0</v>
      </c>
      <c r="DO73" s="433">
        <v>0</v>
      </c>
      <c r="DP73" s="433">
        <v>0</v>
      </c>
      <c r="DR73" s="409" t="s">
        <v>855</v>
      </c>
      <c r="DS73" s="409" t="s">
        <v>2655</v>
      </c>
    </row>
    <row r="74" spans="2:123" s="1471" customFormat="1">
      <c r="B74" s="428">
        <v>41796.536753703702</v>
      </c>
      <c r="C74" s="429">
        <v>1.4149491759725235</v>
      </c>
      <c r="D74" s="429">
        <v>1.4161355416935255</v>
      </c>
      <c r="E74" s="429">
        <v>1.4316458051739001</v>
      </c>
      <c r="F74" s="429">
        <v>1.4053925889407142</v>
      </c>
      <c r="G74" s="429">
        <v>1.3747757379419085</v>
      </c>
      <c r="H74" s="429">
        <v>1.405725590819471</v>
      </c>
      <c r="I74" s="429">
        <v>1.4336902416401918</v>
      </c>
      <c r="J74" s="429">
        <v>1.4797886903897843</v>
      </c>
      <c r="K74" s="429">
        <v>1.3675000289882104</v>
      </c>
      <c r="L74" s="429">
        <v>1.4457755220331778</v>
      </c>
      <c r="M74" s="429">
        <v>1.2313349303069792</v>
      </c>
      <c r="N74" s="429">
        <v>1.2059589076177535</v>
      </c>
      <c r="O74" s="429">
        <v>1.0157542256986645</v>
      </c>
      <c r="P74" s="429">
        <v>1.0830862181009844</v>
      </c>
      <c r="Q74" s="429">
        <v>2974.8268928277421</v>
      </c>
      <c r="R74" s="429">
        <v>16.218100080940367</v>
      </c>
      <c r="S74" s="429">
        <v>24.068338063759736</v>
      </c>
      <c r="T74" s="429">
        <v>3207.6540481951783</v>
      </c>
      <c r="U74" s="429">
        <v>3324.8196251332029</v>
      </c>
      <c r="V74" s="429">
        <v>3390.7187050227203</v>
      </c>
      <c r="W74" s="429">
        <v>813.50377639918861</v>
      </c>
      <c r="X74" s="429">
        <v>8.8137281118255721</v>
      </c>
      <c r="Y74" s="429">
        <v>9.3467315178636596</v>
      </c>
      <c r="Z74" s="429">
        <v>15.220086494647948</v>
      </c>
      <c r="AA74" s="429">
        <v>7.4626699539847223</v>
      </c>
      <c r="AB74" s="429">
        <v>7.8987636498340681</v>
      </c>
      <c r="AC74" s="429">
        <v>3.8790846157971108</v>
      </c>
      <c r="AD74" s="429">
        <v>3.2916171159605354</v>
      </c>
      <c r="AE74" s="429">
        <v>0</v>
      </c>
      <c r="AF74" s="429">
        <v>0</v>
      </c>
      <c r="AG74" s="429">
        <v>0</v>
      </c>
      <c r="AH74" s="429">
        <v>2.9665029959951403</v>
      </c>
      <c r="AI74" s="429">
        <v>6.3746235568568013</v>
      </c>
      <c r="AJ74" s="429">
        <v>6.1618515095024522</v>
      </c>
      <c r="AK74" s="429">
        <v>6.9986173614221281</v>
      </c>
      <c r="AL74" s="429">
        <v>0</v>
      </c>
      <c r="AM74" s="429">
        <v>0</v>
      </c>
      <c r="AN74" s="429">
        <v>0</v>
      </c>
      <c r="AO74" s="432"/>
      <c r="AP74" s="428">
        <v>41796.536753703702</v>
      </c>
      <c r="AQ74" s="431">
        <v>93.184687302309726</v>
      </c>
      <c r="AR74" s="431">
        <v>124.48110033039301</v>
      </c>
      <c r="AS74" s="431">
        <v>103.29972577669049</v>
      </c>
      <c r="AT74" s="431">
        <v>153.5961475946003</v>
      </c>
      <c r="AU74" s="431">
        <v>30.488898585980188</v>
      </c>
      <c r="AV74" s="431">
        <v>78.835251735449035</v>
      </c>
      <c r="AW74" s="431">
        <v>30.534213780076929</v>
      </c>
      <c r="AX74" s="431">
        <v>35.183987031535558</v>
      </c>
      <c r="AY74" s="431">
        <v>117.25150226464184</v>
      </c>
      <c r="AZ74" s="431">
        <v>-85.941910316164837</v>
      </c>
      <c r="BA74" s="431">
        <v>7.4608474108445524</v>
      </c>
      <c r="BB74" s="431">
        <v>2.6474508127033767</v>
      </c>
      <c r="BC74" s="431">
        <v>1.9539213531530961</v>
      </c>
      <c r="BD74" s="431">
        <v>80.025462213362303</v>
      </c>
      <c r="BE74" s="431">
        <v>364092.74202705867</v>
      </c>
      <c r="BF74" s="431">
        <v>8150.728749453343</v>
      </c>
      <c r="BG74" s="431">
        <v>2339.9398427092538</v>
      </c>
      <c r="BH74" s="431">
        <v>383264.80905998591</v>
      </c>
      <c r="BI74" s="431">
        <v>368842.6960474092</v>
      </c>
      <c r="BJ74" s="431">
        <v>115173.06276905529</v>
      </c>
      <c r="BK74" s="431">
        <v>343112.01386775728</v>
      </c>
      <c r="BL74" s="431">
        <v>2983.2649198613867</v>
      </c>
      <c r="BM74" s="431">
        <v>931.54008891571641</v>
      </c>
      <c r="BN74" s="431">
        <v>143.31118944294533</v>
      </c>
      <c r="BO74" s="431">
        <v>2440.8531162502254</v>
      </c>
      <c r="BP74" s="431">
        <v>762.16916365831321</v>
      </c>
      <c r="BQ74" s="431">
        <v>1611.7264626996259</v>
      </c>
      <c r="BR74" s="431">
        <v>828.08136123378415</v>
      </c>
      <c r="BS74" s="431">
        <v>0</v>
      </c>
      <c r="BT74" s="431">
        <v>0</v>
      </c>
      <c r="BU74" s="431">
        <v>0</v>
      </c>
      <c r="BV74" s="431">
        <v>772.41682039763691</v>
      </c>
      <c r="BW74" s="431">
        <v>1269.8193356579407</v>
      </c>
      <c r="BX74" s="431">
        <v>1180.5921309165001</v>
      </c>
      <c r="BY74" s="431">
        <v>976.78410435226203</v>
      </c>
      <c r="BZ74" s="431">
        <v>0</v>
      </c>
      <c r="CA74" s="431">
        <v>0</v>
      </c>
      <c r="CB74" s="431">
        <v>0</v>
      </c>
      <c r="CC74" s="432"/>
      <c r="CD74" s="428">
        <v>41796.536753703702</v>
      </c>
      <c r="CE74" s="433">
        <v>0.30887516912936769</v>
      </c>
      <c r="CF74" s="433">
        <v>0.21465334314226731</v>
      </c>
      <c r="CG74" s="433">
        <v>0.17822376316137725</v>
      </c>
      <c r="CH74" s="433">
        <v>0.1804430703502535</v>
      </c>
      <c r="CI74" s="433">
        <v>0.11969468358927447</v>
      </c>
      <c r="CJ74" s="433">
        <v>0.26218817202595668</v>
      </c>
      <c r="CK74" s="433">
        <v>0.26007046015078716</v>
      </c>
      <c r="CL74" s="433">
        <v>0.2795059670458605</v>
      </c>
      <c r="CM74" s="433">
        <v>0.2017515561404124</v>
      </c>
      <c r="CN74" s="433">
        <v>0.20249405129474354</v>
      </c>
      <c r="CO74" s="433">
        <v>0.62654907473547627</v>
      </c>
      <c r="CP74" s="433">
        <v>0.66252610719962202</v>
      </c>
      <c r="CQ74" s="433">
        <v>0.70077118864502774</v>
      </c>
      <c r="CR74" s="433">
        <v>0.38975168317710257</v>
      </c>
      <c r="CS74" s="433">
        <v>0.39443520669059223</v>
      </c>
      <c r="CT74" s="433">
        <v>0.447221292916757</v>
      </c>
      <c r="CU74" s="433">
        <v>0.3622790598707698</v>
      </c>
      <c r="CV74" s="433">
        <v>0.47604249083347333</v>
      </c>
      <c r="CW74" s="433">
        <v>0.4759898508915783</v>
      </c>
      <c r="CX74" s="433">
        <v>0.4007797062399322</v>
      </c>
      <c r="CY74" s="433">
        <v>0.40798711211863076</v>
      </c>
      <c r="CZ74" s="433">
        <v>0.29816004259848461</v>
      </c>
      <c r="DA74" s="433">
        <v>0.25104840798869349</v>
      </c>
      <c r="DB74" s="433">
        <v>0.80602184361489149</v>
      </c>
      <c r="DC74" s="433">
        <v>0.29816004259848461</v>
      </c>
      <c r="DD74" s="433">
        <v>0.25104840798869349</v>
      </c>
      <c r="DE74" s="433">
        <v>0.34680721234892764</v>
      </c>
      <c r="DF74" s="433">
        <v>0.40997005857291635</v>
      </c>
      <c r="DG74" s="433">
        <v>0</v>
      </c>
      <c r="DH74" s="433">
        <v>0</v>
      </c>
      <c r="DI74" s="433">
        <v>0</v>
      </c>
      <c r="DJ74" s="433">
        <v>0.35031031550396724</v>
      </c>
      <c r="DK74" s="433">
        <v>0.33543004792329517</v>
      </c>
      <c r="DL74" s="433">
        <v>0.2866175308668823</v>
      </c>
      <c r="DM74" s="433">
        <v>0.40997005857291635</v>
      </c>
      <c r="DN74" s="433">
        <v>0</v>
      </c>
      <c r="DO74" s="433">
        <v>0</v>
      </c>
      <c r="DP74" s="433">
        <v>0</v>
      </c>
      <c r="DR74" s="409" t="s">
        <v>711</v>
      </c>
      <c r="DS74" s="409" t="s">
        <v>2388</v>
      </c>
    </row>
    <row r="75" spans="2:123" s="1471" customFormat="1">
      <c r="B75" s="428">
        <v>41800.546689583331</v>
      </c>
      <c r="C75" s="429">
        <v>1.4149491759725235</v>
      </c>
      <c r="D75" s="429">
        <v>1.4161355416935255</v>
      </c>
      <c r="E75" s="429">
        <v>1.4289964441343548</v>
      </c>
      <c r="F75" s="429">
        <v>1.4276607930888909</v>
      </c>
      <c r="G75" s="429">
        <v>1.368035492229299</v>
      </c>
      <c r="H75" s="429">
        <v>1.413164094267644</v>
      </c>
      <c r="I75" s="429">
        <v>1.4272303442745249</v>
      </c>
      <c r="J75" s="429">
        <v>1.4797886903897843</v>
      </c>
      <c r="K75" s="429">
        <v>1.3675000289882104</v>
      </c>
      <c r="L75" s="429">
        <v>1.4457755220331778</v>
      </c>
      <c r="M75" s="429">
        <v>1.2313349303069792</v>
      </c>
      <c r="N75" s="429">
        <v>1.2059589076177535</v>
      </c>
      <c r="O75" s="429">
        <v>1.0157542256986645</v>
      </c>
      <c r="P75" s="429">
        <v>1.0830862181009844</v>
      </c>
      <c r="Q75" s="429">
        <v>2974.8268928277421</v>
      </c>
      <c r="R75" s="429">
        <v>16.218100080940367</v>
      </c>
      <c r="S75" s="429">
        <v>23.543895152794413</v>
      </c>
      <c r="T75" s="429">
        <v>3207.6540481951783</v>
      </c>
      <c r="U75" s="429">
        <v>3324.8196251332029</v>
      </c>
      <c r="V75" s="429">
        <v>3364.5628006274728</v>
      </c>
      <c r="W75" s="429">
        <v>813.50377639918861</v>
      </c>
      <c r="X75" s="429">
        <v>8.8137281118255721</v>
      </c>
      <c r="Y75" s="429">
        <v>9.1351779399677859</v>
      </c>
      <c r="Z75" s="429">
        <v>15.220086494647948</v>
      </c>
      <c r="AA75" s="429">
        <v>7.4626699539847223</v>
      </c>
      <c r="AB75" s="429">
        <v>7.7256743588283525</v>
      </c>
      <c r="AC75" s="429">
        <v>3.8790846157971108</v>
      </c>
      <c r="AD75" s="429">
        <v>3.2916171159605354</v>
      </c>
      <c r="AE75" s="429">
        <v>0</v>
      </c>
      <c r="AF75" s="429">
        <v>0</v>
      </c>
      <c r="AG75" s="429">
        <v>0</v>
      </c>
      <c r="AH75" s="429">
        <v>2.9665029959951403</v>
      </c>
      <c r="AI75" s="429">
        <v>6.3746235568568013</v>
      </c>
      <c r="AJ75" s="429">
        <v>6.1618515095024522</v>
      </c>
      <c r="AK75" s="429">
        <v>6.9986173614221281</v>
      </c>
      <c r="AL75" s="429">
        <v>0</v>
      </c>
      <c r="AM75" s="429">
        <v>0</v>
      </c>
      <c r="AN75" s="429">
        <v>0</v>
      </c>
      <c r="AO75" s="432"/>
      <c r="AP75" s="428">
        <v>41800.546689583331</v>
      </c>
      <c r="AQ75" s="431">
        <v>93.184687302309726</v>
      </c>
      <c r="AR75" s="431">
        <v>124.48110033039301</v>
      </c>
      <c r="AS75" s="431">
        <v>92.413843661842805</v>
      </c>
      <c r="AT75" s="431">
        <v>245.09332055371422</v>
      </c>
      <c r="AU75" s="431">
        <v>2.7941000449824807</v>
      </c>
      <c r="AV75" s="431">
        <v>109.39910107083365</v>
      </c>
      <c r="AW75" s="431">
        <v>3.9913303651637584</v>
      </c>
      <c r="AX75" s="431">
        <v>35.183987031535558</v>
      </c>
      <c r="AY75" s="431">
        <v>117.25150226464184</v>
      </c>
      <c r="AZ75" s="431">
        <v>-85.941910316164837</v>
      </c>
      <c r="BA75" s="431">
        <v>7.4608474108445524</v>
      </c>
      <c r="BB75" s="431">
        <v>2.6474508127033767</v>
      </c>
      <c r="BC75" s="431">
        <v>1.9539213531530961</v>
      </c>
      <c r="BD75" s="431">
        <v>80.025462213362303</v>
      </c>
      <c r="BE75" s="431">
        <v>364092.74202705867</v>
      </c>
      <c r="BF75" s="431">
        <v>8150.728749453343</v>
      </c>
      <c r="BG75" s="431">
        <v>185.0716992130798</v>
      </c>
      <c r="BH75" s="431">
        <v>383264.80905998591</v>
      </c>
      <c r="BI75" s="431">
        <v>368842.6960474092</v>
      </c>
      <c r="BJ75" s="431">
        <v>7701.8319311631803</v>
      </c>
      <c r="BK75" s="431">
        <v>343112.01386775728</v>
      </c>
      <c r="BL75" s="431">
        <v>2983.2649198613867</v>
      </c>
      <c r="BM75" s="431">
        <v>62.293777984840709</v>
      </c>
      <c r="BN75" s="431">
        <v>143.31118944294533</v>
      </c>
      <c r="BO75" s="431">
        <v>2440.8531162502254</v>
      </c>
      <c r="BP75" s="431">
        <v>50.967636533051483</v>
      </c>
      <c r="BQ75" s="431">
        <v>1611.7264626996259</v>
      </c>
      <c r="BR75" s="431">
        <v>828.08136123378415</v>
      </c>
      <c r="BS75" s="431">
        <v>0</v>
      </c>
      <c r="BT75" s="431">
        <v>0</v>
      </c>
      <c r="BU75" s="431">
        <v>0</v>
      </c>
      <c r="BV75" s="431">
        <v>772.41682039763691</v>
      </c>
      <c r="BW75" s="431">
        <v>1269.8193356579407</v>
      </c>
      <c r="BX75" s="431">
        <v>1180.5921309165001</v>
      </c>
      <c r="BY75" s="431">
        <v>976.78410435226203</v>
      </c>
      <c r="BZ75" s="431">
        <v>0</v>
      </c>
      <c r="CA75" s="431">
        <v>0</v>
      </c>
      <c r="CB75" s="431">
        <v>0</v>
      </c>
      <c r="CC75" s="432"/>
      <c r="CD75" s="428">
        <v>41800.546689583331</v>
      </c>
      <c r="CE75" s="433">
        <v>0.30887516912936769</v>
      </c>
      <c r="CF75" s="433">
        <v>0.21465334314226731</v>
      </c>
      <c r="CG75" s="433">
        <v>0.17822376316137725</v>
      </c>
      <c r="CH75" s="433">
        <v>0.1804430703502535</v>
      </c>
      <c r="CI75" s="433">
        <v>0.11969468358927447</v>
      </c>
      <c r="CJ75" s="433">
        <v>0.26218817202595668</v>
      </c>
      <c r="CK75" s="433">
        <v>0.26007046015078716</v>
      </c>
      <c r="CL75" s="433">
        <v>0.2795059670458605</v>
      </c>
      <c r="CM75" s="433">
        <v>0.2017515561404124</v>
      </c>
      <c r="CN75" s="433">
        <v>0.20249405129474354</v>
      </c>
      <c r="CO75" s="433">
        <v>0.62654907473547627</v>
      </c>
      <c r="CP75" s="433">
        <v>0.66252610719962202</v>
      </c>
      <c r="CQ75" s="433">
        <v>0.70077118864502774</v>
      </c>
      <c r="CR75" s="433">
        <v>0.38975168317710257</v>
      </c>
      <c r="CS75" s="433">
        <v>0.39443520669059223</v>
      </c>
      <c r="CT75" s="433">
        <v>0.447221292916757</v>
      </c>
      <c r="CU75" s="433">
        <v>0.3622790598707698</v>
      </c>
      <c r="CV75" s="433">
        <v>0.47604249083347333</v>
      </c>
      <c r="CW75" s="433">
        <v>0.4759898508915783</v>
      </c>
      <c r="CX75" s="433">
        <v>0.4007797062399322</v>
      </c>
      <c r="CY75" s="433">
        <v>0.40798711211863076</v>
      </c>
      <c r="CZ75" s="433">
        <v>0.29816004259848461</v>
      </c>
      <c r="DA75" s="433">
        <v>0.25104840798869349</v>
      </c>
      <c r="DB75" s="433">
        <v>0.80602184361489149</v>
      </c>
      <c r="DC75" s="433">
        <v>0.29816004259848461</v>
      </c>
      <c r="DD75" s="433">
        <v>0.25104840798869349</v>
      </c>
      <c r="DE75" s="433">
        <v>0.34680721234892764</v>
      </c>
      <c r="DF75" s="433">
        <v>0.40997005857291635</v>
      </c>
      <c r="DG75" s="433">
        <v>0</v>
      </c>
      <c r="DH75" s="433">
        <v>0</v>
      </c>
      <c r="DI75" s="433">
        <v>0</v>
      </c>
      <c r="DJ75" s="433">
        <v>0.35031031550396724</v>
      </c>
      <c r="DK75" s="433">
        <v>0.33543004792329517</v>
      </c>
      <c r="DL75" s="433">
        <v>0.2866175308668823</v>
      </c>
      <c r="DM75" s="433">
        <v>0.40997005857291635</v>
      </c>
      <c r="DN75" s="433">
        <v>0</v>
      </c>
      <c r="DO75" s="433">
        <v>0</v>
      </c>
      <c r="DP75" s="433">
        <v>0</v>
      </c>
      <c r="DR75" s="409" t="s">
        <v>711</v>
      </c>
      <c r="DS75" s="409" t="s">
        <v>2388</v>
      </c>
    </row>
    <row r="76" spans="2:123" s="1471" customFormat="1">
      <c r="B76" s="428">
        <v>41800.556288888889</v>
      </c>
      <c r="C76" s="429">
        <v>1.4149491759725235</v>
      </c>
      <c r="D76" s="429">
        <v>1.4161355416935255</v>
      </c>
      <c r="E76" s="429">
        <v>1.4251670937958141</v>
      </c>
      <c r="F76" s="429">
        <v>1.3943910035817002</v>
      </c>
      <c r="G76" s="429">
        <v>1.3708373955353239</v>
      </c>
      <c r="H76" s="429">
        <v>1.4001289055985473</v>
      </c>
      <c r="I76" s="429">
        <v>1.4299157074730182</v>
      </c>
      <c r="J76" s="429">
        <v>1.4740008416568597</v>
      </c>
      <c r="K76" s="429">
        <v>1.3675000289882104</v>
      </c>
      <c r="L76" s="429">
        <v>1.4457755220331778</v>
      </c>
      <c r="M76" s="429">
        <v>1.2303226374060454</v>
      </c>
      <c r="N76" s="429">
        <v>1.2059589076177535</v>
      </c>
      <c r="O76" s="429">
        <v>1.0157542256986645</v>
      </c>
      <c r="P76" s="429">
        <v>1.0830862181009844</v>
      </c>
      <c r="Q76" s="429">
        <v>2974.8268928277421</v>
      </c>
      <c r="R76" s="429">
        <v>16.218100080940367</v>
      </c>
      <c r="S76" s="429">
        <v>23.761904760857533</v>
      </c>
      <c r="T76" s="429">
        <v>3207.6540481951783</v>
      </c>
      <c r="U76" s="429">
        <v>3324.8196251332029</v>
      </c>
      <c r="V76" s="429">
        <v>3375.4357447487846</v>
      </c>
      <c r="W76" s="429">
        <v>813.50377639918861</v>
      </c>
      <c r="X76" s="429">
        <v>8.8137281118255721</v>
      </c>
      <c r="Y76" s="429">
        <v>9.2231202338516649</v>
      </c>
      <c r="Z76" s="429">
        <v>15.220086494647948</v>
      </c>
      <c r="AA76" s="429">
        <v>7.4626699539847223</v>
      </c>
      <c r="AB76" s="429">
        <v>7.7976271447333456</v>
      </c>
      <c r="AC76" s="429">
        <v>3.8790846157971108</v>
      </c>
      <c r="AD76" s="429">
        <v>3.2916171159605354</v>
      </c>
      <c r="AE76" s="429">
        <v>0</v>
      </c>
      <c r="AF76" s="429">
        <v>0</v>
      </c>
      <c r="AG76" s="429">
        <v>0</v>
      </c>
      <c r="AH76" s="429">
        <v>2.9665029959951403</v>
      </c>
      <c r="AI76" s="429">
        <v>6.3746235568568013</v>
      </c>
      <c r="AJ76" s="429">
        <v>6.1618515095024522</v>
      </c>
      <c r="AK76" s="429">
        <v>6.9986173614221281</v>
      </c>
      <c r="AL76" s="429">
        <v>0</v>
      </c>
      <c r="AM76" s="429">
        <v>0</v>
      </c>
      <c r="AN76" s="429">
        <v>0</v>
      </c>
      <c r="AO76" s="432"/>
      <c r="AP76" s="428">
        <v>41800.556288888889</v>
      </c>
      <c r="AQ76" s="431">
        <v>93.184687302309726</v>
      </c>
      <c r="AR76" s="431">
        <v>124.48110033039301</v>
      </c>
      <c r="AS76" s="431">
        <v>76.679538016221741</v>
      </c>
      <c r="AT76" s="431">
        <v>108.39205517116281</v>
      </c>
      <c r="AU76" s="431">
        <v>14.306758618623039</v>
      </c>
      <c r="AV76" s="431">
        <v>55.839195463955825</v>
      </c>
      <c r="AW76" s="431">
        <v>15.025140698301987</v>
      </c>
      <c r="AX76" s="431">
        <v>11.402464594714107</v>
      </c>
      <c r="AY76" s="431">
        <v>117.25150226464184</v>
      </c>
      <c r="AZ76" s="431">
        <v>-85.941910316164837</v>
      </c>
      <c r="BA76" s="431">
        <v>3.3014667070531787</v>
      </c>
      <c r="BB76" s="431">
        <v>2.6474508127033767</v>
      </c>
      <c r="BC76" s="431">
        <v>1.9539213531530961</v>
      </c>
      <c r="BD76" s="431">
        <v>80.025462213362303</v>
      </c>
      <c r="BE76" s="431">
        <v>364092.74202705867</v>
      </c>
      <c r="BF76" s="431">
        <v>8150.728749453343</v>
      </c>
      <c r="BG76" s="431">
        <v>1080.8450037403359</v>
      </c>
      <c r="BH76" s="431">
        <v>383264.80905998591</v>
      </c>
      <c r="BI76" s="431">
        <v>368842.6960474092</v>
      </c>
      <c r="BJ76" s="431">
        <v>52377.354134149005</v>
      </c>
      <c r="BK76" s="431">
        <v>343112.01386775728</v>
      </c>
      <c r="BL76" s="431">
        <v>2983.2649198613867</v>
      </c>
      <c r="BM76" s="431">
        <v>423.63729811659113</v>
      </c>
      <c r="BN76" s="431">
        <v>143.31118944294533</v>
      </c>
      <c r="BO76" s="431">
        <v>2440.8531162502254</v>
      </c>
      <c r="BP76" s="431">
        <v>346.61233482266545</v>
      </c>
      <c r="BQ76" s="431">
        <v>1611.7264626996259</v>
      </c>
      <c r="BR76" s="431">
        <v>828.08136123378415</v>
      </c>
      <c r="BS76" s="431">
        <v>0</v>
      </c>
      <c r="BT76" s="431">
        <v>0</v>
      </c>
      <c r="BU76" s="431">
        <v>0</v>
      </c>
      <c r="BV76" s="431">
        <v>772.41682039763691</v>
      </c>
      <c r="BW76" s="431">
        <v>1269.8193356579407</v>
      </c>
      <c r="BX76" s="431">
        <v>1180.5921309165001</v>
      </c>
      <c r="BY76" s="431">
        <v>976.78410435226203</v>
      </c>
      <c r="BZ76" s="431">
        <v>0</v>
      </c>
      <c r="CA76" s="431">
        <v>0</v>
      </c>
      <c r="CB76" s="431">
        <v>0</v>
      </c>
      <c r="CC76" s="432"/>
      <c r="CD76" s="428">
        <v>41800.556288888889</v>
      </c>
      <c r="CE76" s="433">
        <v>0.30887516912936769</v>
      </c>
      <c r="CF76" s="433">
        <v>0.21465334314226731</v>
      </c>
      <c r="CG76" s="433">
        <v>0.17822376316137725</v>
      </c>
      <c r="CH76" s="433">
        <v>0.1804430703502535</v>
      </c>
      <c r="CI76" s="433">
        <v>0.11969468358927447</v>
      </c>
      <c r="CJ76" s="433">
        <v>0.26218817202595668</v>
      </c>
      <c r="CK76" s="433">
        <v>0.26007046015078716</v>
      </c>
      <c r="CL76" s="433">
        <v>0.2795059670458605</v>
      </c>
      <c r="CM76" s="433">
        <v>0.2017515561404124</v>
      </c>
      <c r="CN76" s="433">
        <v>0.20249405129474354</v>
      </c>
      <c r="CO76" s="433">
        <v>0.62654907473547627</v>
      </c>
      <c r="CP76" s="433">
        <v>0.66252610719962202</v>
      </c>
      <c r="CQ76" s="433">
        <v>0.70077118864502774</v>
      </c>
      <c r="CR76" s="433">
        <v>0.38975168317710257</v>
      </c>
      <c r="CS76" s="433">
        <v>0.39443520669059223</v>
      </c>
      <c r="CT76" s="433">
        <v>0.447221292916757</v>
      </c>
      <c r="CU76" s="433">
        <v>0.3622790598707698</v>
      </c>
      <c r="CV76" s="433">
        <v>0.47604249083347333</v>
      </c>
      <c r="CW76" s="433">
        <v>0.4759898508915783</v>
      </c>
      <c r="CX76" s="433">
        <v>0.4007797062399322</v>
      </c>
      <c r="CY76" s="433">
        <v>0.40798711211863076</v>
      </c>
      <c r="CZ76" s="433">
        <v>0.29816004259848461</v>
      </c>
      <c r="DA76" s="433">
        <v>0.25104840798869349</v>
      </c>
      <c r="DB76" s="433">
        <v>0.80602184361489149</v>
      </c>
      <c r="DC76" s="433">
        <v>0.29816004259848461</v>
      </c>
      <c r="DD76" s="433">
        <v>0.25104840798869349</v>
      </c>
      <c r="DE76" s="433">
        <v>0.34680721234892764</v>
      </c>
      <c r="DF76" s="433">
        <v>0.40997005857291635</v>
      </c>
      <c r="DG76" s="433">
        <v>0</v>
      </c>
      <c r="DH76" s="433">
        <v>0</v>
      </c>
      <c r="DI76" s="433">
        <v>0</v>
      </c>
      <c r="DJ76" s="433">
        <v>0.35031031550396724</v>
      </c>
      <c r="DK76" s="433">
        <v>0.33543004792329517</v>
      </c>
      <c r="DL76" s="433">
        <v>0.2866175308668823</v>
      </c>
      <c r="DM76" s="433">
        <v>0.40997005857291635</v>
      </c>
      <c r="DN76" s="433">
        <v>0</v>
      </c>
      <c r="DO76" s="433">
        <v>0</v>
      </c>
      <c r="DP76" s="433">
        <v>0</v>
      </c>
      <c r="DR76" s="409" t="s">
        <v>711</v>
      </c>
      <c r="DS76" s="409" t="s">
        <v>2388</v>
      </c>
    </row>
    <row r="77" spans="2:123" s="1471" customFormat="1">
      <c r="B77" s="428">
        <v>41801.640909374997</v>
      </c>
      <c r="C77" s="429">
        <v>1.4149491759725235</v>
      </c>
      <c r="D77" s="429">
        <v>1.4161355416935255</v>
      </c>
      <c r="E77" s="429">
        <v>1.4251670937958141</v>
      </c>
      <c r="F77" s="429">
        <v>1.3943910035817002</v>
      </c>
      <c r="G77" s="429">
        <v>1.3708373955353239</v>
      </c>
      <c r="H77" s="429">
        <v>1.470630743512054</v>
      </c>
      <c r="I77" s="429">
        <v>1.4299157074730182</v>
      </c>
      <c r="J77" s="429">
        <v>1.4740008416568597</v>
      </c>
      <c r="K77" s="429">
        <v>1.3675000289882104</v>
      </c>
      <c r="L77" s="429">
        <v>1.4457755220331778</v>
      </c>
      <c r="M77" s="429">
        <v>1.2303226374060454</v>
      </c>
      <c r="N77" s="429">
        <v>1.2059589076177535</v>
      </c>
      <c r="O77" s="429">
        <v>1.0157542256986645</v>
      </c>
      <c r="P77" s="429">
        <v>1.0830862181009844</v>
      </c>
      <c r="Q77" s="429">
        <v>2974.8268928277421</v>
      </c>
      <c r="R77" s="429">
        <v>16.218100080940367</v>
      </c>
      <c r="S77" s="429">
        <v>23.761904760857533</v>
      </c>
      <c r="T77" s="429">
        <v>3207.6540481951783</v>
      </c>
      <c r="U77" s="429">
        <v>3324.8196251332029</v>
      </c>
      <c r="V77" s="429">
        <v>3375.4357447487846</v>
      </c>
      <c r="W77" s="429">
        <v>813.50377639918861</v>
      </c>
      <c r="X77" s="429">
        <v>8.8137281118255721</v>
      </c>
      <c r="Y77" s="429">
        <v>9.2231202338516649</v>
      </c>
      <c r="Z77" s="429">
        <v>15.220086494647948</v>
      </c>
      <c r="AA77" s="429">
        <v>7.4626699539847223</v>
      </c>
      <c r="AB77" s="429">
        <v>7.7976271447333456</v>
      </c>
      <c r="AC77" s="429">
        <v>3.8790846157971108</v>
      </c>
      <c r="AD77" s="429">
        <v>3.2916171159605354</v>
      </c>
      <c r="AE77" s="429">
        <v>0</v>
      </c>
      <c r="AF77" s="429">
        <v>0</v>
      </c>
      <c r="AG77" s="429">
        <v>0</v>
      </c>
      <c r="AH77" s="429">
        <v>2.9665029959951403</v>
      </c>
      <c r="AI77" s="429">
        <v>6.3746235568568013</v>
      </c>
      <c r="AJ77" s="429">
        <v>6.1618515095024522</v>
      </c>
      <c r="AK77" s="429">
        <v>6.9986173614221281</v>
      </c>
      <c r="AL77" s="429">
        <v>0</v>
      </c>
      <c r="AM77" s="429">
        <v>0</v>
      </c>
      <c r="AN77" s="429">
        <v>0</v>
      </c>
      <c r="AO77" s="432"/>
      <c r="AP77" s="428">
        <v>41801.640909374997</v>
      </c>
      <c r="AQ77" s="431">
        <v>93.184687302309726</v>
      </c>
      <c r="AR77" s="431">
        <v>124.48110033039301</v>
      </c>
      <c r="AS77" s="431">
        <v>76.679538016221741</v>
      </c>
      <c r="AT77" s="431">
        <v>108.39205517116281</v>
      </c>
      <c r="AU77" s="431">
        <v>14.306758618623039</v>
      </c>
      <c r="AV77" s="431">
        <v>54.266140075992936</v>
      </c>
      <c r="AW77" s="431">
        <v>15.025140698301987</v>
      </c>
      <c r="AX77" s="431">
        <v>11.402464594714107</v>
      </c>
      <c r="AY77" s="431">
        <v>117.25150226464184</v>
      </c>
      <c r="AZ77" s="431">
        <v>-85.941910316164837</v>
      </c>
      <c r="BA77" s="431">
        <v>3.3014667070531787</v>
      </c>
      <c r="BB77" s="431">
        <v>2.6474508127033767</v>
      </c>
      <c r="BC77" s="431">
        <v>1.9539213531530961</v>
      </c>
      <c r="BD77" s="431">
        <v>80.025462213362303</v>
      </c>
      <c r="BE77" s="431">
        <v>364092.74202705867</v>
      </c>
      <c r="BF77" s="431">
        <v>8150.728749453343</v>
      </c>
      <c r="BG77" s="431">
        <v>1080.8450037403359</v>
      </c>
      <c r="BH77" s="431">
        <v>383264.80905998591</v>
      </c>
      <c r="BI77" s="431">
        <v>368842.6960474092</v>
      </c>
      <c r="BJ77" s="431">
        <v>52377.354134149005</v>
      </c>
      <c r="BK77" s="431">
        <v>343112.01386775728</v>
      </c>
      <c r="BL77" s="431">
        <v>2983.2649198613867</v>
      </c>
      <c r="BM77" s="431">
        <v>423.63729811659113</v>
      </c>
      <c r="BN77" s="431">
        <v>143.31118944294533</v>
      </c>
      <c r="BO77" s="431">
        <v>2440.8531162502254</v>
      </c>
      <c r="BP77" s="431">
        <v>346.61233482266545</v>
      </c>
      <c r="BQ77" s="431">
        <v>1611.7264626996259</v>
      </c>
      <c r="BR77" s="431">
        <v>828.08136123378415</v>
      </c>
      <c r="BS77" s="431">
        <v>0</v>
      </c>
      <c r="BT77" s="431">
        <v>0</v>
      </c>
      <c r="BU77" s="431">
        <v>0</v>
      </c>
      <c r="BV77" s="431">
        <v>772.41682039763691</v>
      </c>
      <c r="BW77" s="431">
        <v>1269.8193356579407</v>
      </c>
      <c r="BX77" s="431">
        <v>1180.5921309165001</v>
      </c>
      <c r="BY77" s="431">
        <v>976.78410435226203</v>
      </c>
      <c r="BZ77" s="431">
        <v>0</v>
      </c>
      <c r="CA77" s="431">
        <v>0</v>
      </c>
      <c r="CB77" s="431">
        <v>0</v>
      </c>
      <c r="CC77" s="432"/>
      <c r="CD77" s="428">
        <v>41801.640909374997</v>
      </c>
      <c r="CE77" s="433">
        <v>0.30887516912936769</v>
      </c>
      <c r="CF77" s="433">
        <v>0.21465334314226731</v>
      </c>
      <c r="CG77" s="433">
        <v>0.17822376316137725</v>
      </c>
      <c r="CH77" s="433">
        <v>0.1804430703502535</v>
      </c>
      <c r="CI77" s="433">
        <v>0.11969468358927447</v>
      </c>
      <c r="CJ77" s="433">
        <v>0.27780836755497684</v>
      </c>
      <c r="CK77" s="433">
        <v>0.26007046015078716</v>
      </c>
      <c r="CL77" s="433">
        <v>0.2795059670458605</v>
      </c>
      <c r="CM77" s="433">
        <v>0.2017515561404124</v>
      </c>
      <c r="CN77" s="433">
        <v>0.20249405129474354</v>
      </c>
      <c r="CO77" s="433">
        <v>0.62654907473547627</v>
      </c>
      <c r="CP77" s="433">
        <v>0.66252610719962202</v>
      </c>
      <c r="CQ77" s="433">
        <v>0.70077118864502774</v>
      </c>
      <c r="CR77" s="433">
        <v>0.38975168317710257</v>
      </c>
      <c r="CS77" s="433">
        <v>0.39443520669059223</v>
      </c>
      <c r="CT77" s="433">
        <v>0.447221292916757</v>
      </c>
      <c r="CU77" s="433">
        <v>0.3622790598707698</v>
      </c>
      <c r="CV77" s="433">
        <v>0.47604249083347333</v>
      </c>
      <c r="CW77" s="433">
        <v>0.4759898508915783</v>
      </c>
      <c r="CX77" s="433">
        <v>0.4007797062399322</v>
      </c>
      <c r="CY77" s="433">
        <v>0.40798711211863076</v>
      </c>
      <c r="CZ77" s="433">
        <v>0.29816004259848461</v>
      </c>
      <c r="DA77" s="433">
        <v>0.25104840798869349</v>
      </c>
      <c r="DB77" s="433">
        <v>0.80602184361489149</v>
      </c>
      <c r="DC77" s="433">
        <v>0.29816004259848461</v>
      </c>
      <c r="DD77" s="433">
        <v>0.25104840798869349</v>
      </c>
      <c r="DE77" s="433">
        <v>0.34680721234892764</v>
      </c>
      <c r="DF77" s="433">
        <v>0.40997005857291635</v>
      </c>
      <c r="DG77" s="433">
        <v>0</v>
      </c>
      <c r="DH77" s="433">
        <v>0</v>
      </c>
      <c r="DI77" s="433">
        <v>0</v>
      </c>
      <c r="DJ77" s="433">
        <v>0.35031031550396724</v>
      </c>
      <c r="DK77" s="433">
        <v>0.33543004792329517</v>
      </c>
      <c r="DL77" s="433">
        <v>0.2866175308668823</v>
      </c>
      <c r="DM77" s="433">
        <v>0.40997005857291635</v>
      </c>
      <c r="DN77" s="433">
        <v>0</v>
      </c>
      <c r="DO77" s="433">
        <v>0</v>
      </c>
      <c r="DP77" s="433">
        <v>0</v>
      </c>
      <c r="DR77" s="409" t="s">
        <v>711</v>
      </c>
      <c r="DS77" s="409" t="s">
        <v>2423</v>
      </c>
    </row>
    <row r="78" spans="2:123" s="1471" customFormat="1">
      <c r="B78" s="428">
        <v>41801.687336689814</v>
      </c>
      <c r="C78" s="429">
        <v>1.4149491759725235</v>
      </c>
      <c r="D78" s="429">
        <v>1.4161355416935255</v>
      </c>
      <c r="E78" s="429">
        <v>1.4251670937958141</v>
      </c>
      <c r="F78" s="429">
        <v>1.3943910035817002</v>
      </c>
      <c r="G78" s="429">
        <v>1.3708373955353239</v>
      </c>
      <c r="H78" s="429">
        <v>1.470630743512054</v>
      </c>
      <c r="I78" s="429">
        <v>1.4299157074730182</v>
      </c>
      <c r="J78" s="429">
        <v>1.4740008416568597</v>
      </c>
      <c r="K78" s="429">
        <v>1.3675000289882104</v>
      </c>
      <c r="L78" s="429">
        <v>1.4457755220331778</v>
      </c>
      <c r="M78" s="429">
        <v>1.2303226374060454</v>
      </c>
      <c r="N78" s="429">
        <v>1.2060101581778027</v>
      </c>
      <c r="O78" s="429">
        <v>1.0157542256986645</v>
      </c>
      <c r="P78" s="429">
        <v>1.0830862181009844</v>
      </c>
      <c r="Q78" s="429">
        <v>2974.8268928277421</v>
      </c>
      <c r="R78" s="429">
        <v>16.218100080940367</v>
      </c>
      <c r="S78" s="429">
        <v>23.761904760857533</v>
      </c>
      <c r="T78" s="429">
        <v>3207.6540481951783</v>
      </c>
      <c r="U78" s="429">
        <v>3324.8196251332029</v>
      </c>
      <c r="V78" s="429">
        <v>3375.4357447487846</v>
      </c>
      <c r="W78" s="429">
        <v>813.50377639918861</v>
      </c>
      <c r="X78" s="429">
        <v>8.8137281118255721</v>
      </c>
      <c r="Y78" s="429">
        <v>9.2231202338516649</v>
      </c>
      <c r="Z78" s="429">
        <v>15.220086494647948</v>
      </c>
      <c r="AA78" s="429">
        <v>7.4626699539847223</v>
      </c>
      <c r="AB78" s="429">
        <v>7.7976271447333456</v>
      </c>
      <c r="AC78" s="429">
        <v>3.8790846157971108</v>
      </c>
      <c r="AD78" s="429">
        <v>3.2916171159605354</v>
      </c>
      <c r="AE78" s="429">
        <v>0</v>
      </c>
      <c r="AF78" s="429">
        <v>0</v>
      </c>
      <c r="AG78" s="429">
        <v>0</v>
      </c>
      <c r="AH78" s="429">
        <v>2.9665029959951403</v>
      </c>
      <c r="AI78" s="429">
        <v>6.3746235568568013</v>
      </c>
      <c r="AJ78" s="429">
        <v>6.1618515095024522</v>
      </c>
      <c r="AK78" s="429">
        <v>6.9986173614221281</v>
      </c>
      <c r="AL78" s="429">
        <v>0</v>
      </c>
      <c r="AM78" s="429">
        <v>0</v>
      </c>
      <c r="AN78" s="429">
        <v>0</v>
      </c>
      <c r="AO78" s="432"/>
      <c r="AP78" s="428">
        <v>41801.687336689814</v>
      </c>
      <c r="AQ78" s="431">
        <v>93.184687302309726</v>
      </c>
      <c r="AR78" s="431">
        <v>124.48110033039301</v>
      </c>
      <c r="AS78" s="431">
        <v>76.679538016221741</v>
      </c>
      <c r="AT78" s="431">
        <v>108.39205517116281</v>
      </c>
      <c r="AU78" s="431">
        <v>14.306758618623039</v>
      </c>
      <c r="AV78" s="431">
        <v>54.266140075992936</v>
      </c>
      <c r="AW78" s="431">
        <v>15.025140698301987</v>
      </c>
      <c r="AX78" s="431">
        <v>11.402464594714107</v>
      </c>
      <c r="AY78" s="431">
        <v>117.25150226464184</v>
      </c>
      <c r="AZ78" s="431">
        <v>-85.941910316164837</v>
      </c>
      <c r="BA78" s="431">
        <v>3.3014667070531787</v>
      </c>
      <c r="BB78" s="431">
        <v>2.7271419997493815</v>
      </c>
      <c r="BC78" s="431">
        <v>1.9539213531530961</v>
      </c>
      <c r="BD78" s="431">
        <v>80.025462213362303</v>
      </c>
      <c r="BE78" s="431">
        <v>364092.74202705867</v>
      </c>
      <c r="BF78" s="431">
        <v>8150.728749453343</v>
      </c>
      <c r="BG78" s="431">
        <v>1080.8450037403359</v>
      </c>
      <c r="BH78" s="431">
        <v>383264.80905998591</v>
      </c>
      <c r="BI78" s="431">
        <v>368842.6960474092</v>
      </c>
      <c r="BJ78" s="431">
        <v>52377.354134149005</v>
      </c>
      <c r="BK78" s="431">
        <v>343112.01386775728</v>
      </c>
      <c r="BL78" s="431">
        <v>2983.2649198613867</v>
      </c>
      <c r="BM78" s="431">
        <v>423.63729811659113</v>
      </c>
      <c r="BN78" s="431">
        <v>143.31118944294533</v>
      </c>
      <c r="BO78" s="431">
        <v>2440.8531162502254</v>
      </c>
      <c r="BP78" s="431">
        <v>346.61233482266545</v>
      </c>
      <c r="BQ78" s="431">
        <v>1611.7264626996259</v>
      </c>
      <c r="BR78" s="431">
        <v>828.08136123378415</v>
      </c>
      <c r="BS78" s="431">
        <v>0</v>
      </c>
      <c r="BT78" s="431">
        <v>0</v>
      </c>
      <c r="BU78" s="431">
        <v>0</v>
      </c>
      <c r="BV78" s="431">
        <v>772.41682039763691</v>
      </c>
      <c r="BW78" s="431">
        <v>1269.8193356579407</v>
      </c>
      <c r="BX78" s="431">
        <v>1180.5921309165001</v>
      </c>
      <c r="BY78" s="431">
        <v>976.78410435226203</v>
      </c>
      <c r="BZ78" s="431">
        <v>0</v>
      </c>
      <c r="CA78" s="431">
        <v>0</v>
      </c>
      <c r="CB78" s="431">
        <v>0</v>
      </c>
      <c r="CC78" s="432"/>
      <c r="CD78" s="428">
        <v>41801.687336689814</v>
      </c>
      <c r="CE78" s="433">
        <v>0.30887516912936769</v>
      </c>
      <c r="CF78" s="433">
        <v>0.21465334314226731</v>
      </c>
      <c r="CG78" s="433">
        <v>0.17822376316137725</v>
      </c>
      <c r="CH78" s="433">
        <v>0.1804430703502535</v>
      </c>
      <c r="CI78" s="433">
        <v>0.11969468358927447</v>
      </c>
      <c r="CJ78" s="433">
        <v>0.27780836755497684</v>
      </c>
      <c r="CK78" s="433">
        <v>0.26007046015078716</v>
      </c>
      <c r="CL78" s="433">
        <v>0.2795059670458605</v>
      </c>
      <c r="CM78" s="433">
        <v>0.2017515561404124</v>
      </c>
      <c r="CN78" s="433">
        <v>0.20249405129474354</v>
      </c>
      <c r="CO78" s="433">
        <v>0.62654907473547627</v>
      </c>
      <c r="CP78" s="433">
        <v>0.66252610719962202</v>
      </c>
      <c r="CQ78" s="433">
        <v>0.70077118864502774</v>
      </c>
      <c r="CR78" s="433">
        <v>0.38975168317710257</v>
      </c>
      <c r="CS78" s="433">
        <v>0.39443520669059223</v>
      </c>
      <c r="CT78" s="433">
        <v>0.447221292916757</v>
      </c>
      <c r="CU78" s="433">
        <v>0.3622790598707698</v>
      </c>
      <c r="CV78" s="433">
        <v>0.47604249083347333</v>
      </c>
      <c r="CW78" s="433">
        <v>0.4759898508915783</v>
      </c>
      <c r="CX78" s="433">
        <v>0.4007797062399322</v>
      </c>
      <c r="CY78" s="433">
        <v>0.40798711211863076</v>
      </c>
      <c r="CZ78" s="433">
        <v>0.29816004259848461</v>
      </c>
      <c r="DA78" s="433">
        <v>0.25104840798869349</v>
      </c>
      <c r="DB78" s="433">
        <v>0.80602184361489149</v>
      </c>
      <c r="DC78" s="433">
        <v>0.29816004259848461</v>
      </c>
      <c r="DD78" s="433">
        <v>0.25104840798869349</v>
      </c>
      <c r="DE78" s="433">
        <v>0.34680721234892764</v>
      </c>
      <c r="DF78" s="433">
        <v>0.40997005857291635</v>
      </c>
      <c r="DG78" s="433">
        <v>0</v>
      </c>
      <c r="DH78" s="433">
        <v>0</v>
      </c>
      <c r="DI78" s="433">
        <v>0</v>
      </c>
      <c r="DJ78" s="433">
        <v>0.35031031550396724</v>
      </c>
      <c r="DK78" s="433">
        <v>0.33543004792329517</v>
      </c>
      <c r="DL78" s="433">
        <v>0.2866175308668823</v>
      </c>
      <c r="DM78" s="433">
        <v>0.40997005857291635</v>
      </c>
      <c r="DN78" s="433">
        <v>0</v>
      </c>
      <c r="DO78" s="433">
        <v>0</v>
      </c>
      <c r="DP78" s="433">
        <v>0</v>
      </c>
      <c r="DR78" s="409" t="s">
        <v>711</v>
      </c>
      <c r="DS78" s="409" t="s">
        <v>2429</v>
      </c>
    </row>
    <row r="79" spans="2:123" s="1471" customFormat="1">
      <c r="B79" s="428">
        <v>41803.523755208334</v>
      </c>
      <c r="C79" s="429">
        <v>1.4149491759725235</v>
      </c>
      <c r="D79" s="429">
        <v>1.4161355416935255</v>
      </c>
      <c r="E79" s="429">
        <v>1.4251670937958141</v>
      </c>
      <c r="F79" s="429">
        <v>1.3943910035817002</v>
      </c>
      <c r="G79" s="429">
        <v>1.3708373955353239</v>
      </c>
      <c r="H79" s="429">
        <v>1.470630743512054</v>
      </c>
      <c r="I79" s="429">
        <v>1.4299157074730182</v>
      </c>
      <c r="J79" s="429">
        <v>1.4740008416568597</v>
      </c>
      <c r="K79" s="429">
        <v>1.3675000289882104</v>
      </c>
      <c r="L79" s="429">
        <v>1.4457755220331778</v>
      </c>
      <c r="M79" s="429">
        <v>1.2303226374060454</v>
      </c>
      <c r="N79" s="429">
        <v>1.2060101581778027</v>
      </c>
      <c r="O79" s="429">
        <v>1.0157542256986645</v>
      </c>
      <c r="P79" s="429">
        <v>1.0830862181009844</v>
      </c>
      <c r="Q79" s="429">
        <v>2974.8268928277421</v>
      </c>
      <c r="R79" s="429">
        <v>16.218100080940367</v>
      </c>
      <c r="S79" s="429">
        <v>23.761904760857533</v>
      </c>
      <c r="T79" s="429">
        <v>3207.6540481951783</v>
      </c>
      <c r="U79" s="429">
        <v>3324.8196251332029</v>
      </c>
      <c r="V79" s="429">
        <v>3375.4357447487846</v>
      </c>
      <c r="W79" s="429">
        <v>820.02393624794013</v>
      </c>
      <c r="X79" s="429">
        <v>8.8137281118255721</v>
      </c>
      <c r="Y79" s="429">
        <v>9.2231202338516649</v>
      </c>
      <c r="Z79" s="429">
        <v>15.220086494647948</v>
      </c>
      <c r="AA79" s="429">
        <v>7.4626699539847223</v>
      </c>
      <c r="AB79" s="429">
        <v>7.7976271447333456</v>
      </c>
      <c r="AC79" s="429">
        <v>3.8790846157971108</v>
      </c>
      <c r="AD79" s="429">
        <v>3.2916171159605354</v>
      </c>
      <c r="AE79" s="429">
        <v>0</v>
      </c>
      <c r="AF79" s="429">
        <v>0</v>
      </c>
      <c r="AG79" s="429">
        <v>0</v>
      </c>
      <c r="AH79" s="429">
        <v>2.9665029959951403</v>
      </c>
      <c r="AI79" s="429">
        <v>6.3746235568568013</v>
      </c>
      <c r="AJ79" s="429">
        <v>6.1618515095024522</v>
      </c>
      <c r="AK79" s="429">
        <v>6.9986173614221281</v>
      </c>
      <c r="AL79" s="429">
        <v>0</v>
      </c>
      <c r="AM79" s="429">
        <v>0</v>
      </c>
      <c r="AN79" s="429">
        <v>0</v>
      </c>
      <c r="AO79" s="432"/>
      <c r="AP79" s="428">
        <v>41803.523755208334</v>
      </c>
      <c r="AQ79" s="431">
        <v>93.184687302309726</v>
      </c>
      <c r="AR79" s="431">
        <v>124.48110033039301</v>
      </c>
      <c r="AS79" s="431">
        <v>76.679538016221741</v>
      </c>
      <c r="AT79" s="431">
        <v>108.39205517116281</v>
      </c>
      <c r="AU79" s="431">
        <v>14.306758618623039</v>
      </c>
      <c r="AV79" s="431">
        <v>54.266140075992936</v>
      </c>
      <c r="AW79" s="431">
        <v>15.025140698301987</v>
      </c>
      <c r="AX79" s="431">
        <v>11.402464594714107</v>
      </c>
      <c r="AY79" s="431">
        <v>117.25150226464184</v>
      </c>
      <c r="AZ79" s="431">
        <v>-85.941910316164837</v>
      </c>
      <c r="BA79" s="431">
        <v>3.3014667070531787</v>
      </c>
      <c r="BB79" s="431">
        <v>2.7271419997493815</v>
      </c>
      <c r="BC79" s="431">
        <v>1.9539213531530961</v>
      </c>
      <c r="BD79" s="431">
        <v>80.025462213362303</v>
      </c>
      <c r="BE79" s="431">
        <v>364092.74202705867</v>
      </c>
      <c r="BF79" s="431">
        <v>8150.728749453343</v>
      </c>
      <c r="BG79" s="431">
        <v>1080.8450037403359</v>
      </c>
      <c r="BH79" s="431">
        <v>383264.80905998591</v>
      </c>
      <c r="BI79" s="431">
        <v>368842.6960474092</v>
      </c>
      <c r="BJ79" s="431">
        <v>52377.354134149005</v>
      </c>
      <c r="BK79" s="431">
        <v>365419.56223939254</v>
      </c>
      <c r="BL79" s="431">
        <v>2983.2649198613867</v>
      </c>
      <c r="BM79" s="431">
        <v>423.63729811659113</v>
      </c>
      <c r="BN79" s="431">
        <v>143.31118944294533</v>
      </c>
      <c r="BO79" s="431">
        <v>2440.8531162502254</v>
      </c>
      <c r="BP79" s="431">
        <v>346.61233482266545</v>
      </c>
      <c r="BQ79" s="431">
        <v>1611.7264626996259</v>
      </c>
      <c r="BR79" s="431">
        <v>828.08136123378415</v>
      </c>
      <c r="BS79" s="431">
        <v>0</v>
      </c>
      <c r="BT79" s="431">
        <v>0</v>
      </c>
      <c r="BU79" s="431">
        <v>0</v>
      </c>
      <c r="BV79" s="431">
        <v>772.41682039763691</v>
      </c>
      <c r="BW79" s="431">
        <v>1269.8193356579407</v>
      </c>
      <c r="BX79" s="431">
        <v>1180.5921309165001</v>
      </c>
      <c r="BY79" s="431">
        <v>976.78410435226203</v>
      </c>
      <c r="BZ79" s="431">
        <v>0</v>
      </c>
      <c r="CA79" s="431">
        <v>0</v>
      </c>
      <c r="CB79" s="431">
        <v>0</v>
      </c>
      <c r="CC79" s="432"/>
      <c r="CD79" s="428">
        <v>41803.523755208334</v>
      </c>
      <c r="CE79" s="433">
        <v>0.30887516912936769</v>
      </c>
      <c r="CF79" s="433">
        <v>0.21465334314226731</v>
      </c>
      <c r="CG79" s="433">
        <v>0.17822376316137725</v>
      </c>
      <c r="CH79" s="433">
        <v>0.1804430703502535</v>
      </c>
      <c r="CI79" s="433">
        <v>0.11969468358927447</v>
      </c>
      <c r="CJ79" s="433">
        <v>0.27780836755497684</v>
      </c>
      <c r="CK79" s="433">
        <v>0.26007046015078716</v>
      </c>
      <c r="CL79" s="433">
        <v>0.2795059670458605</v>
      </c>
      <c r="CM79" s="433">
        <v>0.2017515561404124</v>
      </c>
      <c r="CN79" s="433">
        <v>0.20249405129474354</v>
      </c>
      <c r="CO79" s="433">
        <v>0.62654907473547627</v>
      </c>
      <c r="CP79" s="433">
        <v>0.66252610719962202</v>
      </c>
      <c r="CQ79" s="433">
        <v>0.70077118864502774</v>
      </c>
      <c r="CR79" s="433">
        <v>0.38975168317710257</v>
      </c>
      <c r="CS79" s="433">
        <v>0.39443520669059223</v>
      </c>
      <c r="CT79" s="433">
        <v>0.447221292916757</v>
      </c>
      <c r="CU79" s="433">
        <v>0.3622790598707698</v>
      </c>
      <c r="CV79" s="433">
        <v>0.47604249083347333</v>
      </c>
      <c r="CW79" s="433">
        <v>0.4759898508915783</v>
      </c>
      <c r="CX79" s="433">
        <v>0.4007797062399322</v>
      </c>
      <c r="CY79" s="433">
        <v>0.40798711211863076</v>
      </c>
      <c r="CZ79" s="433">
        <v>0.29816004259848461</v>
      </c>
      <c r="DA79" s="433">
        <v>0.25104840798869349</v>
      </c>
      <c r="DB79" s="433">
        <v>0.80602184361489149</v>
      </c>
      <c r="DC79" s="433">
        <v>0.29816004259848461</v>
      </c>
      <c r="DD79" s="433">
        <v>0.25104840798869349</v>
      </c>
      <c r="DE79" s="433">
        <v>0.34680721234892764</v>
      </c>
      <c r="DF79" s="433">
        <v>0.40997005857291635</v>
      </c>
      <c r="DG79" s="433">
        <v>0</v>
      </c>
      <c r="DH79" s="433">
        <v>0</v>
      </c>
      <c r="DI79" s="433">
        <v>0</v>
      </c>
      <c r="DJ79" s="433">
        <v>0.35031031550396724</v>
      </c>
      <c r="DK79" s="433">
        <v>0.33543004792329517</v>
      </c>
      <c r="DL79" s="433">
        <v>0.2866175308668823</v>
      </c>
      <c r="DM79" s="433">
        <v>0.40997005857291635</v>
      </c>
      <c r="DN79" s="433">
        <v>0</v>
      </c>
      <c r="DO79" s="433">
        <v>0</v>
      </c>
      <c r="DP79" s="433">
        <v>0</v>
      </c>
      <c r="DR79" s="409" t="s">
        <v>711</v>
      </c>
      <c r="DS79" s="409" t="s">
        <v>2430</v>
      </c>
    </row>
    <row r="80" spans="2:123" s="1471" customFormat="1">
      <c r="B80" s="428">
        <v>41803.533746875</v>
      </c>
      <c r="C80" s="429">
        <v>1.4149491759725235</v>
      </c>
      <c r="D80" s="429">
        <v>1.4161355416935255</v>
      </c>
      <c r="E80" s="429">
        <v>1.4251670937958141</v>
      </c>
      <c r="F80" s="429">
        <v>1.3943910035817002</v>
      </c>
      <c r="G80" s="429">
        <v>1.3708373955353239</v>
      </c>
      <c r="H80" s="429">
        <v>1.470630743512054</v>
      </c>
      <c r="I80" s="429">
        <v>1.4299157074730182</v>
      </c>
      <c r="J80" s="429">
        <v>1.4740008416568597</v>
      </c>
      <c r="K80" s="429">
        <v>1.3675000289882104</v>
      </c>
      <c r="L80" s="429">
        <v>1.4457755220331778</v>
      </c>
      <c r="M80" s="429">
        <v>1.2303226374060454</v>
      </c>
      <c r="N80" s="429">
        <v>1.2060101581778027</v>
      </c>
      <c r="O80" s="429">
        <v>1.0157542256986645</v>
      </c>
      <c r="P80" s="429">
        <v>1.0830862181009844</v>
      </c>
      <c r="Q80" s="429">
        <v>2974.8268928277421</v>
      </c>
      <c r="R80" s="429">
        <v>16.218100080940367</v>
      </c>
      <c r="S80" s="429">
        <v>23.761904760857533</v>
      </c>
      <c r="T80" s="429">
        <v>3207.6540481951783</v>
      </c>
      <c r="U80" s="429">
        <v>3324.8196251332029</v>
      </c>
      <c r="V80" s="429">
        <v>3375.4357447487846</v>
      </c>
      <c r="W80" s="429">
        <v>820.74839845335691</v>
      </c>
      <c r="X80" s="429">
        <v>8.8137281118255721</v>
      </c>
      <c r="Y80" s="429">
        <v>9.2231202338516649</v>
      </c>
      <c r="Z80" s="429">
        <v>15.220086494647948</v>
      </c>
      <c r="AA80" s="429">
        <v>7.4626699539847223</v>
      </c>
      <c r="AB80" s="429">
        <v>7.7976271447333456</v>
      </c>
      <c r="AC80" s="429">
        <v>3.8790846157971108</v>
      </c>
      <c r="AD80" s="429">
        <v>3.2916171159605354</v>
      </c>
      <c r="AE80" s="429">
        <v>0</v>
      </c>
      <c r="AF80" s="429">
        <v>0</v>
      </c>
      <c r="AG80" s="429">
        <v>0</v>
      </c>
      <c r="AH80" s="429">
        <v>2.9665029959951403</v>
      </c>
      <c r="AI80" s="429">
        <v>6.3746235568568013</v>
      </c>
      <c r="AJ80" s="429">
        <v>6.1618515095024522</v>
      </c>
      <c r="AK80" s="429">
        <v>6.9986173614221281</v>
      </c>
      <c r="AL80" s="429">
        <v>0</v>
      </c>
      <c r="AM80" s="429">
        <v>0</v>
      </c>
      <c r="AN80" s="429">
        <v>0</v>
      </c>
      <c r="AO80" s="432"/>
      <c r="AP80" s="428">
        <v>41803.533746875</v>
      </c>
      <c r="AQ80" s="431">
        <v>93.184687302309726</v>
      </c>
      <c r="AR80" s="431">
        <v>124.48110033039301</v>
      </c>
      <c r="AS80" s="431">
        <v>76.679538016221741</v>
      </c>
      <c r="AT80" s="431">
        <v>108.39205517116281</v>
      </c>
      <c r="AU80" s="431">
        <v>14.306758618623039</v>
      </c>
      <c r="AV80" s="431">
        <v>54.266140075992936</v>
      </c>
      <c r="AW80" s="431">
        <v>15.025140698301987</v>
      </c>
      <c r="AX80" s="431">
        <v>11.402464594714107</v>
      </c>
      <c r="AY80" s="431">
        <v>117.25150226464184</v>
      </c>
      <c r="AZ80" s="431">
        <v>-85.941910316164837</v>
      </c>
      <c r="BA80" s="431">
        <v>3.3014667070531787</v>
      </c>
      <c r="BB80" s="431">
        <v>2.7271419997493815</v>
      </c>
      <c r="BC80" s="431">
        <v>1.9539213531530961</v>
      </c>
      <c r="BD80" s="431">
        <v>80.025462213362303</v>
      </c>
      <c r="BE80" s="431">
        <v>364092.74202705867</v>
      </c>
      <c r="BF80" s="431">
        <v>8150.728749453343</v>
      </c>
      <c r="BG80" s="431">
        <v>1080.8450037403359</v>
      </c>
      <c r="BH80" s="431">
        <v>383264.80905998591</v>
      </c>
      <c r="BI80" s="431">
        <v>368842.6960474092</v>
      </c>
      <c r="BJ80" s="431">
        <v>52377.354134149005</v>
      </c>
      <c r="BK80" s="431">
        <v>367898.17872512987</v>
      </c>
      <c r="BL80" s="431">
        <v>2983.2649198613867</v>
      </c>
      <c r="BM80" s="431">
        <v>423.63729811659113</v>
      </c>
      <c r="BN80" s="431">
        <v>143.31118944294533</v>
      </c>
      <c r="BO80" s="431">
        <v>2440.8531162502254</v>
      </c>
      <c r="BP80" s="431">
        <v>346.61233482266545</v>
      </c>
      <c r="BQ80" s="431">
        <v>1611.7264626996259</v>
      </c>
      <c r="BR80" s="431">
        <v>828.08136123378415</v>
      </c>
      <c r="BS80" s="431">
        <v>0</v>
      </c>
      <c r="BT80" s="431">
        <v>0</v>
      </c>
      <c r="BU80" s="431">
        <v>0</v>
      </c>
      <c r="BV80" s="431">
        <v>772.41682039763691</v>
      </c>
      <c r="BW80" s="431">
        <v>1269.8193356579407</v>
      </c>
      <c r="BX80" s="431">
        <v>1180.5921309165001</v>
      </c>
      <c r="BY80" s="431">
        <v>976.78410435226203</v>
      </c>
      <c r="BZ80" s="431">
        <v>0</v>
      </c>
      <c r="CA80" s="431">
        <v>0</v>
      </c>
      <c r="CB80" s="431">
        <v>0</v>
      </c>
      <c r="CC80" s="432"/>
      <c r="CD80" s="428">
        <v>41803.533746875</v>
      </c>
      <c r="CE80" s="433">
        <v>0.30887516912936769</v>
      </c>
      <c r="CF80" s="433">
        <v>0.21465334314226731</v>
      </c>
      <c r="CG80" s="433">
        <v>0.17822376316137725</v>
      </c>
      <c r="CH80" s="433">
        <v>0.1804430703502535</v>
      </c>
      <c r="CI80" s="433">
        <v>0.11969468358927447</v>
      </c>
      <c r="CJ80" s="433">
        <v>0.27780836755497684</v>
      </c>
      <c r="CK80" s="433">
        <v>0.26007046015078716</v>
      </c>
      <c r="CL80" s="433">
        <v>0.2795059670458605</v>
      </c>
      <c r="CM80" s="433">
        <v>0.2017515561404124</v>
      </c>
      <c r="CN80" s="433">
        <v>0.20249405129474354</v>
      </c>
      <c r="CO80" s="433">
        <v>0.62654907473547627</v>
      </c>
      <c r="CP80" s="433">
        <v>0.66252610719962202</v>
      </c>
      <c r="CQ80" s="433">
        <v>0.70077118864502774</v>
      </c>
      <c r="CR80" s="433">
        <v>0.38975168317710257</v>
      </c>
      <c r="CS80" s="433">
        <v>0.39443520669059223</v>
      </c>
      <c r="CT80" s="433">
        <v>0.447221292916757</v>
      </c>
      <c r="CU80" s="433">
        <v>0.3622790598707698</v>
      </c>
      <c r="CV80" s="433">
        <v>0.47604249083347333</v>
      </c>
      <c r="CW80" s="433">
        <v>0.4759898508915783</v>
      </c>
      <c r="CX80" s="433">
        <v>0.4007797062399322</v>
      </c>
      <c r="CY80" s="433">
        <v>0.40798711211863076</v>
      </c>
      <c r="CZ80" s="433">
        <v>0.29816004259848461</v>
      </c>
      <c r="DA80" s="433">
        <v>0.25104840798869349</v>
      </c>
      <c r="DB80" s="433">
        <v>0.80602184361489149</v>
      </c>
      <c r="DC80" s="433">
        <v>0.29816004259848461</v>
      </c>
      <c r="DD80" s="433">
        <v>0.25104840798869349</v>
      </c>
      <c r="DE80" s="433">
        <v>0.34680721234892764</v>
      </c>
      <c r="DF80" s="433">
        <v>0.40997005857291635</v>
      </c>
      <c r="DG80" s="433">
        <v>0</v>
      </c>
      <c r="DH80" s="433">
        <v>0</v>
      </c>
      <c r="DI80" s="433">
        <v>0</v>
      </c>
      <c r="DJ80" s="433">
        <v>0.35031031550396724</v>
      </c>
      <c r="DK80" s="433">
        <v>0.33543004792329517</v>
      </c>
      <c r="DL80" s="433">
        <v>0.2866175308668823</v>
      </c>
      <c r="DM80" s="433">
        <v>0.40997005857291635</v>
      </c>
      <c r="DN80" s="433">
        <v>0</v>
      </c>
      <c r="DO80" s="433">
        <v>0</v>
      </c>
      <c r="DP80" s="433">
        <v>0</v>
      </c>
      <c r="DR80" s="409" t="s">
        <v>711</v>
      </c>
      <c r="DS80" s="409" t="s">
        <v>2433</v>
      </c>
    </row>
    <row r="81" spans="2:123" s="1471" customFormat="1">
      <c r="B81" s="428">
        <v>41803.536004050926</v>
      </c>
      <c r="C81" s="429">
        <v>1.4149491759725235</v>
      </c>
      <c r="D81" s="429">
        <v>1.4161355416935255</v>
      </c>
      <c r="E81" s="429">
        <v>1.4251670937958141</v>
      </c>
      <c r="F81" s="429">
        <v>1.3943910035817002</v>
      </c>
      <c r="G81" s="429">
        <v>1.3708373955353239</v>
      </c>
      <c r="H81" s="429">
        <v>1.470630743512054</v>
      </c>
      <c r="I81" s="429">
        <v>1.4299157074730182</v>
      </c>
      <c r="J81" s="429">
        <v>1.4740008416568597</v>
      </c>
      <c r="K81" s="429">
        <v>1.3675000289882104</v>
      </c>
      <c r="L81" s="429">
        <v>1.4457755220331778</v>
      </c>
      <c r="M81" s="429">
        <v>1.2303226374060454</v>
      </c>
      <c r="N81" s="429">
        <v>1.2060101581778027</v>
      </c>
      <c r="O81" s="429">
        <v>1.0157542256986645</v>
      </c>
      <c r="P81" s="429">
        <v>1.0830862181009844</v>
      </c>
      <c r="Q81" s="429">
        <v>2974.8268928277421</v>
      </c>
      <c r="R81" s="429">
        <v>16.218100080940367</v>
      </c>
      <c r="S81" s="429">
        <v>23.761904760857533</v>
      </c>
      <c r="T81" s="429">
        <v>3207.6540481951783</v>
      </c>
      <c r="U81" s="429">
        <v>3324.8196251332029</v>
      </c>
      <c r="V81" s="429">
        <v>3375.4357447487846</v>
      </c>
      <c r="W81" s="429">
        <v>820.74839845335691</v>
      </c>
      <c r="X81" s="429">
        <v>8.8137281118255721</v>
      </c>
      <c r="Y81" s="429">
        <v>9.2231202338516649</v>
      </c>
      <c r="Z81" s="429">
        <v>15.220086494647948</v>
      </c>
      <c r="AA81" s="429">
        <v>7.4626699539847223</v>
      </c>
      <c r="AB81" s="429">
        <v>7.7976271447333456</v>
      </c>
      <c r="AC81" s="429">
        <v>3.8790846157971108</v>
      </c>
      <c r="AD81" s="429">
        <v>3.2916171159605354</v>
      </c>
      <c r="AE81" s="429">
        <v>0</v>
      </c>
      <c r="AF81" s="429">
        <v>0</v>
      </c>
      <c r="AG81" s="429">
        <v>0</v>
      </c>
      <c r="AH81" s="429">
        <v>2.9665029959951403</v>
      </c>
      <c r="AI81" s="429">
        <v>6.3746235568568013</v>
      </c>
      <c r="AJ81" s="429">
        <v>6.1618515095024522</v>
      </c>
      <c r="AK81" s="429">
        <v>6.9986173614221281</v>
      </c>
      <c r="AL81" s="429">
        <v>0</v>
      </c>
      <c r="AM81" s="429">
        <v>0</v>
      </c>
      <c r="AN81" s="429">
        <v>0</v>
      </c>
      <c r="AO81" s="432"/>
      <c r="AP81" s="428">
        <v>41803.536004050926</v>
      </c>
      <c r="AQ81" s="431">
        <v>93.184687302309726</v>
      </c>
      <c r="AR81" s="431">
        <v>124.48110033039301</v>
      </c>
      <c r="AS81" s="431">
        <v>76.679538016221741</v>
      </c>
      <c r="AT81" s="431">
        <v>108.39205517116281</v>
      </c>
      <c r="AU81" s="431">
        <v>14.306758618623039</v>
      </c>
      <c r="AV81" s="431">
        <v>54.266140075992936</v>
      </c>
      <c r="AW81" s="431">
        <v>15.025140698301987</v>
      </c>
      <c r="AX81" s="431">
        <v>11.402464594714107</v>
      </c>
      <c r="AY81" s="431">
        <v>117.25150226464184</v>
      </c>
      <c r="AZ81" s="431">
        <v>-85.941910316164837</v>
      </c>
      <c r="BA81" s="431">
        <v>3.3014667070531787</v>
      </c>
      <c r="BB81" s="431">
        <v>2.7271419997493815</v>
      </c>
      <c r="BC81" s="431">
        <v>1.9539213531530961</v>
      </c>
      <c r="BD81" s="431">
        <v>80.025462213362303</v>
      </c>
      <c r="BE81" s="431">
        <v>364092.74202705867</v>
      </c>
      <c r="BF81" s="431">
        <v>8150.728749453343</v>
      </c>
      <c r="BG81" s="431">
        <v>1080.8450037403359</v>
      </c>
      <c r="BH81" s="431">
        <v>383264.80905998591</v>
      </c>
      <c r="BI81" s="431">
        <v>368842.6960474092</v>
      </c>
      <c r="BJ81" s="431">
        <v>52377.354134149005</v>
      </c>
      <c r="BK81" s="431">
        <v>367898.17872512987</v>
      </c>
      <c r="BL81" s="431">
        <v>2983.2649198613867</v>
      </c>
      <c r="BM81" s="431">
        <v>423.63729811659113</v>
      </c>
      <c r="BN81" s="431">
        <v>143.31118944294533</v>
      </c>
      <c r="BO81" s="431">
        <v>2440.8531162502254</v>
      </c>
      <c r="BP81" s="431">
        <v>346.61233482266545</v>
      </c>
      <c r="BQ81" s="431">
        <v>1611.7264626996259</v>
      </c>
      <c r="BR81" s="431">
        <v>828.08136123378415</v>
      </c>
      <c r="BS81" s="431">
        <v>0</v>
      </c>
      <c r="BT81" s="431">
        <v>0</v>
      </c>
      <c r="BU81" s="431">
        <v>0</v>
      </c>
      <c r="BV81" s="431">
        <v>772.41682039763691</v>
      </c>
      <c r="BW81" s="431">
        <v>1269.8193356579407</v>
      </c>
      <c r="BX81" s="431">
        <v>1180.5921309165001</v>
      </c>
      <c r="BY81" s="431">
        <v>976.78410435226203</v>
      </c>
      <c r="BZ81" s="431">
        <v>0</v>
      </c>
      <c r="CA81" s="431">
        <v>0</v>
      </c>
      <c r="CB81" s="431">
        <v>0</v>
      </c>
      <c r="CC81" s="432"/>
      <c r="CD81" s="428">
        <v>41803.536004050926</v>
      </c>
      <c r="CE81" s="433">
        <v>0.30887516912936769</v>
      </c>
      <c r="CF81" s="433">
        <v>0.21465334314226731</v>
      </c>
      <c r="CG81" s="433">
        <v>0.17822376316137725</v>
      </c>
      <c r="CH81" s="433">
        <v>0.1804430703502535</v>
      </c>
      <c r="CI81" s="433">
        <v>0.11969468358927447</v>
      </c>
      <c r="CJ81" s="433">
        <v>0.27780836755497684</v>
      </c>
      <c r="CK81" s="433">
        <v>0.26007046015078716</v>
      </c>
      <c r="CL81" s="433">
        <v>0.2795059670458605</v>
      </c>
      <c r="CM81" s="433">
        <v>0.2017515561404124</v>
      </c>
      <c r="CN81" s="433">
        <v>0.20249405129474354</v>
      </c>
      <c r="CO81" s="433">
        <v>0.62654907473547627</v>
      </c>
      <c r="CP81" s="433">
        <v>0.66252610719962202</v>
      </c>
      <c r="CQ81" s="433">
        <v>0.70077118864502774</v>
      </c>
      <c r="CR81" s="433">
        <v>0.38975168317710257</v>
      </c>
      <c r="CS81" s="433">
        <v>0.39443520669059223</v>
      </c>
      <c r="CT81" s="433">
        <v>0.447221292916757</v>
      </c>
      <c r="CU81" s="433">
        <v>0.3622790598707698</v>
      </c>
      <c r="CV81" s="433">
        <v>0.47604249083347333</v>
      </c>
      <c r="CW81" s="433">
        <v>0.4759898508915783</v>
      </c>
      <c r="CX81" s="433">
        <v>0.4007797062399322</v>
      </c>
      <c r="CY81" s="433">
        <v>0.40798711211863076</v>
      </c>
      <c r="CZ81" s="433">
        <v>0.29816004259848461</v>
      </c>
      <c r="DA81" s="433">
        <v>0.25104840798869349</v>
      </c>
      <c r="DB81" s="433">
        <v>0.80602184361489149</v>
      </c>
      <c r="DC81" s="433">
        <v>0.29816004259848461</v>
      </c>
      <c r="DD81" s="433">
        <v>0.25104840798869349</v>
      </c>
      <c r="DE81" s="433">
        <v>0.34680721234892764</v>
      </c>
      <c r="DF81" s="433">
        <v>0.40997005857291635</v>
      </c>
      <c r="DG81" s="433">
        <v>0</v>
      </c>
      <c r="DH81" s="433">
        <v>0</v>
      </c>
      <c r="DI81" s="433">
        <v>0</v>
      </c>
      <c r="DJ81" s="433">
        <v>0.35031031550396724</v>
      </c>
      <c r="DK81" s="433">
        <v>0.33543004792329517</v>
      </c>
      <c r="DL81" s="433">
        <v>0.2866175308668823</v>
      </c>
      <c r="DM81" s="433">
        <v>0.40997005857291635</v>
      </c>
      <c r="DN81" s="433">
        <v>0</v>
      </c>
      <c r="DO81" s="433">
        <v>0</v>
      </c>
      <c r="DP81" s="433">
        <v>0</v>
      </c>
      <c r="DR81" s="409" t="s">
        <v>711</v>
      </c>
      <c r="DS81" s="409" t="s">
        <v>2434</v>
      </c>
    </row>
    <row r="82" spans="2:123" s="1471" customFormat="1">
      <c r="B82" s="428">
        <v>41803.643129976852</v>
      </c>
      <c r="C82" s="429">
        <v>1.4149491759725235</v>
      </c>
      <c r="D82" s="429">
        <v>1.4161355416935255</v>
      </c>
      <c r="E82" s="429">
        <v>1.4251670937958141</v>
      </c>
      <c r="F82" s="429">
        <v>1.3943910035817002</v>
      </c>
      <c r="G82" s="429">
        <v>1.3708373955353239</v>
      </c>
      <c r="H82" s="429">
        <v>1.470630743512054</v>
      </c>
      <c r="I82" s="429">
        <v>1.4939199274730182</v>
      </c>
      <c r="J82" s="429">
        <v>1.4740008416568597</v>
      </c>
      <c r="K82" s="429">
        <v>1.3675000289882104</v>
      </c>
      <c r="L82" s="429">
        <v>1.4457755220331778</v>
      </c>
      <c r="M82" s="429">
        <v>1.2303226374060454</v>
      </c>
      <c r="N82" s="429">
        <v>1.2060101581778027</v>
      </c>
      <c r="O82" s="429">
        <v>1.0157542256986645</v>
      </c>
      <c r="P82" s="429">
        <v>1.0830862181009844</v>
      </c>
      <c r="Q82" s="429">
        <v>2974.8268928277421</v>
      </c>
      <c r="R82" s="429">
        <v>16.218100080940367</v>
      </c>
      <c r="S82" s="429">
        <v>23.761904760857533</v>
      </c>
      <c r="T82" s="429">
        <v>3207.6540481951783</v>
      </c>
      <c r="U82" s="429">
        <v>3324.8196251332029</v>
      </c>
      <c r="V82" s="429">
        <v>3616.0611392232772</v>
      </c>
      <c r="W82" s="429">
        <v>820.74839845335691</v>
      </c>
      <c r="X82" s="429">
        <v>8.8137281118255721</v>
      </c>
      <c r="Y82" s="429">
        <v>11.169340955737106</v>
      </c>
      <c r="Z82" s="429">
        <v>15.220086494647948</v>
      </c>
      <c r="AA82" s="429">
        <v>7.4626699539847223</v>
      </c>
      <c r="AB82" s="429">
        <v>9.3899895535487055</v>
      </c>
      <c r="AC82" s="429">
        <v>3.8790846157971108</v>
      </c>
      <c r="AD82" s="429">
        <v>3.2916171159605354</v>
      </c>
      <c r="AE82" s="429">
        <v>0</v>
      </c>
      <c r="AF82" s="429">
        <v>0</v>
      </c>
      <c r="AG82" s="429">
        <v>0</v>
      </c>
      <c r="AH82" s="429">
        <v>2.9665029959951403</v>
      </c>
      <c r="AI82" s="429">
        <v>6.3746235568568013</v>
      </c>
      <c r="AJ82" s="429">
        <v>6.1618515095024522</v>
      </c>
      <c r="AK82" s="429">
        <v>6.9986173614221281</v>
      </c>
      <c r="AL82" s="429">
        <v>0</v>
      </c>
      <c r="AM82" s="429">
        <v>0</v>
      </c>
      <c r="AN82" s="429">
        <v>0</v>
      </c>
      <c r="AO82" s="432"/>
      <c r="AP82" s="428">
        <v>41803.643129976852</v>
      </c>
      <c r="AQ82" s="431">
        <v>93.184687302309726</v>
      </c>
      <c r="AR82" s="431">
        <v>124.48110033039301</v>
      </c>
      <c r="AS82" s="431">
        <v>76.679538016221741</v>
      </c>
      <c r="AT82" s="431">
        <v>108.39205517116281</v>
      </c>
      <c r="AU82" s="431">
        <v>14.306758618623039</v>
      </c>
      <c r="AV82" s="431">
        <v>54.266140075992936</v>
      </c>
      <c r="AW82" s="431">
        <v>15.025140698301987</v>
      </c>
      <c r="AX82" s="431">
        <v>11.402464594714107</v>
      </c>
      <c r="AY82" s="431">
        <v>117.25150226464184</v>
      </c>
      <c r="AZ82" s="431">
        <v>-85.941910316164837</v>
      </c>
      <c r="BA82" s="431">
        <v>3.3014667070531787</v>
      </c>
      <c r="BB82" s="431">
        <v>2.7271419997493815</v>
      </c>
      <c r="BC82" s="431">
        <v>1.9539213531530961</v>
      </c>
      <c r="BD82" s="431">
        <v>80.025462213362303</v>
      </c>
      <c r="BE82" s="431">
        <v>364092.74202705867</v>
      </c>
      <c r="BF82" s="431">
        <v>8150.728749453343</v>
      </c>
      <c r="BG82" s="431">
        <v>1080.8450037403359</v>
      </c>
      <c r="BH82" s="431">
        <v>383264.80905998591</v>
      </c>
      <c r="BI82" s="431">
        <v>368842.6960474092</v>
      </c>
      <c r="BJ82" s="431">
        <v>52377.354134149005</v>
      </c>
      <c r="BK82" s="431">
        <v>367898.17872512987</v>
      </c>
      <c r="BL82" s="431">
        <v>2983.2649198613867</v>
      </c>
      <c r="BM82" s="431">
        <v>423.63729811659113</v>
      </c>
      <c r="BN82" s="431">
        <v>143.31118944294533</v>
      </c>
      <c r="BO82" s="431">
        <v>2440.8531162502254</v>
      </c>
      <c r="BP82" s="431">
        <v>346.61233482266545</v>
      </c>
      <c r="BQ82" s="431">
        <v>1611.7264626996259</v>
      </c>
      <c r="BR82" s="431">
        <v>828.08136123378415</v>
      </c>
      <c r="BS82" s="431">
        <v>0</v>
      </c>
      <c r="BT82" s="431">
        <v>0</v>
      </c>
      <c r="BU82" s="431">
        <v>0</v>
      </c>
      <c r="BV82" s="431">
        <v>772.41682039763691</v>
      </c>
      <c r="BW82" s="431">
        <v>1269.8193356579407</v>
      </c>
      <c r="BX82" s="431">
        <v>1180.5921309165001</v>
      </c>
      <c r="BY82" s="431">
        <v>976.78410435226203</v>
      </c>
      <c r="BZ82" s="431">
        <v>0</v>
      </c>
      <c r="CA82" s="431">
        <v>0</v>
      </c>
      <c r="CB82" s="431">
        <v>0</v>
      </c>
      <c r="CC82" s="432"/>
      <c r="CD82" s="428">
        <v>41803.643129976852</v>
      </c>
      <c r="CE82" s="433">
        <v>0.30887516912936769</v>
      </c>
      <c r="CF82" s="433">
        <v>0.21465334314226731</v>
      </c>
      <c r="CG82" s="433">
        <v>0.17822376316137725</v>
      </c>
      <c r="CH82" s="433">
        <v>0.1804430703502535</v>
      </c>
      <c r="CI82" s="433">
        <v>0.11969468358927447</v>
      </c>
      <c r="CJ82" s="433">
        <v>0.27780836755497684</v>
      </c>
      <c r="CK82" s="433">
        <v>0.26007046015078716</v>
      </c>
      <c r="CL82" s="433">
        <v>0.2795059670458605</v>
      </c>
      <c r="CM82" s="433">
        <v>0.2017515561404124</v>
      </c>
      <c r="CN82" s="433">
        <v>0.20249405129474354</v>
      </c>
      <c r="CO82" s="433">
        <v>0.62654907473547627</v>
      </c>
      <c r="CP82" s="433">
        <v>0.66252610719962202</v>
      </c>
      <c r="CQ82" s="433">
        <v>0.70077118864502774</v>
      </c>
      <c r="CR82" s="433">
        <v>0.38975168317710257</v>
      </c>
      <c r="CS82" s="433">
        <v>0.39443520669059223</v>
      </c>
      <c r="CT82" s="433">
        <v>0.447221292916757</v>
      </c>
      <c r="CU82" s="433">
        <v>0.3622790598707698</v>
      </c>
      <c r="CV82" s="433">
        <v>0.47604249083347333</v>
      </c>
      <c r="CW82" s="433">
        <v>0.4759898508915783</v>
      </c>
      <c r="CX82" s="433">
        <v>0.4007797062399322</v>
      </c>
      <c r="CY82" s="433">
        <v>0.40798711211863076</v>
      </c>
      <c r="CZ82" s="433">
        <v>0.29816004259848461</v>
      </c>
      <c r="DA82" s="433">
        <v>0.25104840798869349</v>
      </c>
      <c r="DB82" s="433">
        <v>0.80602184361489149</v>
      </c>
      <c r="DC82" s="433">
        <v>0.29816004259848461</v>
      </c>
      <c r="DD82" s="433">
        <v>0.25104840798869349</v>
      </c>
      <c r="DE82" s="433">
        <v>0.34680721234892764</v>
      </c>
      <c r="DF82" s="433">
        <v>0.40997005857291635</v>
      </c>
      <c r="DG82" s="433">
        <v>0</v>
      </c>
      <c r="DH82" s="433">
        <v>0</v>
      </c>
      <c r="DI82" s="433">
        <v>0</v>
      </c>
      <c r="DJ82" s="433">
        <v>0.35031031550396724</v>
      </c>
      <c r="DK82" s="433">
        <v>0.33543004792329517</v>
      </c>
      <c r="DL82" s="433">
        <v>0.2866175308668823</v>
      </c>
      <c r="DM82" s="433">
        <v>0.40997005857291635</v>
      </c>
      <c r="DN82" s="433">
        <v>0</v>
      </c>
      <c r="DO82" s="433">
        <v>0</v>
      </c>
      <c r="DP82" s="433">
        <v>0</v>
      </c>
      <c r="DR82" s="409" t="s">
        <v>711</v>
      </c>
      <c r="DS82" s="409" t="s">
        <v>2440</v>
      </c>
    </row>
    <row r="83" spans="2:123" s="1471" customFormat="1">
      <c r="B83" s="428">
        <v>41803.685709606485</v>
      </c>
      <c r="C83" s="429">
        <v>1.4149491759725235</v>
      </c>
      <c r="D83" s="429">
        <v>1.4161355416935255</v>
      </c>
      <c r="E83" s="429">
        <v>1.3948684786083703</v>
      </c>
      <c r="F83" s="429">
        <v>1.3912070398947969</v>
      </c>
      <c r="G83" s="429">
        <v>1.3708373955353239</v>
      </c>
      <c r="H83" s="429">
        <v>1.232668740281337</v>
      </c>
      <c r="I83" s="429">
        <v>1.4305129474730183</v>
      </c>
      <c r="J83" s="429">
        <v>1.4740008416568597</v>
      </c>
      <c r="K83" s="429">
        <v>1.3675000289882104</v>
      </c>
      <c r="L83" s="429">
        <v>1.4457755220331778</v>
      </c>
      <c r="M83" s="429">
        <v>1.2303226374060454</v>
      </c>
      <c r="N83" s="429">
        <v>1.2060101581778027</v>
      </c>
      <c r="O83" s="429">
        <v>1.0157542256986645</v>
      </c>
      <c r="P83" s="429">
        <v>1.0830862181009844</v>
      </c>
      <c r="Q83" s="429">
        <v>2974.8268928277421</v>
      </c>
      <c r="R83" s="429">
        <v>16.218100080940367</v>
      </c>
      <c r="S83" s="429">
        <v>36.915468166821022</v>
      </c>
      <c r="T83" s="429">
        <v>3207.6540481951783</v>
      </c>
      <c r="U83" s="429">
        <v>3324.8196251332029</v>
      </c>
      <c r="V83" s="429">
        <v>3377.6810827998688</v>
      </c>
      <c r="W83" s="429">
        <v>820.74839845335691</v>
      </c>
      <c r="X83" s="429">
        <v>8.8137281118255721</v>
      </c>
      <c r="Y83" s="429">
        <v>9.2412809248801455</v>
      </c>
      <c r="Z83" s="429">
        <v>15.220086494647948</v>
      </c>
      <c r="AA83" s="429">
        <v>7.4626699539847223</v>
      </c>
      <c r="AB83" s="429">
        <v>7.812485891938465</v>
      </c>
      <c r="AC83" s="429">
        <v>3.8790846157971108</v>
      </c>
      <c r="AD83" s="429">
        <v>3.2916171159605354</v>
      </c>
      <c r="AE83" s="429">
        <v>0</v>
      </c>
      <c r="AF83" s="429">
        <v>0</v>
      </c>
      <c r="AG83" s="429">
        <v>0</v>
      </c>
      <c r="AH83" s="429">
        <v>2.9665029959951403</v>
      </c>
      <c r="AI83" s="429">
        <v>6.3746235568568013</v>
      </c>
      <c r="AJ83" s="429">
        <v>6.1618515095024522</v>
      </c>
      <c r="AK83" s="429">
        <v>6.9986173614221281</v>
      </c>
      <c r="AL83" s="429">
        <v>0</v>
      </c>
      <c r="AM83" s="429">
        <v>0</v>
      </c>
      <c r="AN83" s="429">
        <v>0</v>
      </c>
      <c r="AO83" s="432"/>
      <c r="AP83" s="428">
        <v>41803.685709606485</v>
      </c>
      <c r="AQ83" s="431">
        <v>93.184687302309726</v>
      </c>
      <c r="AR83" s="431">
        <v>124.48110033039301</v>
      </c>
      <c r="AS83" s="431">
        <v>76.679538016221741</v>
      </c>
      <c r="AT83" s="431">
        <v>108.39205517116281</v>
      </c>
      <c r="AU83" s="431">
        <v>14.306758618623039</v>
      </c>
      <c r="AV83" s="431">
        <v>54.266140075992936</v>
      </c>
      <c r="AW83" s="431">
        <v>15.025140698301987</v>
      </c>
      <c r="AX83" s="431">
        <v>11.402464594714107</v>
      </c>
      <c r="AY83" s="431">
        <v>117.25150226464184</v>
      </c>
      <c r="AZ83" s="431">
        <v>-85.941910316164837</v>
      </c>
      <c r="BA83" s="431">
        <v>3.3014667070531787</v>
      </c>
      <c r="BB83" s="431">
        <v>2.7271419997493815</v>
      </c>
      <c r="BC83" s="431">
        <v>1.9539213531530961</v>
      </c>
      <c r="BD83" s="431">
        <v>80.025462213362303</v>
      </c>
      <c r="BE83" s="431">
        <v>364092.74202705867</v>
      </c>
      <c r="BF83" s="431">
        <v>8150.728749453343</v>
      </c>
      <c r="BG83" s="431">
        <v>1685.2691278793206</v>
      </c>
      <c r="BH83" s="431">
        <v>383264.80905998591</v>
      </c>
      <c r="BI83" s="431">
        <v>368842.6960474092</v>
      </c>
      <c r="BJ83" s="431">
        <v>52377.354134149005</v>
      </c>
      <c r="BK83" s="431">
        <v>367898.17872512987</v>
      </c>
      <c r="BL83" s="431">
        <v>2983.2649198613867</v>
      </c>
      <c r="BM83" s="431">
        <v>423.63729811659113</v>
      </c>
      <c r="BN83" s="431">
        <v>143.31118944294533</v>
      </c>
      <c r="BO83" s="431">
        <v>2440.8531162502254</v>
      </c>
      <c r="BP83" s="431">
        <v>346.61233482266545</v>
      </c>
      <c r="BQ83" s="431">
        <v>1611.7264626996259</v>
      </c>
      <c r="BR83" s="431">
        <v>828.08136123378415</v>
      </c>
      <c r="BS83" s="431">
        <v>0</v>
      </c>
      <c r="BT83" s="431">
        <v>0</v>
      </c>
      <c r="BU83" s="431">
        <v>0</v>
      </c>
      <c r="BV83" s="431">
        <v>772.41682039763691</v>
      </c>
      <c r="BW83" s="431">
        <v>1269.8193356579407</v>
      </c>
      <c r="BX83" s="431">
        <v>1180.5921309165001</v>
      </c>
      <c r="BY83" s="431">
        <v>976.78410435226203</v>
      </c>
      <c r="BZ83" s="431">
        <v>0</v>
      </c>
      <c r="CA83" s="431">
        <v>0</v>
      </c>
      <c r="CB83" s="431">
        <v>0</v>
      </c>
      <c r="CC83" s="432"/>
      <c r="CD83" s="428">
        <v>41803.685709606485</v>
      </c>
      <c r="CE83" s="433">
        <v>0.30887516912936769</v>
      </c>
      <c r="CF83" s="433">
        <v>0.21465334314226731</v>
      </c>
      <c r="CG83" s="433">
        <v>0.17822376316137725</v>
      </c>
      <c r="CH83" s="433">
        <v>0.1804430703502535</v>
      </c>
      <c r="CI83" s="433">
        <v>0.11969468358927447</v>
      </c>
      <c r="CJ83" s="433">
        <v>0.27780836755497684</v>
      </c>
      <c r="CK83" s="433">
        <v>0.26007046015078716</v>
      </c>
      <c r="CL83" s="433">
        <v>0.2795059670458605</v>
      </c>
      <c r="CM83" s="433">
        <v>0.2017515561404124</v>
      </c>
      <c r="CN83" s="433">
        <v>0.20249405129474354</v>
      </c>
      <c r="CO83" s="433">
        <v>0.62654907473547627</v>
      </c>
      <c r="CP83" s="433">
        <v>0.66252610719962202</v>
      </c>
      <c r="CQ83" s="433">
        <v>0.70077118864502774</v>
      </c>
      <c r="CR83" s="433">
        <v>0.38975168317710257</v>
      </c>
      <c r="CS83" s="433">
        <v>0.39443520669059223</v>
      </c>
      <c r="CT83" s="433">
        <v>0.447221292916757</v>
      </c>
      <c r="CU83" s="433">
        <v>0.3622790598707698</v>
      </c>
      <c r="CV83" s="433">
        <v>0.47604249083347333</v>
      </c>
      <c r="CW83" s="433">
        <v>0.4759898508915783</v>
      </c>
      <c r="CX83" s="433">
        <v>0.4007797062399322</v>
      </c>
      <c r="CY83" s="433">
        <v>0.40798711211863076</v>
      </c>
      <c r="CZ83" s="433">
        <v>0.29816004259848461</v>
      </c>
      <c r="DA83" s="433">
        <v>0.25104840798869349</v>
      </c>
      <c r="DB83" s="433">
        <v>0.80602184361489149</v>
      </c>
      <c r="DC83" s="433">
        <v>0.29816004259848461</v>
      </c>
      <c r="DD83" s="433">
        <v>0.25104840798869349</v>
      </c>
      <c r="DE83" s="433">
        <v>0.34680721234892764</v>
      </c>
      <c r="DF83" s="433">
        <v>0.40997005857291635</v>
      </c>
      <c r="DG83" s="433">
        <v>0</v>
      </c>
      <c r="DH83" s="433">
        <v>0</v>
      </c>
      <c r="DI83" s="433">
        <v>0</v>
      </c>
      <c r="DJ83" s="433">
        <v>0.35031031550396724</v>
      </c>
      <c r="DK83" s="433">
        <v>0.33543004792329517</v>
      </c>
      <c r="DL83" s="433">
        <v>0.2866175308668823</v>
      </c>
      <c r="DM83" s="433">
        <v>0.40997005857291635</v>
      </c>
      <c r="DN83" s="433">
        <v>0</v>
      </c>
      <c r="DO83" s="433">
        <v>0</v>
      </c>
      <c r="DP83" s="433">
        <v>0</v>
      </c>
      <c r="DR83" s="409" t="s">
        <v>711</v>
      </c>
      <c r="DS83" s="409" t="s">
        <v>2443</v>
      </c>
    </row>
    <row r="84" spans="2:123" s="1471" customFormat="1">
      <c r="B84" s="428">
        <v>41803.694524999999</v>
      </c>
      <c r="C84" s="429">
        <v>1.4149491759725235</v>
      </c>
      <c r="D84" s="429">
        <v>1.4161355416935255</v>
      </c>
      <c r="E84" s="429">
        <v>1.3948684786083703</v>
      </c>
      <c r="F84" s="429">
        <v>1.3912070398947969</v>
      </c>
      <c r="G84" s="429">
        <v>1.3708373955353239</v>
      </c>
      <c r="H84" s="429">
        <v>1.3751622391433096</v>
      </c>
      <c r="I84" s="429">
        <v>1.4305129474730183</v>
      </c>
      <c r="J84" s="429">
        <v>1.4740008416568597</v>
      </c>
      <c r="K84" s="429">
        <v>1.3675000289882104</v>
      </c>
      <c r="L84" s="429">
        <v>1.4457755220331778</v>
      </c>
      <c r="M84" s="429">
        <v>1.2303226374060454</v>
      </c>
      <c r="N84" s="429">
        <v>1.2060101581778027</v>
      </c>
      <c r="O84" s="429">
        <v>1.0157542256986645</v>
      </c>
      <c r="P84" s="429">
        <v>1.0830862181009844</v>
      </c>
      <c r="Q84" s="429">
        <v>2974.8268928277421</v>
      </c>
      <c r="R84" s="429">
        <v>16.218100080940367</v>
      </c>
      <c r="S84" s="429">
        <v>19.203739224137507</v>
      </c>
      <c r="T84" s="429">
        <v>3207.6540481951783</v>
      </c>
      <c r="U84" s="429">
        <v>3324.8196251332029</v>
      </c>
      <c r="V84" s="429">
        <v>3377.6810827998688</v>
      </c>
      <c r="W84" s="429">
        <v>820.74839845335691</v>
      </c>
      <c r="X84" s="429">
        <v>8.8137281118255721</v>
      </c>
      <c r="Y84" s="429">
        <v>9.2412809248801455</v>
      </c>
      <c r="Z84" s="429">
        <v>15.220086494647948</v>
      </c>
      <c r="AA84" s="429">
        <v>7.4626699539847223</v>
      </c>
      <c r="AB84" s="429">
        <v>7.812485891938465</v>
      </c>
      <c r="AC84" s="429">
        <v>3.8790846157971108</v>
      </c>
      <c r="AD84" s="429">
        <v>3.2916171159605354</v>
      </c>
      <c r="AE84" s="429">
        <v>0</v>
      </c>
      <c r="AF84" s="429">
        <v>0</v>
      </c>
      <c r="AG84" s="429">
        <v>0</v>
      </c>
      <c r="AH84" s="429">
        <v>2.9665029959951403</v>
      </c>
      <c r="AI84" s="429">
        <v>6.3746235568568013</v>
      </c>
      <c r="AJ84" s="429">
        <v>6.1618515095024522</v>
      </c>
      <c r="AK84" s="429">
        <v>6.9986173614221281</v>
      </c>
      <c r="AL84" s="429">
        <v>0</v>
      </c>
      <c r="AM84" s="429">
        <v>0</v>
      </c>
      <c r="AN84" s="429">
        <v>0</v>
      </c>
      <c r="AO84" s="432"/>
      <c r="AP84" s="428">
        <v>41803.694524999999</v>
      </c>
      <c r="AQ84" s="431">
        <v>93.184687302309726</v>
      </c>
      <c r="AR84" s="431">
        <v>124.48110033039301</v>
      </c>
      <c r="AS84" s="431">
        <v>76.679538016221741</v>
      </c>
      <c r="AT84" s="431">
        <v>108.39205517116281</v>
      </c>
      <c r="AU84" s="431">
        <v>14.306758618623039</v>
      </c>
      <c r="AV84" s="431">
        <v>54.266140075992936</v>
      </c>
      <c r="AW84" s="431">
        <v>15.025140698301987</v>
      </c>
      <c r="AX84" s="431">
        <v>11.402464594714107</v>
      </c>
      <c r="AY84" s="431">
        <v>117.25150226464184</v>
      </c>
      <c r="AZ84" s="431">
        <v>-85.941910316164837</v>
      </c>
      <c r="BA84" s="431">
        <v>3.3014667070531787</v>
      </c>
      <c r="BB84" s="431">
        <v>2.7271419997493815</v>
      </c>
      <c r="BC84" s="431">
        <v>1.9539213531530961</v>
      </c>
      <c r="BD84" s="431">
        <v>80.025462213362303</v>
      </c>
      <c r="BE84" s="431">
        <v>364092.74202705867</v>
      </c>
      <c r="BF84" s="431">
        <v>8150.728749453343</v>
      </c>
      <c r="BG84" s="431">
        <v>871.39109933573729</v>
      </c>
      <c r="BH84" s="431">
        <v>383264.80905998591</v>
      </c>
      <c r="BI84" s="431">
        <v>368842.6960474092</v>
      </c>
      <c r="BJ84" s="431">
        <v>52377.354134149005</v>
      </c>
      <c r="BK84" s="431">
        <v>367898.17872512987</v>
      </c>
      <c r="BL84" s="431">
        <v>2983.2649198613867</v>
      </c>
      <c r="BM84" s="431">
        <v>423.63729811659113</v>
      </c>
      <c r="BN84" s="431">
        <v>143.31118944294533</v>
      </c>
      <c r="BO84" s="431">
        <v>2440.8531162502254</v>
      </c>
      <c r="BP84" s="431">
        <v>346.61233482266545</v>
      </c>
      <c r="BQ84" s="431">
        <v>1611.7264626996259</v>
      </c>
      <c r="BR84" s="431">
        <v>828.08136123378415</v>
      </c>
      <c r="BS84" s="431">
        <v>0</v>
      </c>
      <c r="BT84" s="431">
        <v>0</v>
      </c>
      <c r="BU84" s="431">
        <v>0</v>
      </c>
      <c r="BV84" s="431">
        <v>772.41682039763691</v>
      </c>
      <c r="BW84" s="431">
        <v>1269.8193356579407</v>
      </c>
      <c r="BX84" s="431">
        <v>1180.5921309165001</v>
      </c>
      <c r="BY84" s="431">
        <v>976.78410435226203</v>
      </c>
      <c r="BZ84" s="431">
        <v>0</v>
      </c>
      <c r="CA84" s="431">
        <v>0</v>
      </c>
      <c r="CB84" s="431">
        <v>0</v>
      </c>
      <c r="CC84" s="432"/>
      <c r="CD84" s="428">
        <v>41803.694524999999</v>
      </c>
      <c r="CE84" s="433">
        <v>0.30887516912936769</v>
      </c>
      <c r="CF84" s="433">
        <v>0.21465334314226731</v>
      </c>
      <c r="CG84" s="433">
        <v>0.17822376316137725</v>
      </c>
      <c r="CH84" s="433">
        <v>0.1804430703502535</v>
      </c>
      <c r="CI84" s="433">
        <v>0.11969468358927447</v>
      </c>
      <c r="CJ84" s="433">
        <v>0.27864823506139252</v>
      </c>
      <c r="CK84" s="433">
        <v>0.26007046015078716</v>
      </c>
      <c r="CL84" s="433">
        <v>0.2795059670458605</v>
      </c>
      <c r="CM84" s="433">
        <v>0.2017515561404124</v>
      </c>
      <c r="CN84" s="433">
        <v>0.20249405129474354</v>
      </c>
      <c r="CO84" s="433">
        <v>0.62654907473547627</v>
      </c>
      <c r="CP84" s="433">
        <v>0.66252610719962202</v>
      </c>
      <c r="CQ84" s="433">
        <v>0.70077118864502774</v>
      </c>
      <c r="CR84" s="433">
        <v>0.38975168317710257</v>
      </c>
      <c r="CS84" s="433">
        <v>0.39443520669059223</v>
      </c>
      <c r="CT84" s="433">
        <v>0.447221292916757</v>
      </c>
      <c r="CU84" s="433">
        <v>0.51158194515084476</v>
      </c>
      <c r="CV84" s="433">
        <v>0.47604249083347333</v>
      </c>
      <c r="CW84" s="433">
        <v>0.4759898508915783</v>
      </c>
      <c r="CX84" s="433">
        <v>0.4007797062399322</v>
      </c>
      <c r="CY84" s="433">
        <v>0.40798711211863076</v>
      </c>
      <c r="CZ84" s="433">
        <v>0.29816004259848461</v>
      </c>
      <c r="DA84" s="433">
        <v>0.25104840798869349</v>
      </c>
      <c r="DB84" s="433">
        <v>0.80602184361489149</v>
      </c>
      <c r="DC84" s="433">
        <v>0.29816004259848461</v>
      </c>
      <c r="DD84" s="433">
        <v>0.25104840798869349</v>
      </c>
      <c r="DE84" s="433">
        <v>0.34680721234892764</v>
      </c>
      <c r="DF84" s="433">
        <v>0.40997005857291635</v>
      </c>
      <c r="DG84" s="433">
        <v>0</v>
      </c>
      <c r="DH84" s="433">
        <v>0</v>
      </c>
      <c r="DI84" s="433">
        <v>0</v>
      </c>
      <c r="DJ84" s="433">
        <v>0.35031031550396724</v>
      </c>
      <c r="DK84" s="433">
        <v>0.33543004792329517</v>
      </c>
      <c r="DL84" s="433">
        <v>0.2866175308668823</v>
      </c>
      <c r="DM84" s="433">
        <v>0.40997005857291635</v>
      </c>
      <c r="DN84" s="433">
        <v>0</v>
      </c>
      <c r="DO84" s="433">
        <v>0</v>
      </c>
      <c r="DP84" s="433">
        <v>0</v>
      </c>
      <c r="DR84" s="409" t="s">
        <v>711</v>
      </c>
      <c r="DS84" s="409" t="s">
        <v>2445</v>
      </c>
    </row>
    <row r="85" spans="2:123" s="1471" customFormat="1">
      <c r="B85" s="428">
        <v>41803.715268981483</v>
      </c>
      <c r="C85" s="429">
        <v>1.4149491759725235</v>
      </c>
      <c r="D85" s="429">
        <v>1.4161355416935255</v>
      </c>
      <c r="E85" s="429">
        <v>1.3948684786083703</v>
      </c>
      <c r="F85" s="429">
        <v>1.3466004563753871</v>
      </c>
      <c r="G85" s="429">
        <v>1.3708373955353239</v>
      </c>
      <c r="H85" s="429">
        <v>1.3751622391433096</v>
      </c>
      <c r="I85" s="429">
        <v>1.4305129474730183</v>
      </c>
      <c r="J85" s="429">
        <v>1.4740008416568597</v>
      </c>
      <c r="K85" s="429">
        <v>1.3675000289882104</v>
      </c>
      <c r="L85" s="429">
        <v>1.4457755220331778</v>
      </c>
      <c r="M85" s="429">
        <v>1.2303226374060454</v>
      </c>
      <c r="N85" s="429">
        <v>1.2060101581778027</v>
      </c>
      <c r="O85" s="429">
        <v>1.0157542256986645</v>
      </c>
      <c r="P85" s="429">
        <v>1.0830862181009844</v>
      </c>
      <c r="Q85" s="429">
        <v>2974.8268928277421</v>
      </c>
      <c r="R85" s="429">
        <v>16.218100080940367</v>
      </c>
      <c r="S85" s="429">
        <v>19.203739224137507</v>
      </c>
      <c r="T85" s="429">
        <v>3207.6540481951783</v>
      </c>
      <c r="U85" s="429">
        <v>3324.8196251332029</v>
      </c>
      <c r="V85" s="429">
        <v>3377.6810827998688</v>
      </c>
      <c r="W85" s="429">
        <v>820.74839845335691</v>
      </c>
      <c r="X85" s="429">
        <v>8.8137281118255721</v>
      </c>
      <c r="Y85" s="429">
        <v>9.2412809248801455</v>
      </c>
      <c r="Z85" s="429">
        <v>15.220086494647948</v>
      </c>
      <c r="AA85" s="429">
        <v>7.4626699539847223</v>
      </c>
      <c r="AB85" s="429">
        <v>7.812485891938465</v>
      </c>
      <c r="AC85" s="429">
        <v>3.8790846157971108</v>
      </c>
      <c r="AD85" s="429">
        <v>3.2916171159605354</v>
      </c>
      <c r="AE85" s="429">
        <v>0</v>
      </c>
      <c r="AF85" s="429">
        <v>0</v>
      </c>
      <c r="AG85" s="429">
        <v>0</v>
      </c>
      <c r="AH85" s="429">
        <v>2.9665029959951403</v>
      </c>
      <c r="AI85" s="429">
        <v>6.3746235568568013</v>
      </c>
      <c r="AJ85" s="429">
        <v>6.1618515095024522</v>
      </c>
      <c r="AK85" s="429">
        <v>6.9986173614221281</v>
      </c>
      <c r="AL85" s="429">
        <v>0</v>
      </c>
      <c r="AM85" s="429">
        <v>0</v>
      </c>
      <c r="AN85" s="429">
        <v>0</v>
      </c>
      <c r="AO85" s="432"/>
      <c r="AP85" s="428">
        <v>41803.715268981483</v>
      </c>
      <c r="AQ85" s="431">
        <v>93.184687302309726</v>
      </c>
      <c r="AR85" s="431">
        <v>124.48110033039301</v>
      </c>
      <c r="AS85" s="431">
        <v>76.679538016221741</v>
      </c>
      <c r="AT85" s="431">
        <v>90.232734908816923</v>
      </c>
      <c r="AU85" s="431">
        <v>14.306758618623039</v>
      </c>
      <c r="AV85" s="431">
        <v>54.266140075992936</v>
      </c>
      <c r="AW85" s="431">
        <v>15.025140698301987</v>
      </c>
      <c r="AX85" s="431">
        <v>11.402464594714107</v>
      </c>
      <c r="AY85" s="431">
        <v>117.25150226464184</v>
      </c>
      <c r="AZ85" s="431">
        <v>-85.941910316164837</v>
      </c>
      <c r="BA85" s="431">
        <v>3.3014667070531787</v>
      </c>
      <c r="BB85" s="431">
        <v>2.7271419997493815</v>
      </c>
      <c r="BC85" s="431">
        <v>1.9539213531530961</v>
      </c>
      <c r="BD85" s="431">
        <v>80.025462213362303</v>
      </c>
      <c r="BE85" s="431">
        <v>364092.74202705867</v>
      </c>
      <c r="BF85" s="431">
        <v>8150.728749453343</v>
      </c>
      <c r="BG85" s="431">
        <v>871.39109933573729</v>
      </c>
      <c r="BH85" s="431">
        <v>383264.80905998591</v>
      </c>
      <c r="BI85" s="431">
        <v>368842.6960474092</v>
      </c>
      <c r="BJ85" s="431">
        <v>52377.354134149005</v>
      </c>
      <c r="BK85" s="431">
        <v>367898.17872512987</v>
      </c>
      <c r="BL85" s="431">
        <v>2983.2649198613867</v>
      </c>
      <c r="BM85" s="431">
        <v>423.63729811659113</v>
      </c>
      <c r="BN85" s="431">
        <v>143.31118944294533</v>
      </c>
      <c r="BO85" s="431">
        <v>2440.8531162502254</v>
      </c>
      <c r="BP85" s="431">
        <v>346.61233482266545</v>
      </c>
      <c r="BQ85" s="431">
        <v>1611.7264626996259</v>
      </c>
      <c r="BR85" s="431">
        <v>828.08136123378415</v>
      </c>
      <c r="BS85" s="431">
        <v>0</v>
      </c>
      <c r="BT85" s="431">
        <v>0</v>
      </c>
      <c r="BU85" s="431">
        <v>0</v>
      </c>
      <c r="BV85" s="431">
        <v>772.41682039763691</v>
      </c>
      <c r="BW85" s="431">
        <v>1269.8193356579407</v>
      </c>
      <c r="BX85" s="431">
        <v>1180.5921309165001</v>
      </c>
      <c r="BY85" s="431">
        <v>976.78410435226203</v>
      </c>
      <c r="BZ85" s="431">
        <v>0</v>
      </c>
      <c r="CA85" s="431">
        <v>0</v>
      </c>
      <c r="CB85" s="431">
        <v>0</v>
      </c>
      <c r="CC85" s="432"/>
      <c r="CD85" s="428">
        <v>41803.715268981483</v>
      </c>
      <c r="CE85" s="433">
        <v>0.30887516912936769</v>
      </c>
      <c r="CF85" s="433">
        <v>0.21465334314226731</v>
      </c>
      <c r="CG85" s="433">
        <v>0.17822376316137725</v>
      </c>
      <c r="CH85" s="433">
        <v>0.14390127909715267</v>
      </c>
      <c r="CI85" s="433">
        <v>0.11969468358927447</v>
      </c>
      <c r="CJ85" s="433">
        <v>0.27864823506139252</v>
      </c>
      <c r="CK85" s="433">
        <v>0.26007046015078716</v>
      </c>
      <c r="CL85" s="433">
        <v>0.2795059670458605</v>
      </c>
      <c r="CM85" s="433">
        <v>0.2017515561404124</v>
      </c>
      <c r="CN85" s="433">
        <v>0.20249405129474354</v>
      </c>
      <c r="CO85" s="433">
        <v>0.62654907473547627</v>
      </c>
      <c r="CP85" s="433">
        <v>0.66252610719962202</v>
      </c>
      <c r="CQ85" s="433">
        <v>0.70077118864502774</v>
      </c>
      <c r="CR85" s="433">
        <v>0.38975168317710257</v>
      </c>
      <c r="CS85" s="433">
        <v>0.39443520669059223</v>
      </c>
      <c r="CT85" s="433">
        <v>0.447221292916757</v>
      </c>
      <c r="CU85" s="433">
        <v>0.51158194515084476</v>
      </c>
      <c r="CV85" s="433">
        <v>0.47604249083347333</v>
      </c>
      <c r="CW85" s="433">
        <v>0.4759898508915783</v>
      </c>
      <c r="CX85" s="433">
        <v>0.4007797062399322</v>
      </c>
      <c r="CY85" s="433">
        <v>0.40798711211863076</v>
      </c>
      <c r="CZ85" s="433">
        <v>0.29816004259848461</v>
      </c>
      <c r="DA85" s="433">
        <v>0.25104840798869349</v>
      </c>
      <c r="DB85" s="433">
        <v>0.80602184361489149</v>
      </c>
      <c r="DC85" s="433">
        <v>0.29816004259848461</v>
      </c>
      <c r="DD85" s="433">
        <v>0.25104840798869349</v>
      </c>
      <c r="DE85" s="433">
        <v>0.34680721234892764</v>
      </c>
      <c r="DF85" s="433">
        <v>0.40997005857291635</v>
      </c>
      <c r="DG85" s="433">
        <v>0</v>
      </c>
      <c r="DH85" s="433">
        <v>0</v>
      </c>
      <c r="DI85" s="433">
        <v>0</v>
      </c>
      <c r="DJ85" s="433">
        <v>0.35031031550396724</v>
      </c>
      <c r="DK85" s="433">
        <v>0.33543004792329517</v>
      </c>
      <c r="DL85" s="433">
        <v>0.2866175308668823</v>
      </c>
      <c r="DM85" s="433">
        <v>0.40997005857291635</v>
      </c>
      <c r="DN85" s="433">
        <v>0</v>
      </c>
      <c r="DO85" s="433">
        <v>0</v>
      </c>
      <c r="DP85" s="433">
        <v>0</v>
      </c>
      <c r="DR85" s="409" t="s">
        <v>711</v>
      </c>
      <c r="DS85" s="409" t="s">
        <v>2460</v>
      </c>
    </row>
    <row r="86" spans="2:123" s="1471" customFormat="1">
      <c r="B86" s="428">
        <v>41806.551300810184</v>
      </c>
      <c r="C86" s="429">
        <v>1.4149491759725235</v>
      </c>
      <c r="D86" s="429">
        <v>1.4161355416935255</v>
      </c>
      <c r="E86" s="429">
        <v>1.3948684786083703</v>
      </c>
      <c r="F86" s="429">
        <v>1.3466004563753871</v>
      </c>
      <c r="G86" s="429">
        <v>1.3708373955353239</v>
      </c>
      <c r="H86" s="429">
        <v>1.3751622391433096</v>
      </c>
      <c r="I86" s="429">
        <v>1.4299157074730182</v>
      </c>
      <c r="J86" s="429">
        <v>1.4740008416568597</v>
      </c>
      <c r="K86" s="429">
        <v>1.3675000289882104</v>
      </c>
      <c r="L86" s="429">
        <v>1.4457755220331778</v>
      </c>
      <c r="M86" s="429">
        <v>1.2303226374060454</v>
      </c>
      <c r="N86" s="429">
        <v>1.2060101581778027</v>
      </c>
      <c r="O86" s="429">
        <v>1.0157542256986645</v>
      </c>
      <c r="P86" s="429">
        <v>1.0830862181009844</v>
      </c>
      <c r="Q86" s="429">
        <v>2974.8268928277421</v>
      </c>
      <c r="R86" s="429">
        <v>16.218100080940367</v>
      </c>
      <c r="S86" s="429">
        <v>19.203739224137507</v>
      </c>
      <c r="T86" s="429">
        <v>3207.6540481951783</v>
      </c>
      <c r="U86" s="429">
        <v>3324.8196251332029</v>
      </c>
      <c r="V86" s="429">
        <v>3375.4357447487846</v>
      </c>
      <c r="W86" s="429">
        <v>820.74839845335691</v>
      </c>
      <c r="X86" s="429">
        <v>8.8137281118255721</v>
      </c>
      <c r="Y86" s="429">
        <v>9.2231202338516649</v>
      </c>
      <c r="Z86" s="429">
        <v>15.220086494647948</v>
      </c>
      <c r="AA86" s="429">
        <v>7.4626699539847223</v>
      </c>
      <c r="AB86" s="429">
        <v>7.7976271447333456</v>
      </c>
      <c r="AC86" s="429">
        <v>3.8790846157971108</v>
      </c>
      <c r="AD86" s="429">
        <v>3.2916171159605354</v>
      </c>
      <c r="AE86" s="429">
        <v>0</v>
      </c>
      <c r="AF86" s="429">
        <v>0</v>
      </c>
      <c r="AG86" s="429">
        <v>0</v>
      </c>
      <c r="AH86" s="429">
        <v>2.9665029959951403</v>
      </c>
      <c r="AI86" s="429">
        <v>6.3746235568568013</v>
      </c>
      <c r="AJ86" s="429">
        <v>6.1618515095024522</v>
      </c>
      <c r="AK86" s="429">
        <v>6.9986173614221281</v>
      </c>
      <c r="AL86" s="429">
        <v>0</v>
      </c>
      <c r="AM86" s="429">
        <v>0</v>
      </c>
      <c r="AN86" s="429">
        <v>0</v>
      </c>
      <c r="AO86" s="432"/>
      <c r="AP86" s="428">
        <v>41806.551300810184</v>
      </c>
      <c r="AQ86" s="431">
        <v>93.184687302309726</v>
      </c>
      <c r="AR86" s="431">
        <v>124.48110033039301</v>
      </c>
      <c r="AS86" s="431">
        <v>76.679538016221741</v>
      </c>
      <c r="AT86" s="431">
        <v>90.232734908816923</v>
      </c>
      <c r="AU86" s="431">
        <v>14.306758618623039</v>
      </c>
      <c r="AV86" s="431">
        <v>54.266140075992936</v>
      </c>
      <c r="AW86" s="431">
        <v>15.025140698301987</v>
      </c>
      <c r="AX86" s="431">
        <v>11.402464594714107</v>
      </c>
      <c r="AY86" s="431">
        <v>117.25150226464184</v>
      </c>
      <c r="AZ86" s="431">
        <v>-85.941910316164837</v>
      </c>
      <c r="BA86" s="431">
        <v>3.3014667070531787</v>
      </c>
      <c r="BB86" s="431">
        <v>2.7271419997493815</v>
      </c>
      <c r="BC86" s="431">
        <v>1.9539213531530961</v>
      </c>
      <c r="BD86" s="431">
        <v>80.025462213362303</v>
      </c>
      <c r="BE86" s="431">
        <v>364092.74202705867</v>
      </c>
      <c r="BF86" s="431">
        <v>8150.728749453343</v>
      </c>
      <c r="BG86" s="431">
        <v>871.39109933573729</v>
      </c>
      <c r="BH86" s="431">
        <v>383264.80905998591</v>
      </c>
      <c r="BI86" s="431">
        <v>368842.6960474092</v>
      </c>
      <c r="BJ86" s="431">
        <v>52377.354134149005</v>
      </c>
      <c r="BK86" s="431">
        <v>367898.17872512987</v>
      </c>
      <c r="BL86" s="431">
        <v>2983.2649198613867</v>
      </c>
      <c r="BM86" s="431">
        <v>423.63729811659113</v>
      </c>
      <c r="BN86" s="431">
        <v>143.31118944294533</v>
      </c>
      <c r="BO86" s="431">
        <v>2440.8531162502254</v>
      </c>
      <c r="BP86" s="431">
        <v>346.61233482266545</v>
      </c>
      <c r="BQ86" s="431">
        <v>1611.7264626996259</v>
      </c>
      <c r="BR86" s="431">
        <v>828.08136123378415</v>
      </c>
      <c r="BS86" s="431">
        <v>0</v>
      </c>
      <c r="BT86" s="431">
        <v>0</v>
      </c>
      <c r="BU86" s="431">
        <v>0</v>
      </c>
      <c r="BV86" s="431">
        <v>772.41682039763691</v>
      </c>
      <c r="BW86" s="431">
        <v>1269.8193356579407</v>
      </c>
      <c r="BX86" s="431">
        <v>1180.5921309165001</v>
      </c>
      <c r="BY86" s="431">
        <v>976.78410435226203</v>
      </c>
      <c r="BZ86" s="431">
        <v>0</v>
      </c>
      <c r="CA86" s="431">
        <v>0</v>
      </c>
      <c r="CB86" s="431">
        <v>0</v>
      </c>
      <c r="CC86" s="432"/>
      <c r="CD86" s="428">
        <v>41806.551300810184</v>
      </c>
      <c r="CE86" s="433">
        <v>0.30887516912936769</v>
      </c>
      <c r="CF86" s="433">
        <v>0.21465334314226731</v>
      </c>
      <c r="CG86" s="433">
        <v>0.17822376316137725</v>
      </c>
      <c r="CH86" s="433">
        <v>0.14390127909715267</v>
      </c>
      <c r="CI86" s="433">
        <v>0.11969468358927447</v>
      </c>
      <c r="CJ86" s="433">
        <v>0.27864823506139252</v>
      </c>
      <c r="CK86" s="433">
        <v>0.26007046015078716</v>
      </c>
      <c r="CL86" s="433">
        <v>0.2795059670458605</v>
      </c>
      <c r="CM86" s="433">
        <v>0.2017515561404124</v>
      </c>
      <c r="CN86" s="433">
        <v>0.20249405129474354</v>
      </c>
      <c r="CO86" s="433">
        <v>0.62654907473547627</v>
      </c>
      <c r="CP86" s="433">
        <v>0.66252610719962202</v>
      </c>
      <c r="CQ86" s="433">
        <v>0.70077118864502774</v>
      </c>
      <c r="CR86" s="433">
        <v>0.38975168317710257</v>
      </c>
      <c r="CS86" s="433">
        <v>0.39443520669059223</v>
      </c>
      <c r="CT86" s="433">
        <v>0.447221292916757</v>
      </c>
      <c r="CU86" s="433">
        <v>0.51158194515084476</v>
      </c>
      <c r="CV86" s="433">
        <v>0.47604249083347333</v>
      </c>
      <c r="CW86" s="433">
        <v>0.4759898508915783</v>
      </c>
      <c r="CX86" s="433">
        <v>0.4007797062399322</v>
      </c>
      <c r="CY86" s="433">
        <v>0.40798711211863076</v>
      </c>
      <c r="CZ86" s="433">
        <v>0.29816004259848461</v>
      </c>
      <c r="DA86" s="433">
        <v>0.25104840798869349</v>
      </c>
      <c r="DB86" s="433">
        <v>0.80602184361489149</v>
      </c>
      <c r="DC86" s="433">
        <v>0.29816004259848461</v>
      </c>
      <c r="DD86" s="433">
        <v>0.25104840798869349</v>
      </c>
      <c r="DE86" s="433">
        <v>0.34680721234892764</v>
      </c>
      <c r="DF86" s="433">
        <v>0.40997005857291635</v>
      </c>
      <c r="DG86" s="433">
        <v>0</v>
      </c>
      <c r="DH86" s="433">
        <v>0</v>
      </c>
      <c r="DI86" s="433">
        <v>0</v>
      </c>
      <c r="DJ86" s="433">
        <v>0.35031031550396724</v>
      </c>
      <c r="DK86" s="433">
        <v>0.33543004792329517</v>
      </c>
      <c r="DL86" s="433">
        <v>0.2866175308668823</v>
      </c>
      <c r="DM86" s="433">
        <v>0.40997005857291635</v>
      </c>
      <c r="DN86" s="433">
        <v>0</v>
      </c>
      <c r="DO86" s="433">
        <v>0</v>
      </c>
      <c r="DP86" s="433">
        <v>0</v>
      </c>
      <c r="DR86" s="409" t="s">
        <v>711</v>
      </c>
      <c r="DS86" s="409" t="s">
        <v>2473</v>
      </c>
    </row>
    <row r="87" spans="2:123" s="1471" customFormat="1">
      <c r="B87" s="428">
        <v>41806.55759733796</v>
      </c>
      <c r="C87" s="429">
        <v>1.4149491759725235</v>
      </c>
      <c r="D87" s="429">
        <v>1.4161355416935255</v>
      </c>
      <c r="E87" s="429">
        <v>1.3948684786083703</v>
      </c>
      <c r="F87" s="429">
        <v>1.3466004563753871</v>
      </c>
      <c r="G87" s="429">
        <v>1.3708373955353239</v>
      </c>
      <c r="H87" s="429">
        <v>1.3751622391433096</v>
      </c>
      <c r="I87" s="429">
        <v>1.4252277093134169</v>
      </c>
      <c r="J87" s="429">
        <v>1.4740008416568597</v>
      </c>
      <c r="K87" s="429">
        <v>1.3675000289882104</v>
      </c>
      <c r="L87" s="429">
        <v>1.4457755220331778</v>
      </c>
      <c r="M87" s="429">
        <v>1.2303226374060454</v>
      </c>
      <c r="N87" s="429">
        <v>1.2060101581778027</v>
      </c>
      <c r="O87" s="429">
        <v>1.0157542256986645</v>
      </c>
      <c r="P87" s="429">
        <v>1.0830862181009844</v>
      </c>
      <c r="Q87" s="429">
        <v>2974.8268928277421</v>
      </c>
      <c r="R87" s="429">
        <v>16.218100080940367</v>
      </c>
      <c r="S87" s="429">
        <v>18.532351399687659</v>
      </c>
      <c r="T87" s="429">
        <v>3207.6540481951783</v>
      </c>
      <c r="U87" s="429">
        <v>3324.8196251332029</v>
      </c>
      <c r="V87" s="429">
        <v>3356.454199884105</v>
      </c>
      <c r="W87" s="429">
        <v>820.74839845335691</v>
      </c>
      <c r="X87" s="429">
        <v>8.8137281118255721</v>
      </c>
      <c r="Y87" s="429">
        <v>9.0695941439320364</v>
      </c>
      <c r="Z87" s="429">
        <v>15.220086494647948</v>
      </c>
      <c r="AA87" s="429">
        <v>7.4626699539847223</v>
      </c>
      <c r="AB87" s="429">
        <v>7.6720148893445579</v>
      </c>
      <c r="AC87" s="429">
        <v>3.8790846157971108</v>
      </c>
      <c r="AD87" s="429">
        <v>3.2916171159605354</v>
      </c>
      <c r="AE87" s="429">
        <v>0</v>
      </c>
      <c r="AF87" s="429">
        <v>0</v>
      </c>
      <c r="AG87" s="429">
        <v>0</v>
      </c>
      <c r="AH87" s="429">
        <v>2.9665029959951403</v>
      </c>
      <c r="AI87" s="429">
        <v>6.3746235568568013</v>
      </c>
      <c r="AJ87" s="429">
        <v>6.1618515095024522</v>
      </c>
      <c r="AK87" s="429">
        <v>6.9986173614221281</v>
      </c>
      <c r="AL87" s="429">
        <v>0</v>
      </c>
      <c r="AM87" s="429">
        <v>0</v>
      </c>
      <c r="AN87" s="429">
        <v>0</v>
      </c>
      <c r="AO87" s="432"/>
      <c r="AP87" s="428">
        <v>41806.55759733796</v>
      </c>
      <c r="AQ87" s="431">
        <v>93.184687302309726</v>
      </c>
      <c r="AR87" s="431">
        <v>124.48110033039301</v>
      </c>
      <c r="AS87" s="431">
        <v>76.679538016221741</v>
      </c>
      <c r="AT87" s="431">
        <v>90.232734908816923</v>
      </c>
      <c r="AU87" s="431">
        <v>14.306758618623039</v>
      </c>
      <c r="AV87" s="431">
        <v>54.266140075992936</v>
      </c>
      <c r="AW87" s="431">
        <v>-4.2372378746092263</v>
      </c>
      <c r="AX87" s="431">
        <v>11.402464594714107</v>
      </c>
      <c r="AY87" s="431">
        <v>117.25150226464184</v>
      </c>
      <c r="AZ87" s="431">
        <v>-85.941910316164837</v>
      </c>
      <c r="BA87" s="431">
        <v>3.3014667070531787</v>
      </c>
      <c r="BB87" s="431">
        <v>2.7271419997493815</v>
      </c>
      <c r="BC87" s="431">
        <v>1.9539213531530961</v>
      </c>
      <c r="BD87" s="431">
        <v>80.025462213362303</v>
      </c>
      <c r="BE87" s="431">
        <v>364092.74202705867</v>
      </c>
      <c r="BF87" s="431">
        <v>8150.728749453343</v>
      </c>
      <c r="BG87" s="431">
        <v>-1887.2547028836063</v>
      </c>
      <c r="BH87" s="431">
        <v>383264.80905998591</v>
      </c>
      <c r="BI87" s="431">
        <v>368842.6960474092</v>
      </c>
      <c r="BJ87" s="431">
        <v>-25615.360588513297</v>
      </c>
      <c r="BK87" s="431">
        <v>367898.17872512987</v>
      </c>
      <c r="BL87" s="431">
        <v>2983.2649198613867</v>
      </c>
      <c r="BM87" s="431">
        <v>-207.18156404401003</v>
      </c>
      <c r="BN87" s="431">
        <v>143.31118944294533</v>
      </c>
      <c r="BO87" s="431">
        <v>2440.8531162502254</v>
      </c>
      <c r="BP87" s="431">
        <v>-169.51218876328093</v>
      </c>
      <c r="BQ87" s="431">
        <v>1611.7264626996259</v>
      </c>
      <c r="BR87" s="431">
        <v>828.08136123378415</v>
      </c>
      <c r="BS87" s="431">
        <v>0</v>
      </c>
      <c r="BT87" s="431">
        <v>0</v>
      </c>
      <c r="BU87" s="431">
        <v>0</v>
      </c>
      <c r="BV87" s="431">
        <v>772.41682039763691</v>
      </c>
      <c r="BW87" s="431">
        <v>1269.8193356579407</v>
      </c>
      <c r="BX87" s="431">
        <v>1180.5921309165001</v>
      </c>
      <c r="BY87" s="431">
        <v>976.78410435226203</v>
      </c>
      <c r="BZ87" s="431">
        <v>0</v>
      </c>
      <c r="CA87" s="431">
        <v>0</v>
      </c>
      <c r="CB87" s="431">
        <v>0</v>
      </c>
      <c r="CC87" s="432"/>
      <c r="CD87" s="428">
        <v>41806.55759733796</v>
      </c>
      <c r="CE87" s="433">
        <v>0.30887516912936769</v>
      </c>
      <c r="CF87" s="433">
        <v>0.21465334314226731</v>
      </c>
      <c r="CG87" s="433">
        <v>0.17822376316137725</v>
      </c>
      <c r="CH87" s="433">
        <v>0.14390127909715267</v>
      </c>
      <c r="CI87" s="433">
        <v>0.11969468358927447</v>
      </c>
      <c r="CJ87" s="433">
        <v>0.27864823506139252</v>
      </c>
      <c r="CK87" s="433">
        <v>0.26007046015078716</v>
      </c>
      <c r="CL87" s="433">
        <v>0.2795059670458605</v>
      </c>
      <c r="CM87" s="433">
        <v>0.2017515561404124</v>
      </c>
      <c r="CN87" s="433">
        <v>0.20249405129474354</v>
      </c>
      <c r="CO87" s="433">
        <v>0.62654907473547627</v>
      </c>
      <c r="CP87" s="433">
        <v>0.66252610719962202</v>
      </c>
      <c r="CQ87" s="433">
        <v>0.70077118864502774</v>
      </c>
      <c r="CR87" s="433">
        <v>0.38975168317710257</v>
      </c>
      <c r="CS87" s="433">
        <v>0.39443520669059223</v>
      </c>
      <c r="CT87" s="433">
        <v>0.447221292916757</v>
      </c>
      <c r="CU87" s="433">
        <v>0.51158194515084476</v>
      </c>
      <c r="CV87" s="433">
        <v>0.47604249083347333</v>
      </c>
      <c r="CW87" s="433">
        <v>0.4759898508915783</v>
      </c>
      <c r="CX87" s="433">
        <v>0.4007797062399322</v>
      </c>
      <c r="CY87" s="433">
        <v>0.40798711211863076</v>
      </c>
      <c r="CZ87" s="433">
        <v>0.29816004259848461</v>
      </c>
      <c r="DA87" s="433">
        <v>0.25104840798869349</v>
      </c>
      <c r="DB87" s="433">
        <v>0.80602184361489149</v>
      </c>
      <c r="DC87" s="433">
        <v>0.29816004259848461</v>
      </c>
      <c r="DD87" s="433">
        <v>0.25104840798869349</v>
      </c>
      <c r="DE87" s="433">
        <v>0.34680721234892764</v>
      </c>
      <c r="DF87" s="433">
        <v>0.40997005857291635</v>
      </c>
      <c r="DG87" s="433">
        <v>0</v>
      </c>
      <c r="DH87" s="433">
        <v>0</v>
      </c>
      <c r="DI87" s="433">
        <v>0</v>
      </c>
      <c r="DJ87" s="433">
        <v>0.35031031550396724</v>
      </c>
      <c r="DK87" s="433">
        <v>0.33543004792329517</v>
      </c>
      <c r="DL87" s="433">
        <v>0.2866175308668823</v>
      </c>
      <c r="DM87" s="433">
        <v>0.40997005857291635</v>
      </c>
      <c r="DN87" s="433">
        <v>0</v>
      </c>
      <c r="DO87" s="433">
        <v>0</v>
      </c>
      <c r="DP87" s="433">
        <v>0</v>
      </c>
      <c r="DR87" s="409" t="s">
        <v>711</v>
      </c>
      <c r="DS87" s="409" t="s">
        <v>2478</v>
      </c>
    </row>
    <row r="88" spans="2:123" s="1471" customFormat="1">
      <c r="B88" s="428">
        <v>41815.580318171298</v>
      </c>
      <c r="C88" s="429">
        <v>1.4149491759725235</v>
      </c>
      <c r="D88" s="429">
        <v>1.4161355416935255</v>
      </c>
      <c r="E88" s="429">
        <v>1.3948684786083703</v>
      </c>
      <c r="F88" s="429">
        <v>1.3466004563753871</v>
      </c>
      <c r="G88" s="429">
        <v>1.3708373955353239</v>
      </c>
      <c r="H88" s="429">
        <v>1.3751622391433096</v>
      </c>
      <c r="I88" s="429">
        <v>1.4252277093134169</v>
      </c>
      <c r="J88" s="429">
        <v>1.4740008416568597</v>
      </c>
      <c r="K88" s="429">
        <v>1.3675000289882104</v>
      </c>
      <c r="L88" s="429">
        <v>1.4457755220331778</v>
      </c>
      <c r="M88" s="429">
        <v>1.2303226374060454</v>
      </c>
      <c r="N88" s="429">
        <v>1.2060101581778027</v>
      </c>
      <c r="O88" s="429">
        <v>1.0157542256986645</v>
      </c>
      <c r="P88" s="429">
        <v>1.0830862181009844</v>
      </c>
      <c r="Q88" s="429">
        <v>2974.8268928277421</v>
      </c>
      <c r="R88" s="429">
        <v>16.218100080940367</v>
      </c>
      <c r="S88" s="429">
        <v>18.532351399687659</v>
      </c>
      <c r="T88" s="429">
        <v>3207.6540481951783</v>
      </c>
      <c r="U88" s="429">
        <v>3324.8196251332029</v>
      </c>
      <c r="V88" s="429">
        <v>3356.454199884105</v>
      </c>
      <c r="W88" s="429">
        <v>820.74839845335691</v>
      </c>
      <c r="X88" s="429">
        <v>54.496589663258383</v>
      </c>
      <c r="Y88" s="429">
        <v>54.752455695364844</v>
      </c>
      <c r="Z88" s="429">
        <v>57.599528131666588</v>
      </c>
      <c r="AA88" s="429">
        <v>36.762669953984719</v>
      </c>
      <c r="AB88" s="429">
        <v>36.972014889344564</v>
      </c>
      <c r="AC88" s="429">
        <v>33.179084615797109</v>
      </c>
      <c r="AD88" s="429">
        <v>3.2916171159605354</v>
      </c>
      <c r="AE88" s="429">
        <v>0</v>
      </c>
      <c r="AF88" s="429">
        <v>0</v>
      </c>
      <c r="AG88" s="429">
        <v>0</v>
      </c>
      <c r="AH88" s="429">
        <v>2.9665029959951403</v>
      </c>
      <c r="AI88" s="429">
        <v>6.3746235568568013</v>
      </c>
      <c r="AJ88" s="429">
        <v>6.1618515095024522</v>
      </c>
      <c r="AK88" s="429">
        <v>6.9986173614221281</v>
      </c>
      <c r="AL88" s="429">
        <v>0</v>
      </c>
      <c r="AM88" s="429">
        <v>0</v>
      </c>
      <c r="AN88" s="429">
        <v>0</v>
      </c>
      <c r="AO88" s="432"/>
      <c r="AP88" s="428">
        <v>41815.580318171298</v>
      </c>
      <c r="AQ88" s="431">
        <v>93.184687302309726</v>
      </c>
      <c r="AR88" s="431">
        <v>124.48110033039301</v>
      </c>
      <c r="AS88" s="431">
        <v>76.679538016221741</v>
      </c>
      <c r="AT88" s="431">
        <v>90.232734908816923</v>
      </c>
      <c r="AU88" s="431">
        <v>14.306758618623039</v>
      </c>
      <c r="AV88" s="431">
        <v>54.266140075992936</v>
      </c>
      <c r="AW88" s="431">
        <v>-4.2372378746092263</v>
      </c>
      <c r="AX88" s="431">
        <v>11.402464594714107</v>
      </c>
      <c r="AY88" s="431">
        <v>117.25150226464184</v>
      </c>
      <c r="AZ88" s="431">
        <v>-85.941910316164837</v>
      </c>
      <c r="BA88" s="431">
        <v>3.3014667070531787</v>
      </c>
      <c r="BB88" s="431">
        <v>2.7271419997493815</v>
      </c>
      <c r="BC88" s="431">
        <v>1.9539213531530961</v>
      </c>
      <c r="BD88" s="431">
        <v>80.025462213362303</v>
      </c>
      <c r="BE88" s="431">
        <v>364092.74202705867</v>
      </c>
      <c r="BF88" s="431">
        <v>8150.728749453343</v>
      </c>
      <c r="BG88" s="431">
        <v>-1887.2547028836063</v>
      </c>
      <c r="BH88" s="431">
        <v>383264.80905998591</v>
      </c>
      <c r="BI88" s="431">
        <v>368842.6960474092</v>
      </c>
      <c r="BJ88" s="431">
        <v>-25615.360588513297</v>
      </c>
      <c r="BK88" s="431">
        <v>367898.17872512987</v>
      </c>
      <c r="BL88" s="431">
        <v>2983.2649198613867</v>
      </c>
      <c r="BM88" s="431">
        <v>-207.18156404401003</v>
      </c>
      <c r="BN88" s="431">
        <v>143.31118944294533</v>
      </c>
      <c r="BO88" s="431">
        <v>2440.8531162502254</v>
      </c>
      <c r="BP88" s="431">
        <v>-169.51218876328093</v>
      </c>
      <c r="BQ88" s="431">
        <v>1611.7264626996259</v>
      </c>
      <c r="BR88" s="431">
        <v>828.08136123378415</v>
      </c>
      <c r="BS88" s="431">
        <v>0</v>
      </c>
      <c r="BT88" s="431">
        <v>0</v>
      </c>
      <c r="BU88" s="431">
        <v>0</v>
      </c>
      <c r="BV88" s="431">
        <v>772.41682039763691</v>
      </c>
      <c r="BW88" s="431">
        <v>1269.8193356579407</v>
      </c>
      <c r="BX88" s="431">
        <v>1180.5921309165001</v>
      </c>
      <c r="BY88" s="431">
        <v>976.78410435226203</v>
      </c>
      <c r="BZ88" s="431">
        <v>0</v>
      </c>
      <c r="CA88" s="431">
        <v>0</v>
      </c>
      <c r="CB88" s="431">
        <v>0</v>
      </c>
      <c r="CC88" s="432"/>
      <c r="CD88" s="428">
        <v>41815.580318171298</v>
      </c>
      <c r="CE88" s="433">
        <v>0.30887516912936769</v>
      </c>
      <c r="CF88" s="433">
        <v>0.21465334314226731</v>
      </c>
      <c r="CG88" s="433">
        <v>0.17822376316137725</v>
      </c>
      <c r="CH88" s="433">
        <v>0.14390127909715267</v>
      </c>
      <c r="CI88" s="433">
        <v>0.11969468358927447</v>
      </c>
      <c r="CJ88" s="433">
        <v>0.27864823506139252</v>
      </c>
      <c r="CK88" s="433">
        <v>0.26007046015078716</v>
      </c>
      <c r="CL88" s="433">
        <v>0.2795059670458605</v>
      </c>
      <c r="CM88" s="433">
        <v>0.2017515561404124</v>
      </c>
      <c r="CN88" s="433">
        <v>0.20249405129474354</v>
      </c>
      <c r="CO88" s="433">
        <v>0.62654907473547627</v>
      </c>
      <c r="CP88" s="433">
        <v>0.66252610719962202</v>
      </c>
      <c r="CQ88" s="433">
        <v>0.70077118864502774</v>
      </c>
      <c r="CR88" s="433">
        <v>0.38975168317710257</v>
      </c>
      <c r="CS88" s="433">
        <v>0.39443520669059223</v>
      </c>
      <c r="CT88" s="433">
        <v>0.447221292916757</v>
      </c>
      <c r="CU88" s="433">
        <v>0.51158194515084476</v>
      </c>
      <c r="CV88" s="433">
        <v>0.47604249083347333</v>
      </c>
      <c r="CW88" s="433">
        <v>0.4759898508915783</v>
      </c>
      <c r="CX88" s="433">
        <v>0.4007797062399322</v>
      </c>
      <c r="CY88" s="433">
        <v>0.40798711211863076</v>
      </c>
      <c r="CZ88" s="433">
        <v>0.29816004259848461</v>
      </c>
      <c r="DA88" s="433">
        <v>0.25104840798869349</v>
      </c>
      <c r="DB88" s="433">
        <v>0.80602184361489149</v>
      </c>
      <c r="DC88" s="433">
        <v>0.29816004259848461</v>
      </c>
      <c r="DD88" s="433">
        <v>0.25104840798869349</v>
      </c>
      <c r="DE88" s="433">
        <v>0.34680721234892764</v>
      </c>
      <c r="DF88" s="433">
        <v>0.40997005857291635</v>
      </c>
      <c r="DG88" s="433">
        <v>0</v>
      </c>
      <c r="DH88" s="433">
        <v>0</v>
      </c>
      <c r="DI88" s="433">
        <v>0</v>
      </c>
      <c r="DJ88" s="433">
        <v>0.35031031550396724</v>
      </c>
      <c r="DK88" s="433">
        <v>0.33543004792329517</v>
      </c>
      <c r="DL88" s="433">
        <v>0.2866175308668823</v>
      </c>
      <c r="DM88" s="433">
        <v>0.40997005857291635</v>
      </c>
      <c r="DN88" s="433">
        <v>0</v>
      </c>
      <c r="DO88" s="433">
        <v>0</v>
      </c>
      <c r="DP88" s="433">
        <v>0</v>
      </c>
      <c r="DR88" s="409" t="s">
        <v>855</v>
      </c>
      <c r="DS88" s="409" t="s">
        <v>2480</v>
      </c>
    </row>
    <row r="89" spans="2:123" s="1471" customFormat="1">
      <c r="B89" s="428">
        <v>41815.613994560183</v>
      </c>
      <c r="C89" s="429">
        <v>1.4149491759725235</v>
      </c>
      <c r="D89" s="429">
        <v>1.4161355416935255</v>
      </c>
      <c r="E89" s="429">
        <v>1.3948684786083703</v>
      </c>
      <c r="F89" s="429">
        <v>1.3466004563753871</v>
      </c>
      <c r="G89" s="429">
        <v>1.3708373955353239</v>
      </c>
      <c r="H89" s="429">
        <v>1.3751622391433096</v>
      </c>
      <c r="I89" s="429">
        <v>1.4252277093134169</v>
      </c>
      <c r="J89" s="429">
        <v>1.4740008416568597</v>
      </c>
      <c r="K89" s="429">
        <v>1.3675000289882104</v>
      </c>
      <c r="L89" s="429">
        <v>1.4457755220331778</v>
      </c>
      <c r="M89" s="429">
        <v>1.2303226374060454</v>
      </c>
      <c r="N89" s="429">
        <v>1.2060101581778027</v>
      </c>
      <c r="O89" s="429">
        <v>1.0157542256986645</v>
      </c>
      <c r="P89" s="429">
        <v>1.0830862181009844</v>
      </c>
      <c r="Q89" s="429">
        <v>2974.8268928277421</v>
      </c>
      <c r="R89" s="429">
        <v>16.218100080940367</v>
      </c>
      <c r="S89" s="429">
        <v>18.532351399687659</v>
      </c>
      <c r="T89" s="429">
        <v>3207.6540481951783</v>
      </c>
      <c r="U89" s="429">
        <v>3324.8196251332029</v>
      </c>
      <c r="V89" s="429">
        <v>3356.454199884105</v>
      </c>
      <c r="W89" s="429">
        <v>820.74839845335691</v>
      </c>
      <c r="X89" s="429">
        <v>54.496589663258383</v>
      </c>
      <c r="Y89" s="429">
        <v>54.752455695364844</v>
      </c>
      <c r="Z89" s="429">
        <v>57.599528131666588</v>
      </c>
      <c r="AA89" s="429">
        <v>36.762669953984719</v>
      </c>
      <c r="AB89" s="429">
        <v>36.972014889344564</v>
      </c>
      <c r="AC89" s="429">
        <v>33.179084615797109</v>
      </c>
      <c r="AD89" s="429">
        <v>3.2916171159605354</v>
      </c>
      <c r="AE89" s="429">
        <v>0</v>
      </c>
      <c r="AF89" s="429">
        <v>0</v>
      </c>
      <c r="AG89" s="429">
        <v>0</v>
      </c>
      <c r="AH89" s="429">
        <v>2.9665029959951403</v>
      </c>
      <c r="AI89" s="429">
        <v>6.3746235568568013</v>
      </c>
      <c r="AJ89" s="429">
        <v>6.1618515095024522</v>
      </c>
      <c r="AK89" s="429">
        <v>6.9986173614221281</v>
      </c>
      <c r="AL89" s="429">
        <v>0</v>
      </c>
      <c r="AM89" s="429">
        <v>0</v>
      </c>
      <c r="AN89" s="429">
        <v>0</v>
      </c>
      <c r="AO89" s="432"/>
      <c r="AP89" s="428">
        <v>41815.613994560183</v>
      </c>
      <c r="AQ89" s="431">
        <v>93.184687302309726</v>
      </c>
      <c r="AR89" s="431">
        <v>124.48110033039301</v>
      </c>
      <c r="AS89" s="431">
        <v>76.679538016221741</v>
      </c>
      <c r="AT89" s="431">
        <v>90.232734908816923</v>
      </c>
      <c r="AU89" s="431">
        <v>14.306758618623039</v>
      </c>
      <c r="AV89" s="431">
        <v>54.266140075992936</v>
      </c>
      <c r="AW89" s="431">
        <v>-4.2372378746092263</v>
      </c>
      <c r="AX89" s="431">
        <v>11.402464594714107</v>
      </c>
      <c r="AY89" s="431">
        <v>117.25150226464184</v>
      </c>
      <c r="AZ89" s="431">
        <v>-85.941910316164837</v>
      </c>
      <c r="BA89" s="431">
        <v>3.3014667070531787</v>
      </c>
      <c r="BB89" s="431">
        <v>2.7271419997493815</v>
      </c>
      <c r="BC89" s="431">
        <v>1.9539213531530961</v>
      </c>
      <c r="BD89" s="431">
        <v>80.025462213362303</v>
      </c>
      <c r="BE89" s="431">
        <v>364092.74202705867</v>
      </c>
      <c r="BF89" s="431">
        <v>8150.728749453343</v>
      </c>
      <c r="BG89" s="431">
        <v>-1887.2547028836063</v>
      </c>
      <c r="BH89" s="431">
        <v>383264.80905998591</v>
      </c>
      <c r="BI89" s="431">
        <v>368842.6960474092</v>
      </c>
      <c r="BJ89" s="431">
        <v>-25615.360588513297</v>
      </c>
      <c r="BK89" s="431">
        <v>367898.17872512987</v>
      </c>
      <c r="BL89" s="431">
        <v>2983.2649198613867</v>
      </c>
      <c r="BM89" s="431">
        <v>-207.18156404401003</v>
      </c>
      <c r="BN89" s="431">
        <v>143.31118944294533</v>
      </c>
      <c r="BO89" s="431">
        <v>2440.8531162502254</v>
      </c>
      <c r="BP89" s="431">
        <v>-169.51218876328093</v>
      </c>
      <c r="BQ89" s="431">
        <v>1611.7264626996259</v>
      </c>
      <c r="BR89" s="431">
        <v>828.08136123378415</v>
      </c>
      <c r="BS89" s="431">
        <v>0</v>
      </c>
      <c r="BT89" s="431">
        <v>0</v>
      </c>
      <c r="BU89" s="431">
        <v>0</v>
      </c>
      <c r="BV89" s="431">
        <v>772.41682039763691</v>
      </c>
      <c r="BW89" s="431">
        <v>1269.8193356579407</v>
      </c>
      <c r="BX89" s="431">
        <v>1180.5921309165001</v>
      </c>
      <c r="BY89" s="431">
        <v>976.78410435226203</v>
      </c>
      <c r="BZ89" s="431">
        <v>0</v>
      </c>
      <c r="CA89" s="431">
        <v>0</v>
      </c>
      <c r="CB89" s="431">
        <v>0</v>
      </c>
      <c r="CC89" s="432"/>
      <c r="CD89" s="428">
        <v>41815.613994560183</v>
      </c>
      <c r="CE89" s="433">
        <v>0.30887516912936769</v>
      </c>
      <c r="CF89" s="433">
        <v>0.21465334314226731</v>
      </c>
      <c r="CG89" s="433">
        <v>0.17822376316137725</v>
      </c>
      <c r="CH89" s="433">
        <v>0.14390127909715267</v>
      </c>
      <c r="CI89" s="433">
        <v>0.11969468358927447</v>
      </c>
      <c r="CJ89" s="433">
        <v>0.27864823506139252</v>
      </c>
      <c r="CK89" s="433">
        <v>0.26007046015078716</v>
      </c>
      <c r="CL89" s="433">
        <v>0.2795059670458605</v>
      </c>
      <c r="CM89" s="433">
        <v>0.2017515561404124</v>
      </c>
      <c r="CN89" s="433">
        <v>0.20249405129474354</v>
      </c>
      <c r="CO89" s="433">
        <v>0.62654907473547627</v>
      </c>
      <c r="CP89" s="433">
        <v>0.66252610719962202</v>
      </c>
      <c r="CQ89" s="433">
        <v>0.70077118864502774</v>
      </c>
      <c r="CR89" s="433">
        <v>0.38975168317710257</v>
      </c>
      <c r="CS89" s="433">
        <v>0.39443520669059223</v>
      </c>
      <c r="CT89" s="433">
        <v>0.447221292916757</v>
      </c>
      <c r="CU89" s="433">
        <v>0.51158194515084476</v>
      </c>
      <c r="CV89" s="433">
        <v>0.47604249083347333</v>
      </c>
      <c r="CW89" s="433">
        <v>0.4759898508915783</v>
      </c>
      <c r="CX89" s="433">
        <v>0.4007797062399322</v>
      </c>
      <c r="CY89" s="433">
        <v>0.40798711211863076</v>
      </c>
      <c r="CZ89" s="433">
        <v>0.29816004259848461</v>
      </c>
      <c r="DA89" s="433">
        <v>0.25104840798869349</v>
      </c>
      <c r="DB89" s="433">
        <v>0.80602184361489149</v>
      </c>
      <c r="DC89" s="433">
        <v>0.29816004259848461</v>
      </c>
      <c r="DD89" s="433">
        <v>0.25104840798869349</v>
      </c>
      <c r="DE89" s="433">
        <v>0.34680721234892764</v>
      </c>
      <c r="DF89" s="433">
        <v>0.40997005857291635</v>
      </c>
      <c r="DG89" s="433">
        <v>0</v>
      </c>
      <c r="DH89" s="433">
        <v>0</v>
      </c>
      <c r="DI89" s="433">
        <v>0</v>
      </c>
      <c r="DJ89" s="433">
        <v>0.35031031550396724</v>
      </c>
      <c r="DK89" s="433">
        <v>0.33543004792329517</v>
      </c>
      <c r="DL89" s="433">
        <v>0.2866175308668823</v>
      </c>
      <c r="DM89" s="433">
        <v>0.40997005857291635</v>
      </c>
      <c r="DN89" s="433">
        <v>0</v>
      </c>
      <c r="DO89" s="433">
        <v>0</v>
      </c>
      <c r="DP89" s="433">
        <v>0</v>
      </c>
      <c r="DR89" s="409" t="s">
        <v>855</v>
      </c>
      <c r="DS89" s="409" t="s">
        <v>2483</v>
      </c>
    </row>
    <row r="90" spans="2:123" s="1471" customFormat="1">
      <c r="B90" s="428">
        <v>41815.617353819442</v>
      </c>
      <c r="C90" s="429">
        <v>1.4149491759725235</v>
      </c>
      <c r="D90" s="429">
        <v>1.4161355416935255</v>
      </c>
      <c r="E90" s="429">
        <v>1.3948684786083703</v>
      </c>
      <c r="F90" s="429">
        <v>1.3466004563753871</v>
      </c>
      <c r="G90" s="429">
        <v>1.3708373955353239</v>
      </c>
      <c r="H90" s="429">
        <v>1.3751622391433096</v>
      </c>
      <c r="I90" s="429">
        <v>1.4252277093134169</v>
      </c>
      <c r="J90" s="429">
        <v>1.4740008416568597</v>
      </c>
      <c r="K90" s="429">
        <v>1.3675000289882104</v>
      </c>
      <c r="L90" s="429">
        <v>1.4457755220331778</v>
      </c>
      <c r="M90" s="429">
        <v>1.2303226374060454</v>
      </c>
      <c r="N90" s="429">
        <v>1.2060101581778027</v>
      </c>
      <c r="O90" s="429">
        <v>1.0157542256986645</v>
      </c>
      <c r="P90" s="429">
        <v>1.0830862181009844</v>
      </c>
      <c r="Q90" s="429">
        <v>2974.8268928277421</v>
      </c>
      <c r="R90" s="429">
        <v>16.218100080940367</v>
      </c>
      <c r="S90" s="429">
        <v>18.532351399687659</v>
      </c>
      <c r="T90" s="429">
        <v>3207.6540481951783</v>
      </c>
      <c r="U90" s="429">
        <v>3324.8196251332029</v>
      </c>
      <c r="V90" s="429">
        <v>3356.454199884105</v>
      </c>
      <c r="W90" s="429">
        <v>820.74839845335691</v>
      </c>
      <c r="X90" s="429">
        <v>51.357084893772672</v>
      </c>
      <c r="Y90" s="429">
        <v>51.612950925879133</v>
      </c>
      <c r="Z90" s="429">
        <v>57.599528131666588</v>
      </c>
      <c r="AA90" s="429">
        <v>36.762669953984719</v>
      </c>
      <c r="AB90" s="429">
        <v>36.972014889344564</v>
      </c>
      <c r="AC90" s="429">
        <v>33.179084615797109</v>
      </c>
      <c r="AD90" s="429">
        <v>3.2916171159605354</v>
      </c>
      <c r="AE90" s="429">
        <v>0</v>
      </c>
      <c r="AF90" s="429">
        <v>0</v>
      </c>
      <c r="AG90" s="429">
        <v>0</v>
      </c>
      <c r="AH90" s="429">
        <v>2.9665029959951403</v>
      </c>
      <c r="AI90" s="429">
        <v>6.3746235568568013</v>
      </c>
      <c r="AJ90" s="429">
        <v>6.1618515095024522</v>
      </c>
      <c r="AK90" s="429">
        <v>6.9986173614221281</v>
      </c>
      <c r="AL90" s="429">
        <v>0</v>
      </c>
      <c r="AM90" s="429">
        <v>0</v>
      </c>
      <c r="AN90" s="429">
        <v>0</v>
      </c>
      <c r="AO90" s="432"/>
      <c r="AP90" s="428">
        <v>41815.617353819442</v>
      </c>
      <c r="AQ90" s="431">
        <v>93.184687302309726</v>
      </c>
      <c r="AR90" s="431">
        <v>124.48110033039301</v>
      </c>
      <c r="AS90" s="431">
        <v>76.679538016221741</v>
      </c>
      <c r="AT90" s="431">
        <v>90.232734908816923</v>
      </c>
      <c r="AU90" s="431">
        <v>14.306758618623039</v>
      </c>
      <c r="AV90" s="431">
        <v>54.266140075992936</v>
      </c>
      <c r="AW90" s="431">
        <v>-4.2372378746092263</v>
      </c>
      <c r="AX90" s="431">
        <v>11.402464594714107</v>
      </c>
      <c r="AY90" s="431">
        <v>117.25150226464184</v>
      </c>
      <c r="AZ90" s="431">
        <v>-85.941910316164837</v>
      </c>
      <c r="BA90" s="431">
        <v>3.3014667070531787</v>
      </c>
      <c r="BB90" s="431">
        <v>2.7271419997493815</v>
      </c>
      <c r="BC90" s="431">
        <v>1.9539213531530961</v>
      </c>
      <c r="BD90" s="431">
        <v>80.025462213362303</v>
      </c>
      <c r="BE90" s="431">
        <v>364092.74202705867</v>
      </c>
      <c r="BF90" s="431">
        <v>8150.728749453343</v>
      </c>
      <c r="BG90" s="431">
        <v>-1887.2547028836063</v>
      </c>
      <c r="BH90" s="431">
        <v>383264.80905998591</v>
      </c>
      <c r="BI90" s="431">
        <v>368842.6960474092</v>
      </c>
      <c r="BJ90" s="431">
        <v>-25615.360588513297</v>
      </c>
      <c r="BK90" s="431">
        <v>367898.17872512987</v>
      </c>
      <c r="BL90" s="431">
        <v>2983.2649198613867</v>
      </c>
      <c r="BM90" s="431">
        <v>-207.18156404401003</v>
      </c>
      <c r="BN90" s="431">
        <v>143.31118944294533</v>
      </c>
      <c r="BO90" s="431">
        <v>2440.8531162502254</v>
      </c>
      <c r="BP90" s="431">
        <v>-169.51218876328093</v>
      </c>
      <c r="BQ90" s="431">
        <v>1611.7264626996259</v>
      </c>
      <c r="BR90" s="431">
        <v>828.08136123378415</v>
      </c>
      <c r="BS90" s="431">
        <v>0</v>
      </c>
      <c r="BT90" s="431">
        <v>0</v>
      </c>
      <c r="BU90" s="431">
        <v>0</v>
      </c>
      <c r="BV90" s="431">
        <v>772.41682039763691</v>
      </c>
      <c r="BW90" s="431">
        <v>1269.8193356579407</v>
      </c>
      <c r="BX90" s="431">
        <v>1180.5921309165001</v>
      </c>
      <c r="BY90" s="431">
        <v>976.78410435226203</v>
      </c>
      <c r="BZ90" s="431">
        <v>0</v>
      </c>
      <c r="CA90" s="431">
        <v>0</v>
      </c>
      <c r="CB90" s="431">
        <v>0</v>
      </c>
      <c r="CC90" s="432"/>
      <c r="CD90" s="428">
        <v>41815.617353819442</v>
      </c>
      <c r="CE90" s="433">
        <v>0.30887516912936769</v>
      </c>
      <c r="CF90" s="433">
        <v>0.21465334314226731</v>
      </c>
      <c r="CG90" s="433">
        <v>0.17822376316137725</v>
      </c>
      <c r="CH90" s="433">
        <v>0.14390127909715267</v>
      </c>
      <c r="CI90" s="433">
        <v>0.11969468358927447</v>
      </c>
      <c r="CJ90" s="433">
        <v>0.27864823506139252</v>
      </c>
      <c r="CK90" s="433">
        <v>0.26007046015078716</v>
      </c>
      <c r="CL90" s="433">
        <v>0.2795059670458605</v>
      </c>
      <c r="CM90" s="433">
        <v>0.2017515561404124</v>
      </c>
      <c r="CN90" s="433">
        <v>0.20249405129474354</v>
      </c>
      <c r="CO90" s="433">
        <v>0.62654907473547627</v>
      </c>
      <c r="CP90" s="433">
        <v>0.66252610719962202</v>
      </c>
      <c r="CQ90" s="433">
        <v>0.70077118864502774</v>
      </c>
      <c r="CR90" s="433">
        <v>0.38975168317710257</v>
      </c>
      <c r="CS90" s="433">
        <v>0.39443520669059223</v>
      </c>
      <c r="CT90" s="433">
        <v>0.447221292916757</v>
      </c>
      <c r="CU90" s="433">
        <v>0.51158194515084476</v>
      </c>
      <c r="CV90" s="433">
        <v>0.47604249083347333</v>
      </c>
      <c r="CW90" s="433">
        <v>0.4759898508915783</v>
      </c>
      <c r="CX90" s="433">
        <v>0.4007797062399322</v>
      </c>
      <c r="CY90" s="433">
        <v>0.40798711211863076</v>
      </c>
      <c r="CZ90" s="433">
        <v>0.29816004259848461</v>
      </c>
      <c r="DA90" s="433">
        <v>0.25104840798869349</v>
      </c>
      <c r="DB90" s="433">
        <v>0.80602184361489149</v>
      </c>
      <c r="DC90" s="433">
        <v>0.29816004259848461</v>
      </c>
      <c r="DD90" s="433">
        <v>0.25104840798869349</v>
      </c>
      <c r="DE90" s="433">
        <v>0.34680721234892764</v>
      </c>
      <c r="DF90" s="433">
        <v>0.40997005857291635</v>
      </c>
      <c r="DG90" s="433">
        <v>0</v>
      </c>
      <c r="DH90" s="433">
        <v>0</v>
      </c>
      <c r="DI90" s="433">
        <v>0</v>
      </c>
      <c r="DJ90" s="433">
        <v>0.35031031550396724</v>
      </c>
      <c r="DK90" s="433">
        <v>0.33543004792329517</v>
      </c>
      <c r="DL90" s="433">
        <v>0.2866175308668823</v>
      </c>
      <c r="DM90" s="433">
        <v>0.40997005857291635</v>
      </c>
      <c r="DN90" s="433">
        <v>0</v>
      </c>
      <c r="DO90" s="433">
        <v>0</v>
      </c>
      <c r="DP90" s="433">
        <v>0</v>
      </c>
      <c r="DR90" s="409" t="s">
        <v>855</v>
      </c>
      <c r="DS90" s="409" t="s">
        <v>2484</v>
      </c>
    </row>
    <row r="91" spans="2:123" s="1471" customFormat="1">
      <c r="B91" s="428">
        <v>41815.649189236108</v>
      </c>
      <c r="C91" s="429">
        <v>1.4149491759725235</v>
      </c>
      <c r="D91" s="429">
        <v>1.4161355416935255</v>
      </c>
      <c r="E91" s="429">
        <v>1.3948684786083703</v>
      </c>
      <c r="F91" s="429">
        <v>1.3466004563753871</v>
      </c>
      <c r="G91" s="429">
        <v>1.3708373955353239</v>
      </c>
      <c r="H91" s="429">
        <v>1.3751622391433096</v>
      </c>
      <c r="I91" s="429">
        <v>1.4252277093134169</v>
      </c>
      <c r="J91" s="429">
        <v>1.4740008416568597</v>
      </c>
      <c r="K91" s="429">
        <v>1.3675000289882104</v>
      </c>
      <c r="L91" s="429">
        <v>1.4457755220331778</v>
      </c>
      <c r="M91" s="429">
        <v>1.2303226374060454</v>
      </c>
      <c r="N91" s="429">
        <v>1.2060101581778027</v>
      </c>
      <c r="O91" s="429">
        <v>1.0157542256986645</v>
      </c>
      <c r="P91" s="429">
        <v>1.0830862181009844</v>
      </c>
      <c r="Q91" s="429">
        <v>2974.8268928277421</v>
      </c>
      <c r="R91" s="429">
        <v>16.218100080940367</v>
      </c>
      <c r="S91" s="429">
        <v>18.532351399687659</v>
      </c>
      <c r="T91" s="429">
        <v>3207.6540481951783</v>
      </c>
      <c r="U91" s="429">
        <v>3324.8196251332029</v>
      </c>
      <c r="V91" s="429">
        <v>3356.454199884105</v>
      </c>
      <c r="W91" s="429">
        <v>820.74839845335691</v>
      </c>
      <c r="X91" s="429">
        <v>51.357084893772672</v>
      </c>
      <c r="Y91" s="429">
        <v>51.612950925879133</v>
      </c>
      <c r="Z91" s="429">
        <v>57.599528131666588</v>
      </c>
      <c r="AA91" s="429">
        <v>36.762669953984719</v>
      </c>
      <c r="AB91" s="429">
        <v>36.972014889344564</v>
      </c>
      <c r="AC91" s="429">
        <v>33.179084615797109</v>
      </c>
      <c r="AD91" s="429">
        <v>3.2916171159605354</v>
      </c>
      <c r="AE91" s="429">
        <v>0</v>
      </c>
      <c r="AF91" s="429">
        <v>0</v>
      </c>
      <c r="AG91" s="429">
        <v>0</v>
      </c>
      <c r="AH91" s="429">
        <v>2.9665029959951403</v>
      </c>
      <c r="AI91" s="429">
        <v>6.3746235568568013</v>
      </c>
      <c r="AJ91" s="429">
        <v>6.1618515095024522</v>
      </c>
      <c r="AK91" s="429">
        <v>6.9986173614221281</v>
      </c>
      <c r="AL91" s="429">
        <v>0</v>
      </c>
      <c r="AM91" s="429">
        <v>0</v>
      </c>
      <c r="AN91" s="429">
        <v>0</v>
      </c>
      <c r="AO91" s="432"/>
      <c r="AP91" s="428">
        <v>41815.649189236108</v>
      </c>
      <c r="AQ91" s="431">
        <v>93.184687302309726</v>
      </c>
      <c r="AR91" s="431">
        <v>124.48110033039301</v>
      </c>
      <c r="AS91" s="431">
        <v>76.679538016221741</v>
      </c>
      <c r="AT91" s="431">
        <v>90.232734908816923</v>
      </c>
      <c r="AU91" s="431">
        <v>14.306758618623039</v>
      </c>
      <c r="AV91" s="431">
        <v>54.266140075992936</v>
      </c>
      <c r="AW91" s="431">
        <v>-4.2372378746092263</v>
      </c>
      <c r="AX91" s="431">
        <v>11.402464594714107</v>
      </c>
      <c r="AY91" s="431">
        <v>117.25150226464184</v>
      </c>
      <c r="AZ91" s="431">
        <v>-85.941910316164837</v>
      </c>
      <c r="BA91" s="431">
        <v>3.3014667070531787</v>
      </c>
      <c r="BB91" s="431">
        <v>2.7271419997493815</v>
      </c>
      <c r="BC91" s="431">
        <v>1.9539213531530961</v>
      </c>
      <c r="BD91" s="431">
        <v>80.025462213362303</v>
      </c>
      <c r="BE91" s="431">
        <v>364092.74202705867</v>
      </c>
      <c r="BF91" s="431">
        <v>8150.728749453343</v>
      </c>
      <c r="BG91" s="431">
        <v>-1887.2547028836063</v>
      </c>
      <c r="BH91" s="431">
        <v>383264.80905998591</v>
      </c>
      <c r="BI91" s="431">
        <v>368842.6960474092</v>
      </c>
      <c r="BJ91" s="431">
        <v>-25615.360588513297</v>
      </c>
      <c r="BK91" s="431">
        <v>367898.17872512987</v>
      </c>
      <c r="BL91" s="431">
        <v>2983.2649198613867</v>
      </c>
      <c r="BM91" s="431">
        <v>-207.18156404401003</v>
      </c>
      <c r="BN91" s="431">
        <v>143.31118944294533</v>
      </c>
      <c r="BO91" s="431">
        <v>2440.8531162502254</v>
      </c>
      <c r="BP91" s="431">
        <v>-169.51218876328093</v>
      </c>
      <c r="BQ91" s="431">
        <v>1611.7264626996259</v>
      </c>
      <c r="BR91" s="431">
        <v>828.08136123378415</v>
      </c>
      <c r="BS91" s="431">
        <v>0</v>
      </c>
      <c r="BT91" s="431">
        <v>0</v>
      </c>
      <c r="BU91" s="431">
        <v>0</v>
      </c>
      <c r="BV91" s="431">
        <v>772.41682039763691</v>
      </c>
      <c r="BW91" s="431">
        <v>1269.8193356579407</v>
      </c>
      <c r="BX91" s="431">
        <v>1180.5921309165001</v>
      </c>
      <c r="BY91" s="431">
        <v>976.78410435226203</v>
      </c>
      <c r="BZ91" s="431">
        <v>0</v>
      </c>
      <c r="CA91" s="431">
        <v>0</v>
      </c>
      <c r="CB91" s="431">
        <v>0</v>
      </c>
      <c r="CC91" s="432"/>
      <c r="CD91" s="428">
        <v>41815.649189236108</v>
      </c>
      <c r="CE91" s="433">
        <v>0.30887516912936769</v>
      </c>
      <c r="CF91" s="433">
        <v>0.21465334314226731</v>
      </c>
      <c r="CG91" s="433">
        <v>0.17822376316137725</v>
      </c>
      <c r="CH91" s="433">
        <v>0.14390127909715267</v>
      </c>
      <c r="CI91" s="433">
        <v>0.11969468358927447</v>
      </c>
      <c r="CJ91" s="433">
        <v>0.27864823506139252</v>
      </c>
      <c r="CK91" s="433">
        <v>0.26007046015078716</v>
      </c>
      <c r="CL91" s="433">
        <v>0.2795059670458605</v>
      </c>
      <c r="CM91" s="433">
        <v>0.2017515561404124</v>
      </c>
      <c r="CN91" s="433">
        <v>0.20249405129474354</v>
      </c>
      <c r="CO91" s="433">
        <v>0.62654907473547627</v>
      </c>
      <c r="CP91" s="433">
        <v>0.66252610719962202</v>
      </c>
      <c r="CQ91" s="433">
        <v>0.70077118864502774</v>
      </c>
      <c r="CR91" s="433">
        <v>0.38975168317710257</v>
      </c>
      <c r="CS91" s="433">
        <v>0.39443520669059223</v>
      </c>
      <c r="CT91" s="433">
        <v>0.447221292916757</v>
      </c>
      <c r="CU91" s="433">
        <v>0.3622790598707698</v>
      </c>
      <c r="CV91" s="433">
        <v>0.47604249083347333</v>
      </c>
      <c r="CW91" s="433">
        <v>0.4759898508915783</v>
      </c>
      <c r="CX91" s="433">
        <v>0.4007797062399322</v>
      </c>
      <c r="CY91" s="433">
        <v>0.40798711211863076</v>
      </c>
      <c r="CZ91" s="433">
        <v>0.29816004259848461</v>
      </c>
      <c r="DA91" s="433">
        <v>0.25104840798869349</v>
      </c>
      <c r="DB91" s="433">
        <v>0.80602184361489149</v>
      </c>
      <c r="DC91" s="433">
        <v>0.29816004259848461</v>
      </c>
      <c r="DD91" s="433">
        <v>0.25104840798869349</v>
      </c>
      <c r="DE91" s="433">
        <v>0.34680721234892764</v>
      </c>
      <c r="DF91" s="433">
        <v>0.40997005857291635</v>
      </c>
      <c r="DG91" s="433">
        <v>0</v>
      </c>
      <c r="DH91" s="433">
        <v>0</v>
      </c>
      <c r="DI91" s="433">
        <v>0</v>
      </c>
      <c r="DJ91" s="433">
        <v>0.35031031550396724</v>
      </c>
      <c r="DK91" s="433">
        <v>0.33543004792329517</v>
      </c>
      <c r="DL91" s="433">
        <v>0.2866175308668823</v>
      </c>
      <c r="DM91" s="433">
        <v>0.40997005857291635</v>
      </c>
      <c r="DN91" s="433">
        <v>0</v>
      </c>
      <c r="DO91" s="433">
        <v>0</v>
      </c>
      <c r="DP91" s="433">
        <v>0</v>
      </c>
      <c r="DR91" s="409" t="s">
        <v>855</v>
      </c>
      <c r="DS91" s="409" t="s">
        <v>2485</v>
      </c>
    </row>
    <row r="92" spans="2:123" s="1471" customFormat="1">
      <c r="B92" s="428">
        <v>41822.587813541664</v>
      </c>
      <c r="C92" s="429">
        <v>1.4149491759725235</v>
      </c>
      <c r="D92" s="429">
        <v>1.4161355416935255</v>
      </c>
      <c r="E92" s="429">
        <v>1.3948684786083703</v>
      </c>
      <c r="F92" s="429">
        <v>1.3466004563753871</v>
      </c>
      <c r="G92" s="429">
        <v>1.3708373955353239</v>
      </c>
      <c r="H92" s="429">
        <v>1.3751622391433096</v>
      </c>
      <c r="I92" s="429">
        <v>1.4252277093134169</v>
      </c>
      <c r="J92" s="429">
        <v>1.4740008416568597</v>
      </c>
      <c r="K92" s="429">
        <v>1.3675000289882104</v>
      </c>
      <c r="L92" s="429">
        <v>1.4457755220331778</v>
      </c>
      <c r="M92" s="429">
        <v>1.2303226374060454</v>
      </c>
      <c r="N92" s="429">
        <v>1.2060101581778027</v>
      </c>
      <c r="O92" s="429">
        <v>1.0157542256986645</v>
      </c>
      <c r="P92" s="429">
        <v>1.0830862181009844</v>
      </c>
      <c r="Q92" s="429">
        <v>2974.8268928277421</v>
      </c>
      <c r="R92" s="429">
        <v>16.218100080940367</v>
      </c>
      <c r="S92" s="429">
        <v>18.532351399687659</v>
      </c>
      <c r="T92" s="429">
        <v>3207.6540481951783</v>
      </c>
      <c r="U92" s="429">
        <v>3324.8196251332029</v>
      </c>
      <c r="V92" s="429">
        <v>3356.454199884105</v>
      </c>
      <c r="W92" s="429">
        <v>820.74839845335691</v>
      </c>
      <c r="X92" s="429">
        <v>39.864664696257144</v>
      </c>
      <c r="Y92" s="429">
        <v>40.120530728363605</v>
      </c>
      <c r="Z92" s="429">
        <v>43.808623894647951</v>
      </c>
      <c r="AA92" s="429">
        <v>36.762669953984719</v>
      </c>
      <c r="AB92" s="429">
        <v>36.972014889344564</v>
      </c>
      <c r="AC92" s="429">
        <v>33.179084615797109</v>
      </c>
      <c r="AD92" s="429">
        <v>3.2916171159605354</v>
      </c>
      <c r="AE92" s="429">
        <v>0</v>
      </c>
      <c r="AF92" s="429">
        <v>0</v>
      </c>
      <c r="AG92" s="429">
        <v>0</v>
      </c>
      <c r="AH92" s="429">
        <v>2.9665029959951403</v>
      </c>
      <c r="AI92" s="429">
        <v>6.3746235568568013</v>
      </c>
      <c r="AJ92" s="429">
        <v>6.1618515095024522</v>
      </c>
      <c r="AK92" s="429">
        <v>6.9986173614221281</v>
      </c>
      <c r="AL92" s="429">
        <v>0</v>
      </c>
      <c r="AM92" s="429">
        <v>0</v>
      </c>
      <c r="AN92" s="429">
        <v>0</v>
      </c>
      <c r="AO92" s="432"/>
      <c r="AP92" s="428">
        <v>41822.587813541664</v>
      </c>
      <c r="AQ92" s="431">
        <v>93.184687302309726</v>
      </c>
      <c r="AR92" s="431">
        <v>124.48110033039301</v>
      </c>
      <c r="AS92" s="431">
        <v>76.679538016221741</v>
      </c>
      <c r="AT92" s="431">
        <v>90.232734908816923</v>
      </c>
      <c r="AU92" s="431">
        <v>14.306758618623039</v>
      </c>
      <c r="AV92" s="431">
        <v>54.266140075992936</v>
      </c>
      <c r="AW92" s="431">
        <v>-4.2372378746092263</v>
      </c>
      <c r="AX92" s="431">
        <v>11.402464594714107</v>
      </c>
      <c r="AY92" s="431">
        <v>117.25150226464184</v>
      </c>
      <c r="AZ92" s="431">
        <v>-85.941910316164837</v>
      </c>
      <c r="BA92" s="431">
        <v>3.3014667070531787</v>
      </c>
      <c r="BB92" s="431">
        <v>2.7271419997493815</v>
      </c>
      <c r="BC92" s="431">
        <v>1.9539213531530961</v>
      </c>
      <c r="BD92" s="431">
        <v>80.025462213362303</v>
      </c>
      <c r="BE92" s="431">
        <v>364092.74202705867</v>
      </c>
      <c r="BF92" s="431">
        <v>8150.728749453343</v>
      </c>
      <c r="BG92" s="431">
        <v>-1887.2547028836063</v>
      </c>
      <c r="BH92" s="431">
        <v>383264.80905998591</v>
      </c>
      <c r="BI92" s="431">
        <v>368842.6960474092</v>
      </c>
      <c r="BJ92" s="431">
        <v>-25615.360588513297</v>
      </c>
      <c r="BK92" s="431">
        <v>367898.17872512987</v>
      </c>
      <c r="BL92" s="431">
        <v>2983.2649198613867</v>
      </c>
      <c r="BM92" s="431">
        <v>-207.18156404401003</v>
      </c>
      <c r="BN92" s="431">
        <v>143.31118944294533</v>
      </c>
      <c r="BO92" s="431">
        <v>2440.8531162502254</v>
      </c>
      <c r="BP92" s="431">
        <v>-169.51218876328093</v>
      </c>
      <c r="BQ92" s="431">
        <v>1611.7264626996259</v>
      </c>
      <c r="BR92" s="431">
        <v>828.08136123378415</v>
      </c>
      <c r="BS92" s="431">
        <v>0</v>
      </c>
      <c r="BT92" s="431">
        <v>0</v>
      </c>
      <c r="BU92" s="431">
        <v>0</v>
      </c>
      <c r="BV92" s="431">
        <v>772.41682039763691</v>
      </c>
      <c r="BW92" s="431">
        <v>1269.8193356579407</v>
      </c>
      <c r="BX92" s="431">
        <v>1180.5921309165001</v>
      </c>
      <c r="BY92" s="431">
        <v>976.78410435226203</v>
      </c>
      <c r="BZ92" s="431">
        <v>0</v>
      </c>
      <c r="CA92" s="431">
        <v>0</v>
      </c>
      <c r="CB92" s="431">
        <v>0</v>
      </c>
      <c r="CC92" s="432"/>
      <c r="CD92" s="428">
        <v>41822.587813541664</v>
      </c>
      <c r="CE92" s="433">
        <v>0.30887516912936769</v>
      </c>
      <c r="CF92" s="433">
        <v>0.21465334314226731</v>
      </c>
      <c r="CG92" s="433">
        <v>0.17822376316137725</v>
      </c>
      <c r="CH92" s="433">
        <v>0.14390127909715267</v>
      </c>
      <c r="CI92" s="433">
        <v>0.11969468358927447</v>
      </c>
      <c r="CJ92" s="433">
        <v>0.27864823506139252</v>
      </c>
      <c r="CK92" s="433">
        <v>0.26007046015078716</v>
      </c>
      <c r="CL92" s="433">
        <v>0.2795059670458605</v>
      </c>
      <c r="CM92" s="433">
        <v>0.2017515561404124</v>
      </c>
      <c r="CN92" s="433">
        <v>0.20249405129474354</v>
      </c>
      <c r="CO92" s="433">
        <v>0.62654907473547627</v>
      </c>
      <c r="CP92" s="433">
        <v>0.66252610719962202</v>
      </c>
      <c r="CQ92" s="433">
        <v>0.70077118864502774</v>
      </c>
      <c r="CR92" s="433">
        <v>0.38975168317710257</v>
      </c>
      <c r="CS92" s="433">
        <v>0.39443520669059223</v>
      </c>
      <c r="CT92" s="433">
        <v>0.447221292916757</v>
      </c>
      <c r="CU92" s="433">
        <v>0.3622790598707698</v>
      </c>
      <c r="CV92" s="433">
        <v>0.47604249083347333</v>
      </c>
      <c r="CW92" s="433">
        <v>0.4759898508915783</v>
      </c>
      <c r="CX92" s="433">
        <v>0.4007797062399322</v>
      </c>
      <c r="CY92" s="433">
        <v>0.40798711211863076</v>
      </c>
      <c r="CZ92" s="433">
        <v>0.29816004259848461</v>
      </c>
      <c r="DA92" s="433">
        <v>0.25104840798869349</v>
      </c>
      <c r="DB92" s="433">
        <v>0.80602184361489149</v>
      </c>
      <c r="DC92" s="433">
        <v>0.29816004259848461</v>
      </c>
      <c r="DD92" s="433">
        <v>0.25104840798869349</v>
      </c>
      <c r="DE92" s="433">
        <v>0.34680721234892764</v>
      </c>
      <c r="DF92" s="433">
        <v>0.40997005857291635</v>
      </c>
      <c r="DG92" s="433">
        <v>0</v>
      </c>
      <c r="DH92" s="433">
        <v>0</v>
      </c>
      <c r="DI92" s="433">
        <v>0</v>
      </c>
      <c r="DJ92" s="433">
        <v>0.35031031550396724</v>
      </c>
      <c r="DK92" s="433">
        <v>0.33543004792329517</v>
      </c>
      <c r="DL92" s="433">
        <v>0.2866175308668823</v>
      </c>
      <c r="DM92" s="433">
        <v>0.40997005857291635</v>
      </c>
      <c r="DN92" s="433">
        <v>0</v>
      </c>
      <c r="DO92" s="433">
        <v>0</v>
      </c>
      <c r="DP92" s="433">
        <v>0</v>
      </c>
      <c r="DR92" s="409" t="s">
        <v>711</v>
      </c>
      <c r="DS92" s="409" t="s">
        <v>2496</v>
      </c>
    </row>
    <row r="93" spans="2:123" s="1471" customFormat="1">
      <c r="B93" s="428">
        <v>41822.664267824075</v>
      </c>
      <c r="C93" s="429">
        <v>1.4149491759725235</v>
      </c>
      <c r="D93" s="429">
        <v>1.4161355416935255</v>
      </c>
      <c r="E93" s="429">
        <v>1.4395618657105003</v>
      </c>
      <c r="F93" s="429">
        <v>1.3504493264844735</v>
      </c>
      <c r="G93" s="429">
        <v>1.3708373955353239</v>
      </c>
      <c r="H93" s="429">
        <v>1.3837657554216047</v>
      </c>
      <c r="I93" s="429">
        <v>1.4252277093134169</v>
      </c>
      <c r="J93" s="429">
        <v>1.4740008416568597</v>
      </c>
      <c r="K93" s="429">
        <v>1.3747178852883724</v>
      </c>
      <c r="L93" s="429">
        <v>1.4846421976601238</v>
      </c>
      <c r="M93" s="429">
        <v>1.2303226374060454</v>
      </c>
      <c r="N93" s="429">
        <v>1.2060101581778027</v>
      </c>
      <c r="O93" s="429">
        <v>1.0157542256986645</v>
      </c>
      <c r="P93" s="429">
        <v>1.0830862181009844</v>
      </c>
      <c r="Q93" s="429">
        <v>2974.8268928277421</v>
      </c>
      <c r="R93" s="429">
        <v>16.218100080940367</v>
      </c>
      <c r="S93" s="429">
        <v>18.532351399687659</v>
      </c>
      <c r="T93" s="429">
        <v>3207.6540481951783</v>
      </c>
      <c r="U93" s="429">
        <v>3324.8196251332029</v>
      </c>
      <c r="V93" s="429">
        <v>3356.454199884105</v>
      </c>
      <c r="W93" s="429">
        <v>841.54984900281238</v>
      </c>
      <c r="X93" s="429">
        <v>39.864664696257144</v>
      </c>
      <c r="Y93" s="429">
        <v>40.120530728363605</v>
      </c>
      <c r="Z93" s="429">
        <v>43.808623894647951</v>
      </c>
      <c r="AA93" s="429">
        <v>36.762669953984719</v>
      </c>
      <c r="AB93" s="429">
        <v>36.972014889344564</v>
      </c>
      <c r="AC93" s="429">
        <v>33.316559702772459</v>
      </c>
      <c r="AD93" s="429">
        <v>3.2916171159605354</v>
      </c>
      <c r="AE93" s="429">
        <v>0</v>
      </c>
      <c r="AF93" s="429">
        <v>0</v>
      </c>
      <c r="AG93" s="429">
        <v>0</v>
      </c>
      <c r="AH93" s="429">
        <v>3.0179466263526584</v>
      </c>
      <c r="AI93" s="429">
        <v>6.3746235568568013</v>
      </c>
      <c r="AJ93" s="429">
        <v>6.2406176433833158</v>
      </c>
      <c r="AK93" s="429">
        <v>6.9986173614221281</v>
      </c>
      <c r="AL93" s="429">
        <v>0</v>
      </c>
      <c r="AM93" s="429">
        <v>0</v>
      </c>
      <c r="AN93" s="429">
        <v>0</v>
      </c>
      <c r="AO93" s="432"/>
      <c r="AP93" s="428">
        <v>41822.664267824075</v>
      </c>
      <c r="AQ93" s="431">
        <v>93.184687302309726</v>
      </c>
      <c r="AR93" s="431">
        <v>124.48110033039301</v>
      </c>
      <c r="AS93" s="431">
        <v>76.679538016221741</v>
      </c>
      <c r="AT93" s="431">
        <v>90.232734908816923</v>
      </c>
      <c r="AU93" s="431">
        <v>14.306758618623039</v>
      </c>
      <c r="AV93" s="431">
        <v>54.266140075992936</v>
      </c>
      <c r="AW93" s="431">
        <v>-4.2372378746092263</v>
      </c>
      <c r="AX93" s="431">
        <v>11.402464594714107</v>
      </c>
      <c r="AY93" s="431">
        <v>117.25150226464184</v>
      </c>
      <c r="AZ93" s="431">
        <v>-85.941910316164837</v>
      </c>
      <c r="BA93" s="431">
        <v>3.3014667070531787</v>
      </c>
      <c r="BB93" s="431">
        <v>2.7271419997493815</v>
      </c>
      <c r="BC93" s="431">
        <v>1.9539213531530961</v>
      </c>
      <c r="BD93" s="431">
        <v>80.025462213362303</v>
      </c>
      <c r="BE93" s="431">
        <v>364092.74202705867</v>
      </c>
      <c r="BF93" s="431">
        <v>8150.728749453343</v>
      </c>
      <c r="BG93" s="431">
        <v>-1887.2547028836063</v>
      </c>
      <c r="BH93" s="431">
        <v>383264.80905998591</v>
      </c>
      <c r="BI93" s="431">
        <v>368842.6960474092</v>
      </c>
      <c r="BJ93" s="431">
        <v>-25615.360588513297</v>
      </c>
      <c r="BK93" s="431">
        <v>367898.17872512987</v>
      </c>
      <c r="BL93" s="431">
        <v>2983.2649198613867</v>
      </c>
      <c r="BM93" s="431">
        <v>-207.18156404401003</v>
      </c>
      <c r="BN93" s="431">
        <v>143.31118944294533</v>
      </c>
      <c r="BO93" s="431">
        <v>2440.8531162502254</v>
      </c>
      <c r="BP93" s="431">
        <v>-169.51218876328093</v>
      </c>
      <c r="BQ93" s="431">
        <v>1611.7264626996259</v>
      </c>
      <c r="BR93" s="431">
        <v>828.08136123378415</v>
      </c>
      <c r="BS93" s="431">
        <v>0</v>
      </c>
      <c r="BT93" s="431">
        <v>0</v>
      </c>
      <c r="BU93" s="431">
        <v>0</v>
      </c>
      <c r="BV93" s="431">
        <v>772.41682039763691</v>
      </c>
      <c r="BW93" s="431">
        <v>1269.8193356579407</v>
      </c>
      <c r="BX93" s="431">
        <v>1180.5921309165001</v>
      </c>
      <c r="BY93" s="431">
        <v>976.78410435226203</v>
      </c>
      <c r="BZ93" s="431">
        <v>0</v>
      </c>
      <c r="CA93" s="431">
        <v>0</v>
      </c>
      <c r="CB93" s="431">
        <v>0</v>
      </c>
      <c r="CC93" s="432"/>
      <c r="CD93" s="428">
        <v>41822.664267824075</v>
      </c>
      <c r="CE93" s="433">
        <v>0.30887516912936769</v>
      </c>
      <c r="CF93" s="433">
        <v>0.21465334314226731</v>
      </c>
      <c r="CG93" s="433">
        <v>0.17822376316137725</v>
      </c>
      <c r="CH93" s="433">
        <v>0.14390127909715267</v>
      </c>
      <c r="CI93" s="433">
        <v>0.11969468358927447</v>
      </c>
      <c r="CJ93" s="433">
        <v>0.27864823506139252</v>
      </c>
      <c r="CK93" s="433">
        <v>0.26007046015078716</v>
      </c>
      <c r="CL93" s="433">
        <v>0.2795059670458605</v>
      </c>
      <c r="CM93" s="433">
        <v>0.2017515561404124</v>
      </c>
      <c r="CN93" s="433">
        <v>0.20249405129474354</v>
      </c>
      <c r="CO93" s="433">
        <v>0.62654907473547627</v>
      </c>
      <c r="CP93" s="433">
        <v>0.66252610719962202</v>
      </c>
      <c r="CQ93" s="433">
        <v>0.70077118864502774</v>
      </c>
      <c r="CR93" s="433">
        <v>0.38975168317710257</v>
      </c>
      <c r="CS93" s="433">
        <v>0.39443520669059223</v>
      </c>
      <c r="CT93" s="433">
        <v>0.447221292916757</v>
      </c>
      <c r="CU93" s="433">
        <v>0.3622790598707698</v>
      </c>
      <c r="CV93" s="433">
        <v>0.47604249083347333</v>
      </c>
      <c r="CW93" s="433">
        <v>0.4759898508915783</v>
      </c>
      <c r="CX93" s="433">
        <v>0.4007797062399322</v>
      </c>
      <c r="CY93" s="433">
        <v>0.40798711211863076</v>
      </c>
      <c r="CZ93" s="433">
        <v>0.29816004259848461</v>
      </c>
      <c r="DA93" s="433">
        <v>0.25104840798869349</v>
      </c>
      <c r="DB93" s="433">
        <v>0.80602184361489149</v>
      </c>
      <c r="DC93" s="433">
        <v>0.29816004259848461</v>
      </c>
      <c r="DD93" s="433">
        <v>0.25104840798869349</v>
      </c>
      <c r="DE93" s="433">
        <v>0.34680721234892764</v>
      </c>
      <c r="DF93" s="433">
        <v>0.40997005857291635</v>
      </c>
      <c r="DG93" s="433">
        <v>0</v>
      </c>
      <c r="DH93" s="433">
        <v>0</v>
      </c>
      <c r="DI93" s="433">
        <v>0</v>
      </c>
      <c r="DJ93" s="433">
        <v>0.35031031550396724</v>
      </c>
      <c r="DK93" s="433">
        <v>0.33543004792329517</v>
      </c>
      <c r="DL93" s="433">
        <v>0.2866175308668823</v>
      </c>
      <c r="DM93" s="433">
        <v>0.40997005857291635</v>
      </c>
      <c r="DN93" s="433">
        <v>0</v>
      </c>
      <c r="DO93" s="433">
        <v>0</v>
      </c>
      <c r="DP93" s="433">
        <v>0</v>
      </c>
      <c r="DR93" s="409" t="s">
        <v>711</v>
      </c>
      <c r="DS93" s="409" t="s">
        <v>2505</v>
      </c>
    </row>
    <row r="94" spans="2:123" s="1471" customFormat="1">
      <c r="B94" s="428">
        <v>41824.615824421293</v>
      </c>
      <c r="C94" s="429">
        <v>1.4149491759725235</v>
      </c>
      <c r="D94" s="429">
        <v>1.4161355416935255</v>
      </c>
      <c r="E94" s="429">
        <v>1.4419536166323752</v>
      </c>
      <c r="F94" s="429">
        <v>1.3518562387914588</v>
      </c>
      <c r="G94" s="429">
        <v>1.3708373955353239</v>
      </c>
      <c r="H94" s="429">
        <v>1.3856334184650829</v>
      </c>
      <c r="I94" s="429">
        <v>1.4252277093134169</v>
      </c>
      <c r="J94" s="429">
        <v>1.4740008416568597</v>
      </c>
      <c r="K94" s="429">
        <v>1.3747178852883724</v>
      </c>
      <c r="L94" s="429">
        <v>1.4846421976601238</v>
      </c>
      <c r="M94" s="429">
        <v>1.2303226374060454</v>
      </c>
      <c r="N94" s="429">
        <v>1.2060101581778027</v>
      </c>
      <c r="O94" s="429">
        <v>1.0157542256986645</v>
      </c>
      <c r="P94" s="429">
        <v>1.0830862181009844</v>
      </c>
      <c r="Q94" s="429">
        <v>2974.8268928277421</v>
      </c>
      <c r="R94" s="429">
        <v>16.218100080940367</v>
      </c>
      <c r="S94" s="429">
        <v>18.532351399687659</v>
      </c>
      <c r="T94" s="429">
        <v>3207.6540481951783</v>
      </c>
      <c r="U94" s="429">
        <v>3324.8196251332029</v>
      </c>
      <c r="V94" s="429">
        <v>3356.454199884105</v>
      </c>
      <c r="W94" s="429">
        <v>841.54984900281238</v>
      </c>
      <c r="X94" s="429">
        <v>39.864664696257144</v>
      </c>
      <c r="Y94" s="429">
        <v>40.120530728363605</v>
      </c>
      <c r="Z94" s="429">
        <v>43.808623894647951</v>
      </c>
      <c r="AA94" s="429">
        <v>36.762669953984719</v>
      </c>
      <c r="AB94" s="429">
        <v>36.972014889344564</v>
      </c>
      <c r="AC94" s="429">
        <v>33.316559702772459</v>
      </c>
      <c r="AD94" s="429">
        <v>3.2916171159605354</v>
      </c>
      <c r="AE94" s="429">
        <v>0</v>
      </c>
      <c r="AF94" s="429">
        <v>0</v>
      </c>
      <c r="AG94" s="429">
        <v>0</v>
      </c>
      <c r="AH94" s="429">
        <v>3.0179466263526584</v>
      </c>
      <c r="AI94" s="429">
        <v>6.3746235568568013</v>
      </c>
      <c r="AJ94" s="429">
        <v>6.2406176433833158</v>
      </c>
      <c r="AK94" s="429">
        <v>6.9986173614221281</v>
      </c>
      <c r="AL94" s="429">
        <v>0</v>
      </c>
      <c r="AM94" s="429">
        <v>0</v>
      </c>
      <c r="AN94" s="429">
        <v>0</v>
      </c>
      <c r="AO94" s="432"/>
      <c r="AP94" s="428">
        <v>41824.615824421293</v>
      </c>
      <c r="AQ94" s="431">
        <v>93.184687302309726</v>
      </c>
      <c r="AR94" s="431">
        <v>124.48110033039301</v>
      </c>
      <c r="AS94" s="431">
        <v>76.679538016221741</v>
      </c>
      <c r="AT94" s="431">
        <v>90.232734908816923</v>
      </c>
      <c r="AU94" s="431">
        <v>14.306758618623039</v>
      </c>
      <c r="AV94" s="431">
        <v>54.266140075992936</v>
      </c>
      <c r="AW94" s="431">
        <v>-4.2372378746092263</v>
      </c>
      <c r="AX94" s="431">
        <v>11.402464594714107</v>
      </c>
      <c r="AY94" s="431">
        <v>117.25150226464184</v>
      </c>
      <c r="AZ94" s="431">
        <v>-85.941910316164837</v>
      </c>
      <c r="BA94" s="431">
        <v>3.3014667070531787</v>
      </c>
      <c r="BB94" s="431">
        <v>2.7271419997493815</v>
      </c>
      <c r="BC94" s="431">
        <v>1.9539213531530961</v>
      </c>
      <c r="BD94" s="431">
        <v>80.025462213362303</v>
      </c>
      <c r="BE94" s="431">
        <v>364092.74202705867</v>
      </c>
      <c r="BF94" s="431">
        <v>8150.728749453343</v>
      </c>
      <c r="BG94" s="431">
        <v>-1887.2547028836063</v>
      </c>
      <c r="BH94" s="431">
        <v>383264.80905998591</v>
      </c>
      <c r="BI94" s="431">
        <v>368842.6960474092</v>
      </c>
      <c r="BJ94" s="431">
        <v>-25615.360588513297</v>
      </c>
      <c r="BK94" s="431">
        <v>367898.17872512987</v>
      </c>
      <c r="BL94" s="431">
        <v>2983.2649198613867</v>
      </c>
      <c r="BM94" s="431">
        <v>-207.18156404401003</v>
      </c>
      <c r="BN94" s="431">
        <v>143.31118944294533</v>
      </c>
      <c r="BO94" s="431">
        <v>2440.8531162502254</v>
      </c>
      <c r="BP94" s="431">
        <v>-169.51218876328093</v>
      </c>
      <c r="BQ94" s="431">
        <v>1611.7264626996259</v>
      </c>
      <c r="BR94" s="431">
        <v>828.08136123378415</v>
      </c>
      <c r="BS94" s="431">
        <v>0</v>
      </c>
      <c r="BT94" s="431">
        <v>0</v>
      </c>
      <c r="BU94" s="431">
        <v>0</v>
      </c>
      <c r="BV94" s="431">
        <v>772.41682039763691</v>
      </c>
      <c r="BW94" s="431">
        <v>1269.8193356579407</v>
      </c>
      <c r="BX94" s="431">
        <v>1180.5921309165001</v>
      </c>
      <c r="BY94" s="431">
        <v>976.78410435226203</v>
      </c>
      <c r="BZ94" s="431">
        <v>0</v>
      </c>
      <c r="CA94" s="431">
        <v>0</v>
      </c>
      <c r="CB94" s="431">
        <v>0</v>
      </c>
      <c r="CC94" s="432"/>
      <c r="CD94" s="428">
        <v>41824.615824421293</v>
      </c>
      <c r="CE94" s="433">
        <v>0.30887516912936769</v>
      </c>
      <c r="CF94" s="433">
        <v>0.21465334314226731</v>
      </c>
      <c r="CG94" s="433">
        <v>0.17822376316137725</v>
      </c>
      <c r="CH94" s="433" t="e">
        <v>#REF!</v>
      </c>
      <c r="CI94" s="433">
        <v>0.11969468358927447</v>
      </c>
      <c r="CJ94" s="433">
        <v>0.27010074318834371</v>
      </c>
      <c r="CK94" s="433">
        <v>0.26007046015078716</v>
      </c>
      <c r="CL94" s="433">
        <v>0.2795059670458605</v>
      </c>
      <c r="CM94" s="433">
        <v>0.2017515561404124</v>
      </c>
      <c r="CN94" s="433">
        <v>0.20249405129474354</v>
      </c>
      <c r="CO94" s="433">
        <v>0.62654907473547627</v>
      </c>
      <c r="CP94" s="433">
        <v>0.66252610719962202</v>
      </c>
      <c r="CQ94" s="433">
        <v>0.70077118864502774</v>
      </c>
      <c r="CR94" s="433">
        <v>0.38975168317710257</v>
      </c>
      <c r="CS94" s="433">
        <v>0.39443520669059223</v>
      </c>
      <c r="CT94" s="433">
        <v>0.447221292916757</v>
      </c>
      <c r="CU94" s="433">
        <v>0.3622790598707698</v>
      </c>
      <c r="CV94" s="433">
        <v>0.47604249083347333</v>
      </c>
      <c r="CW94" s="433">
        <v>0.4759898508915783</v>
      </c>
      <c r="CX94" s="433">
        <v>0.4007797062399322</v>
      </c>
      <c r="CY94" s="433">
        <v>0.40798711211863076</v>
      </c>
      <c r="CZ94" s="433">
        <v>0.29816004259848461</v>
      </c>
      <c r="DA94" s="433">
        <v>0.25104840798869349</v>
      </c>
      <c r="DB94" s="433">
        <v>0.80602184361489149</v>
      </c>
      <c r="DC94" s="433">
        <v>0.29816004259848461</v>
      </c>
      <c r="DD94" s="433">
        <v>0.25104840798869349</v>
      </c>
      <c r="DE94" s="433">
        <v>0.34680721234892764</v>
      </c>
      <c r="DF94" s="433">
        <v>0.40997005857291635</v>
      </c>
      <c r="DG94" s="433">
        <v>0</v>
      </c>
      <c r="DH94" s="433">
        <v>0</v>
      </c>
      <c r="DI94" s="433">
        <v>0</v>
      </c>
      <c r="DJ94" s="433">
        <v>0.35031031550396724</v>
      </c>
      <c r="DK94" s="433">
        <v>0.33543004792329517</v>
      </c>
      <c r="DL94" s="433">
        <v>0.2866175308668823</v>
      </c>
      <c r="DM94" s="433">
        <v>0.40997005857291635</v>
      </c>
      <c r="DN94" s="433">
        <v>0</v>
      </c>
      <c r="DO94" s="433">
        <v>0</v>
      </c>
      <c r="DP94" s="433">
        <v>0</v>
      </c>
      <c r="DR94" s="409" t="s">
        <v>711</v>
      </c>
      <c r="DS94" s="409" t="s">
        <v>2523</v>
      </c>
    </row>
    <row r="95" spans="2:123" s="1471" customFormat="1">
      <c r="B95" s="428">
        <v>41824.683920138887</v>
      </c>
      <c r="C95" s="429">
        <v>1.4149491759725235</v>
      </c>
      <c r="D95" s="429">
        <v>1.4161355416935255</v>
      </c>
      <c r="E95" s="429">
        <v>1.4451419902890277</v>
      </c>
      <c r="F95" s="429">
        <v>1.3543763444691121</v>
      </c>
      <c r="G95" s="429">
        <v>1.3906853428603041</v>
      </c>
      <c r="H95" s="429">
        <v>1.3856334184650829</v>
      </c>
      <c r="I95" s="429">
        <v>1.4414663760145319</v>
      </c>
      <c r="J95" s="429">
        <v>1.4950218009784793</v>
      </c>
      <c r="K95" s="429">
        <v>1.3747178852883724</v>
      </c>
      <c r="L95" s="429">
        <v>1.4846421976601238</v>
      </c>
      <c r="M95" s="429">
        <v>1.2330570910534522</v>
      </c>
      <c r="N95" s="429">
        <v>1.2060101581778027</v>
      </c>
      <c r="O95" s="429">
        <v>1.0157542256986645</v>
      </c>
      <c r="P95" s="429">
        <v>1.0830862181009844</v>
      </c>
      <c r="Q95" s="429">
        <v>2974.8268928277421</v>
      </c>
      <c r="R95" s="429">
        <v>16.218100080940367</v>
      </c>
      <c r="S95" s="429">
        <v>20.818709949128536</v>
      </c>
      <c r="T95" s="429">
        <v>3207.6540481951783</v>
      </c>
      <c r="U95" s="429">
        <v>3324.8196251332029</v>
      </c>
      <c r="V95" s="429">
        <v>3417.503855370815</v>
      </c>
      <c r="W95" s="429">
        <v>841.54984900281238</v>
      </c>
      <c r="X95" s="429">
        <v>39.864664696257144</v>
      </c>
      <c r="Y95" s="429">
        <v>40.614311132679148</v>
      </c>
      <c r="Z95" s="429">
        <v>43.808623894647951</v>
      </c>
      <c r="AA95" s="429">
        <v>36.762669953984719</v>
      </c>
      <c r="AB95" s="429">
        <v>37.376017038330005</v>
      </c>
      <c r="AC95" s="429">
        <v>33.316559702772459</v>
      </c>
      <c r="AD95" s="429">
        <v>3.2916171159605354</v>
      </c>
      <c r="AE95" s="429">
        <v>0</v>
      </c>
      <c r="AF95" s="429">
        <v>0</v>
      </c>
      <c r="AG95" s="429">
        <v>0</v>
      </c>
      <c r="AH95" s="429">
        <v>3.0179466263526584</v>
      </c>
      <c r="AI95" s="429">
        <v>6.3746235568568013</v>
      </c>
      <c r="AJ95" s="429">
        <v>6.2406176433833158</v>
      </c>
      <c r="AK95" s="429">
        <v>6.9986173614221281</v>
      </c>
      <c r="AL95" s="429">
        <v>0</v>
      </c>
      <c r="AM95" s="429">
        <v>0</v>
      </c>
      <c r="AN95" s="429">
        <v>0</v>
      </c>
      <c r="AO95" s="432"/>
      <c r="AP95" s="428">
        <v>41824.683920138887</v>
      </c>
      <c r="AQ95" s="431">
        <v>93.184687302309726</v>
      </c>
      <c r="AR95" s="431">
        <v>124.48110033039301</v>
      </c>
      <c r="AS95" s="431">
        <v>76.679538016221741</v>
      </c>
      <c r="AT95" s="431">
        <v>90.232734908816923</v>
      </c>
      <c r="AU95" s="431">
        <v>14.306758618623039</v>
      </c>
      <c r="AV95" s="431">
        <v>54.266140075992936</v>
      </c>
      <c r="AW95" s="431">
        <v>-4.2372378746092263</v>
      </c>
      <c r="AX95" s="431">
        <v>11.402464594714107</v>
      </c>
      <c r="AY95" s="431">
        <v>117.25150226464184</v>
      </c>
      <c r="AZ95" s="431">
        <v>-85.941910316164837</v>
      </c>
      <c r="BA95" s="431">
        <v>3.3014667070531787</v>
      </c>
      <c r="BB95" s="431">
        <v>2.7271419997493815</v>
      </c>
      <c r="BC95" s="431">
        <v>1.9539213531530961</v>
      </c>
      <c r="BD95" s="431">
        <v>80.025462213362303</v>
      </c>
      <c r="BE95" s="431">
        <v>364092.74202705867</v>
      </c>
      <c r="BF95" s="431">
        <v>8150.728749453343</v>
      </c>
      <c r="BG95" s="431">
        <v>-2126.7266154360286</v>
      </c>
      <c r="BH95" s="431">
        <v>383264.80905998591</v>
      </c>
      <c r="BI95" s="431">
        <v>368842.6960474092</v>
      </c>
      <c r="BJ95" s="431">
        <v>-25615.360588513297</v>
      </c>
      <c r="BK95" s="431">
        <v>367898.17872512987</v>
      </c>
      <c r="BL95" s="431">
        <v>2983.2649198613867</v>
      </c>
      <c r="BM95" s="431">
        <v>-207.18156404401003</v>
      </c>
      <c r="BN95" s="431">
        <v>143.31118944294533</v>
      </c>
      <c r="BO95" s="431">
        <v>2440.8531162502254</v>
      </c>
      <c r="BP95" s="431">
        <v>-169.51218876328093</v>
      </c>
      <c r="BQ95" s="431">
        <v>1611.7264626996259</v>
      </c>
      <c r="BR95" s="431">
        <v>828.08136123378415</v>
      </c>
      <c r="BS95" s="431">
        <v>0</v>
      </c>
      <c r="BT95" s="431">
        <v>0</v>
      </c>
      <c r="BU95" s="431">
        <v>0</v>
      </c>
      <c r="BV95" s="431">
        <v>772.41682039763691</v>
      </c>
      <c r="BW95" s="431">
        <v>1269.8193356579407</v>
      </c>
      <c r="BX95" s="431">
        <v>1180.5921309165001</v>
      </c>
      <c r="BY95" s="431">
        <v>976.78410435226203</v>
      </c>
      <c r="BZ95" s="431">
        <v>0</v>
      </c>
      <c r="CA95" s="431">
        <v>0</v>
      </c>
      <c r="CB95" s="431">
        <v>0</v>
      </c>
      <c r="CC95" s="432"/>
      <c r="CD95" s="428">
        <v>41824.683920138887</v>
      </c>
      <c r="CE95" s="433">
        <v>0.30887516912936769</v>
      </c>
      <c r="CF95" s="433">
        <v>0.21465334314226731</v>
      </c>
      <c r="CG95" s="433">
        <v>0.17822376316137725</v>
      </c>
      <c r="CH95" s="433" t="e">
        <v>#REF!</v>
      </c>
      <c r="CI95" s="433">
        <v>0.11969468358927447</v>
      </c>
      <c r="CJ95" s="433">
        <v>0.27010074318834371</v>
      </c>
      <c r="CK95" s="433">
        <v>0.26007046015078716</v>
      </c>
      <c r="CL95" s="433">
        <v>0.2795059670458605</v>
      </c>
      <c r="CM95" s="433">
        <v>0.2017515561404124</v>
      </c>
      <c r="CN95" s="433">
        <v>0.20249405129474354</v>
      </c>
      <c r="CO95" s="433">
        <v>0.62654907473547627</v>
      </c>
      <c r="CP95" s="433">
        <v>0.66252610719962202</v>
      </c>
      <c r="CQ95" s="433">
        <v>0.70077118864502774</v>
      </c>
      <c r="CR95" s="433">
        <v>0.38975168317710257</v>
      </c>
      <c r="CS95" s="433">
        <v>0.39443520669059223</v>
      </c>
      <c r="CT95" s="433">
        <v>0.447221292916757</v>
      </c>
      <c r="CU95" s="433">
        <v>0.3622790598707698</v>
      </c>
      <c r="CV95" s="433">
        <v>0.47604249083347333</v>
      </c>
      <c r="CW95" s="433">
        <v>0.4759898508915783</v>
      </c>
      <c r="CX95" s="433">
        <v>0.4007797062399322</v>
      </c>
      <c r="CY95" s="433">
        <v>0.40798711211863076</v>
      </c>
      <c r="CZ95" s="433">
        <v>0.29816004259848461</v>
      </c>
      <c r="DA95" s="433">
        <v>0.25104840798869349</v>
      </c>
      <c r="DB95" s="433">
        <v>0.80602184361489149</v>
      </c>
      <c r="DC95" s="433">
        <v>0.29816004259848461</v>
      </c>
      <c r="DD95" s="433">
        <v>0.25104840798869349</v>
      </c>
      <c r="DE95" s="433">
        <v>0.34680721234892764</v>
      </c>
      <c r="DF95" s="433">
        <v>0.40997005857291635</v>
      </c>
      <c r="DG95" s="433">
        <v>0</v>
      </c>
      <c r="DH95" s="433">
        <v>0</v>
      </c>
      <c r="DI95" s="433">
        <v>0</v>
      </c>
      <c r="DJ95" s="433">
        <v>0.35031031550396724</v>
      </c>
      <c r="DK95" s="433">
        <v>0.33543004792329517</v>
      </c>
      <c r="DL95" s="433">
        <v>0.2866175308668823</v>
      </c>
      <c r="DM95" s="433">
        <v>0.40997005857291635</v>
      </c>
      <c r="DN95" s="433">
        <v>0</v>
      </c>
      <c r="DO95" s="433">
        <v>0</v>
      </c>
      <c r="DP95" s="433">
        <v>0</v>
      </c>
      <c r="DR95" s="409" t="s">
        <v>711</v>
      </c>
      <c r="DS95" s="409" t="s">
        <v>2525</v>
      </c>
    </row>
    <row r="96" spans="2:123" s="1471" customFormat="1">
      <c r="B96" s="428">
        <v>41824.685376851849</v>
      </c>
      <c r="C96" s="429">
        <v>1.4149491759725235</v>
      </c>
      <c r="D96" s="429">
        <v>1.4161355416935255</v>
      </c>
      <c r="E96" s="429">
        <v>1.4452192600742291</v>
      </c>
      <c r="F96" s="429">
        <v>1.3544374188742374</v>
      </c>
      <c r="G96" s="429">
        <v>1.3911663550601412</v>
      </c>
      <c r="H96" s="429">
        <v>1.3856334184650829</v>
      </c>
      <c r="I96" s="429">
        <v>1.4418599178082716</v>
      </c>
      <c r="J96" s="429">
        <v>1.4955312409583632</v>
      </c>
      <c r="K96" s="429">
        <v>1.3747178852883724</v>
      </c>
      <c r="L96" s="429">
        <v>1.4846421976601238</v>
      </c>
      <c r="M96" s="429">
        <v>1.2331233601513469</v>
      </c>
      <c r="N96" s="429">
        <v>1.2060101581778027</v>
      </c>
      <c r="O96" s="429">
        <v>1.0157542256986645</v>
      </c>
      <c r="P96" s="429">
        <v>1.0830862181009844</v>
      </c>
      <c r="Q96" s="429">
        <v>2974.8268928277421</v>
      </c>
      <c r="R96" s="429">
        <v>16.218100080940367</v>
      </c>
      <c r="S96" s="429">
        <v>20.874119525619033</v>
      </c>
      <c r="T96" s="429">
        <v>3207.6540481951783</v>
      </c>
      <c r="U96" s="429">
        <v>3324.8196251332029</v>
      </c>
      <c r="V96" s="429">
        <v>3418.983385148083</v>
      </c>
      <c r="W96" s="429">
        <v>841.54984900281238</v>
      </c>
      <c r="X96" s="429">
        <v>39.864664696257144</v>
      </c>
      <c r="Y96" s="429">
        <v>40.626277831029725</v>
      </c>
      <c r="Z96" s="429">
        <v>43.808623894647951</v>
      </c>
      <c r="AA96" s="429">
        <v>36.762669953984719</v>
      </c>
      <c r="AB96" s="429">
        <v>37.385807973344114</v>
      </c>
      <c r="AC96" s="429">
        <v>33.316559702772459</v>
      </c>
      <c r="AD96" s="429">
        <v>3.2916171159605354</v>
      </c>
      <c r="AE96" s="429">
        <v>0</v>
      </c>
      <c r="AF96" s="429">
        <v>0</v>
      </c>
      <c r="AG96" s="429">
        <v>0</v>
      </c>
      <c r="AH96" s="429">
        <v>3.0179466263526584</v>
      </c>
      <c r="AI96" s="429">
        <v>6.3746235568568013</v>
      </c>
      <c r="AJ96" s="429">
        <v>6.2406176433833158</v>
      </c>
      <c r="AK96" s="429">
        <v>6.9986173614221281</v>
      </c>
      <c r="AL96" s="429">
        <v>0</v>
      </c>
      <c r="AM96" s="429">
        <v>0</v>
      </c>
      <c r="AN96" s="429">
        <v>0</v>
      </c>
      <c r="AO96" s="432"/>
      <c r="AP96" s="428">
        <v>41824.685376851849</v>
      </c>
      <c r="AQ96" s="431">
        <v>93.184687302309726</v>
      </c>
      <c r="AR96" s="431">
        <v>124.48110033039301</v>
      </c>
      <c r="AS96" s="431">
        <v>76.679538016221741</v>
      </c>
      <c r="AT96" s="431">
        <v>90.232734908816923</v>
      </c>
      <c r="AU96" s="431">
        <v>14.306758618623039</v>
      </c>
      <c r="AV96" s="431">
        <v>54.266140075992936</v>
      </c>
      <c r="AW96" s="431">
        <v>-4.2372378746092263</v>
      </c>
      <c r="AX96" s="431">
        <v>11.402464594714107</v>
      </c>
      <c r="AY96" s="431">
        <v>117.25150226464184</v>
      </c>
      <c r="AZ96" s="431">
        <v>-85.941910316164837</v>
      </c>
      <c r="BA96" s="431">
        <v>3.3014667070531787</v>
      </c>
      <c r="BB96" s="431">
        <v>2.7271419997493815</v>
      </c>
      <c r="BC96" s="431">
        <v>1.9539213531530961</v>
      </c>
      <c r="BD96" s="431">
        <v>80.025462213362303</v>
      </c>
      <c r="BE96" s="431">
        <v>364092.74202705867</v>
      </c>
      <c r="BF96" s="431">
        <v>8150.728749453343</v>
      </c>
      <c r="BG96" s="431">
        <v>-2132.5301834105894</v>
      </c>
      <c r="BH96" s="431">
        <v>383264.80905998591</v>
      </c>
      <c r="BI96" s="431">
        <v>368842.6960474092</v>
      </c>
      <c r="BJ96" s="431">
        <v>-25615.360588513297</v>
      </c>
      <c r="BK96" s="431">
        <v>367898.17872512987</v>
      </c>
      <c r="BL96" s="431">
        <v>2983.2649198613867</v>
      </c>
      <c r="BM96" s="431">
        <v>-207.18156404401003</v>
      </c>
      <c r="BN96" s="431">
        <v>143.31118944294533</v>
      </c>
      <c r="BO96" s="431">
        <v>2440.8531162502254</v>
      </c>
      <c r="BP96" s="431">
        <v>-169.51218876328093</v>
      </c>
      <c r="BQ96" s="431">
        <v>1611.7264626996259</v>
      </c>
      <c r="BR96" s="431">
        <v>828.08136123378415</v>
      </c>
      <c r="BS96" s="431">
        <v>0</v>
      </c>
      <c r="BT96" s="431">
        <v>0</v>
      </c>
      <c r="BU96" s="431">
        <v>0</v>
      </c>
      <c r="BV96" s="431">
        <v>772.41682039763691</v>
      </c>
      <c r="BW96" s="431">
        <v>1269.8193356579407</v>
      </c>
      <c r="BX96" s="431">
        <v>1180.5921309165001</v>
      </c>
      <c r="BY96" s="431">
        <v>976.78410435226203</v>
      </c>
      <c r="BZ96" s="431">
        <v>0</v>
      </c>
      <c r="CA96" s="431">
        <v>0</v>
      </c>
      <c r="CB96" s="431">
        <v>0</v>
      </c>
      <c r="CC96" s="432"/>
      <c r="CD96" s="428">
        <v>41824.685376851849</v>
      </c>
      <c r="CE96" s="433">
        <v>0.30887516912936769</v>
      </c>
      <c r="CF96" s="433">
        <v>0.21465334314226731</v>
      </c>
      <c r="CG96" s="433">
        <v>0.17822376316137725</v>
      </c>
      <c r="CH96" s="433" t="e">
        <v>#REF!</v>
      </c>
      <c r="CI96" s="433">
        <v>0.11969468358927447</v>
      </c>
      <c r="CJ96" s="433">
        <v>0.27010074318834371</v>
      </c>
      <c r="CK96" s="433">
        <v>0.26007046015078716</v>
      </c>
      <c r="CL96" s="433">
        <v>0.2795059670458605</v>
      </c>
      <c r="CM96" s="433">
        <v>0.2017515561404124</v>
      </c>
      <c r="CN96" s="433">
        <v>0.20249405129474354</v>
      </c>
      <c r="CO96" s="433">
        <v>0.62654907473547627</v>
      </c>
      <c r="CP96" s="433">
        <v>0.66252610719962202</v>
      </c>
      <c r="CQ96" s="433">
        <v>0.70077118864502774</v>
      </c>
      <c r="CR96" s="433">
        <v>0.38975168317710257</v>
      </c>
      <c r="CS96" s="433">
        <v>0.39443520669059223</v>
      </c>
      <c r="CT96" s="433">
        <v>0.447221292916757</v>
      </c>
      <c r="CU96" s="433">
        <v>0.3622790598707698</v>
      </c>
      <c r="CV96" s="433">
        <v>0.47604249083347333</v>
      </c>
      <c r="CW96" s="433">
        <v>0.4759898508915783</v>
      </c>
      <c r="CX96" s="433">
        <v>0.4007797062399322</v>
      </c>
      <c r="CY96" s="433">
        <v>0.40798711211863076</v>
      </c>
      <c r="CZ96" s="433">
        <v>0.29816004259848461</v>
      </c>
      <c r="DA96" s="433">
        <v>0.25104840798869349</v>
      </c>
      <c r="DB96" s="433">
        <v>0.80602184361489149</v>
      </c>
      <c r="DC96" s="433">
        <v>0.29816004259848461</v>
      </c>
      <c r="DD96" s="433">
        <v>0.25104840798869349</v>
      </c>
      <c r="DE96" s="433">
        <v>0.34680721234892764</v>
      </c>
      <c r="DF96" s="433">
        <v>0.40997005857291635</v>
      </c>
      <c r="DG96" s="433">
        <v>0</v>
      </c>
      <c r="DH96" s="433">
        <v>0</v>
      </c>
      <c r="DI96" s="433">
        <v>0</v>
      </c>
      <c r="DJ96" s="433">
        <v>0.35031031550396724</v>
      </c>
      <c r="DK96" s="433">
        <v>0.33543004792329517</v>
      </c>
      <c r="DL96" s="433">
        <v>0.2866175308668823</v>
      </c>
      <c r="DM96" s="433">
        <v>0.40997005857291635</v>
      </c>
      <c r="DN96" s="433">
        <v>0</v>
      </c>
      <c r="DO96" s="433">
        <v>0</v>
      </c>
      <c r="DP96" s="433">
        <v>0</v>
      </c>
      <c r="DR96" s="409" t="s">
        <v>711</v>
      </c>
      <c r="DS96" s="409" t="s">
        <v>2526</v>
      </c>
    </row>
    <row r="97" spans="2:123" s="1471" customFormat="1">
      <c r="B97" s="428">
        <v>41824.690287152778</v>
      </c>
      <c r="C97" s="429">
        <v>1.4149491759725235</v>
      </c>
      <c r="D97" s="429">
        <v>1.4161355416935255</v>
      </c>
      <c r="E97" s="429">
        <v>1.4452192600742291</v>
      </c>
      <c r="F97" s="429">
        <v>1.3544374188742374</v>
      </c>
      <c r="G97" s="429">
        <v>1.3911663550601412</v>
      </c>
      <c r="H97" s="429">
        <v>1.3856334184650829</v>
      </c>
      <c r="I97" s="429">
        <v>1.4438600847204721</v>
      </c>
      <c r="J97" s="429">
        <v>1.4955312409583632</v>
      </c>
      <c r="K97" s="429">
        <v>1.3747178852883724</v>
      </c>
      <c r="L97" s="429">
        <v>1.4846421976601238</v>
      </c>
      <c r="M97" s="429">
        <v>1.2331233601513469</v>
      </c>
      <c r="N97" s="429">
        <v>1.2060101581778027</v>
      </c>
      <c r="O97" s="429">
        <v>1.0157542256986645</v>
      </c>
      <c r="P97" s="429">
        <v>1.0830862181009844</v>
      </c>
      <c r="Q97" s="429">
        <v>2974.8268928277421</v>
      </c>
      <c r="R97" s="429">
        <v>16.218100080940367</v>
      </c>
      <c r="S97" s="429">
        <v>20.948063338565898</v>
      </c>
      <c r="T97" s="429">
        <v>3207.6540481951783</v>
      </c>
      <c r="U97" s="429">
        <v>3324.8196251332029</v>
      </c>
      <c r="V97" s="429">
        <v>3426.5030604486037</v>
      </c>
      <c r="W97" s="429">
        <v>841.54984900281238</v>
      </c>
      <c r="X97" s="429">
        <v>39.864664696257144</v>
      </c>
      <c r="Y97" s="429">
        <v>40.687098293989116</v>
      </c>
      <c r="Z97" s="429">
        <v>43.808623894647951</v>
      </c>
      <c r="AA97" s="429">
        <v>36.762669953984719</v>
      </c>
      <c r="AB97" s="429">
        <v>37.435570170310882</v>
      </c>
      <c r="AC97" s="429">
        <v>33.316559702772459</v>
      </c>
      <c r="AD97" s="429">
        <v>3.2916171159605354</v>
      </c>
      <c r="AE97" s="429">
        <v>0</v>
      </c>
      <c r="AF97" s="429">
        <v>0</v>
      </c>
      <c r="AG97" s="429">
        <v>0</v>
      </c>
      <c r="AH97" s="429">
        <v>3.0179466263526584</v>
      </c>
      <c r="AI97" s="429">
        <v>6.3746235568568013</v>
      </c>
      <c r="AJ97" s="429">
        <v>6.2406176433833158</v>
      </c>
      <c r="AK97" s="429">
        <v>6.9986173614221281</v>
      </c>
      <c r="AL97" s="429">
        <v>0</v>
      </c>
      <c r="AM97" s="429">
        <v>0</v>
      </c>
      <c r="AN97" s="429">
        <v>0</v>
      </c>
      <c r="AO97" s="432"/>
      <c r="AP97" s="428">
        <v>41824.690287152778</v>
      </c>
      <c r="AQ97" s="431">
        <v>93.184687302309726</v>
      </c>
      <c r="AR97" s="431">
        <v>124.48110033039301</v>
      </c>
      <c r="AS97" s="431">
        <v>76.679538016221741</v>
      </c>
      <c r="AT97" s="431">
        <v>90.232734908816923</v>
      </c>
      <c r="AU97" s="431">
        <v>14.306758618623039</v>
      </c>
      <c r="AV97" s="431">
        <v>54.266140075992936</v>
      </c>
      <c r="AW97" s="431">
        <v>-4.2372378746092263</v>
      </c>
      <c r="AX97" s="431">
        <v>11.402464594714107</v>
      </c>
      <c r="AY97" s="431">
        <v>117.25150226464184</v>
      </c>
      <c r="AZ97" s="431">
        <v>-85.941910316164837</v>
      </c>
      <c r="BA97" s="431">
        <v>3.3014667070531787</v>
      </c>
      <c r="BB97" s="431">
        <v>2.7271419997493815</v>
      </c>
      <c r="BC97" s="431">
        <v>1.9539213531530961</v>
      </c>
      <c r="BD97" s="431">
        <v>80.025462213362303</v>
      </c>
      <c r="BE97" s="431">
        <v>364092.74202705867</v>
      </c>
      <c r="BF97" s="431">
        <v>8150.728749453343</v>
      </c>
      <c r="BG97" s="431">
        <v>-2140.2750169198112</v>
      </c>
      <c r="BH97" s="431">
        <v>383264.80905998591</v>
      </c>
      <c r="BI97" s="431">
        <v>368842.6960474092</v>
      </c>
      <c r="BJ97" s="431">
        <v>-25615.360588513297</v>
      </c>
      <c r="BK97" s="431">
        <v>367898.17872512987</v>
      </c>
      <c r="BL97" s="431">
        <v>2983.2649198613867</v>
      </c>
      <c r="BM97" s="431">
        <v>-207.18156404401003</v>
      </c>
      <c r="BN97" s="431">
        <v>143.31118944294533</v>
      </c>
      <c r="BO97" s="431">
        <v>2440.8531162502254</v>
      </c>
      <c r="BP97" s="431">
        <v>-169.51218876328093</v>
      </c>
      <c r="BQ97" s="431">
        <v>1611.7264626996259</v>
      </c>
      <c r="BR97" s="431">
        <v>828.08136123378415</v>
      </c>
      <c r="BS97" s="431">
        <v>0</v>
      </c>
      <c r="BT97" s="431">
        <v>0</v>
      </c>
      <c r="BU97" s="431">
        <v>0</v>
      </c>
      <c r="BV97" s="431">
        <v>772.41682039763691</v>
      </c>
      <c r="BW97" s="431">
        <v>1269.8193356579407</v>
      </c>
      <c r="BX97" s="431">
        <v>1180.5921309165001</v>
      </c>
      <c r="BY97" s="431">
        <v>976.78410435226203</v>
      </c>
      <c r="BZ97" s="431">
        <v>0</v>
      </c>
      <c r="CA97" s="431">
        <v>0</v>
      </c>
      <c r="CB97" s="431">
        <v>0</v>
      </c>
      <c r="CC97" s="432"/>
      <c r="CD97" s="428">
        <v>41824.690287152778</v>
      </c>
      <c r="CE97" s="433">
        <v>0.30887516912936769</v>
      </c>
      <c r="CF97" s="433">
        <v>0.21465334314226731</v>
      </c>
      <c r="CG97" s="433">
        <v>0.17822376316137725</v>
      </c>
      <c r="CH97" s="433" t="e">
        <v>#REF!</v>
      </c>
      <c r="CI97" s="433">
        <v>0.11969468358927447</v>
      </c>
      <c r="CJ97" s="433">
        <v>0.27010074318834371</v>
      </c>
      <c r="CK97" s="433">
        <v>0.26007046015078716</v>
      </c>
      <c r="CL97" s="433">
        <v>0.2795059670458605</v>
      </c>
      <c r="CM97" s="433">
        <v>0.2017515561404124</v>
      </c>
      <c r="CN97" s="433">
        <v>0.20249405129474354</v>
      </c>
      <c r="CO97" s="433">
        <v>0.62654907473547627</v>
      </c>
      <c r="CP97" s="433">
        <v>0.66252610719962202</v>
      </c>
      <c r="CQ97" s="433">
        <v>0.70077118864502774</v>
      </c>
      <c r="CR97" s="433">
        <v>0.38975168317710257</v>
      </c>
      <c r="CS97" s="433">
        <v>0.39443520669059223</v>
      </c>
      <c r="CT97" s="433">
        <v>0.447221292916757</v>
      </c>
      <c r="CU97" s="433">
        <v>0.3622790598707698</v>
      </c>
      <c r="CV97" s="433">
        <v>0.47604249083347333</v>
      </c>
      <c r="CW97" s="433">
        <v>0.4759898508915783</v>
      </c>
      <c r="CX97" s="433">
        <v>0.4007797062399322</v>
      </c>
      <c r="CY97" s="433">
        <v>0.40798711211863076</v>
      </c>
      <c r="CZ97" s="433">
        <v>0.29816004259848461</v>
      </c>
      <c r="DA97" s="433">
        <v>0.25104840798869349</v>
      </c>
      <c r="DB97" s="433">
        <v>0.80602184361489149</v>
      </c>
      <c r="DC97" s="433">
        <v>0.29816004259848461</v>
      </c>
      <c r="DD97" s="433">
        <v>0.25104840798869349</v>
      </c>
      <c r="DE97" s="433">
        <v>0.34680721234892764</v>
      </c>
      <c r="DF97" s="433">
        <v>0.40997005857291635</v>
      </c>
      <c r="DG97" s="433">
        <v>0</v>
      </c>
      <c r="DH97" s="433">
        <v>0</v>
      </c>
      <c r="DI97" s="433">
        <v>0</v>
      </c>
      <c r="DJ97" s="433">
        <v>0.35031031550396724</v>
      </c>
      <c r="DK97" s="433">
        <v>0.33543004792329517</v>
      </c>
      <c r="DL97" s="433">
        <v>0.2866175308668823</v>
      </c>
      <c r="DM97" s="433">
        <v>0.40997005857291635</v>
      </c>
      <c r="DN97" s="433">
        <v>0</v>
      </c>
      <c r="DO97" s="433">
        <v>0</v>
      </c>
      <c r="DP97" s="433">
        <v>0</v>
      </c>
      <c r="DR97" s="409" t="s">
        <v>711</v>
      </c>
      <c r="DS97" s="409" t="s">
        <v>2528</v>
      </c>
    </row>
    <row r="98" spans="2:123" s="1471" customFormat="1">
      <c r="B98" s="428">
        <v>41842.401779398147</v>
      </c>
      <c r="C98" s="429">
        <v>1.414949487502134</v>
      </c>
      <c r="D98" s="429">
        <v>1.4161380298605366</v>
      </c>
      <c r="E98" s="429">
        <v>1.4386625739975909</v>
      </c>
      <c r="F98" s="429">
        <v>1.3418664521964312</v>
      </c>
      <c r="G98" s="429">
        <v>1.3911663550601412</v>
      </c>
      <c r="H98" s="429">
        <v>1.3920992185054146</v>
      </c>
      <c r="I98" s="429">
        <v>1.4438864894641779</v>
      </c>
      <c r="J98" s="429">
        <v>1.4955312409583632</v>
      </c>
      <c r="K98" s="429">
        <v>1.3747153460073445</v>
      </c>
      <c r="L98" s="429">
        <v>1.4846320705425418</v>
      </c>
      <c r="M98" s="429">
        <v>1.2331237731132718</v>
      </c>
      <c r="N98" s="429">
        <v>1.2059858094480365</v>
      </c>
      <c r="O98" s="429">
        <v>1.0157321933473069</v>
      </c>
      <c r="P98" s="429">
        <v>1.1749546577261258</v>
      </c>
      <c r="Q98" s="429">
        <v>2974.9150857247432</v>
      </c>
      <c r="R98" s="429">
        <v>16.226901206771686</v>
      </c>
      <c r="S98" s="429">
        <v>20.94858054510658</v>
      </c>
      <c r="T98" s="429">
        <v>3207.7468850741598</v>
      </c>
      <c r="U98" s="429">
        <v>3324.8197773074207</v>
      </c>
      <c r="V98" s="429">
        <v>3426.6099723564644</v>
      </c>
      <c r="W98" s="429">
        <v>841.5498585216983</v>
      </c>
      <c r="X98" s="429">
        <v>39.864665927069112</v>
      </c>
      <c r="Y98" s="429">
        <v>40.687963016396949</v>
      </c>
      <c r="Z98" s="429">
        <v>43.807007922503423</v>
      </c>
      <c r="AA98" s="429">
        <v>36.762670961012702</v>
      </c>
      <c r="AB98" s="429">
        <v>37.436277670462736</v>
      </c>
      <c r="AC98" s="429">
        <v>33.316567325653345</v>
      </c>
      <c r="AD98" s="429">
        <v>3.2916174534734655</v>
      </c>
      <c r="AE98" s="429">
        <v>3.0965620652413248</v>
      </c>
      <c r="AF98" s="429">
        <v>3.0179355734431317</v>
      </c>
      <c r="AG98" s="429">
        <v>0</v>
      </c>
      <c r="AH98" s="429">
        <v>6.3746240736280404</v>
      </c>
      <c r="AI98" s="429">
        <v>6.0759717678536838</v>
      </c>
      <c r="AJ98" s="429">
        <v>6.2406007201534903</v>
      </c>
      <c r="AK98" s="429">
        <v>6.9986177589384662</v>
      </c>
      <c r="AL98" s="429">
        <v>0</v>
      </c>
      <c r="AM98" s="429">
        <v>0</v>
      </c>
      <c r="AN98" s="429">
        <v>0</v>
      </c>
      <c r="AO98" s="432"/>
      <c r="AP98" s="428">
        <v>41842.401779398147</v>
      </c>
      <c r="AQ98" s="431">
        <v>93.172247324211824</v>
      </c>
      <c r="AR98" s="431">
        <v>124.45777257919785</v>
      </c>
      <c r="AS98" s="431">
        <v>49.73790599282222</v>
      </c>
      <c r="AT98" s="431">
        <v>38.576496243151404</v>
      </c>
      <c r="AU98" s="431">
        <v>14.306758618623039</v>
      </c>
      <c r="AV98" s="431">
        <v>38.9147355790018</v>
      </c>
      <c r="AW98" s="431">
        <v>-4.1447431050655963</v>
      </c>
      <c r="AX98" s="431">
        <v>11.402464594714107</v>
      </c>
      <c r="AY98" s="431">
        <v>117.21242917456914</v>
      </c>
      <c r="AZ98" s="431">
        <v>-86.097740952110485</v>
      </c>
      <c r="BA98" s="431">
        <v>2.9991315317028273</v>
      </c>
      <c r="BB98" s="431">
        <v>2.2357748924139291</v>
      </c>
      <c r="BC98" s="431">
        <v>1.6018704942876465</v>
      </c>
      <c r="BD98" s="431">
        <v>79.860069425381681</v>
      </c>
      <c r="BE98" s="431">
        <v>363987.00342173217</v>
      </c>
      <c r="BF98" s="431">
        <v>8150.6637526788891</v>
      </c>
      <c r="BG98" s="431">
        <v>-2138.463262928934</v>
      </c>
      <c r="BH98" s="431">
        <v>383153.50256660447</v>
      </c>
      <c r="BI98" s="431">
        <v>368792.32699982385</v>
      </c>
      <c r="BJ98" s="431">
        <v>-25240.852417206785</v>
      </c>
      <c r="BK98" s="431">
        <v>367895.0280125945</v>
      </c>
      <c r="BL98" s="431">
        <v>2982.8575261016122</v>
      </c>
      <c r="BM98" s="431">
        <v>-204.15247575886053</v>
      </c>
      <c r="BN98" s="431">
        <v>117.48987005002249</v>
      </c>
      <c r="BO98" s="431">
        <v>2440.5197940831367</v>
      </c>
      <c r="BP98" s="431">
        <v>-167.03384380270407</v>
      </c>
      <c r="BQ98" s="431">
        <v>1611.1783775878455</v>
      </c>
      <c r="BR98" s="431">
        <v>827.96964582598207</v>
      </c>
      <c r="BS98" s="431">
        <v>340.71798000772895</v>
      </c>
      <c r="BT98" s="431">
        <v>772.16301502069496</v>
      </c>
      <c r="BU98" s="431">
        <v>0</v>
      </c>
      <c r="BV98" s="431">
        <v>1269.6482864783561</v>
      </c>
      <c r="BW98" s="431">
        <v>523.60976476455482</v>
      </c>
      <c r="BX98" s="431">
        <v>1180.2035255991659</v>
      </c>
      <c r="BY98" s="431">
        <v>976.65252806027411</v>
      </c>
      <c r="BZ98" s="431">
        <v>0</v>
      </c>
      <c r="CA98" s="431">
        <v>0</v>
      </c>
      <c r="CB98" s="431">
        <v>0</v>
      </c>
      <c r="CC98" s="432"/>
      <c r="CD98" s="428">
        <v>41842.401779398147</v>
      </c>
      <c r="CE98" s="433">
        <v>0.30887516912936769</v>
      </c>
      <c r="CF98" s="433">
        <v>0.21465334314226731</v>
      </c>
      <c r="CG98" s="433">
        <v>0.17822376316137725</v>
      </c>
      <c r="CH98" s="433">
        <v>0.1804430703502535</v>
      </c>
      <c r="CI98" s="433">
        <v>0.11969468358927447</v>
      </c>
      <c r="CJ98" s="433">
        <v>0.27010074318834371</v>
      </c>
      <c r="CK98" s="433">
        <v>0.26007046015078716</v>
      </c>
      <c r="CL98" s="433">
        <v>0.2795059670458605</v>
      </c>
      <c r="CM98" s="433">
        <v>0.2017515561404124</v>
      </c>
      <c r="CN98" s="433">
        <v>0.20249405129474354</v>
      </c>
      <c r="CO98" s="433">
        <v>0.62842859560263786</v>
      </c>
      <c r="CP98" s="433">
        <v>0.66510138936101393</v>
      </c>
      <c r="CQ98" s="433">
        <v>0.70349513193076929</v>
      </c>
      <c r="CR98" s="433">
        <v>0.39067782389425465</v>
      </c>
      <c r="CS98" s="433">
        <v>0.39443520669059223</v>
      </c>
      <c r="CT98" s="433">
        <v>0.447221292916757</v>
      </c>
      <c r="CU98" s="433">
        <v>0.3622790598707698</v>
      </c>
      <c r="CV98" s="433">
        <v>0.47604249083347333</v>
      </c>
      <c r="CW98" s="433">
        <v>0.4759898508915783</v>
      </c>
      <c r="CX98" s="433">
        <v>0.4007797062399322</v>
      </c>
      <c r="CY98" s="433">
        <v>0.40798711211863076</v>
      </c>
      <c r="CZ98" s="433">
        <v>0.29816004259848461</v>
      </c>
      <c r="DA98" s="433">
        <v>0.25104840798869349</v>
      </c>
      <c r="DB98" s="433">
        <v>0.80915490305662041</v>
      </c>
      <c r="DC98" s="433">
        <v>0.29816004259848461</v>
      </c>
      <c r="DD98" s="433">
        <v>0.25104840798869349</v>
      </c>
      <c r="DE98" s="433">
        <v>0.34680721234892764</v>
      </c>
      <c r="DF98" s="433">
        <v>0.40997005857291635</v>
      </c>
      <c r="DG98" s="433">
        <v>0.35850475717306551</v>
      </c>
      <c r="DH98" s="433">
        <v>0.35031031550396724</v>
      </c>
      <c r="DI98" s="433">
        <v>0</v>
      </c>
      <c r="DJ98" s="433">
        <v>0.33543004792329517</v>
      </c>
      <c r="DK98" s="433">
        <v>0.29332207405068994</v>
      </c>
      <c r="DL98" s="433">
        <v>0.2866175308668823</v>
      </c>
      <c r="DM98" s="433">
        <v>0.40997005857291635</v>
      </c>
      <c r="DN98" s="433">
        <v>0</v>
      </c>
      <c r="DO98" s="433">
        <v>0</v>
      </c>
      <c r="DP98" s="433">
        <v>0</v>
      </c>
      <c r="DR98" s="409" t="s">
        <v>2542</v>
      </c>
      <c r="DS98" s="409" t="s">
        <v>2543</v>
      </c>
    </row>
    <row r="99" spans="2:123" s="1471" customFormat="1">
      <c r="B99" s="428">
        <v>41845.356071296294</v>
      </c>
      <c r="C99" s="429">
        <v>1.414949487502134</v>
      </c>
      <c r="D99" s="429">
        <v>1.4161380298605366</v>
      </c>
      <c r="E99" s="429">
        <v>1.4386625739975909</v>
      </c>
      <c r="F99" s="429">
        <v>1.3418664521964312</v>
      </c>
      <c r="G99" s="429">
        <v>1.4485923143155475</v>
      </c>
      <c r="H99" s="429">
        <v>1.3920992185054146</v>
      </c>
      <c r="I99" s="429">
        <v>1.4438864894641779</v>
      </c>
      <c r="J99" s="429">
        <v>1.4955312409583632</v>
      </c>
      <c r="K99" s="429">
        <v>1.3747153460073445</v>
      </c>
      <c r="L99" s="429">
        <v>1.4846320705425418</v>
      </c>
      <c r="M99" s="429">
        <v>1.2331237731132718</v>
      </c>
      <c r="N99" s="429">
        <v>1.2059858094480365</v>
      </c>
      <c r="O99" s="429">
        <v>1.0157321933473069</v>
      </c>
      <c r="P99" s="429">
        <v>1.1749546577261258</v>
      </c>
      <c r="Q99" s="429">
        <v>2974.9150857247432</v>
      </c>
      <c r="R99" s="429">
        <v>16.226901206771686</v>
      </c>
      <c r="S99" s="429">
        <v>20.94858054510658</v>
      </c>
      <c r="T99" s="429">
        <v>3207.7468850741598</v>
      </c>
      <c r="U99" s="429">
        <v>3324.8197773074207</v>
      </c>
      <c r="V99" s="429">
        <v>3426.6099723564644</v>
      </c>
      <c r="W99" s="429">
        <v>841.5498585216983</v>
      </c>
      <c r="X99" s="429">
        <v>39.864665927069112</v>
      </c>
      <c r="Y99" s="429">
        <v>40.687963016396949</v>
      </c>
      <c r="Z99" s="429">
        <v>43.807007922503423</v>
      </c>
      <c r="AA99" s="429">
        <v>36.762670961012702</v>
      </c>
      <c r="AB99" s="429">
        <v>37.436277670462736</v>
      </c>
      <c r="AC99" s="429">
        <v>33.316567325653345</v>
      </c>
      <c r="AD99" s="429">
        <v>3.2916174534734655</v>
      </c>
      <c r="AE99" s="429">
        <v>3.1388152502825601</v>
      </c>
      <c r="AF99" s="429">
        <v>3.0179355734431317</v>
      </c>
      <c r="AG99" s="429">
        <v>0</v>
      </c>
      <c r="AH99" s="429">
        <v>6.3746240736280404</v>
      </c>
      <c r="AI99" s="429">
        <v>6.0759717678536838</v>
      </c>
      <c r="AJ99" s="429">
        <v>6.2406007201534903</v>
      </c>
      <c r="AK99" s="429">
        <v>6.9986177589384662</v>
      </c>
      <c r="AL99" s="429">
        <v>0</v>
      </c>
      <c r="AM99" s="429">
        <v>0</v>
      </c>
      <c r="AN99" s="429">
        <v>0</v>
      </c>
      <c r="AO99" s="432"/>
      <c r="AP99" s="428">
        <v>41845.356071296294</v>
      </c>
      <c r="AQ99" s="431">
        <v>93.172247324211824</v>
      </c>
      <c r="AR99" s="431">
        <v>124.45777257919785</v>
      </c>
      <c r="AS99" s="431">
        <v>49.73790599282222</v>
      </c>
      <c r="AT99" s="431">
        <v>38.576496243151404</v>
      </c>
      <c r="AU99" s="431">
        <v>40.274890860254594</v>
      </c>
      <c r="AV99" s="431">
        <v>38.9147355790018</v>
      </c>
      <c r="AW99" s="431">
        <v>-4.1447431050655963</v>
      </c>
      <c r="AX99" s="431">
        <v>11.402464594714107</v>
      </c>
      <c r="AY99" s="431">
        <v>117.21242917456914</v>
      </c>
      <c r="AZ99" s="431">
        <v>-86.097740952110485</v>
      </c>
      <c r="BA99" s="431">
        <v>2.9991315317028273</v>
      </c>
      <c r="BB99" s="431">
        <v>2.2357748924139291</v>
      </c>
      <c r="BC99" s="431">
        <v>1.6018704942876465</v>
      </c>
      <c r="BD99" s="431">
        <v>79.860069425381681</v>
      </c>
      <c r="BE99" s="431">
        <v>363987.00342173217</v>
      </c>
      <c r="BF99" s="431">
        <v>8150.6637526788891</v>
      </c>
      <c r="BG99" s="431">
        <v>-2138.463262928934</v>
      </c>
      <c r="BH99" s="431">
        <v>383153.50256660447</v>
      </c>
      <c r="BI99" s="431">
        <v>368792.32699982385</v>
      </c>
      <c r="BJ99" s="431">
        <v>-25240.852417206785</v>
      </c>
      <c r="BK99" s="431">
        <v>367895.0280125945</v>
      </c>
      <c r="BL99" s="431">
        <v>2982.8575261016122</v>
      </c>
      <c r="BM99" s="431">
        <v>-204.15247575886053</v>
      </c>
      <c r="BN99" s="431">
        <v>117.48987005002249</v>
      </c>
      <c r="BO99" s="431">
        <v>2440.5197940831367</v>
      </c>
      <c r="BP99" s="431">
        <v>-167.03384380270407</v>
      </c>
      <c r="BQ99" s="431">
        <v>1611.1783775878455</v>
      </c>
      <c r="BR99" s="431">
        <v>827.96964582598207</v>
      </c>
      <c r="BS99" s="431">
        <v>345.95014972414083</v>
      </c>
      <c r="BT99" s="431">
        <v>772.16301502069496</v>
      </c>
      <c r="BU99" s="431">
        <v>0</v>
      </c>
      <c r="BV99" s="431">
        <v>1269.6482864783561</v>
      </c>
      <c r="BW99" s="431">
        <v>523.60976476455482</v>
      </c>
      <c r="BX99" s="431">
        <v>1180.2035255991659</v>
      </c>
      <c r="BY99" s="431">
        <v>976.65252806027411</v>
      </c>
      <c r="BZ99" s="431">
        <v>0</v>
      </c>
      <c r="CA99" s="431">
        <v>0</v>
      </c>
      <c r="CB99" s="431">
        <v>0</v>
      </c>
      <c r="CC99" s="432"/>
      <c r="CD99" s="428">
        <v>41845.356071296294</v>
      </c>
      <c r="CE99" s="433">
        <v>0.30887516912936769</v>
      </c>
      <c r="CF99" s="433">
        <v>0.21465334314226731</v>
      </c>
      <c r="CG99" s="433">
        <v>0.17822376316137725</v>
      </c>
      <c r="CH99" s="433">
        <v>0.1804430703502535</v>
      </c>
      <c r="CI99" s="433">
        <v>0.1647718856491506</v>
      </c>
      <c r="CJ99" s="433">
        <v>0.27010074318834371</v>
      </c>
      <c r="CK99" s="433">
        <v>0.26007046015078716</v>
      </c>
      <c r="CL99" s="433">
        <v>0.2795059670458605</v>
      </c>
      <c r="CM99" s="433">
        <v>0.2017515561404124</v>
      </c>
      <c r="CN99" s="433">
        <v>0.20249405129474354</v>
      </c>
      <c r="CO99" s="433">
        <v>0.62842859560263786</v>
      </c>
      <c r="CP99" s="433">
        <v>0.66510138936101393</v>
      </c>
      <c r="CQ99" s="433">
        <v>0.70349513193076929</v>
      </c>
      <c r="CR99" s="433">
        <v>0.39067782389425465</v>
      </c>
      <c r="CS99" s="433">
        <v>0.39443520669059223</v>
      </c>
      <c r="CT99" s="433">
        <v>0.447221292916757</v>
      </c>
      <c r="CU99" s="433">
        <v>0.3622790598707698</v>
      </c>
      <c r="CV99" s="433">
        <v>0.47604249083347333</v>
      </c>
      <c r="CW99" s="433">
        <v>0.4759898508915783</v>
      </c>
      <c r="CX99" s="433">
        <v>0.4007797062399322</v>
      </c>
      <c r="CY99" s="433">
        <v>0.40798711211863076</v>
      </c>
      <c r="CZ99" s="433">
        <v>0.29816004259848461</v>
      </c>
      <c r="DA99" s="433">
        <v>0.25104840798869349</v>
      </c>
      <c r="DB99" s="433">
        <v>0.80915490305662041</v>
      </c>
      <c r="DC99" s="433">
        <v>0.29816004259848461</v>
      </c>
      <c r="DD99" s="433">
        <v>0.25104840798869349</v>
      </c>
      <c r="DE99" s="433">
        <v>0.34680721234892764</v>
      </c>
      <c r="DF99" s="433">
        <v>0.40997005857291635</v>
      </c>
      <c r="DG99" s="433">
        <v>0.35850475717306551</v>
      </c>
      <c r="DH99" s="433">
        <v>0.35031031550396724</v>
      </c>
      <c r="DI99" s="433">
        <v>0</v>
      </c>
      <c r="DJ99" s="433">
        <v>0.33543004792329517</v>
      </c>
      <c r="DK99" s="433">
        <v>0.29332207405068994</v>
      </c>
      <c r="DL99" s="433">
        <v>0.2866175308668823</v>
      </c>
      <c r="DM99" s="433">
        <v>0.40997005857291635</v>
      </c>
      <c r="DN99" s="433">
        <v>0</v>
      </c>
      <c r="DO99" s="433">
        <v>0</v>
      </c>
      <c r="DP99" s="433">
        <v>0</v>
      </c>
      <c r="DR99" s="409" t="s">
        <v>2542</v>
      </c>
      <c r="DS99" s="409" t="s">
        <v>2544</v>
      </c>
    </row>
    <row r="100" spans="2:123" s="1471" customFormat="1">
      <c r="B100" s="428">
        <v>41845.563285995369</v>
      </c>
      <c r="C100" s="429">
        <v>1.414949487502134</v>
      </c>
      <c r="D100" s="429">
        <v>1.4161380298605366</v>
      </c>
      <c r="E100" s="429">
        <v>1.4386625739975909</v>
      </c>
      <c r="F100" s="429">
        <v>1.3418664521964312</v>
      </c>
      <c r="G100" s="429">
        <v>1.4485923143155475</v>
      </c>
      <c r="H100" s="429">
        <v>1.3929235535242075</v>
      </c>
      <c r="I100" s="429">
        <v>1.4438864894641779</v>
      </c>
      <c r="J100" s="429">
        <v>1.4955312409583632</v>
      </c>
      <c r="K100" s="429">
        <v>1.3747153460073445</v>
      </c>
      <c r="L100" s="429">
        <v>1.4846320705425418</v>
      </c>
      <c r="M100" s="429">
        <v>1.2331237731132718</v>
      </c>
      <c r="N100" s="429">
        <v>1.2059858094480365</v>
      </c>
      <c r="O100" s="429">
        <v>1.0157321933473069</v>
      </c>
      <c r="P100" s="429">
        <v>1.1749546577261258</v>
      </c>
      <c r="Q100" s="429">
        <v>2974.9150857247432</v>
      </c>
      <c r="R100" s="429">
        <v>16.226901206771686</v>
      </c>
      <c r="S100" s="429">
        <v>20.94858054510658</v>
      </c>
      <c r="T100" s="429">
        <v>3207.7468850741598</v>
      </c>
      <c r="U100" s="429">
        <v>3324.8197773074207</v>
      </c>
      <c r="V100" s="429">
        <v>3426.6099723564644</v>
      </c>
      <c r="W100" s="429">
        <v>841.5498585216983</v>
      </c>
      <c r="X100" s="429">
        <v>39.864665927069112</v>
      </c>
      <c r="Y100" s="429">
        <v>40.687963016396949</v>
      </c>
      <c r="Z100" s="429">
        <v>43.807007922503423</v>
      </c>
      <c r="AA100" s="429">
        <v>36.762670961012702</v>
      </c>
      <c r="AB100" s="429">
        <v>37.436277670462736</v>
      </c>
      <c r="AC100" s="429">
        <v>33.316567325653345</v>
      </c>
      <c r="AD100" s="429">
        <v>3.2916174534734655</v>
      </c>
      <c r="AE100" s="429">
        <v>3.1463317505919983</v>
      </c>
      <c r="AF100" s="429">
        <v>3.0179355734431317</v>
      </c>
      <c r="AG100" s="429">
        <v>0</v>
      </c>
      <c r="AH100" s="429">
        <v>6.3746240736280404</v>
      </c>
      <c r="AI100" s="429">
        <v>6.0873063399532112</v>
      </c>
      <c r="AJ100" s="429">
        <v>6.2406007201534903</v>
      </c>
      <c r="AK100" s="429">
        <v>6.9986177589384662</v>
      </c>
      <c r="AL100" s="429">
        <v>0</v>
      </c>
      <c r="AM100" s="429">
        <v>0</v>
      </c>
      <c r="AN100" s="429">
        <v>0</v>
      </c>
      <c r="AO100" s="432"/>
      <c r="AP100" s="428">
        <v>41845.563285995369</v>
      </c>
      <c r="AQ100" s="431">
        <v>93.172247324211824</v>
      </c>
      <c r="AR100" s="431">
        <v>124.45777257919785</v>
      </c>
      <c r="AS100" s="431">
        <v>49.73790599282222</v>
      </c>
      <c r="AT100" s="431">
        <v>38.576496243151404</v>
      </c>
      <c r="AU100" s="431">
        <v>40.274890860254594</v>
      </c>
      <c r="AV100" s="431">
        <v>42.30182163627201</v>
      </c>
      <c r="AW100" s="431">
        <v>-4.1447431050655963</v>
      </c>
      <c r="AX100" s="431">
        <v>11.402464594714107</v>
      </c>
      <c r="AY100" s="431">
        <v>117.21242917456914</v>
      </c>
      <c r="AZ100" s="431">
        <v>-86.097740952110485</v>
      </c>
      <c r="BA100" s="431">
        <v>2.9991315317028273</v>
      </c>
      <c r="BB100" s="431">
        <v>2.2357748924139291</v>
      </c>
      <c r="BC100" s="431">
        <v>1.6018704942876465</v>
      </c>
      <c r="BD100" s="431">
        <v>79.860069425381681</v>
      </c>
      <c r="BE100" s="431">
        <v>363987.00342173217</v>
      </c>
      <c r="BF100" s="431">
        <v>8150.6637526788891</v>
      </c>
      <c r="BG100" s="431">
        <v>-2138.463262928934</v>
      </c>
      <c r="BH100" s="431">
        <v>383153.50256660447</v>
      </c>
      <c r="BI100" s="431">
        <v>368792.32699982385</v>
      </c>
      <c r="BJ100" s="431">
        <v>-25240.852417206785</v>
      </c>
      <c r="BK100" s="431">
        <v>367895.0280125945</v>
      </c>
      <c r="BL100" s="431">
        <v>2982.8575261016122</v>
      </c>
      <c r="BM100" s="431">
        <v>-204.15247575886053</v>
      </c>
      <c r="BN100" s="431">
        <v>117.48987005002249</v>
      </c>
      <c r="BO100" s="431">
        <v>2440.5197940831367</v>
      </c>
      <c r="BP100" s="431">
        <v>-167.03384380270407</v>
      </c>
      <c r="BQ100" s="431">
        <v>1611.1783775878455</v>
      </c>
      <c r="BR100" s="431">
        <v>827.96964582598207</v>
      </c>
      <c r="BS100" s="431">
        <v>376.83447808234985</v>
      </c>
      <c r="BT100" s="431">
        <v>772.16301502069496</v>
      </c>
      <c r="BU100" s="431">
        <v>0</v>
      </c>
      <c r="BV100" s="431">
        <v>1269.6482864783561</v>
      </c>
      <c r="BW100" s="431">
        <v>570.18205667041025</v>
      </c>
      <c r="BX100" s="431">
        <v>1180.2035255991659</v>
      </c>
      <c r="BY100" s="431">
        <v>976.65252806027411</v>
      </c>
      <c r="BZ100" s="431">
        <v>0</v>
      </c>
      <c r="CA100" s="431">
        <v>0</v>
      </c>
      <c r="CB100" s="431">
        <v>0</v>
      </c>
      <c r="CC100" s="432"/>
      <c r="CD100" s="428">
        <v>41845.563285995369</v>
      </c>
      <c r="CE100" s="433">
        <v>0.30887516912936769</v>
      </c>
      <c r="CF100" s="433">
        <v>0.21465334314226731</v>
      </c>
      <c r="CG100" s="433">
        <v>0.17822376316137725</v>
      </c>
      <c r="CH100" s="433">
        <v>0.1804430703502535</v>
      </c>
      <c r="CI100" s="433">
        <v>0.1647718856491506</v>
      </c>
      <c r="CJ100" s="433">
        <v>0.27010074318834371</v>
      </c>
      <c r="CK100" s="433">
        <v>0.26007046015078716</v>
      </c>
      <c r="CL100" s="433">
        <v>0.2795059670458605</v>
      </c>
      <c r="CM100" s="433">
        <v>0.2017515561404124</v>
      </c>
      <c r="CN100" s="433">
        <v>0.20249405129474354</v>
      </c>
      <c r="CO100" s="433">
        <v>0.62842859560263786</v>
      </c>
      <c r="CP100" s="433">
        <v>0.66510138936101393</v>
      </c>
      <c r="CQ100" s="433">
        <v>0.70349513193076929</v>
      </c>
      <c r="CR100" s="433">
        <v>0.39067782389425465</v>
      </c>
      <c r="CS100" s="433">
        <v>0.39443520669059223</v>
      </c>
      <c r="CT100" s="433">
        <v>0.447221292916757</v>
      </c>
      <c r="CU100" s="433">
        <v>0.3622790598707698</v>
      </c>
      <c r="CV100" s="433">
        <v>0.47604249083347333</v>
      </c>
      <c r="CW100" s="433">
        <v>0.4759898508915783</v>
      </c>
      <c r="CX100" s="433">
        <v>0.4007797062399322</v>
      </c>
      <c r="CY100" s="433">
        <v>0.40798711211863076</v>
      </c>
      <c r="CZ100" s="433">
        <v>0.29816004259848461</v>
      </c>
      <c r="DA100" s="433">
        <v>0.25104840798869349</v>
      </c>
      <c r="DB100" s="433">
        <v>0.80915490305662041</v>
      </c>
      <c r="DC100" s="433">
        <v>0.29816004259848461</v>
      </c>
      <c r="DD100" s="433">
        <v>0.25104840798869349</v>
      </c>
      <c r="DE100" s="433">
        <v>0.34680721234892764</v>
      </c>
      <c r="DF100" s="433">
        <v>0.40997005857291635</v>
      </c>
      <c r="DG100" s="433">
        <v>0.35850475717306551</v>
      </c>
      <c r="DH100" s="433">
        <v>0.35031031550396724</v>
      </c>
      <c r="DI100" s="433">
        <v>0</v>
      </c>
      <c r="DJ100" s="433">
        <v>0.33543004792329517</v>
      </c>
      <c r="DK100" s="433">
        <v>0.29332207405068994</v>
      </c>
      <c r="DL100" s="433">
        <v>0.2866175308668823</v>
      </c>
      <c r="DM100" s="433">
        <v>0.40997005857291635</v>
      </c>
      <c r="DN100" s="433">
        <v>0</v>
      </c>
      <c r="DO100" s="433">
        <v>0</v>
      </c>
      <c r="DP100" s="433">
        <v>0</v>
      </c>
      <c r="DR100" s="409" t="s">
        <v>2542</v>
      </c>
      <c r="DS100" s="409" t="s">
        <v>2546</v>
      </c>
    </row>
    <row r="101" spans="2:123" s="1471" customFormat="1">
      <c r="B101" s="428">
        <v>41845.628203356478</v>
      </c>
      <c r="C101" s="429">
        <v>1.414949487502134</v>
      </c>
      <c r="D101" s="429">
        <v>1.4161380298605366</v>
      </c>
      <c r="E101" s="429">
        <v>1.4386625739975909</v>
      </c>
      <c r="F101" s="429">
        <v>1.3418664521964312</v>
      </c>
      <c r="G101" s="429">
        <v>1.4485923143155475</v>
      </c>
      <c r="H101" s="429">
        <v>1.3929235535242075</v>
      </c>
      <c r="I101" s="429">
        <v>1.4438864894641779</v>
      </c>
      <c r="J101" s="429">
        <v>1.4955312409583632</v>
      </c>
      <c r="K101" s="429">
        <v>1.3747153460073445</v>
      </c>
      <c r="L101" s="429">
        <v>1.4846320705425418</v>
      </c>
      <c r="M101" s="429">
        <v>1.2331237731132718</v>
      </c>
      <c r="N101" s="429">
        <v>1.2059858094480365</v>
      </c>
      <c r="O101" s="429">
        <v>1.0157321933473069</v>
      </c>
      <c r="P101" s="429">
        <v>1.1749546577261258</v>
      </c>
      <c r="Q101" s="429">
        <v>2974.9150857247432</v>
      </c>
      <c r="R101" s="429">
        <v>17.689988704875422</v>
      </c>
      <c r="S101" s="429">
        <v>22.411668043210319</v>
      </c>
      <c r="T101" s="429">
        <v>3207.7468850741598</v>
      </c>
      <c r="U101" s="429">
        <v>3324.8197773074207</v>
      </c>
      <c r="V101" s="429">
        <v>3426.6099723564644</v>
      </c>
      <c r="W101" s="429">
        <v>841.5498585216983</v>
      </c>
      <c r="X101" s="429">
        <v>39.864665927069112</v>
      </c>
      <c r="Y101" s="429">
        <v>40.687963016396949</v>
      </c>
      <c r="Z101" s="429">
        <v>43.807007922503423</v>
      </c>
      <c r="AA101" s="429">
        <v>36.762670961012702</v>
      </c>
      <c r="AB101" s="429">
        <v>37.436277670462736</v>
      </c>
      <c r="AC101" s="429">
        <v>33.316567325653345</v>
      </c>
      <c r="AD101" s="429">
        <v>3.2916174534734655</v>
      </c>
      <c r="AE101" s="429">
        <v>3.1463317505919983</v>
      </c>
      <c r="AF101" s="429">
        <v>3.0179355734431317</v>
      </c>
      <c r="AG101" s="429">
        <v>0</v>
      </c>
      <c r="AH101" s="429">
        <v>6.3746240736280404</v>
      </c>
      <c r="AI101" s="429">
        <v>6.0873063399532112</v>
      </c>
      <c r="AJ101" s="429">
        <v>6.2406007201534903</v>
      </c>
      <c r="AK101" s="429">
        <v>6.9986177589384662</v>
      </c>
      <c r="AL101" s="429">
        <v>0</v>
      </c>
      <c r="AM101" s="429">
        <v>0</v>
      </c>
      <c r="AN101" s="429">
        <v>0</v>
      </c>
      <c r="AO101" s="432"/>
      <c r="AP101" s="428">
        <v>41845.628203356478</v>
      </c>
      <c r="AQ101" s="431">
        <v>93.172247324211824</v>
      </c>
      <c r="AR101" s="431">
        <v>124.45777257919785</v>
      </c>
      <c r="AS101" s="431">
        <v>49.73790599282222</v>
      </c>
      <c r="AT101" s="431">
        <v>38.576496243151404</v>
      </c>
      <c r="AU101" s="431">
        <v>40.274890860254594</v>
      </c>
      <c r="AV101" s="431">
        <v>42.30182163627201</v>
      </c>
      <c r="AW101" s="431">
        <v>-4.1447431050655963</v>
      </c>
      <c r="AX101" s="431">
        <v>11.402464594714107</v>
      </c>
      <c r="AY101" s="431">
        <v>117.21242917456914</v>
      </c>
      <c r="AZ101" s="431">
        <v>-86.097740952110485</v>
      </c>
      <c r="BA101" s="431">
        <v>2.9991315317028273</v>
      </c>
      <c r="BB101" s="431">
        <v>2.2357748924139291</v>
      </c>
      <c r="BC101" s="431">
        <v>1.6018704942876465</v>
      </c>
      <c r="BD101" s="431">
        <v>79.860069425381681</v>
      </c>
      <c r="BE101" s="431">
        <v>363987.00342173217</v>
      </c>
      <c r="BF101" s="431">
        <v>8150.6104104205351</v>
      </c>
      <c r="BG101" s="431">
        <v>-2138.516605187288</v>
      </c>
      <c r="BH101" s="431">
        <v>383153.50256660447</v>
      </c>
      <c r="BI101" s="431">
        <v>368792.32699982385</v>
      </c>
      <c r="BJ101" s="431">
        <v>-25240.852417206785</v>
      </c>
      <c r="BK101" s="431">
        <v>367895.0280125945</v>
      </c>
      <c r="BL101" s="431">
        <v>2982.8575261016122</v>
      </c>
      <c r="BM101" s="431">
        <v>-204.15247575886053</v>
      </c>
      <c r="BN101" s="431">
        <v>117.48987005002249</v>
      </c>
      <c r="BO101" s="431">
        <v>2440.5197940831367</v>
      </c>
      <c r="BP101" s="431">
        <v>-167.03384380270407</v>
      </c>
      <c r="BQ101" s="431">
        <v>1611.1783775878455</v>
      </c>
      <c r="BR101" s="431">
        <v>827.96964582598207</v>
      </c>
      <c r="BS101" s="431">
        <v>376.83447808234985</v>
      </c>
      <c r="BT101" s="431">
        <v>772.16301502069496</v>
      </c>
      <c r="BU101" s="431">
        <v>0</v>
      </c>
      <c r="BV101" s="431">
        <v>1269.6482864783561</v>
      </c>
      <c r="BW101" s="431">
        <v>570.18205667041025</v>
      </c>
      <c r="BX101" s="431">
        <v>1180.2035255991659</v>
      </c>
      <c r="BY101" s="431">
        <v>976.65252806027411</v>
      </c>
      <c r="BZ101" s="431">
        <v>0</v>
      </c>
      <c r="CA101" s="431">
        <v>0</v>
      </c>
      <c r="CB101" s="431">
        <v>0</v>
      </c>
      <c r="CC101" s="432"/>
      <c r="CD101" s="428">
        <v>41845.628203356478</v>
      </c>
      <c r="CE101" s="433">
        <v>0.30887516912936769</v>
      </c>
      <c r="CF101" s="433">
        <v>0.21465334314226731</v>
      </c>
      <c r="CG101" s="433">
        <v>0.17822376316137725</v>
      </c>
      <c r="CH101" s="433">
        <v>0.1804430703502535</v>
      </c>
      <c r="CI101" s="433">
        <v>0.1647718856491506</v>
      </c>
      <c r="CJ101" s="433">
        <v>0.27010074318834371</v>
      </c>
      <c r="CK101" s="433">
        <v>0.26007046015078716</v>
      </c>
      <c r="CL101" s="433">
        <v>0.2795059670458605</v>
      </c>
      <c r="CM101" s="433">
        <v>0.2017515561404124</v>
      </c>
      <c r="CN101" s="433">
        <v>0.20249405129474354</v>
      </c>
      <c r="CO101" s="433">
        <v>0.62842859560263786</v>
      </c>
      <c r="CP101" s="433">
        <v>0.66510138936101393</v>
      </c>
      <c r="CQ101" s="433">
        <v>0.70349513193076929</v>
      </c>
      <c r="CR101" s="433">
        <v>0.39067782389425465</v>
      </c>
      <c r="CS101" s="433">
        <v>0.39443520669059223</v>
      </c>
      <c r="CT101" s="433">
        <v>0.447221292916757</v>
      </c>
      <c r="CU101" s="433">
        <v>0.3622790598707698</v>
      </c>
      <c r="CV101" s="433">
        <v>0.47604249083347333</v>
      </c>
      <c r="CW101" s="433">
        <v>0.4759898508915783</v>
      </c>
      <c r="CX101" s="433">
        <v>0.4007797062399322</v>
      </c>
      <c r="CY101" s="433">
        <v>0.40798711211863076</v>
      </c>
      <c r="CZ101" s="433">
        <v>0.29816004259848461</v>
      </c>
      <c r="DA101" s="433">
        <v>0.25104840798869349</v>
      </c>
      <c r="DB101" s="433">
        <v>0.80915490305662041</v>
      </c>
      <c r="DC101" s="433">
        <v>0.29816004259848461</v>
      </c>
      <c r="DD101" s="433">
        <v>0.25104840798869349</v>
      </c>
      <c r="DE101" s="433">
        <v>0.34680721234892764</v>
      </c>
      <c r="DF101" s="433">
        <v>0.40997005857291635</v>
      </c>
      <c r="DG101" s="433">
        <v>0.35850475717306551</v>
      </c>
      <c r="DH101" s="433">
        <v>0.35031031550396724</v>
      </c>
      <c r="DI101" s="433">
        <v>0</v>
      </c>
      <c r="DJ101" s="433">
        <v>0.33543004792329517</v>
      </c>
      <c r="DK101" s="433">
        <v>0.29332207405068994</v>
      </c>
      <c r="DL101" s="433">
        <v>0.2866175308668823</v>
      </c>
      <c r="DM101" s="433">
        <v>0.40997005857291635</v>
      </c>
      <c r="DN101" s="433">
        <v>0</v>
      </c>
      <c r="DO101" s="433">
        <v>0</v>
      </c>
      <c r="DP101" s="433">
        <v>0</v>
      </c>
      <c r="DR101" s="409" t="s">
        <v>2542</v>
      </c>
      <c r="DS101" s="409" t="s">
        <v>2547</v>
      </c>
    </row>
    <row r="102" spans="2:123" s="1471" customFormat="1">
      <c r="B102" s="428">
        <v>41848.35443136574</v>
      </c>
      <c r="C102" s="429">
        <v>1.414949487502134</v>
      </c>
      <c r="D102" s="429">
        <v>1.4161380298605366</v>
      </c>
      <c r="E102" s="429">
        <v>1.4386625739975909</v>
      </c>
      <c r="F102" s="429">
        <v>1.3418664521964312</v>
      </c>
      <c r="G102" s="429">
        <v>1.4485923143155475</v>
      </c>
      <c r="H102" s="429">
        <v>1.3929235535242075</v>
      </c>
      <c r="I102" s="429">
        <v>1.4438864894641779</v>
      </c>
      <c r="J102" s="429">
        <v>1.4955312409583632</v>
      </c>
      <c r="K102" s="429">
        <v>1.3747153460073445</v>
      </c>
      <c r="L102" s="429">
        <v>1.4846320705425418</v>
      </c>
      <c r="M102" s="429">
        <v>1.2331237731132718</v>
      </c>
      <c r="N102" s="429">
        <v>1.2059858094480365</v>
      </c>
      <c r="O102" s="429">
        <v>1.0157321933473069</v>
      </c>
      <c r="P102" s="429">
        <v>1.1749546577261258</v>
      </c>
      <c r="Q102" s="429">
        <v>2974.9150857247432</v>
      </c>
      <c r="R102" s="429">
        <v>17.689988704875422</v>
      </c>
      <c r="S102" s="429">
        <v>22.060127705020982</v>
      </c>
      <c r="T102" s="429">
        <v>3207.7468850741598</v>
      </c>
      <c r="U102" s="429">
        <v>3324.8197773074207</v>
      </c>
      <c r="V102" s="429">
        <v>3426.6099723564644</v>
      </c>
      <c r="W102" s="429">
        <v>841.5498585216983</v>
      </c>
      <c r="X102" s="429">
        <v>39.864665927069112</v>
      </c>
      <c r="Y102" s="429">
        <v>40.687963016396949</v>
      </c>
      <c r="Z102" s="429">
        <v>43.807007922503423</v>
      </c>
      <c r="AA102" s="429">
        <v>36.762670961012702</v>
      </c>
      <c r="AB102" s="429">
        <v>37.436277670462736</v>
      </c>
      <c r="AC102" s="429">
        <v>33.316567325653345</v>
      </c>
      <c r="AD102" s="429">
        <v>3.2916174534734655</v>
      </c>
      <c r="AE102" s="429">
        <v>3.1463317505919983</v>
      </c>
      <c r="AF102" s="429">
        <v>3.0179355734431317</v>
      </c>
      <c r="AG102" s="429">
        <v>0</v>
      </c>
      <c r="AH102" s="429">
        <v>6.3746240736280404</v>
      </c>
      <c r="AI102" s="429">
        <v>6.0873063399532112</v>
      </c>
      <c r="AJ102" s="429">
        <v>6.2406007201534903</v>
      </c>
      <c r="AK102" s="429">
        <v>6.9986177589384662</v>
      </c>
      <c r="AL102" s="429">
        <v>0</v>
      </c>
      <c r="AM102" s="429">
        <v>0</v>
      </c>
      <c r="AN102" s="429">
        <v>0</v>
      </c>
      <c r="AO102" s="432"/>
      <c r="AP102" s="428">
        <v>41848.35443136574</v>
      </c>
      <c r="AQ102" s="431">
        <v>93.172247324211824</v>
      </c>
      <c r="AR102" s="431">
        <v>124.45777257919785</v>
      </c>
      <c r="AS102" s="431">
        <v>49.73790599282222</v>
      </c>
      <c r="AT102" s="431">
        <v>38.576496243151404</v>
      </c>
      <c r="AU102" s="431">
        <v>40.274890860254594</v>
      </c>
      <c r="AV102" s="431">
        <v>42.30182163627201</v>
      </c>
      <c r="AW102" s="431">
        <v>-4.1447431050655963</v>
      </c>
      <c r="AX102" s="431">
        <v>11.402464594714107</v>
      </c>
      <c r="AY102" s="431">
        <v>117.21242917456914</v>
      </c>
      <c r="AZ102" s="431">
        <v>-86.097740952110485</v>
      </c>
      <c r="BA102" s="431">
        <v>2.9991315317028273</v>
      </c>
      <c r="BB102" s="431">
        <v>2.2357748924139291</v>
      </c>
      <c r="BC102" s="431">
        <v>1.6018704942876465</v>
      </c>
      <c r="BD102" s="431">
        <v>79.860069425381681</v>
      </c>
      <c r="BE102" s="431">
        <v>363987.00342173217</v>
      </c>
      <c r="BF102" s="431">
        <v>8150.6104104205351</v>
      </c>
      <c r="BG102" s="431">
        <v>-3649.9383948837135</v>
      </c>
      <c r="BH102" s="431">
        <v>383153.50256660447</v>
      </c>
      <c r="BI102" s="431">
        <v>368792.32699982385</v>
      </c>
      <c r="BJ102" s="431">
        <v>-25240.852417206785</v>
      </c>
      <c r="BK102" s="431">
        <v>367895.0280125945</v>
      </c>
      <c r="BL102" s="431">
        <v>2982.8575261016122</v>
      </c>
      <c r="BM102" s="431">
        <v>-204.15247575886053</v>
      </c>
      <c r="BN102" s="431">
        <v>117.48987005002249</v>
      </c>
      <c r="BO102" s="431">
        <v>2440.5197940831367</v>
      </c>
      <c r="BP102" s="431">
        <v>-167.03384380270407</v>
      </c>
      <c r="BQ102" s="431">
        <v>1611.1783775878455</v>
      </c>
      <c r="BR102" s="431">
        <v>827.96964582598207</v>
      </c>
      <c r="BS102" s="431">
        <v>376.83447808234985</v>
      </c>
      <c r="BT102" s="431">
        <v>772.16301502069496</v>
      </c>
      <c r="BU102" s="431">
        <v>0</v>
      </c>
      <c r="BV102" s="431">
        <v>1269.6482864783561</v>
      </c>
      <c r="BW102" s="431">
        <v>570.18205667041025</v>
      </c>
      <c r="BX102" s="431">
        <v>1180.2035255991659</v>
      </c>
      <c r="BY102" s="431">
        <v>976.65252806027411</v>
      </c>
      <c r="BZ102" s="431">
        <v>0</v>
      </c>
      <c r="CA102" s="431">
        <v>0</v>
      </c>
      <c r="CB102" s="431">
        <v>0</v>
      </c>
      <c r="CC102" s="432"/>
      <c r="CD102" s="428">
        <v>41848.35443136574</v>
      </c>
      <c r="CE102" s="433">
        <v>0.30887516912936769</v>
      </c>
      <c r="CF102" s="433">
        <v>0.21465334314226731</v>
      </c>
      <c r="CG102" s="433">
        <v>0.17822376316137725</v>
      </c>
      <c r="CH102" s="433">
        <v>0.1804430703502535</v>
      </c>
      <c r="CI102" s="433">
        <v>0.1647718856491506</v>
      </c>
      <c r="CJ102" s="433">
        <v>0.27010074318834371</v>
      </c>
      <c r="CK102" s="433">
        <v>0.26007046015078716</v>
      </c>
      <c r="CL102" s="433">
        <v>0.2795059670458605</v>
      </c>
      <c r="CM102" s="433">
        <v>0.2017515561404124</v>
      </c>
      <c r="CN102" s="433">
        <v>0.20249405129474354</v>
      </c>
      <c r="CO102" s="433">
        <v>0.62842859560263786</v>
      </c>
      <c r="CP102" s="433">
        <v>0.66510138936101393</v>
      </c>
      <c r="CQ102" s="433">
        <v>0.70349513193076929</v>
      </c>
      <c r="CR102" s="433">
        <v>0.39067782389425465</v>
      </c>
      <c r="CS102" s="433">
        <v>0.39443520669059223</v>
      </c>
      <c r="CT102" s="433">
        <v>0.447221292916757</v>
      </c>
      <c r="CU102" s="433">
        <v>0.3622790598707698</v>
      </c>
      <c r="CV102" s="433">
        <v>0.47604249083347333</v>
      </c>
      <c r="CW102" s="433">
        <v>0.4759898508915783</v>
      </c>
      <c r="CX102" s="433">
        <v>0.4007797062399322</v>
      </c>
      <c r="CY102" s="433">
        <v>0.40798711211863076</v>
      </c>
      <c r="CZ102" s="433">
        <v>0.29816004259848461</v>
      </c>
      <c r="DA102" s="433">
        <v>0.25104840798869349</v>
      </c>
      <c r="DB102" s="433">
        <v>0.80915490305662041</v>
      </c>
      <c r="DC102" s="433">
        <v>0.29816004259848461</v>
      </c>
      <c r="DD102" s="433">
        <v>0.25104840798869349</v>
      </c>
      <c r="DE102" s="433">
        <v>0.34680721234892764</v>
      </c>
      <c r="DF102" s="433">
        <v>0.40997005857291635</v>
      </c>
      <c r="DG102" s="433">
        <v>0.35850475717306551</v>
      </c>
      <c r="DH102" s="433">
        <v>0.35031031550396724</v>
      </c>
      <c r="DI102" s="433">
        <v>0</v>
      </c>
      <c r="DJ102" s="433">
        <v>0.33543004792329517</v>
      </c>
      <c r="DK102" s="433">
        <v>0.29332207405068994</v>
      </c>
      <c r="DL102" s="433">
        <v>0.2866175308668823</v>
      </c>
      <c r="DM102" s="433">
        <v>0.40997005857291635</v>
      </c>
      <c r="DN102" s="433">
        <v>0</v>
      </c>
      <c r="DO102" s="433">
        <v>0</v>
      </c>
      <c r="DP102" s="433">
        <v>0</v>
      </c>
      <c r="DR102" s="409" t="s">
        <v>2542</v>
      </c>
      <c r="DS102" s="409" t="s">
        <v>2549</v>
      </c>
    </row>
    <row r="103" spans="2:123" s="1471" customFormat="1">
      <c r="B103" s="428">
        <v>41858.661207523146</v>
      </c>
      <c r="C103" s="429">
        <v>1.414949487502134</v>
      </c>
      <c r="D103" s="429">
        <v>1.4161380298605366</v>
      </c>
      <c r="E103" s="429">
        <v>1.4386625739975909</v>
      </c>
      <c r="F103" s="429">
        <v>1.3418664521964312</v>
      </c>
      <c r="G103" s="429">
        <v>1.4485923143155475</v>
      </c>
      <c r="H103" s="429">
        <v>1.3929235535242075</v>
      </c>
      <c r="I103" s="429">
        <v>1.4438864894641779</v>
      </c>
      <c r="J103" s="429">
        <v>1.4955312409583632</v>
      </c>
      <c r="K103" s="429">
        <v>1.3747153460073445</v>
      </c>
      <c r="L103" s="429">
        <v>1.4846320705425418</v>
      </c>
      <c r="M103" s="429">
        <v>1.2331237731132718</v>
      </c>
      <c r="N103" s="429">
        <v>1.2059858094480365</v>
      </c>
      <c r="O103" s="429">
        <v>1.0157321933473069</v>
      </c>
      <c r="P103" s="429">
        <v>1.1749546577261258</v>
      </c>
      <c r="Q103" s="429">
        <v>2974.9150857247432</v>
      </c>
      <c r="R103" s="429">
        <v>17.689988704875422</v>
      </c>
      <c r="S103" s="429">
        <v>22.060127705020982</v>
      </c>
      <c r="T103" s="429">
        <v>3207.7468850741598</v>
      </c>
      <c r="U103" s="429">
        <v>1801.5016297400066</v>
      </c>
      <c r="V103" s="429">
        <v>1903.2918247890505</v>
      </c>
      <c r="W103" s="429">
        <v>841.5498585216983</v>
      </c>
      <c r="X103" s="429">
        <v>39.864665927069112</v>
      </c>
      <c r="Y103" s="429">
        <v>40.687963016396949</v>
      </c>
      <c r="Z103" s="429">
        <v>43.807007922503423</v>
      </c>
      <c r="AA103" s="429">
        <v>36.762670961012702</v>
      </c>
      <c r="AB103" s="429">
        <v>37.436277670462736</v>
      </c>
      <c r="AC103" s="429">
        <v>33.316567325653345</v>
      </c>
      <c r="AD103" s="429">
        <v>3.2916174534734655</v>
      </c>
      <c r="AE103" s="429">
        <v>3.1463317505919983</v>
      </c>
      <c r="AF103" s="429">
        <v>3.0179355734431317</v>
      </c>
      <c r="AG103" s="429">
        <v>0</v>
      </c>
      <c r="AH103" s="429">
        <v>6.3746240736280404</v>
      </c>
      <c r="AI103" s="429">
        <v>6.0873063399532112</v>
      </c>
      <c r="AJ103" s="429">
        <v>6.2406007201534903</v>
      </c>
      <c r="AK103" s="429">
        <v>6.9986177589384662</v>
      </c>
      <c r="AL103" s="429">
        <v>0</v>
      </c>
      <c r="AM103" s="429">
        <v>0</v>
      </c>
      <c r="AN103" s="429">
        <v>0</v>
      </c>
      <c r="AO103" s="432"/>
      <c r="AP103" s="428">
        <v>41858.661207523146</v>
      </c>
      <c r="AQ103" s="431">
        <v>93.172247324211824</v>
      </c>
      <c r="AR103" s="431">
        <v>124.45777257919785</v>
      </c>
      <c r="AS103" s="431">
        <v>49.73790599282222</v>
      </c>
      <c r="AT103" s="431">
        <v>38.576496243151404</v>
      </c>
      <c r="AU103" s="431">
        <v>40.274890860254594</v>
      </c>
      <c r="AV103" s="431">
        <v>42.30182163627201</v>
      </c>
      <c r="AW103" s="431">
        <v>-4.1447431050655963</v>
      </c>
      <c r="AX103" s="431">
        <v>11.402464594714107</v>
      </c>
      <c r="AY103" s="431">
        <v>117.21242917456914</v>
      </c>
      <c r="AZ103" s="431">
        <v>-86.097740952110485</v>
      </c>
      <c r="BA103" s="431">
        <v>2.9991315317028273</v>
      </c>
      <c r="BB103" s="431">
        <v>2.2357748924139291</v>
      </c>
      <c r="BC103" s="431">
        <v>1.6018704942876465</v>
      </c>
      <c r="BD103" s="431">
        <v>79.860069425381681</v>
      </c>
      <c r="BE103" s="431">
        <v>363987.00342173217</v>
      </c>
      <c r="BF103" s="431">
        <v>8150.6104104205351</v>
      </c>
      <c r="BG103" s="431">
        <v>-3649.9383948837135</v>
      </c>
      <c r="BH103" s="431">
        <v>383153.50256660447</v>
      </c>
      <c r="BI103" s="431">
        <v>368792.32699982385</v>
      </c>
      <c r="BJ103" s="431">
        <v>-25240.852417206785</v>
      </c>
      <c r="BK103" s="431">
        <v>367895.0280125945</v>
      </c>
      <c r="BL103" s="431">
        <v>2982.8575261016122</v>
      </c>
      <c r="BM103" s="431">
        <v>-204.15247575886053</v>
      </c>
      <c r="BN103" s="431">
        <v>117.48987005002249</v>
      </c>
      <c r="BO103" s="431">
        <v>2440.5197940831367</v>
      </c>
      <c r="BP103" s="431">
        <v>-167.03384380270407</v>
      </c>
      <c r="BQ103" s="431">
        <v>1611.1783775878455</v>
      </c>
      <c r="BR103" s="431">
        <v>827.96964582598207</v>
      </c>
      <c r="BS103" s="431">
        <v>376.83447808234985</v>
      </c>
      <c r="BT103" s="431">
        <v>772.16301502069496</v>
      </c>
      <c r="BU103" s="431">
        <v>0</v>
      </c>
      <c r="BV103" s="431">
        <v>1269.6482864783561</v>
      </c>
      <c r="BW103" s="431">
        <v>570.18205667041025</v>
      </c>
      <c r="BX103" s="431">
        <v>1180.2035255991659</v>
      </c>
      <c r="BY103" s="431">
        <v>976.65252806027411</v>
      </c>
      <c r="BZ103" s="431">
        <v>0</v>
      </c>
      <c r="CA103" s="431">
        <v>0</v>
      </c>
      <c r="CB103" s="431">
        <v>0</v>
      </c>
      <c r="CC103" s="432"/>
      <c r="CD103" s="428">
        <v>41858.661207523146</v>
      </c>
      <c r="CE103" s="433">
        <v>0.30887516912936769</v>
      </c>
      <c r="CF103" s="433">
        <v>0.21465334314226731</v>
      </c>
      <c r="CG103" s="433">
        <v>0.17822376316137725</v>
      </c>
      <c r="CH103" s="433">
        <v>0.1804430703502535</v>
      </c>
      <c r="CI103" s="433">
        <v>0.1647718856491506</v>
      </c>
      <c r="CJ103" s="433">
        <v>0.27010074318834371</v>
      </c>
      <c r="CK103" s="433">
        <v>0.26007046015078716</v>
      </c>
      <c r="CL103" s="433">
        <v>0.2795059670458605</v>
      </c>
      <c r="CM103" s="433">
        <v>0.2017515561404124</v>
      </c>
      <c r="CN103" s="433">
        <v>0.20249405129474354</v>
      </c>
      <c r="CO103" s="433">
        <v>0.62842859560263786</v>
      </c>
      <c r="CP103" s="433">
        <v>0.66510138936101393</v>
      </c>
      <c r="CQ103" s="433">
        <v>0.70349513193076929</v>
      </c>
      <c r="CR103" s="433">
        <v>0.39067782389425465</v>
      </c>
      <c r="CS103" s="433">
        <v>0.39443520669059223</v>
      </c>
      <c r="CT103" s="433">
        <v>0.447221292916757</v>
      </c>
      <c r="CU103" s="433">
        <v>0.3622790598707698</v>
      </c>
      <c r="CV103" s="433">
        <v>0.47604249083347333</v>
      </c>
      <c r="CW103" s="433">
        <v>0.4759898508915783</v>
      </c>
      <c r="CX103" s="433">
        <v>0.4007797062399322</v>
      </c>
      <c r="CY103" s="433">
        <v>0.40798711211863076</v>
      </c>
      <c r="CZ103" s="433">
        <v>0.29816004259848461</v>
      </c>
      <c r="DA103" s="433">
        <v>0.25104840798869349</v>
      </c>
      <c r="DB103" s="433">
        <v>0.80915490305662041</v>
      </c>
      <c r="DC103" s="433">
        <v>0.29816004259848461</v>
      </c>
      <c r="DD103" s="433">
        <v>0.25104840798869349</v>
      </c>
      <c r="DE103" s="433">
        <v>0.34680721234892764</v>
      </c>
      <c r="DF103" s="433">
        <v>0.40997005857291635</v>
      </c>
      <c r="DG103" s="433">
        <v>0.35850475717306551</v>
      </c>
      <c r="DH103" s="433">
        <v>0.35031031550396724</v>
      </c>
      <c r="DI103" s="433">
        <v>0</v>
      </c>
      <c r="DJ103" s="433">
        <v>0.33543004792329517</v>
      </c>
      <c r="DK103" s="433">
        <v>0.29332207405068994</v>
      </c>
      <c r="DL103" s="433">
        <v>0.2866175308668823</v>
      </c>
      <c r="DM103" s="433">
        <v>0.40997005857291635</v>
      </c>
      <c r="DN103" s="433">
        <v>0</v>
      </c>
      <c r="DO103" s="433">
        <v>0</v>
      </c>
      <c r="DP103" s="433">
        <v>0</v>
      </c>
      <c r="DR103" s="409" t="s">
        <v>855</v>
      </c>
      <c r="DS103" s="409" t="s">
        <v>2554</v>
      </c>
    </row>
    <row r="104" spans="2:123" s="1471" customFormat="1">
      <c r="B104" s="428">
        <v>41858.667401273146</v>
      </c>
      <c r="C104" s="429">
        <v>1.414949487502134</v>
      </c>
      <c r="D104" s="429">
        <v>1.4161380298605366</v>
      </c>
      <c r="E104" s="429">
        <v>1.4386625739975909</v>
      </c>
      <c r="F104" s="429">
        <v>1.3418664521964312</v>
      </c>
      <c r="G104" s="429">
        <v>1.4485923143155475</v>
      </c>
      <c r="H104" s="429">
        <v>1.3929235535242075</v>
      </c>
      <c r="I104" s="429">
        <v>1.4438864894641779</v>
      </c>
      <c r="J104" s="429">
        <v>1.4955312409583632</v>
      </c>
      <c r="K104" s="429">
        <v>1.3747153460073445</v>
      </c>
      <c r="L104" s="429">
        <v>1.4846320705425418</v>
      </c>
      <c r="M104" s="429">
        <v>1.2331237731132718</v>
      </c>
      <c r="N104" s="429">
        <v>1.2059858094480365</v>
      </c>
      <c r="O104" s="429">
        <v>1.0157321933473069</v>
      </c>
      <c r="P104" s="429">
        <v>1.1749546577261258</v>
      </c>
      <c r="Q104" s="429">
        <v>2974.9150857247432</v>
      </c>
      <c r="R104" s="429">
        <v>17.689988704875422</v>
      </c>
      <c r="S104" s="429">
        <v>22.060127705020982</v>
      </c>
      <c r="T104" s="429">
        <v>3207.7468850741598</v>
      </c>
      <c r="U104" s="429">
        <v>1801.5016297400066</v>
      </c>
      <c r="V104" s="429">
        <v>1903.2918247890505</v>
      </c>
      <c r="W104" s="429">
        <v>841.5498585216983</v>
      </c>
      <c r="X104" s="429">
        <v>51.35708612458464</v>
      </c>
      <c r="Y104" s="429">
        <v>52.180383213912478</v>
      </c>
      <c r="Z104" s="429">
        <v>57.59791215952206</v>
      </c>
      <c r="AA104" s="429">
        <v>59.286853965163623</v>
      </c>
      <c r="AB104" s="429">
        <v>59.96046067461365</v>
      </c>
      <c r="AC104" s="429">
        <v>67.17354084851678</v>
      </c>
      <c r="AD104" s="429">
        <v>3.2916174534734655</v>
      </c>
      <c r="AE104" s="429">
        <v>3.1463317505919983</v>
      </c>
      <c r="AF104" s="429">
        <v>3.0179355734431317</v>
      </c>
      <c r="AG104" s="429">
        <v>0</v>
      </c>
      <c r="AH104" s="429">
        <v>6.3746240736280404</v>
      </c>
      <c r="AI104" s="429">
        <v>6.0873063399532112</v>
      </c>
      <c r="AJ104" s="429">
        <v>6.2406007201534903</v>
      </c>
      <c r="AK104" s="429">
        <v>6.9986177589384662</v>
      </c>
      <c r="AL104" s="429">
        <v>0</v>
      </c>
      <c r="AM104" s="429">
        <v>0</v>
      </c>
      <c r="AN104" s="429">
        <v>0</v>
      </c>
      <c r="AO104" s="432"/>
      <c r="AP104" s="428">
        <v>41858.667401273146</v>
      </c>
      <c r="AQ104" s="431">
        <v>93.172247324211824</v>
      </c>
      <c r="AR104" s="431">
        <v>124.45777257919785</v>
      </c>
      <c r="AS104" s="431">
        <v>49.73790599282222</v>
      </c>
      <c r="AT104" s="431">
        <v>38.576496243151404</v>
      </c>
      <c r="AU104" s="431">
        <v>40.274890860254594</v>
      </c>
      <c r="AV104" s="431">
        <v>42.30182163627201</v>
      </c>
      <c r="AW104" s="431">
        <v>-4.1447431050655963</v>
      </c>
      <c r="AX104" s="431">
        <v>11.402464594714107</v>
      </c>
      <c r="AY104" s="431">
        <v>117.21242917456914</v>
      </c>
      <c r="AZ104" s="431">
        <v>-86.097740952110485</v>
      </c>
      <c r="BA104" s="431">
        <v>2.9991315317028273</v>
      </c>
      <c r="BB104" s="431">
        <v>2.2357748924139291</v>
      </c>
      <c r="BC104" s="431">
        <v>1.6018704942876465</v>
      </c>
      <c r="BD104" s="431">
        <v>79.860069425381681</v>
      </c>
      <c r="BE104" s="431">
        <v>363987.00342173217</v>
      </c>
      <c r="BF104" s="431">
        <v>8150.6104104205351</v>
      </c>
      <c r="BG104" s="431">
        <v>-3649.9383948837135</v>
      </c>
      <c r="BH104" s="431">
        <v>383153.50256660447</v>
      </c>
      <c r="BI104" s="431">
        <v>368792.32699982385</v>
      </c>
      <c r="BJ104" s="431">
        <v>-25240.852417206785</v>
      </c>
      <c r="BK104" s="431">
        <v>367895.0280125945</v>
      </c>
      <c r="BL104" s="431">
        <v>2982.8575261016122</v>
      </c>
      <c r="BM104" s="431">
        <v>-204.15247575886053</v>
      </c>
      <c r="BN104" s="431">
        <v>117.48987005002249</v>
      </c>
      <c r="BO104" s="431">
        <v>2440.5197940831367</v>
      </c>
      <c r="BP104" s="431">
        <v>-167.03384380270407</v>
      </c>
      <c r="BQ104" s="431">
        <v>1611.1783775878455</v>
      </c>
      <c r="BR104" s="431">
        <v>827.96964582598207</v>
      </c>
      <c r="BS104" s="431">
        <v>376.83447808234985</v>
      </c>
      <c r="BT104" s="431">
        <v>772.16301502069496</v>
      </c>
      <c r="BU104" s="431">
        <v>0</v>
      </c>
      <c r="BV104" s="431">
        <v>1269.6482864783561</v>
      </c>
      <c r="BW104" s="431">
        <v>570.18205667041025</v>
      </c>
      <c r="BX104" s="431">
        <v>1180.2035255991659</v>
      </c>
      <c r="BY104" s="431">
        <v>976.65252806027411</v>
      </c>
      <c r="BZ104" s="431">
        <v>0</v>
      </c>
      <c r="CA104" s="431">
        <v>0</v>
      </c>
      <c r="CB104" s="431">
        <v>0</v>
      </c>
      <c r="CC104" s="432"/>
      <c r="CD104" s="428">
        <v>41858.667401273146</v>
      </c>
      <c r="CE104" s="433">
        <v>0.30887516912936769</v>
      </c>
      <c r="CF104" s="433">
        <v>0.21465334314226731</v>
      </c>
      <c r="CG104" s="433">
        <v>0.17822376316137725</v>
      </c>
      <c r="CH104" s="433">
        <v>0.1804430703502535</v>
      </c>
      <c r="CI104" s="433">
        <v>0.1647718856491506</v>
      </c>
      <c r="CJ104" s="433">
        <v>0.27010074318834371</v>
      </c>
      <c r="CK104" s="433">
        <v>0.26007046015078716</v>
      </c>
      <c r="CL104" s="433">
        <v>0.2795059670458605</v>
      </c>
      <c r="CM104" s="433">
        <v>0.2017515561404124</v>
      </c>
      <c r="CN104" s="433">
        <v>0.20249405129474354</v>
      </c>
      <c r="CO104" s="433">
        <v>0.62842859560263786</v>
      </c>
      <c r="CP104" s="433">
        <v>0.66510138936101393</v>
      </c>
      <c r="CQ104" s="433">
        <v>0.70349513193076929</v>
      </c>
      <c r="CR104" s="433">
        <v>0.39067782389425465</v>
      </c>
      <c r="CS104" s="433">
        <v>0.39443520669059223</v>
      </c>
      <c r="CT104" s="433">
        <v>0.447221292916757</v>
      </c>
      <c r="CU104" s="433">
        <v>0.3622790598707698</v>
      </c>
      <c r="CV104" s="433">
        <v>0.47604249083347333</v>
      </c>
      <c r="CW104" s="433">
        <v>0.4759898508915783</v>
      </c>
      <c r="CX104" s="433">
        <v>0.4007797062399322</v>
      </c>
      <c r="CY104" s="433">
        <v>0.40798711211863076</v>
      </c>
      <c r="CZ104" s="433">
        <v>0.29816004259848461</v>
      </c>
      <c r="DA104" s="433">
        <v>0.25104840798869349</v>
      </c>
      <c r="DB104" s="433">
        <v>0.80915490305662041</v>
      </c>
      <c r="DC104" s="433">
        <v>0.29816004259848461</v>
      </c>
      <c r="DD104" s="433">
        <v>0.25104840798869349</v>
      </c>
      <c r="DE104" s="433">
        <v>0.34680721234892764</v>
      </c>
      <c r="DF104" s="433">
        <v>0.40997005857291635</v>
      </c>
      <c r="DG104" s="433">
        <v>0.35850475717306551</v>
      </c>
      <c r="DH104" s="433">
        <v>0.35031031550396724</v>
      </c>
      <c r="DI104" s="433">
        <v>0</v>
      </c>
      <c r="DJ104" s="433">
        <v>0.33543004792329517</v>
      </c>
      <c r="DK104" s="433">
        <v>0.29332207405068994</v>
      </c>
      <c r="DL104" s="433">
        <v>0.2866175308668823</v>
      </c>
      <c r="DM104" s="433">
        <v>0.40997005857291635</v>
      </c>
      <c r="DN104" s="433">
        <v>0</v>
      </c>
      <c r="DO104" s="433">
        <v>0</v>
      </c>
      <c r="DP104" s="433">
        <v>0</v>
      </c>
      <c r="DR104" s="409" t="s">
        <v>855</v>
      </c>
      <c r="DS104" s="409" t="s">
        <v>2558</v>
      </c>
    </row>
    <row r="105" spans="2:123" s="1471" customFormat="1">
      <c r="B105" s="428">
        <v>41863.539550347225</v>
      </c>
      <c r="C105" s="429">
        <v>1.414949487502134</v>
      </c>
      <c r="D105" s="429">
        <v>1.4161380298605366</v>
      </c>
      <c r="E105" s="429">
        <v>1.4386625739975909</v>
      </c>
      <c r="F105" s="429">
        <v>1.3418664521964312</v>
      </c>
      <c r="G105" s="429">
        <v>1.4485923143155475</v>
      </c>
      <c r="H105" s="429">
        <v>1.3929235535242075</v>
      </c>
      <c r="I105" s="429">
        <v>1.4438864894641779</v>
      </c>
      <c r="J105" s="429">
        <v>1.4955312409583632</v>
      </c>
      <c r="K105" s="429">
        <v>1.3747153460073445</v>
      </c>
      <c r="L105" s="429">
        <v>1.4846320705425418</v>
      </c>
      <c r="M105" s="429">
        <v>1.2331237731132718</v>
      </c>
      <c r="N105" s="429">
        <v>1.2059858094480365</v>
      </c>
      <c r="O105" s="429">
        <v>1.0157321933473069</v>
      </c>
      <c r="P105" s="429">
        <v>1.1749546577261258</v>
      </c>
      <c r="Q105" s="429">
        <v>2974.9150857247432</v>
      </c>
      <c r="R105" s="429">
        <v>58.620312888337267</v>
      </c>
      <c r="S105" s="429">
        <v>62.990451888482824</v>
      </c>
      <c r="T105" s="429">
        <v>3207.7468850741598</v>
      </c>
      <c r="U105" s="429">
        <v>1801.5016297400066</v>
      </c>
      <c r="V105" s="429">
        <v>1903.2918247890505</v>
      </c>
      <c r="W105" s="429">
        <v>841.5498585216983</v>
      </c>
      <c r="X105" s="429">
        <v>51.35708612458464</v>
      </c>
      <c r="Y105" s="429">
        <v>52.180383213912478</v>
      </c>
      <c r="Z105" s="429">
        <v>57.59791215952206</v>
      </c>
      <c r="AA105" s="429">
        <v>59.286853965163623</v>
      </c>
      <c r="AB105" s="429">
        <v>59.96046067461365</v>
      </c>
      <c r="AC105" s="429">
        <v>67.17354084851678</v>
      </c>
      <c r="AD105" s="429">
        <v>3.2916174534734655</v>
      </c>
      <c r="AE105" s="429">
        <v>3.1463317505919983</v>
      </c>
      <c r="AF105" s="429">
        <v>3.0179355734431317</v>
      </c>
      <c r="AG105" s="429">
        <v>0</v>
      </c>
      <c r="AH105" s="429">
        <v>6.3746240736280404</v>
      </c>
      <c r="AI105" s="429">
        <v>6.0873063399532112</v>
      </c>
      <c r="AJ105" s="429">
        <v>6.2406007201534903</v>
      </c>
      <c r="AK105" s="429">
        <v>6.9986177589384662</v>
      </c>
      <c r="AL105" s="429">
        <v>0</v>
      </c>
      <c r="AM105" s="429">
        <v>0</v>
      </c>
      <c r="AN105" s="429">
        <v>0</v>
      </c>
      <c r="AO105" s="432"/>
      <c r="AP105" s="428">
        <v>41863.539550347225</v>
      </c>
      <c r="AQ105" s="431">
        <v>93.172247324211824</v>
      </c>
      <c r="AR105" s="431">
        <v>124.45777257919785</v>
      </c>
      <c r="AS105" s="431">
        <v>49.73790599282222</v>
      </c>
      <c r="AT105" s="431">
        <v>38.576496243151404</v>
      </c>
      <c r="AU105" s="431">
        <v>40.274890860254594</v>
      </c>
      <c r="AV105" s="431">
        <v>42.30182163627201</v>
      </c>
      <c r="AW105" s="431">
        <v>-4.1447431050655963</v>
      </c>
      <c r="AX105" s="431">
        <v>11.402464594714107</v>
      </c>
      <c r="AY105" s="431">
        <v>117.21242917456914</v>
      </c>
      <c r="AZ105" s="431">
        <v>-86.097740952110485</v>
      </c>
      <c r="BA105" s="431">
        <v>2.9991315317028273</v>
      </c>
      <c r="BB105" s="431">
        <v>2.2357748924139291</v>
      </c>
      <c r="BC105" s="431">
        <v>1.6018704942876465</v>
      </c>
      <c r="BD105" s="431">
        <v>79.860069425381681</v>
      </c>
      <c r="BE105" s="431">
        <v>363987.00342173217</v>
      </c>
      <c r="BF105" s="431">
        <v>8150.6104104205351</v>
      </c>
      <c r="BG105" s="431">
        <v>-3649.9383948837135</v>
      </c>
      <c r="BH105" s="431">
        <v>383153.50256660447</v>
      </c>
      <c r="BI105" s="431">
        <v>368792.32699982385</v>
      </c>
      <c r="BJ105" s="431">
        <v>-25240.852417206785</v>
      </c>
      <c r="BK105" s="431">
        <v>367895.0280125945</v>
      </c>
      <c r="BL105" s="431">
        <v>2982.8575261016122</v>
      </c>
      <c r="BM105" s="431">
        <v>-204.15247575886053</v>
      </c>
      <c r="BN105" s="431">
        <v>117.48987005002249</v>
      </c>
      <c r="BO105" s="431">
        <v>2440.5197940831367</v>
      </c>
      <c r="BP105" s="431">
        <v>-167.03384380270407</v>
      </c>
      <c r="BQ105" s="431">
        <v>1611.1783775878455</v>
      </c>
      <c r="BR105" s="431">
        <v>827.96964582598207</v>
      </c>
      <c r="BS105" s="431">
        <v>376.83447808234985</v>
      </c>
      <c r="BT105" s="431">
        <v>772.16301502069496</v>
      </c>
      <c r="BU105" s="431">
        <v>0</v>
      </c>
      <c r="BV105" s="431">
        <v>1269.6482864783561</v>
      </c>
      <c r="BW105" s="431">
        <v>570.18205667041025</v>
      </c>
      <c r="BX105" s="431">
        <v>1180.2035255991659</v>
      </c>
      <c r="BY105" s="431">
        <v>976.65252806027411</v>
      </c>
      <c r="BZ105" s="431">
        <v>0</v>
      </c>
      <c r="CA105" s="431">
        <v>0</v>
      </c>
      <c r="CB105" s="431">
        <v>0</v>
      </c>
      <c r="CC105" s="432"/>
      <c r="CD105" s="428">
        <v>41863.539550347225</v>
      </c>
      <c r="CE105" s="433">
        <v>0.30887516912936769</v>
      </c>
      <c r="CF105" s="433">
        <v>0.21465334314226731</v>
      </c>
      <c r="CG105" s="433">
        <v>0.17822376316137725</v>
      </c>
      <c r="CH105" s="433">
        <v>0.1804430703502535</v>
      </c>
      <c r="CI105" s="433">
        <v>0.1647718856491506</v>
      </c>
      <c r="CJ105" s="433">
        <v>0.27010074318834371</v>
      </c>
      <c r="CK105" s="433">
        <v>0.26007046015078716</v>
      </c>
      <c r="CL105" s="433">
        <v>0.2795059670458605</v>
      </c>
      <c r="CM105" s="433">
        <v>0.2017515561404124</v>
      </c>
      <c r="CN105" s="433">
        <v>0.20249405129474354</v>
      </c>
      <c r="CO105" s="433">
        <v>0.62842859560263786</v>
      </c>
      <c r="CP105" s="433">
        <v>0.66510138936101393</v>
      </c>
      <c r="CQ105" s="433">
        <v>0.70349513193076929</v>
      </c>
      <c r="CR105" s="433">
        <v>0.39067782389425465</v>
      </c>
      <c r="CS105" s="433">
        <v>0.39443520669059223</v>
      </c>
      <c r="CT105" s="433">
        <v>0.447221292916757</v>
      </c>
      <c r="CU105" s="433">
        <v>0.3622790598707698</v>
      </c>
      <c r="CV105" s="433">
        <v>0.47604249083347333</v>
      </c>
      <c r="CW105" s="433">
        <v>0.4759898508915783</v>
      </c>
      <c r="CX105" s="433">
        <v>0.4007797062399322</v>
      </c>
      <c r="CY105" s="433">
        <v>0.40798711211863076</v>
      </c>
      <c r="CZ105" s="433">
        <v>0.29816004259848461</v>
      </c>
      <c r="DA105" s="433">
        <v>0.25104840798869349</v>
      </c>
      <c r="DB105" s="433">
        <v>0.80915490305662041</v>
      </c>
      <c r="DC105" s="433">
        <v>0.29816004259848461</v>
      </c>
      <c r="DD105" s="433">
        <v>0.25104840798869349</v>
      </c>
      <c r="DE105" s="433">
        <v>0.34680721234892764</v>
      </c>
      <c r="DF105" s="433">
        <v>0.40997005857291635</v>
      </c>
      <c r="DG105" s="433">
        <v>0.35850475717306551</v>
      </c>
      <c r="DH105" s="433">
        <v>0.35031031550396724</v>
      </c>
      <c r="DI105" s="433">
        <v>0</v>
      </c>
      <c r="DJ105" s="433">
        <v>0.33543004792329517</v>
      </c>
      <c r="DK105" s="433">
        <v>0.29332207405068994</v>
      </c>
      <c r="DL105" s="433">
        <v>0.2866175308668823</v>
      </c>
      <c r="DM105" s="433">
        <v>0.40997005857291635</v>
      </c>
      <c r="DN105" s="433">
        <v>0</v>
      </c>
      <c r="DO105" s="433">
        <v>0</v>
      </c>
      <c r="DP105" s="433">
        <v>0</v>
      </c>
      <c r="DR105" s="409" t="s">
        <v>855</v>
      </c>
      <c r="DS105" s="409" t="s">
        <v>2559</v>
      </c>
    </row>
    <row r="106" spans="2:123" s="1471" customFormat="1">
      <c r="B106" s="428">
        <v>41863.639306134261</v>
      </c>
      <c r="C106" s="429">
        <v>1.414949487502134</v>
      </c>
      <c r="D106" s="429">
        <v>1.4161380298605366</v>
      </c>
      <c r="E106" s="429">
        <v>1.4386625739975909</v>
      </c>
      <c r="F106" s="429">
        <v>1.3418664521964312</v>
      </c>
      <c r="G106" s="429">
        <v>1.4485923143155475</v>
      </c>
      <c r="H106" s="429">
        <v>1.3929235535242075</v>
      </c>
      <c r="I106" s="429">
        <v>1.4438864894641779</v>
      </c>
      <c r="J106" s="429">
        <v>1.4955312409583632</v>
      </c>
      <c r="K106" s="429">
        <v>1.3747153460073445</v>
      </c>
      <c r="L106" s="429">
        <v>1.4846320705425418</v>
      </c>
      <c r="M106" s="429">
        <v>1.2331237731132718</v>
      </c>
      <c r="N106" s="429">
        <v>1.2059858094480365</v>
      </c>
      <c r="O106" s="429">
        <v>1.0157321933473069</v>
      </c>
      <c r="P106" s="429">
        <v>1.1749546577261258</v>
      </c>
      <c r="Q106" s="429">
        <v>2974.9150857247432</v>
      </c>
      <c r="R106" s="429">
        <v>58.620312888337267</v>
      </c>
      <c r="S106" s="429">
        <v>62.990451888482824</v>
      </c>
      <c r="T106" s="429">
        <v>3207.7468850741598</v>
      </c>
      <c r="U106" s="429">
        <v>1801.5016297400066</v>
      </c>
      <c r="V106" s="429">
        <v>1903.2918247890505</v>
      </c>
      <c r="W106" s="429">
        <v>841.5498585216983</v>
      </c>
      <c r="X106" s="429">
        <v>51.35708612458464</v>
      </c>
      <c r="Y106" s="429">
        <v>52.180383213912478</v>
      </c>
      <c r="Z106" s="429">
        <v>53.593436658395255</v>
      </c>
      <c r="AA106" s="429">
        <v>59.286853965163623</v>
      </c>
      <c r="AB106" s="429">
        <v>59.96046067461365</v>
      </c>
      <c r="AC106" s="429">
        <v>67.17354084851678</v>
      </c>
      <c r="AD106" s="429">
        <v>3.2916174534734655</v>
      </c>
      <c r="AE106" s="429">
        <v>3.1463317505919983</v>
      </c>
      <c r="AF106" s="429">
        <v>3.0179355734431317</v>
      </c>
      <c r="AG106" s="429">
        <v>0</v>
      </c>
      <c r="AH106" s="429">
        <v>6.3746240736280404</v>
      </c>
      <c r="AI106" s="429">
        <v>6.0873063399532112</v>
      </c>
      <c r="AJ106" s="429">
        <v>6.2406007201534903</v>
      </c>
      <c r="AK106" s="429">
        <v>6.9986177589384662</v>
      </c>
      <c r="AL106" s="429">
        <v>0</v>
      </c>
      <c r="AM106" s="429">
        <v>0</v>
      </c>
      <c r="AN106" s="429">
        <v>0</v>
      </c>
      <c r="AO106" s="432"/>
      <c r="AP106" s="428">
        <v>41863.639306134261</v>
      </c>
      <c r="AQ106" s="431">
        <v>93.172247324211824</v>
      </c>
      <c r="AR106" s="431">
        <v>124.45777257919785</v>
      </c>
      <c r="AS106" s="431">
        <v>49.73790599282222</v>
      </c>
      <c r="AT106" s="431">
        <v>38.576496243151404</v>
      </c>
      <c r="AU106" s="431">
        <v>40.274890860254594</v>
      </c>
      <c r="AV106" s="431">
        <v>42.30182163627201</v>
      </c>
      <c r="AW106" s="431">
        <v>-4.1447431050655963</v>
      </c>
      <c r="AX106" s="431">
        <v>11.402464594714107</v>
      </c>
      <c r="AY106" s="431">
        <v>117.21242917456914</v>
      </c>
      <c r="AZ106" s="431">
        <v>-86.097740952110485</v>
      </c>
      <c r="BA106" s="431">
        <v>2.9991315317028273</v>
      </c>
      <c r="BB106" s="431">
        <v>2.2357748924139291</v>
      </c>
      <c r="BC106" s="431">
        <v>1.6018704942876465</v>
      </c>
      <c r="BD106" s="431">
        <v>79.860069425381681</v>
      </c>
      <c r="BE106" s="431">
        <v>363987.00342173217</v>
      </c>
      <c r="BF106" s="431">
        <v>8150.6104104205351</v>
      </c>
      <c r="BG106" s="431">
        <v>-3649.9383948837135</v>
      </c>
      <c r="BH106" s="431">
        <v>383153.50256660447</v>
      </c>
      <c r="BI106" s="431">
        <v>368792.32699982385</v>
      </c>
      <c r="BJ106" s="431">
        <v>-25240.852417206785</v>
      </c>
      <c r="BK106" s="431">
        <v>367895.0280125945</v>
      </c>
      <c r="BL106" s="431">
        <v>2982.8575261016122</v>
      </c>
      <c r="BM106" s="431">
        <v>-204.15247575886053</v>
      </c>
      <c r="BN106" s="431">
        <v>85.058281899025204</v>
      </c>
      <c r="BO106" s="431">
        <v>2440.5197940831367</v>
      </c>
      <c r="BP106" s="431">
        <v>-167.03384380270407</v>
      </c>
      <c r="BQ106" s="431">
        <v>1611.1783775878455</v>
      </c>
      <c r="BR106" s="431">
        <v>827.96964582598207</v>
      </c>
      <c r="BS106" s="431">
        <v>376.83447808234985</v>
      </c>
      <c r="BT106" s="431">
        <v>772.16301502069496</v>
      </c>
      <c r="BU106" s="431">
        <v>0</v>
      </c>
      <c r="BV106" s="431">
        <v>1269.6482864783561</v>
      </c>
      <c r="BW106" s="431">
        <v>570.18205667041025</v>
      </c>
      <c r="BX106" s="431">
        <v>1180.2035255991659</v>
      </c>
      <c r="BY106" s="431">
        <v>976.65252806027411</v>
      </c>
      <c r="BZ106" s="431">
        <v>0</v>
      </c>
      <c r="CA106" s="431">
        <v>0</v>
      </c>
      <c r="CB106" s="431">
        <v>0</v>
      </c>
      <c r="CC106" s="432"/>
      <c r="CD106" s="428">
        <v>41863.639306134261</v>
      </c>
      <c r="CE106" s="433">
        <v>0.30887516912936769</v>
      </c>
      <c r="CF106" s="433">
        <v>0.21465334314226731</v>
      </c>
      <c r="CG106" s="433">
        <v>0.17822376316137725</v>
      </c>
      <c r="CH106" s="433">
        <v>0.1804430703502535</v>
      </c>
      <c r="CI106" s="433">
        <v>0.1647718856491506</v>
      </c>
      <c r="CJ106" s="433">
        <v>0.27010074318834371</v>
      </c>
      <c r="CK106" s="433">
        <v>0.26007046015078716</v>
      </c>
      <c r="CL106" s="433">
        <v>0.2795059670458605</v>
      </c>
      <c r="CM106" s="433">
        <v>0.2017515561404124</v>
      </c>
      <c r="CN106" s="433">
        <v>0.20249405129474354</v>
      </c>
      <c r="CO106" s="433">
        <v>0.62842859560263786</v>
      </c>
      <c r="CP106" s="433">
        <v>0.66510138936101393</v>
      </c>
      <c r="CQ106" s="433">
        <v>0.70349513193076929</v>
      </c>
      <c r="CR106" s="433">
        <v>0.39067782389425465</v>
      </c>
      <c r="CS106" s="433">
        <v>0.39443520669059223</v>
      </c>
      <c r="CT106" s="433">
        <v>0.447221292916757</v>
      </c>
      <c r="CU106" s="433">
        <v>0.3622790598707698</v>
      </c>
      <c r="CV106" s="433">
        <v>0.47604249083347333</v>
      </c>
      <c r="CW106" s="433">
        <v>0.4759898508915783</v>
      </c>
      <c r="CX106" s="433">
        <v>0.4007797062399322</v>
      </c>
      <c r="CY106" s="433">
        <v>0.40798711211863076</v>
      </c>
      <c r="CZ106" s="433">
        <v>0.29816004259848461</v>
      </c>
      <c r="DA106" s="433">
        <v>0.25104840798869349</v>
      </c>
      <c r="DB106" s="433">
        <v>0.742578194815812</v>
      </c>
      <c r="DC106" s="433">
        <v>0.29816004259848461</v>
      </c>
      <c r="DD106" s="433">
        <v>0.25104840798869349</v>
      </c>
      <c r="DE106" s="433">
        <v>0.34680721234892764</v>
      </c>
      <c r="DF106" s="433">
        <v>0.40997005857291635</v>
      </c>
      <c r="DG106" s="433">
        <v>0.35850475717306551</v>
      </c>
      <c r="DH106" s="433">
        <v>0.35031031550396724</v>
      </c>
      <c r="DI106" s="433">
        <v>0</v>
      </c>
      <c r="DJ106" s="433">
        <v>0.33543004792329517</v>
      </c>
      <c r="DK106" s="433">
        <v>0.29332207405068994</v>
      </c>
      <c r="DL106" s="433">
        <v>0.2866175308668823</v>
      </c>
      <c r="DM106" s="433">
        <v>0.40997005857291635</v>
      </c>
      <c r="DN106" s="433">
        <v>0</v>
      </c>
      <c r="DO106" s="433">
        <v>0</v>
      </c>
      <c r="DP106" s="433">
        <v>0</v>
      </c>
      <c r="DR106" s="409" t="s">
        <v>855</v>
      </c>
      <c r="DS106" s="409" t="s">
        <v>2570</v>
      </c>
    </row>
    <row r="107" spans="2:123" s="1471" customFormat="1">
      <c r="B107" s="428">
        <v>41865.659741782409</v>
      </c>
      <c r="C107" s="429">
        <v>1.414949487502134</v>
      </c>
      <c r="D107" s="429">
        <v>1.4161380298605366</v>
      </c>
      <c r="E107" s="429">
        <v>1.4386625739975909</v>
      </c>
      <c r="F107" s="429">
        <v>1.3418664521964312</v>
      </c>
      <c r="G107" s="429">
        <v>1.4485923143155475</v>
      </c>
      <c r="H107" s="429">
        <v>1.3929235535242075</v>
      </c>
      <c r="I107" s="429">
        <v>1.4438864894641779</v>
      </c>
      <c r="J107" s="429">
        <v>1.4955312409583632</v>
      </c>
      <c r="K107" s="429">
        <v>1.3747153460073445</v>
      </c>
      <c r="L107" s="429">
        <v>1.4846320705425418</v>
      </c>
      <c r="M107" s="429">
        <v>1.2331237731132718</v>
      </c>
      <c r="N107" s="429">
        <v>1.2059858094480365</v>
      </c>
      <c r="O107" s="429">
        <v>1.0157321933473069</v>
      </c>
      <c r="P107" s="429">
        <v>1.1749546577261258</v>
      </c>
      <c r="Q107" s="429">
        <v>2974.9150857247432</v>
      </c>
      <c r="R107" s="429">
        <v>58.620312888337267</v>
      </c>
      <c r="S107" s="429">
        <v>62.990451888482824</v>
      </c>
      <c r="T107" s="429">
        <v>3207.7468850741598</v>
      </c>
      <c r="U107" s="429">
        <v>1801.5016297400066</v>
      </c>
      <c r="V107" s="429">
        <v>1903.2918247890505</v>
      </c>
      <c r="W107" s="429">
        <v>841.5498585216983</v>
      </c>
      <c r="X107" s="429">
        <v>51.35708612458464</v>
      </c>
      <c r="Y107" s="429">
        <v>52.180383213912478</v>
      </c>
      <c r="Z107" s="429">
        <v>53.593436658395255</v>
      </c>
      <c r="AA107" s="429">
        <v>59.286853965163623</v>
      </c>
      <c r="AB107" s="429">
        <v>59.96046067461365</v>
      </c>
      <c r="AC107" s="429">
        <v>67.17354084851678</v>
      </c>
      <c r="AD107" s="429">
        <v>3.2916174534734655</v>
      </c>
      <c r="AE107" s="429">
        <v>3.1463317505919983</v>
      </c>
      <c r="AF107" s="429">
        <v>3.1205872029651602</v>
      </c>
      <c r="AG107" s="429">
        <v>0</v>
      </c>
      <c r="AH107" s="429">
        <v>6.3746240736280404</v>
      </c>
      <c r="AI107" s="429">
        <v>6.0873063399532112</v>
      </c>
      <c r="AJ107" s="429">
        <v>6.3984417702195895</v>
      </c>
      <c r="AK107" s="429">
        <v>6.9986177589384662</v>
      </c>
      <c r="AL107" s="429">
        <v>0</v>
      </c>
      <c r="AM107" s="429">
        <v>0</v>
      </c>
      <c r="AN107" s="429">
        <v>0</v>
      </c>
      <c r="AO107" s="432"/>
      <c r="AP107" s="428">
        <v>41865.659741782409</v>
      </c>
      <c r="AQ107" s="431">
        <v>93.172247324211824</v>
      </c>
      <c r="AR107" s="431">
        <v>124.45777257919785</v>
      </c>
      <c r="AS107" s="431">
        <v>49.73790599282222</v>
      </c>
      <c r="AT107" s="431">
        <v>38.576496243151404</v>
      </c>
      <c r="AU107" s="431">
        <v>40.274890860254594</v>
      </c>
      <c r="AV107" s="431">
        <v>42.30182163627201</v>
      </c>
      <c r="AW107" s="431">
        <v>-4.1447431050655963</v>
      </c>
      <c r="AX107" s="431">
        <v>11.402464594714107</v>
      </c>
      <c r="AY107" s="431">
        <v>117.21242917456914</v>
      </c>
      <c r="AZ107" s="431">
        <v>-86.097740952110485</v>
      </c>
      <c r="BA107" s="431">
        <v>2.9991315317028273</v>
      </c>
      <c r="BB107" s="431">
        <v>2.2357748924139291</v>
      </c>
      <c r="BC107" s="431">
        <v>1.6018704942876465</v>
      </c>
      <c r="BD107" s="431">
        <v>79.860069425381681</v>
      </c>
      <c r="BE107" s="431">
        <v>363987.00342173217</v>
      </c>
      <c r="BF107" s="431">
        <v>8150.6104104205351</v>
      </c>
      <c r="BG107" s="431">
        <v>-3649.9383948837135</v>
      </c>
      <c r="BH107" s="431">
        <v>383153.50256660447</v>
      </c>
      <c r="BI107" s="431">
        <v>368792.32699982385</v>
      </c>
      <c r="BJ107" s="431">
        <v>-25240.852417206785</v>
      </c>
      <c r="BK107" s="431">
        <v>367895.0280125945</v>
      </c>
      <c r="BL107" s="431">
        <v>2982.8575261016122</v>
      </c>
      <c r="BM107" s="431">
        <v>-204.15247575886053</v>
      </c>
      <c r="BN107" s="431">
        <v>85.058281899025204</v>
      </c>
      <c r="BO107" s="431">
        <v>2440.5197940831367</v>
      </c>
      <c r="BP107" s="431">
        <v>-167.03384380270407</v>
      </c>
      <c r="BQ107" s="431">
        <v>1611.1783775878455</v>
      </c>
      <c r="BR107" s="431">
        <v>827.96964582598207</v>
      </c>
      <c r="BS107" s="431">
        <v>376.83447808234985</v>
      </c>
      <c r="BT107" s="431">
        <v>840.98729278657981</v>
      </c>
      <c r="BU107" s="431">
        <v>0</v>
      </c>
      <c r="BV107" s="431">
        <v>1269.6482864783561</v>
      </c>
      <c r="BW107" s="431">
        <v>570.18205667041025</v>
      </c>
      <c r="BX107" s="431">
        <v>1285.7755576466423</v>
      </c>
      <c r="BY107" s="431">
        <v>976.65252806027411</v>
      </c>
      <c r="BZ107" s="431">
        <v>0</v>
      </c>
      <c r="CA107" s="431">
        <v>0</v>
      </c>
      <c r="CB107" s="431">
        <v>0</v>
      </c>
      <c r="CC107" s="432"/>
      <c r="CD107" s="428">
        <v>41865.659741782409</v>
      </c>
      <c r="CE107" s="433">
        <v>0.30887516912936769</v>
      </c>
      <c r="CF107" s="433">
        <v>0.21465334314226731</v>
      </c>
      <c r="CG107" s="433">
        <v>0.17822376316137725</v>
      </c>
      <c r="CH107" s="433">
        <v>0.1804430703502535</v>
      </c>
      <c r="CI107" s="433">
        <v>0.1647718856491506</v>
      </c>
      <c r="CJ107" s="433">
        <v>0.27010074318834371</v>
      </c>
      <c r="CK107" s="433">
        <v>0.26007046015078716</v>
      </c>
      <c r="CL107" s="433">
        <v>0.2795059670458605</v>
      </c>
      <c r="CM107" s="433">
        <v>0.2017515561404124</v>
      </c>
      <c r="CN107" s="433">
        <v>0.20249405129474354</v>
      </c>
      <c r="CO107" s="433">
        <v>0.62842859560263786</v>
      </c>
      <c r="CP107" s="433">
        <v>0.66510138936101393</v>
      </c>
      <c r="CQ107" s="433">
        <v>0.70349513193076929</v>
      </c>
      <c r="CR107" s="433">
        <v>0.39067782389425465</v>
      </c>
      <c r="CS107" s="433">
        <v>0.39443520669059223</v>
      </c>
      <c r="CT107" s="433">
        <v>0.447221292916757</v>
      </c>
      <c r="CU107" s="433">
        <v>0.3622790598707698</v>
      </c>
      <c r="CV107" s="433">
        <v>0.47604249083347333</v>
      </c>
      <c r="CW107" s="433">
        <v>0.4759898508915783</v>
      </c>
      <c r="CX107" s="433">
        <v>0.4007797062399322</v>
      </c>
      <c r="CY107" s="433">
        <v>0.40798711211863076</v>
      </c>
      <c r="CZ107" s="433">
        <v>0.29816004259848461</v>
      </c>
      <c r="DA107" s="433">
        <v>0.25104840798869349</v>
      </c>
      <c r="DB107" s="433">
        <v>0.742578194815812</v>
      </c>
      <c r="DC107" s="433">
        <v>0.29816004259848461</v>
      </c>
      <c r="DD107" s="433">
        <v>0.25104840798869349</v>
      </c>
      <c r="DE107" s="433">
        <v>0.34680721234892764</v>
      </c>
      <c r="DF107" s="433">
        <v>0.40997005857291635</v>
      </c>
      <c r="DG107" s="433">
        <v>0.35850475717306551</v>
      </c>
      <c r="DH107" s="433">
        <v>0.32111778921197004</v>
      </c>
      <c r="DI107" s="433">
        <v>0</v>
      </c>
      <c r="DJ107" s="433">
        <v>0.33543004792329517</v>
      </c>
      <c r="DK107" s="433">
        <v>0.29332207405068994</v>
      </c>
      <c r="DL107" s="433">
        <v>0.26273273662797547</v>
      </c>
      <c r="DM107" s="433">
        <v>0.40997005857291635</v>
      </c>
      <c r="DN107" s="433">
        <v>0</v>
      </c>
      <c r="DO107" s="433">
        <v>0</v>
      </c>
      <c r="DP107" s="433">
        <v>0</v>
      </c>
      <c r="DR107" s="409" t="s">
        <v>2542</v>
      </c>
      <c r="DS107" s="409" t="s">
        <v>2576</v>
      </c>
    </row>
    <row r="108" spans="2:123" s="1471" customFormat="1">
      <c r="B108" s="428">
        <v>41871.526071643515</v>
      </c>
      <c r="C108" s="429">
        <v>1.414949487502134</v>
      </c>
      <c r="D108" s="429">
        <v>1.4161380298605366</v>
      </c>
      <c r="E108" s="429">
        <v>1.4386625739975909</v>
      </c>
      <c r="F108" s="429">
        <v>1.3418664521964312</v>
      </c>
      <c r="G108" s="429">
        <v>1.4485923143155475</v>
      </c>
      <c r="H108" s="429">
        <v>1.3929235535242075</v>
      </c>
      <c r="I108" s="429">
        <v>1.4438864894641779</v>
      </c>
      <c r="J108" s="429">
        <v>1.4955312409583632</v>
      </c>
      <c r="K108" s="429">
        <v>1.3747153460073445</v>
      </c>
      <c r="L108" s="429">
        <v>1.4846320705425418</v>
      </c>
      <c r="M108" s="429">
        <v>1.2331237731132718</v>
      </c>
      <c r="N108" s="429">
        <v>1.2059858094480365</v>
      </c>
      <c r="O108" s="429">
        <v>1.0157321933473069</v>
      </c>
      <c r="P108" s="429">
        <v>1.1749546577261258</v>
      </c>
      <c r="Q108" s="429">
        <v>2974.9150857247432</v>
      </c>
      <c r="R108" s="429">
        <v>58.620312888337267</v>
      </c>
      <c r="S108" s="429">
        <v>62.990451888482824</v>
      </c>
      <c r="T108" s="429">
        <v>3207.7468850741598</v>
      </c>
      <c r="U108" s="429">
        <v>1801.5016297400066</v>
      </c>
      <c r="V108" s="429">
        <v>1903.2918247890505</v>
      </c>
      <c r="W108" s="429">
        <v>841.5498585216983</v>
      </c>
      <c r="X108" s="429">
        <v>51.35708612458464</v>
      </c>
      <c r="Y108" s="429">
        <v>52.180383213912478</v>
      </c>
      <c r="Z108" s="429">
        <v>53.593436658395255</v>
      </c>
      <c r="AA108" s="429">
        <v>59.286853965163623</v>
      </c>
      <c r="AB108" s="429">
        <v>59.96046067461365</v>
      </c>
      <c r="AC108" s="429">
        <v>67.17354084851678</v>
      </c>
      <c r="AD108" s="429">
        <v>3.2916174534734655</v>
      </c>
      <c r="AE108" s="429">
        <v>3.1463317505919983</v>
      </c>
      <c r="AF108" s="429">
        <v>3.1205872029651602</v>
      </c>
      <c r="AG108" s="429">
        <v>3.4185401172072609</v>
      </c>
      <c r="AH108" s="429">
        <v>6.3746240736280404</v>
      </c>
      <c r="AI108" s="429">
        <v>6.0873063399532112</v>
      </c>
      <c r="AJ108" s="429">
        <v>6.3984417702195895</v>
      </c>
      <c r="AK108" s="429">
        <v>6.9986177589384662</v>
      </c>
      <c r="AL108" s="429">
        <v>0</v>
      </c>
      <c r="AM108" s="429">
        <v>0</v>
      </c>
      <c r="AN108" s="429">
        <v>0</v>
      </c>
      <c r="AO108" s="432"/>
      <c r="AP108" s="428">
        <v>41871.526071643515</v>
      </c>
      <c r="AQ108" s="431">
        <v>93.172247324211824</v>
      </c>
      <c r="AR108" s="431">
        <v>124.45777257919785</v>
      </c>
      <c r="AS108" s="431">
        <v>49.73790599282222</v>
      </c>
      <c r="AT108" s="431">
        <v>38.576496243151404</v>
      </c>
      <c r="AU108" s="431">
        <v>40.274890860254594</v>
      </c>
      <c r="AV108" s="431">
        <v>42.30182163627201</v>
      </c>
      <c r="AW108" s="431">
        <v>-4.1447431050655963</v>
      </c>
      <c r="AX108" s="431">
        <v>11.402464594714107</v>
      </c>
      <c r="AY108" s="431">
        <v>117.21242917456914</v>
      </c>
      <c r="AZ108" s="431">
        <v>-86.097740952110485</v>
      </c>
      <c r="BA108" s="431">
        <v>2.9991315317028273</v>
      </c>
      <c r="BB108" s="431">
        <v>2.2357748924139291</v>
      </c>
      <c r="BC108" s="431">
        <v>1.6018704942876465</v>
      </c>
      <c r="BD108" s="431">
        <v>79.860069425381681</v>
      </c>
      <c r="BE108" s="431">
        <v>363987.00342173217</v>
      </c>
      <c r="BF108" s="431">
        <v>8150.6104104205351</v>
      </c>
      <c r="BG108" s="431">
        <v>-3649.9383948837135</v>
      </c>
      <c r="BH108" s="431">
        <v>383153.50256660447</v>
      </c>
      <c r="BI108" s="431">
        <v>368792.32699982385</v>
      </c>
      <c r="BJ108" s="431">
        <v>-25240.852417206785</v>
      </c>
      <c r="BK108" s="431">
        <v>367895.0280125945</v>
      </c>
      <c r="BL108" s="431">
        <v>2982.8575261016122</v>
      </c>
      <c r="BM108" s="431">
        <v>-204.15247575886053</v>
      </c>
      <c r="BN108" s="431">
        <v>85.058281899025204</v>
      </c>
      <c r="BO108" s="431">
        <v>2440.5197940831367</v>
      </c>
      <c r="BP108" s="431">
        <v>-167.03384380270407</v>
      </c>
      <c r="BQ108" s="431">
        <v>1611.1783775878455</v>
      </c>
      <c r="BR108" s="431">
        <v>827.96964582598207</v>
      </c>
      <c r="BS108" s="431">
        <v>376.83447808234985</v>
      </c>
      <c r="BT108" s="431">
        <v>840.98729278657981</v>
      </c>
      <c r="BU108" s="431">
        <v>88.715059427366057</v>
      </c>
      <c r="BV108" s="431">
        <v>1269.6482864783561</v>
      </c>
      <c r="BW108" s="431">
        <v>570.18205667041025</v>
      </c>
      <c r="BX108" s="431">
        <v>1285.7755576466423</v>
      </c>
      <c r="BY108" s="431">
        <v>976.65252806027411</v>
      </c>
      <c r="BZ108" s="431">
        <v>0</v>
      </c>
      <c r="CA108" s="431">
        <v>0</v>
      </c>
      <c r="CB108" s="431">
        <v>0</v>
      </c>
      <c r="CC108" s="432"/>
      <c r="CD108" s="428">
        <v>41871.526071643515</v>
      </c>
      <c r="CE108" s="433">
        <v>0.30887516912936769</v>
      </c>
      <c r="CF108" s="433">
        <v>0.21465334314226731</v>
      </c>
      <c r="CG108" s="433">
        <v>0.17822376316137725</v>
      </c>
      <c r="CH108" s="433">
        <v>0.1804430703502535</v>
      </c>
      <c r="CI108" s="433">
        <v>0.1647718856491506</v>
      </c>
      <c r="CJ108" s="433">
        <v>0.27010074318834371</v>
      </c>
      <c r="CK108" s="433">
        <v>0.26007046015078716</v>
      </c>
      <c r="CL108" s="433">
        <v>0.2795059670458605</v>
      </c>
      <c r="CM108" s="433">
        <v>0.2017515561404124</v>
      </c>
      <c r="CN108" s="433">
        <v>0.20249405129474354</v>
      </c>
      <c r="CO108" s="433">
        <v>0.62842859560263786</v>
      </c>
      <c r="CP108" s="433">
        <v>0.66510138936101393</v>
      </c>
      <c r="CQ108" s="433">
        <v>0.70349513193076929</v>
      </c>
      <c r="CR108" s="433">
        <v>0.39067782389425465</v>
      </c>
      <c r="CS108" s="433">
        <v>0.39443520669059223</v>
      </c>
      <c r="CT108" s="433">
        <v>0.447221292916757</v>
      </c>
      <c r="CU108" s="433">
        <v>0.3622790598707698</v>
      </c>
      <c r="CV108" s="433">
        <v>0.47604249083347333</v>
      </c>
      <c r="CW108" s="433">
        <v>0.4759898508915783</v>
      </c>
      <c r="CX108" s="433">
        <v>0.4007797062399322</v>
      </c>
      <c r="CY108" s="433">
        <v>0.40798711211863076</v>
      </c>
      <c r="CZ108" s="433">
        <v>0.29816004259848461</v>
      </c>
      <c r="DA108" s="433">
        <v>0.25104840798869349</v>
      </c>
      <c r="DB108" s="433">
        <v>0.742578194815812</v>
      </c>
      <c r="DC108" s="433">
        <v>0.29816004259848461</v>
      </c>
      <c r="DD108" s="433">
        <v>0.25104840798869349</v>
      </c>
      <c r="DE108" s="433">
        <v>0.34680721234892764</v>
      </c>
      <c r="DF108" s="433">
        <v>0.40997005857291635</v>
      </c>
      <c r="DG108" s="433">
        <v>0.35850475717306551</v>
      </c>
      <c r="DH108" s="433">
        <v>0.32111778921197004</v>
      </c>
      <c r="DI108" s="433">
        <v>0.37098831221773337</v>
      </c>
      <c r="DJ108" s="433">
        <v>0.33543004792329517</v>
      </c>
      <c r="DK108" s="433">
        <v>0.29332207405068994</v>
      </c>
      <c r="DL108" s="433">
        <v>0.26273273662797547</v>
      </c>
      <c r="DM108" s="433">
        <v>0.40997005857291635</v>
      </c>
      <c r="DN108" s="433">
        <v>0</v>
      </c>
      <c r="DO108" s="433">
        <v>0</v>
      </c>
      <c r="DP108" s="433">
        <v>0</v>
      </c>
      <c r="DR108" s="409" t="s">
        <v>711</v>
      </c>
      <c r="DS108" s="409" t="s">
        <v>2579</v>
      </c>
    </row>
    <row r="109" spans="2:123" s="1471" customFormat="1">
      <c r="B109" s="428">
        <v>41871.625867476854</v>
      </c>
      <c r="C109" s="429">
        <v>1.415461503175574</v>
      </c>
      <c r="D109" s="429">
        <v>1.4161380298605366</v>
      </c>
      <c r="E109" s="429">
        <v>1.4386625739975909</v>
      </c>
      <c r="F109" s="429">
        <v>1.3418664521964312</v>
      </c>
      <c r="G109" s="429">
        <v>1.4485923143155475</v>
      </c>
      <c r="H109" s="429">
        <v>1.3929235535242075</v>
      </c>
      <c r="I109" s="429">
        <v>1.4438864894641779</v>
      </c>
      <c r="J109" s="429">
        <v>1.4955312409583632</v>
      </c>
      <c r="K109" s="429">
        <v>1.3747153460073445</v>
      </c>
      <c r="L109" s="429">
        <v>1.4846320705425418</v>
      </c>
      <c r="M109" s="429">
        <v>1.2331237731132718</v>
      </c>
      <c r="N109" s="429">
        <v>1.2059858094480365</v>
      </c>
      <c r="O109" s="429">
        <v>1.0157321933473069</v>
      </c>
      <c r="P109" s="429">
        <v>1.1749546577261258</v>
      </c>
      <c r="Q109" s="429">
        <v>2974.9150857247432</v>
      </c>
      <c r="R109" s="429">
        <v>58.620312888337267</v>
      </c>
      <c r="S109" s="429">
        <v>62.990451888482824</v>
      </c>
      <c r="T109" s="429">
        <v>3207.7468850741598</v>
      </c>
      <c r="U109" s="429">
        <v>1803.5747637613833</v>
      </c>
      <c r="V109" s="429">
        <v>1903.2918247890505</v>
      </c>
      <c r="W109" s="429">
        <v>841.6795383481367</v>
      </c>
      <c r="X109" s="429">
        <v>51.373853998983186</v>
      </c>
      <c r="Y109" s="429">
        <v>52.180383213912478</v>
      </c>
      <c r="Z109" s="429">
        <v>53.593436658395255</v>
      </c>
      <c r="AA109" s="429">
        <v>59.300573135126072</v>
      </c>
      <c r="AB109" s="429">
        <v>59.96046067461365</v>
      </c>
      <c r="AC109" s="429">
        <v>67.17354084851678</v>
      </c>
      <c r="AD109" s="429">
        <v>3.2962155355045812</v>
      </c>
      <c r="AE109" s="429">
        <v>3.1463317505919983</v>
      </c>
      <c r="AF109" s="429">
        <v>3.1205872029651602</v>
      </c>
      <c r="AG109" s="429">
        <v>3.4185401172072609</v>
      </c>
      <c r="AH109" s="429">
        <v>6.3816642677656059</v>
      </c>
      <c r="AI109" s="429">
        <v>6.0873063399532112</v>
      </c>
      <c r="AJ109" s="429">
        <v>6.3984417702195895</v>
      </c>
      <c r="AK109" s="429">
        <v>7.0040332928904396</v>
      </c>
      <c r="AL109" s="429">
        <v>0</v>
      </c>
      <c r="AM109" s="429">
        <v>0</v>
      </c>
      <c r="AN109" s="429">
        <v>0</v>
      </c>
      <c r="AO109" s="432"/>
      <c r="AP109" s="428">
        <v>41871.625867476854</v>
      </c>
      <c r="AQ109" s="431">
        <v>93.172247324211824</v>
      </c>
      <c r="AR109" s="431">
        <v>124.45777257919785</v>
      </c>
      <c r="AS109" s="431">
        <v>49.73790599282222</v>
      </c>
      <c r="AT109" s="431">
        <v>38.576496243151404</v>
      </c>
      <c r="AU109" s="431">
        <v>40.274890860254594</v>
      </c>
      <c r="AV109" s="431">
        <v>42.30182163627201</v>
      </c>
      <c r="AW109" s="431">
        <v>-4.1447431050655963</v>
      </c>
      <c r="AX109" s="431">
        <v>11.402464594714107</v>
      </c>
      <c r="AY109" s="431">
        <v>117.21242917456914</v>
      </c>
      <c r="AZ109" s="431">
        <v>-86.097740952110485</v>
      </c>
      <c r="BA109" s="431">
        <v>2.9991315317028273</v>
      </c>
      <c r="BB109" s="431">
        <v>2.2357748924139291</v>
      </c>
      <c r="BC109" s="431">
        <v>1.6018704942876465</v>
      </c>
      <c r="BD109" s="431">
        <v>79.860069425381681</v>
      </c>
      <c r="BE109" s="431">
        <v>363987.00342173217</v>
      </c>
      <c r="BF109" s="431">
        <v>8150.6104104205351</v>
      </c>
      <c r="BG109" s="431">
        <v>-3649.9383948837135</v>
      </c>
      <c r="BH109" s="431">
        <v>383153.50256660447</v>
      </c>
      <c r="BI109" s="431">
        <v>368792.32699982385</v>
      </c>
      <c r="BJ109" s="431">
        <v>-25240.852417206785</v>
      </c>
      <c r="BK109" s="431">
        <v>367895.0280125945</v>
      </c>
      <c r="BL109" s="431">
        <v>2982.8575261016122</v>
      </c>
      <c r="BM109" s="431">
        <v>-204.15247575886053</v>
      </c>
      <c r="BN109" s="431">
        <v>85.058281899025204</v>
      </c>
      <c r="BO109" s="431">
        <v>2440.5197940831367</v>
      </c>
      <c r="BP109" s="431">
        <v>-167.03384380270407</v>
      </c>
      <c r="BQ109" s="431">
        <v>1611.1783775878455</v>
      </c>
      <c r="BR109" s="431">
        <v>827.96964582598207</v>
      </c>
      <c r="BS109" s="431">
        <v>376.83447808234985</v>
      </c>
      <c r="BT109" s="431">
        <v>840.98729278657981</v>
      </c>
      <c r="BU109" s="431">
        <v>88.715059427366057</v>
      </c>
      <c r="BV109" s="431">
        <v>1269.6482864783561</v>
      </c>
      <c r="BW109" s="431">
        <v>570.18205667041025</v>
      </c>
      <c r="BX109" s="431">
        <v>1285.7755576466423</v>
      </c>
      <c r="BY109" s="431">
        <v>976.65252806027411</v>
      </c>
      <c r="BZ109" s="431">
        <v>0</v>
      </c>
      <c r="CA109" s="431">
        <v>0</v>
      </c>
      <c r="CB109" s="431">
        <v>0</v>
      </c>
      <c r="CC109" s="432"/>
      <c r="CD109" s="428">
        <v>41871.625867476854</v>
      </c>
      <c r="CE109" s="433">
        <v>0.30887516912936769</v>
      </c>
      <c r="CF109" s="433">
        <v>0.21465334314226731</v>
      </c>
      <c r="CG109" s="433">
        <v>0.17822376316137725</v>
      </c>
      <c r="CH109" s="433">
        <v>0.1804430703502535</v>
      </c>
      <c r="CI109" s="433">
        <v>0.1647718856491506</v>
      </c>
      <c r="CJ109" s="433">
        <v>0.27010074318834371</v>
      </c>
      <c r="CK109" s="433">
        <v>0.26007046015078716</v>
      </c>
      <c r="CL109" s="433">
        <v>0.2795059670458605</v>
      </c>
      <c r="CM109" s="433">
        <v>0.2017515561404124</v>
      </c>
      <c r="CN109" s="433">
        <v>0.20249405129474354</v>
      </c>
      <c r="CO109" s="433">
        <v>0.62842859560263786</v>
      </c>
      <c r="CP109" s="433">
        <v>0.66510138936101393</v>
      </c>
      <c r="CQ109" s="433">
        <v>0.70349513193076929</v>
      </c>
      <c r="CR109" s="433">
        <v>0.39067782389425465</v>
      </c>
      <c r="CS109" s="433">
        <v>0.39443520669059223</v>
      </c>
      <c r="CT109" s="433">
        <v>0.447221292916757</v>
      </c>
      <c r="CU109" s="433">
        <v>0.3622790598707698</v>
      </c>
      <c r="CV109" s="433">
        <v>0.47604249083347333</v>
      </c>
      <c r="CW109" s="433">
        <v>0.4759898508915783</v>
      </c>
      <c r="CX109" s="433">
        <v>0.4007797062399322</v>
      </c>
      <c r="CY109" s="433">
        <v>0.40798711211863076</v>
      </c>
      <c r="CZ109" s="433">
        <v>0.29816004259848461</v>
      </c>
      <c r="DA109" s="433">
        <v>0.25104840798869349</v>
      </c>
      <c r="DB109" s="433">
        <v>0.742578194815812</v>
      </c>
      <c r="DC109" s="433">
        <v>0.29816004259848461</v>
      </c>
      <c r="DD109" s="433">
        <v>0.25104840798869349</v>
      </c>
      <c r="DE109" s="433">
        <v>0.34680721234892764</v>
      </c>
      <c r="DF109" s="433">
        <v>0.40997005857291635</v>
      </c>
      <c r="DG109" s="433">
        <v>0.35850475717306551</v>
      </c>
      <c r="DH109" s="433">
        <v>0.32111778921197004</v>
      </c>
      <c r="DI109" s="433">
        <v>0.37098831221773337</v>
      </c>
      <c r="DJ109" s="433">
        <v>0.33543004792329517</v>
      </c>
      <c r="DK109" s="433">
        <v>0.29332207405068994</v>
      </c>
      <c r="DL109" s="433">
        <v>0.26273273662797547</v>
      </c>
      <c r="DM109" s="433">
        <v>0.40997005857291635</v>
      </c>
      <c r="DN109" s="433">
        <v>0</v>
      </c>
      <c r="DO109" s="433">
        <v>0</v>
      </c>
      <c r="DP109" s="433">
        <v>0</v>
      </c>
      <c r="DR109" s="409" t="s">
        <v>711</v>
      </c>
      <c r="DS109" s="409" t="s">
        <v>2609</v>
      </c>
    </row>
    <row r="110" spans="2:123" s="1471" customFormat="1">
      <c r="B110" s="428">
        <v>41880.500337152778</v>
      </c>
      <c r="C110" s="429">
        <v>1.415461503175574</v>
      </c>
      <c r="D110" s="429">
        <v>1.4161380298605366</v>
      </c>
      <c r="E110" s="429">
        <v>1.4386625739975909</v>
      </c>
      <c r="F110" s="429">
        <v>1.3418664521964312</v>
      </c>
      <c r="G110" s="429">
        <v>1.4485923143155475</v>
      </c>
      <c r="H110" s="429">
        <v>1.3929235535242075</v>
      </c>
      <c r="I110" s="429">
        <v>1.4438864894641779</v>
      </c>
      <c r="J110" s="429">
        <v>1.4955312409583632</v>
      </c>
      <c r="K110" s="429">
        <v>1.3747153460073445</v>
      </c>
      <c r="L110" s="429">
        <v>1.4846320705425418</v>
      </c>
      <c r="M110" s="429">
        <v>1.2331237731132718</v>
      </c>
      <c r="N110" s="429">
        <v>1.2059858094480365</v>
      </c>
      <c r="O110" s="429">
        <v>1.0157321933473069</v>
      </c>
      <c r="P110" s="429">
        <v>1.1749546577261258</v>
      </c>
      <c r="Q110" s="429">
        <v>2974.9150857247432</v>
      </c>
      <c r="R110" s="429">
        <v>58.620312888337267</v>
      </c>
      <c r="S110" s="429">
        <v>62.990451888482824</v>
      </c>
      <c r="T110" s="429">
        <v>3207.7468850741598</v>
      </c>
      <c r="U110" s="429">
        <v>1064.9710494169183</v>
      </c>
      <c r="V110" s="429">
        <v>1164.6881104445854</v>
      </c>
      <c r="W110" s="429">
        <v>841.6795383481367</v>
      </c>
      <c r="X110" s="429">
        <v>51.373853998983186</v>
      </c>
      <c r="Y110" s="429">
        <v>52.180383213912478</v>
      </c>
      <c r="Z110" s="429">
        <v>53.593436658395255</v>
      </c>
      <c r="AA110" s="429">
        <v>59.300573135126072</v>
      </c>
      <c r="AB110" s="429">
        <v>59.96046067461365</v>
      </c>
      <c r="AC110" s="429">
        <v>67.17354084851678</v>
      </c>
      <c r="AD110" s="429">
        <v>3.2962155355045812</v>
      </c>
      <c r="AE110" s="429">
        <v>3.1463317505919983</v>
      </c>
      <c r="AF110" s="429">
        <v>3.1205872029651602</v>
      </c>
      <c r="AG110" s="429">
        <v>3.4185401172072609</v>
      </c>
      <c r="AH110" s="429">
        <v>6.3816642677656059</v>
      </c>
      <c r="AI110" s="429">
        <v>6.0873063399532112</v>
      </c>
      <c r="AJ110" s="429">
        <v>6.3984417702195895</v>
      </c>
      <c r="AK110" s="429">
        <v>7.0040332928904396</v>
      </c>
      <c r="AL110" s="429">
        <v>0</v>
      </c>
      <c r="AM110" s="429">
        <v>0</v>
      </c>
      <c r="AN110" s="429">
        <v>0</v>
      </c>
      <c r="AO110" s="432"/>
      <c r="AP110" s="428">
        <v>41880.500337152778</v>
      </c>
      <c r="AQ110" s="431">
        <v>93.172247324211824</v>
      </c>
      <c r="AR110" s="431">
        <v>124.45777257919785</v>
      </c>
      <c r="AS110" s="431">
        <v>49.73790599282222</v>
      </c>
      <c r="AT110" s="431">
        <v>38.576496243151404</v>
      </c>
      <c r="AU110" s="431">
        <v>40.274890860254594</v>
      </c>
      <c r="AV110" s="431">
        <v>42.30182163627201</v>
      </c>
      <c r="AW110" s="431">
        <v>-4.1447431050655963</v>
      </c>
      <c r="AX110" s="431">
        <v>11.402464594714107</v>
      </c>
      <c r="AY110" s="431">
        <v>117.21242917456914</v>
      </c>
      <c r="AZ110" s="431">
        <v>-86.097740952110485</v>
      </c>
      <c r="BA110" s="431">
        <v>2.9991315317028273</v>
      </c>
      <c r="BB110" s="431">
        <v>2.2357748924139291</v>
      </c>
      <c r="BC110" s="431">
        <v>1.6018704942876465</v>
      </c>
      <c r="BD110" s="431">
        <v>79.860069425381681</v>
      </c>
      <c r="BE110" s="431">
        <v>363987.00342173217</v>
      </c>
      <c r="BF110" s="431">
        <v>8150.6104104205351</v>
      </c>
      <c r="BG110" s="431">
        <v>-3649.9383948837135</v>
      </c>
      <c r="BH110" s="431">
        <v>383153.50256660447</v>
      </c>
      <c r="BI110" s="431">
        <v>368792.32699982385</v>
      </c>
      <c r="BJ110" s="431">
        <v>-25240.852417206785</v>
      </c>
      <c r="BK110" s="431">
        <v>367895.0280125945</v>
      </c>
      <c r="BL110" s="431">
        <v>2982.8575261016122</v>
      </c>
      <c r="BM110" s="431">
        <v>-204.15247575886053</v>
      </c>
      <c r="BN110" s="431">
        <v>85.058281899025204</v>
      </c>
      <c r="BO110" s="431">
        <v>2440.5197940831367</v>
      </c>
      <c r="BP110" s="431">
        <v>-167.03384380270407</v>
      </c>
      <c r="BQ110" s="431">
        <v>1611.1783775878455</v>
      </c>
      <c r="BR110" s="431">
        <v>827.96964582598207</v>
      </c>
      <c r="BS110" s="431">
        <v>376.83447808234985</v>
      </c>
      <c r="BT110" s="431">
        <v>840.98729278657981</v>
      </c>
      <c r="BU110" s="431">
        <v>88.715059427366057</v>
      </c>
      <c r="BV110" s="431">
        <v>1269.6482864783561</v>
      </c>
      <c r="BW110" s="431">
        <v>570.18205667041025</v>
      </c>
      <c r="BX110" s="431">
        <v>1285.7755576466423</v>
      </c>
      <c r="BY110" s="431">
        <v>976.65252806027411</v>
      </c>
      <c r="BZ110" s="431">
        <v>0</v>
      </c>
      <c r="CA110" s="431">
        <v>0</v>
      </c>
      <c r="CB110" s="431">
        <v>0</v>
      </c>
      <c r="CC110" s="432"/>
      <c r="CD110" s="428">
        <v>41880.500337152778</v>
      </c>
      <c r="CE110" s="433">
        <v>0.30887516912936769</v>
      </c>
      <c r="CF110" s="433">
        <v>0.21465334314226731</v>
      </c>
      <c r="CG110" s="433">
        <v>0.17822376316137725</v>
      </c>
      <c r="CH110" s="433">
        <v>0.1804430703502535</v>
      </c>
      <c r="CI110" s="433">
        <v>0.1647718856491506</v>
      </c>
      <c r="CJ110" s="433">
        <v>0.27010074318834371</v>
      </c>
      <c r="CK110" s="433">
        <v>0.26007046015078716</v>
      </c>
      <c r="CL110" s="433">
        <v>0.2795059670458605</v>
      </c>
      <c r="CM110" s="433">
        <v>0.2017515561404124</v>
      </c>
      <c r="CN110" s="433">
        <v>0.20249405129474354</v>
      </c>
      <c r="CO110" s="433">
        <v>0.62842859560263786</v>
      </c>
      <c r="CP110" s="433">
        <v>0.66510138936101393</v>
      </c>
      <c r="CQ110" s="433">
        <v>0.70349513193076929</v>
      </c>
      <c r="CR110" s="433">
        <v>0.39067782389425465</v>
      </c>
      <c r="CS110" s="433">
        <v>0.39443520669059223</v>
      </c>
      <c r="CT110" s="433">
        <v>0.447221292916757</v>
      </c>
      <c r="CU110" s="433">
        <v>0.3622790598707698</v>
      </c>
      <c r="CV110" s="433">
        <v>0.47604249083347333</v>
      </c>
      <c r="CW110" s="433">
        <v>0.4759898508915783</v>
      </c>
      <c r="CX110" s="433">
        <v>0.4007797062399322</v>
      </c>
      <c r="CY110" s="433">
        <v>0.40798711211863076</v>
      </c>
      <c r="CZ110" s="433">
        <v>0.29816004259848461</v>
      </c>
      <c r="DA110" s="433">
        <v>0.25104840798869349</v>
      </c>
      <c r="DB110" s="433">
        <v>0.742578194815812</v>
      </c>
      <c r="DC110" s="433">
        <v>0.29816004259848461</v>
      </c>
      <c r="DD110" s="433">
        <v>0.25104840798869349</v>
      </c>
      <c r="DE110" s="433">
        <v>0.34680721234892764</v>
      </c>
      <c r="DF110" s="433">
        <v>0.40997005857291635</v>
      </c>
      <c r="DG110" s="433">
        <v>0.35850475717306551</v>
      </c>
      <c r="DH110" s="433">
        <v>0.32111778921197004</v>
      </c>
      <c r="DI110" s="433">
        <v>0.37098831221773337</v>
      </c>
      <c r="DJ110" s="433">
        <v>0.33543004792329517</v>
      </c>
      <c r="DK110" s="433">
        <v>0.29332207405068994</v>
      </c>
      <c r="DL110" s="433">
        <v>0.26273273662797547</v>
      </c>
      <c r="DM110" s="433">
        <v>0.40997005857291635</v>
      </c>
      <c r="DN110" s="433">
        <v>0</v>
      </c>
      <c r="DO110" s="433">
        <v>0</v>
      </c>
      <c r="DP110" s="433">
        <v>0</v>
      </c>
      <c r="DR110" s="409" t="s">
        <v>711</v>
      </c>
      <c r="DS110" s="409" t="s">
        <v>2614</v>
      </c>
    </row>
    <row r="111" spans="2:123" s="1471" customFormat="1">
      <c r="B111" s="428">
        <v>41885.474673032404</v>
      </c>
      <c r="C111" s="429">
        <v>1.415461503175574</v>
      </c>
      <c r="D111" s="429">
        <v>1.4161380298605366</v>
      </c>
      <c r="E111" s="429">
        <v>1.4386625739975909</v>
      </c>
      <c r="F111" s="429">
        <v>1.3418664521964312</v>
      </c>
      <c r="G111" s="429">
        <v>1.4485923143155475</v>
      </c>
      <c r="H111" s="429">
        <v>1.3929235535242075</v>
      </c>
      <c r="I111" s="429">
        <v>1.4438864894641779</v>
      </c>
      <c r="J111" s="429">
        <v>1.4955312409583632</v>
      </c>
      <c r="K111" s="429">
        <v>1.3747153460073445</v>
      </c>
      <c r="L111" s="429">
        <v>1.4846320705425418</v>
      </c>
      <c r="M111" s="429">
        <v>1.2331237731132718</v>
      </c>
      <c r="N111" s="429">
        <v>1.2059858094480365</v>
      </c>
      <c r="O111" s="429">
        <v>1.0157321933473069</v>
      </c>
      <c r="P111" s="429">
        <v>1.1749546577261258</v>
      </c>
      <c r="Q111" s="429">
        <v>1088.5718330291484</v>
      </c>
      <c r="R111" s="429">
        <v>58.620312888337267</v>
      </c>
      <c r="S111" s="429">
        <v>62.990451888482824</v>
      </c>
      <c r="T111" s="429">
        <v>2788.4411690644465</v>
      </c>
      <c r="U111" s="429">
        <v>1474.9701244329908</v>
      </c>
      <c r="V111" s="429">
        <v>1574.8121725875444</v>
      </c>
      <c r="W111" s="429">
        <v>1045.6341591419227</v>
      </c>
      <c r="X111" s="429">
        <v>51.373853998983186</v>
      </c>
      <c r="Y111" s="429">
        <v>52.180383213912478</v>
      </c>
      <c r="Z111" s="429">
        <v>53.593436658395255</v>
      </c>
      <c r="AA111" s="429">
        <v>59.300573135126072</v>
      </c>
      <c r="AB111" s="429">
        <v>59.96046067461365</v>
      </c>
      <c r="AC111" s="429">
        <v>67.17354084851678</v>
      </c>
      <c r="AD111" s="429">
        <v>8.4119719540702942</v>
      </c>
      <c r="AE111" s="429">
        <v>8.2059845037407033</v>
      </c>
      <c r="AF111" s="429">
        <v>8.2128786973915417</v>
      </c>
      <c r="AG111" s="429">
        <v>8.5708972738642313</v>
      </c>
      <c r="AH111" s="429">
        <v>8.1544888894060232</v>
      </c>
      <c r="AI111" s="429">
        <v>7.8939508086188823</v>
      </c>
      <c r="AJ111" s="429">
        <v>8.0527622745139755</v>
      </c>
      <c r="AK111" s="429">
        <v>8.9953143756635932</v>
      </c>
      <c r="AL111" s="429">
        <v>0</v>
      </c>
      <c r="AM111" s="429">
        <v>0</v>
      </c>
      <c r="AN111" s="429">
        <v>0</v>
      </c>
      <c r="AO111" s="432"/>
      <c r="AP111" s="428">
        <v>41885.474673032404</v>
      </c>
      <c r="AQ111" s="431">
        <v>93.172247324211824</v>
      </c>
      <c r="AR111" s="431">
        <v>124.45777257919785</v>
      </c>
      <c r="AS111" s="431">
        <v>49.73790599282222</v>
      </c>
      <c r="AT111" s="431">
        <v>38.576496243151404</v>
      </c>
      <c r="AU111" s="431">
        <v>40.274890860254594</v>
      </c>
      <c r="AV111" s="431">
        <v>42.30182163627201</v>
      </c>
      <c r="AW111" s="431">
        <v>-4.1447431050655963</v>
      </c>
      <c r="AX111" s="431">
        <v>11.402464594714107</v>
      </c>
      <c r="AY111" s="431">
        <v>117.21242917456914</v>
      </c>
      <c r="AZ111" s="431">
        <v>-86.097740952110485</v>
      </c>
      <c r="BA111" s="431">
        <v>2.9991315317028273</v>
      </c>
      <c r="BB111" s="431">
        <v>2.2357748924139291</v>
      </c>
      <c r="BC111" s="431">
        <v>1.6018704942876465</v>
      </c>
      <c r="BD111" s="431">
        <v>79.860069425381681</v>
      </c>
      <c r="BE111" s="431">
        <v>363987.00342173217</v>
      </c>
      <c r="BF111" s="431">
        <v>8150.6104104205351</v>
      </c>
      <c r="BG111" s="431">
        <v>-3649.9383948837135</v>
      </c>
      <c r="BH111" s="431">
        <v>383153.50256660447</v>
      </c>
      <c r="BI111" s="431">
        <v>368792.32699982385</v>
      </c>
      <c r="BJ111" s="431">
        <v>-25240.852417206785</v>
      </c>
      <c r="BK111" s="431">
        <v>384509.62807252165</v>
      </c>
      <c r="BL111" s="431">
        <v>2982.8575261016122</v>
      </c>
      <c r="BM111" s="431">
        <v>-204.15247575886053</v>
      </c>
      <c r="BN111" s="431">
        <v>85.058281899025204</v>
      </c>
      <c r="BO111" s="431">
        <v>2440.5197940831367</v>
      </c>
      <c r="BP111" s="431">
        <v>-167.03384380270407</v>
      </c>
      <c r="BQ111" s="431">
        <v>1611.1783775878455</v>
      </c>
      <c r="BR111" s="431">
        <v>1075.7064435535742</v>
      </c>
      <c r="BS111" s="431">
        <v>482.18257882076693</v>
      </c>
      <c r="BT111" s="431">
        <v>1092.6191006612519</v>
      </c>
      <c r="BU111" s="431">
        <v>115.25949235862826</v>
      </c>
      <c r="BV111" s="431">
        <v>1123.7738024999921</v>
      </c>
      <c r="BW111" s="431">
        <v>504.67177781891633</v>
      </c>
      <c r="BX111" s="431">
        <v>1138.0481531510704</v>
      </c>
      <c r="BY111" s="431">
        <v>864.44138653845528</v>
      </c>
      <c r="BZ111" s="431">
        <v>0</v>
      </c>
      <c r="CA111" s="431">
        <v>0</v>
      </c>
      <c r="CB111" s="431">
        <v>0</v>
      </c>
      <c r="CC111" s="432"/>
      <c r="CD111" s="428">
        <v>41885.474673032404</v>
      </c>
      <c r="CE111" s="433">
        <v>0.30887516912936769</v>
      </c>
      <c r="CF111" s="433">
        <v>0.21465334314226731</v>
      </c>
      <c r="CG111" s="433">
        <v>0.17822376316137725</v>
      </c>
      <c r="CH111" s="433">
        <v>0.1804430703502535</v>
      </c>
      <c r="CI111" s="433">
        <v>0.1647718856491506</v>
      </c>
      <c r="CJ111" s="433">
        <v>0.27010074318834371</v>
      </c>
      <c r="CK111" s="433">
        <v>0.26007046015078716</v>
      </c>
      <c r="CL111" s="433">
        <v>0.2795059670458605</v>
      </c>
      <c r="CM111" s="433">
        <v>0.2017515561404124</v>
      </c>
      <c r="CN111" s="433">
        <v>0.20249405129474354</v>
      </c>
      <c r="CO111" s="433">
        <v>0.62842859560263786</v>
      </c>
      <c r="CP111" s="433">
        <v>0.66510138936101393</v>
      </c>
      <c r="CQ111" s="433">
        <v>0.70349513193076929</v>
      </c>
      <c r="CR111" s="433">
        <v>0.39067782389425465</v>
      </c>
      <c r="CS111" s="433">
        <v>0.3741130180554797</v>
      </c>
      <c r="CT111" s="433">
        <v>0.447221292916757</v>
      </c>
      <c r="CU111" s="433">
        <v>0.3622790598707698</v>
      </c>
      <c r="CV111" s="433">
        <v>0.47428587647615433</v>
      </c>
      <c r="CW111" s="433">
        <v>0.45146578363252743</v>
      </c>
      <c r="CX111" s="433">
        <v>0.38013063472405745</v>
      </c>
      <c r="CY111" s="433">
        <v>0.40798711211863076</v>
      </c>
      <c r="CZ111" s="433">
        <v>0.29816004259848461</v>
      </c>
      <c r="DA111" s="433">
        <v>0.25104840798869349</v>
      </c>
      <c r="DB111" s="433">
        <v>0.742578194815812</v>
      </c>
      <c r="DC111" s="433">
        <v>0.29816004259848461</v>
      </c>
      <c r="DD111" s="433">
        <v>0.25104840798869349</v>
      </c>
      <c r="DE111" s="433">
        <v>0.34680721234892764</v>
      </c>
      <c r="DF111" s="433">
        <v>0.40997005857291635</v>
      </c>
      <c r="DG111" s="433">
        <v>0.35850475717306551</v>
      </c>
      <c r="DH111" s="433">
        <v>0.32111778921197004</v>
      </c>
      <c r="DI111" s="433">
        <v>0.37098831221773337</v>
      </c>
      <c r="DJ111" s="433">
        <v>0.33543004792329517</v>
      </c>
      <c r="DK111" s="433">
        <v>0.29332207405068994</v>
      </c>
      <c r="DL111" s="433">
        <v>0.26273273662797553</v>
      </c>
      <c r="DM111" s="433">
        <v>0.40997005857291635</v>
      </c>
      <c r="DN111" s="433">
        <v>0</v>
      </c>
      <c r="DO111" s="433">
        <v>0</v>
      </c>
      <c r="DP111" s="433">
        <v>0</v>
      </c>
      <c r="DR111" s="409" t="s">
        <v>2542</v>
      </c>
      <c r="DS111" s="409" t="s">
        <v>2640</v>
      </c>
    </row>
    <row r="112" spans="2:123" s="1471" customFormat="1">
      <c r="B112" s="428">
        <v>41891.467048495368</v>
      </c>
      <c r="C112" s="429">
        <v>1.415461503175574</v>
      </c>
      <c r="D112" s="429">
        <v>1.4161380298605366</v>
      </c>
      <c r="E112" s="429">
        <v>1.4386625739975909</v>
      </c>
      <c r="F112" s="429">
        <v>1.3418664521964312</v>
      </c>
      <c r="G112" s="429">
        <v>1.4485923143155475</v>
      </c>
      <c r="H112" s="429">
        <v>1.3929235535242075</v>
      </c>
      <c r="I112" s="429">
        <v>1.4438864894641779</v>
      </c>
      <c r="J112" s="429">
        <v>1.4955312409583632</v>
      </c>
      <c r="K112" s="429">
        <v>1.3747153460073445</v>
      </c>
      <c r="L112" s="429">
        <v>1.4846320705425418</v>
      </c>
      <c r="M112" s="429">
        <v>1.2331237731132718</v>
      </c>
      <c r="N112" s="429">
        <v>1.2059858094480365</v>
      </c>
      <c r="O112" s="429">
        <v>1.0277589581433375</v>
      </c>
      <c r="P112" s="429">
        <v>1.1749546577261258</v>
      </c>
      <c r="Q112" s="429">
        <v>1047.449613776047</v>
      </c>
      <c r="R112" s="429">
        <v>58.620312888337267</v>
      </c>
      <c r="S112" s="429">
        <v>62.990451888482824</v>
      </c>
      <c r="T112" s="429">
        <v>2788.4411690644465</v>
      </c>
      <c r="U112" s="429">
        <v>1474.9701244329908</v>
      </c>
      <c r="V112" s="429">
        <v>1574.8121725875444</v>
      </c>
      <c r="W112" s="429">
        <v>1045.6341591419225</v>
      </c>
      <c r="X112" s="429">
        <v>51.373853998983186</v>
      </c>
      <c r="Y112" s="429">
        <v>52.180383213912478</v>
      </c>
      <c r="Z112" s="429">
        <v>53.593436658395255</v>
      </c>
      <c r="AA112" s="429">
        <v>48.084482906474783</v>
      </c>
      <c r="AB112" s="429">
        <v>48.744370445962367</v>
      </c>
      <c r="AC112" s="429">
        <v>50.615969629314804</v>
      </c>
      <c r="AD112" s="429">
        <v>8.4119719540702942</v>
      </c>
      <c r="AE112" s="429">
        <v>8.2059845037407033</v>
      </c>
      <c r="AF112" s="429">
        <v>8.2128786973915417</v>
      </c>
      <c r="AG112" s="429">
        <v>8.5708972738642313</v>
      </c>
      <c r="AH112" s="429">
        <v>8.1544888894060232</v>
      </c>
      <c r="AI112" s="429">
        <v>7.8939508086188823</v>
      </c>
      <c r="AJ112" s="429">
        <v>8.0527622745139755</v>
      </c>
      <c r="AK112" s="429">
        <v>8.9953143756635932</v>
      </c>
      <c r="AL112" s="429">
        <v>1142.2972601627507</v>
      </c>
      <c r="AM112" s="429">
        <v>0</v>
      </c>
      <c r="AN112" s="429">
        <v>0</v>
      </c>
      <c r="AO112" s="432"/>
      <c r="AP112" s="428">
        <v>41891.467048495368</v>
      </c>
      <c r="AQ112" s="431">
        <v>93.172247324211824</v>
      </c>
      <c r="AR112" s="431">
        <v>124.45777257919785</v>
      </c>
      <c r="AS112" s="431">
        <v>49.73790599282222</v>
      </c>
      <c r="AT112" s="431">
        <v>38.576496243151404</v>
      </c>
      <c r="AU112" s="431">
        <v>40.274890860254594</v>
      </c>
      <c r="AV112" s="431">
        <v>42.30182163627201</v>
      </c>
      <c r="AW112" s="431">
        <v>-4.1447431050655963</v>
      </c>
      <c r="AX112" s="431">
        <v>11.402464594714107</v>
      </c>
      <c r="AY112" s="431">
        <v>117.21242917456914</v>
      </c>
      <c r="AZ112" s="431">
        <v>-86.097740952110485</v>
      </c>
      <c r="BA112" s="431">
        <v>2.9991315317028273</v>
      </c>
      <c r="BB112" s="431">
        <v>2.2357748924139291</v>
      </c>
      <c r="BC112" s="431">
        <v>1.6018704942876465</v>
      </c>
      <c r="BD112" s="431">
        <v>79.860069425381681</v>
      </c>
      <c r="BE112" s="431">
        <v>350344.2173708409</v>
      </c>
      <c r="BF112" s="431">
        <v>8150.6104104205351</v>
      </c>
      <c r="BG112" s="431">
        <v>-3649.9383948837135</v>
      </c>
      <c r="BH112" s="431">
        <v>383153.50256660447</v>
      </c>
      <c r="BI112" s="431">
        <v>368792.32699982385</v>
      </c>
      <c r="BJ112" s="431">
        <v>-25240.852417206785</v>
      </c>
      <c r="BK112" s="431">
        <v>384509.62807252159</v>
      </c>
      <c r="BL112" s="431">
        <v>2982.8575261016122</v>
      </c>
      <c r="BM112" s="431">
        <v>-204.15247575886053</v>
      </c>
      <c r="BN112" s="431">
        <v>85.058281899025204</v>
      </c>
      <c r="BO112" s="431">
        <v>2440.5197940831367</v>
      </c>
      <c r="BP112" s="431">
        <v>-167.03384380270407</v>
      </c>
      <c r="BQ112" s="431">
        <v>1862.7378583984048</v>
      </c>
      <c r="BR112" s="431">
        <v>1075.7064435535742</v>
      </c>
      <c r="BS112" s="431">
        <v>482.18257882076693</v>
      </c>
      <c r="BT112" s="431">
        <v>1092.6191006612519</v>
      </c>
      <c r="BU112" s="431">
        <v>115.25949235862826</v>
      </c>
      <c r="BV112" s="431">
        <v>1123.7738024999921</v>
      </c>
      <c r="BW112" s="431">
        <v>504.67177781891633</v>
      </c>
      <c r="BX112" s="431">
        <v>1138.0481531510704</v>
      </c>
      <c r="BY112" s="431">
        <v>864.44138653845528</v>
      </c>
      <c r="BZ112" s="431">
        <v>-23978.228500083274</v>
      </c>
      <c r="CA112" s="431">
        <v>0</v>
      </c>
      <c r="CB112" s="431">
        <v>0</v>
      </c>
      <c r="CC112" s="432"/>
      <c r="CD112" s="428">
        <v>41891.467048495368</v>
      </c>
      <c r="CE112" s="433">
        <v>0.30887516912936769</v>
      </c>
      <c r="CF112" s="433">
        <v>0.21465334314226731</v>
      </c>
      <c r="CG112" s="433">
        <v>0.17822376316137725</v>
      </c>
      <c r="CH112" s="433">
        <v>0.1804430703502535</v>
      </c>
      <c r="CI112" s="433">
        <v>0.1647718856491506</v>
      </c>
      <c r="CJ112" s="433">
        <v>0.27010074318834371</v>
      </c>
      <c r="CK112" s="433">
        <v>0.26007046015078716</v>
      </c>
      <c r="CL112" s="433">
        <v>0.2795059670458605</v>
      </c>
      <c r="CM112" s="433">
        <v>0.2017515561404124</v>
      </c>
      <c r="CN112" s="433">
        <v>0.20249405129474354</v>
      </c>
      <c r="CO112" s="433">
        <v>0.62842859560263786</v>
      </c>
      <c r="CP112" s="433">
        <v>0.66510138936101393</v>
      </c>
      <c r="CQ112" s="433">
        <v>0.70349513193076929</v>
      </c>
      <c r="CR112" s="433">
        <v>0.39067782389425465</v>
      </c>
      <c r="CS112" s="433">
        <v>0.37407164929552272</v>
      </c>
      <c r="CT112" s="433">
        <v>0.447221292916757</v>
      </c>
      <c r="CU112" s="433">
        <v>0.3622790598707698</v>
      </c>
      <c r="CV112" s="433">
        <v>0.47428587647615433</v>
      </c>
      <c r="CW112" s="433">
        <v>0.45146578363252743</v>
      </c>
      <c r="CX112" s="433">
        <v>0.38013063472405745</v>
      </c>
      <c r="CY112" s="433">
        <v>0.38191095173995354</v>
      </c>
      <c r="CZ112" s="433">
        <v>0.29816004259848461</v>
      </c>
      <c r="DA112" s="433">
        <v>0.25104840798869349</v>
      </c>
      <c r="DB112" s="433">
        <v>0.742578194815812</v>
      </c>
      <c r="DC112" s="433">
        <v>0.29816004259848461</v>
      </c>
      <c r="DD112" s="433">
        <v>0.25104840798869349</v>
      </c>
      <c r="DE112" s="433">
        <v>0.33514434285463313</v>
      </c>
      <c r="DF112" s="433">
        <v>0.40997005857291635</v>
      </c>
      <c r="DG112" s="433">
        <v>0.35850475717306551</v>
      </c>
      <c r="DH112" s="433">
        <v>0.32111778921197004</v>
      </c>
      <c r="DI112" s="433">
        <v>0.37098831221773337</v>
      </c>
      <c r="DJ112" s="433">
        <v>0.33543004792329517</v>
      </c>
      <c r="DK112" s="433">
        <v>0.29332207405068994</v>
      </c>
      <c r="DL112" s="433">
        <v>0.26273273662797553</v>
      </c>
      <c r="DM112" s="433">
        <v>0.40997005857291635</v>
      </c>
      <c r="DN112" s="433">
        <v>0.31496538305707616</v>
      </c>
      <c r="DO112" s="433">
        <v>0</v>
      </c>
      <c r="DP112" s="433">
        <v>0</v>
      </c>
      <c r="DR112" s="409" t="s">
        <v>2542</v>
      </c>
      <c r="DS112" s="409" t="s">
        <v>2651</v>
      </c>
    </row>
    <row r="113" spans="2:123" s="1471" customFormat="1">
      <c r="B113" s="428">
        <v>41892.354576388891</v>
      </c>
      <c r="C113" s="429">
        <v>1.3947343794086844</v>
      </c>
      <c r="D113" s="429">
        <v>1.3804303661707122</v>
      </c>
      <c r="E113" s="429">
        <v>1.4352738096190696</v>
      </c>
      <c r="F113" s="429">
        <v>1.3367730405672904</v>
      </c>
      <c r="G113" s="429">
        <v>1.455754167548567</v>
      </c>
      <c r="H113" s="429">
        <v>1.3836072704121016</v>
      </c>
      <c r="I113" s="429">
        <v>1.4658447177248117</v>
      </c>
      <c r="J113" s="429">
        <v>1.5074946451695646</v>
      </c>
      <c r="K113" s="429">
        <v>1.3725530970658921</v>
      </c>
      <c r="L113" s="429">
        <v>1.4944547612935977</v>
      </c>
      <c r="M113" s="429">
        <v>1.2312594410902891</v>
      </c>
      <c r="N113" s="429">
        <v>1.2018749699666502</v>
      </c>
      <c r="O113" s="429">
        <v>1.0257247468661854</v>
      </c>
      <c r="P113" s="429">
        <v>1.1628322274392531</v>
      </c>
      <c r="Q113" s="429">
        <v>973.07888736627854</v>
      </c>
      <c r="R113" s="429">
        <v>-18.382903249614081</v>
      </c>
      <c r="S113" s="429">
        <v>66.23960901446361</v>
      </c>
      <c r="T113" s="429">
        <v>2583.1776721116494</v>
      </c>
      <c r="U113" s="429">
        <v>1396.6832514280518</v>
      </c>
      <c r="V113" s="429">
        <v>1657.5070087265058</v>
      </c>
      <c r="W113" s="429">
        <v>1036.6696880675545</v>
      </c>
      <c r="X113" s="429">
        <v>50.740655932642035</v>
      </c>
      <c r="Y113" s="429">
        <v>52.849233665204416</v>
      </c>
      <c r="Z113" s="429">
        <v>53.820756303244501</v>
      </c>
      <c r="AA113" s="429">
        <v>47.566411761286567</v>
      </c>
      <c r="AB113" s="429">
        <v>49.291611724292153</v>
      </c>
      <c r="AC113" s="429">
        <v>50.548717824182361</v>
      </c>
      <c r="AD113" s="429">
        <v>8.1861914020121525</v>
      </c>
      <c r="AE113" s="429">
        <v>8.1047057887213327</v>
      </c>
      <c r="AF113" s="429">
        <v>8.1923838088797414</v>
      </c>
      <c r="AG113" s="429">
        <v>8.6965390018852293</v>
      </c>
      <c r="AH113" s="429">
        <v>7.9189530368024323</v>
      </c>
      <c r="AI113" s="429">
        <v>7.7882822519527775</v>
      </c>
      <c r="AJ113" s="429">
        <v>8.0314085839061704</v>
      </c>
      <c r="AK113" s="429">
        <v>8.8141329505839074</v>
      </c>
      <c r="AL113" s="429">
        <v>1220.8554500345488</v>
      </c>
      <c r="AM113" s="429">
        <v>0</v>
      </c>
      <c r="AN113" s="429">
        <v>0</v>
      </c>
      <c r="AO113" s="432"/>
      <c r="AP113" s="428">
        <v>41892.354576388891</v>
      </c>
      <c r="AQ113" s="431">
        <v>92.572377623261048</v>
      </c>
      <c r="AR113" s="431">
        <v>123.05398985210212</v>
      </c>
      <c r="AS113" s="431">
        <v>49.443111620132107</v>
      </c>
      <c r="AT113" s="431">
        <v>38.281701870461298</v>
      </c>
      <c r="AU113" s="431">
        <v>39.980096487564481</v>
      </c>
      <c r="AV113" s="431">
        <v>42.30182163627201</v>
      </c>
      <c r="AW113" s="431">
        <v>-4.1447431050655963</v>
      </c>
      <c r="AX113" s="431">
        <v>11.402464594714107</v>
      </c>
      <c r="AY113" s="431">
        <v>117.21242917456914</v>
      </c>
      <c r="AZ113" s="431">
        <v>-86.097740952110485</v>
      </c>
      <c r="BA113" s="431">
        <v>2.9991315317028273</v>
      </c>
      <c r="BB113" s="431">
        <v>2.2357748924139291</v>
      </c>
      <c r="BC113" s="431">
        <v>1.6018704942876465</v>
      </c>
      <c r="BD113" s="431">
        <v>78.961256817941361</v>
      </c>
      <c r="BE113" s="431">
        <v>348036.86392029474</v>
      </c>
      <c r="BF113" s="431">
        <v>2855.4545768100652</v>
      </c>
      <c r="BG113" s="431">
        <v>-3649.9383948837135</v>
      </c>
      <c r="BH113" s="431">
        <v>370960.23745503597</v>
      </c>
      <c r="BI113" s="431">
        <v>366363.47501355794</v>
      </c>
      <c r="BJ113" s="431">
        <v>-25240.852417206785</v>
      </c>
      <c r="BK113" s="431">
        <v>384357.69717911293</v>
      </c>
      <c r="BL113" s="431">
        <v>2963.2125419286526</v>
      </c>
      <c r="BM113" s="431">
        <v>-204.15247575886053</v>
      </c>
      <c r="BN113" s="431">
        <v>85.058281899025204</v>
      </c>
      <c r="BO113" s="431">
        <v>2424.446625214352</v>
      </c>
      <c r="BP113" s="431">
        <v>-167.03384380270407</v>
      </c>
      <c r="BQ113" s="431">
        <v>1861.4582111779214</v>
      </c>
      <c r="BR113" s="431">
        <v>1068.7075443222507</v>
      </c>
      <c r="BS113" s="431">
        <v>482.18257882076693</v>
      </c>
      <c r="BT113" s="431">
        <v>1092.6191006612519</v>
      </c>
      <c r="BU113" s="431">
        <v>115.25949235862826</v>
      </c>
      <c r="BV113" s="431">
        <v>1116.4732827700873</v>
      </c>
      <c r="BW113" s="431">
        <v>504.67177781891633</v>
      </c>
      <c r="BX113" s="431">
        <v>1138.0481531510704</v>
      </c>
      <c r="BY113" s="431">
        <v>858.82560213083627</v>
      </c>
      <c r="BZ113" s="431">
        <v>-23978.228500083274</v>
      </c>
      <c r="CA113" s="431">
        <v>0</v>
      </c>
      <c r="CB113" s="431">
        <v>0</v>
      </c>
      <c r="CC113" s="432"/>
      <c r="CD113" s="428">
        <v>41892.354576388891</v>
      </c>
      <c r="CE113" s="433">
        <v>0.30887516912936769</v>
      </c>
      <c r="CF113" s="433">
        <v>0.21465334314226731</v>
      </c>
      <c r="CG113" s="433">
        <v>0.17822376316137725</v>
      </c>
      <c r="CH113" s="433">
        <v>0.1804430703502535</v>
      </c>
      <c r="CI113" s="433">
        <v>0.1647718856491506</v>
      </c>
      <c r="CJ113" s="433">
        <v>0.27010074318834371</v>
      </c>
      <c r="CK113" s="433">
        <v>0.26007046015078716</v>
      </c>
      <c r="CL113" s="433">
        <v>0.2795059670458605</v>
      </c>
      <c r="CM113" s="433">
        <v>0.2017515561404124</v>
      </c>
      <c r="CN113" s="433">
        <v>0.20249405129474354</v>
      </c>
      <c r="CO113" s="433">
        <v>0.62842859560263786</v>
      </c>
      <c r="CP113" s="433">
        <v>0.66510138936101393</v>
      </c>
      <c r="CQ113" s="433">
        <v>0.70349513193076929</v>
      </c>
      <c r="CR113" s="433">
        <v>0.39067782389425465</v>
      </c>
      <c r="CS113" s="433">
        <v>0.37407164929552272</v>
      </c>
      <c r="CT113" s="433">
        <v>0.447221292916757</v>
      </c>
      <c r="CU113" s="433">
        <v>0.3622790598707698</v>
      </c>
      <c r="CV113" s="433">
        <v>0.47428587647615433</v>
      </c>
      <c r="CW113" s="433">
        <v>0.45146578363252743</v>
      </c>
      <c r="CX113" s="433">
        <v>0.38013063472405745</v>
      </c>
      <c r="CY113" s="433">
        <v>0.38191095173995354</v>
      </c>
      <c r="CZ113" s="433">
        <v>0.29816004259848461</v>
      </c>
      <c r="DA113" s="433">
        <v>0.25104840798869349</v>
      </c>
      <c r="DB113" s="433">
        <v>0.742578194815812</v>
      </c>
      <c r="DC113" s="433">
        <v>0.29816004259848461</v>
      </c>
      <c r="DD113" s="433">
        <v>0.25104840798869349</v>
      </c>
      <c r="DE113" s="433">
        <v>0.33514434285463313</v>
      </c>
      <c r="DF113" s="433">
        <v>0.40997005857291635</v>
      </c>
      <c r="DG113" s="433">
        <v>0.35850475717306551</v>
      </c>
      <c r="DH113" s="433">
        <v>0.32111778921197004</v>
      </c>
      <c r="DI113" s="433">
        <v>0.37098831221773337</v>
      </c>
      <c r="DJ113" s="433">
        <v>0.33543004792329517</v>
      </c>
      <c r="DK113" s="433">
        <v>0.29332207405068994</v>
      </c>
      <c r="DL113" s="433">
        <v>0.26273273662797553</v>
      </c>
      <c r="DM113" s="433">
        <v>0.40997005857291635</v>
      </c>
      <c r="DN113" s="433">
        <v>0.31496538305707616</v>
      </c>
      <c r="DO113" s="433">
        <v>0</v>
      </c>
      <c r="DP113" s="433">
        <v>0</v>
      </c>
      <c r="DR113" s="409" t="s">
        <v>2701</v>
      </c>
      <c r="DS113" s="409" t="s">
        <v>2702</v>
      </c>
    </row>
    <row r="114" spans="2:123" s="1471" customFormat="1">
      <c r="B114" s="428">
        <v>41892.480372800928</v>
      </c>
      <c r="C114" s="429">
        <v>1.4282732740986048</v>
      </c>
      <c r="D114" s="429">
        <v>1.4335251290055739</v>
      </c>
      <c r="E114" s="429">
        <v>1.4581087613112591</v>
      </c>
      <c r="F114" s="429">
        <v>1.3543642446022772</v>
      </c>
      <c r="G114" s="429">
        <v>1.4676716952136706</v>
      </c>
      <c r="H114" s="429">
        <v>1.3919975038002392</v>
      </c>
      <c r="I114" s="429">
        <v>1.4530063673524676</v>
      </c>
      <c r="J114" s="429">
        <v>1.5092931268905689</v>
      </c>
      <c r="K114" s="429">
        <v>1.3770169776863603</v>
      </c>
      <c r="L114" s="429">
        <v>1.4966746244406621</v>
      </c>
      <c r="M114" s="429">
        <v>1.2409437611541083</v>
      </c>
      <c r="N114" s="429">
        <v>1.2142934719598268</v>
      </c>
      <c r="O114" s="429">
        <v>1.0341443897409031</v>
      </c>
      <c r="P114" s="429">
        <v>1.1837214332143522</v>
      </c>
      <c r="Q114" s="429">
        <v>1093.4822084877933</v>
      </c>
      <c r="R114" s="429">
        <v>59.64602874631813</v>
      </c>
      <c r="S114" s="429">
        <v>63.047416086527129</v>
      </c>
      <c r="T114" s="429">
        <v>2824.7711457253549</v>
      </c>
      <c r="U114" s="429">
        <v>1523.4266619747964</v>
      </c>
      <c r="V114" s="429">
        <v>1608.9470428247403</v>
      </c>
      <c r="W114" s="429">
        <v>1058.1959297659796</v>
      </c>
      <c r="X114" s="429">
        <v>51.765779039482929</v>
      </c>
      <c r="Y114" s="429">
        <v>52.456472077847998</v>
      </c>
      <c r="Z114" s="429">
        <v>54.267833866431239</v>
      </c>
      <c r="AA114" s="429">
        <v>48.405148848701842</v>
      </c>
      <c r="AB114" s="429">
        <v>48.970261334636895</v>
      </c>
      <c r="AC114" s="429">
        <v>50.696127313735396</v>
      </c>
      <c r="AD114" s="429">
        <v>8.5518067592504128</v>
      </c>
      <c r="AE114" s="429">
        <v>8.19632747697346</v>
      </c>
      <c r="AF114" s="429">
        <v>8.2346947259497441</v>
      </c>
      <c r="AG114" s="429">
        <v>8.715282394397823</v>
      </c>
      <c r="AH114" s="429">
        <v>8.3003767510986926</v>
      </c>
      <c r="AI114" s="429">
        <v>7.8839044251509813</v>
      </c>
      <c r="AJ114" s="429">
        <v>8.0754924652078515</v>
      </c>
      <c r="AK114" s="429">
        <v>9.1075358077348785</v>
      </c>
      <c r="AL114" s="429">
        <v>1174.7246007627934</v>
      </c>
      <c r="AM114" s="429">
        <v>0</v>
      </c>
      <c r="AN114" s="429">
        <v>0</v>
      </c>
      <c r="AO114" s="432"/>
      <c r="AP114" s="428">
        <v>41892.480372800928</v>
      </c>
      <c r="AQ114" s="431">
        <v>93.172247324211824</v>
      </c>
      <c r="AR114" s="431">
        <v>124.45777257919785</v>
      </c>
      <c r="AS114" s="431">
        <v>49.73790599282222</v>
      </c>
      <c r="AT114" s="431">
        <v>38.576496243151404</v>
      </c>
      <c r="AU114" s="431">
        <v>40.274890860254594</v>
      </c>
      <c r="AV114" s="431">
        <v>42.30182163627201</v>
      </c>
      <c r="AW114" s="431">
        <v>-4.1447431050655963</v>
      </c>
      <c r="AX114" s="431">
        <v>11.402464594714107</v>
      </c>
      <c r="AY114" s="431">
        <v>117.21242917456914</v>
      </c>
      <c r="AZ114" s="431">
        <v>-86.097740952110485</v>
      </c>
      <c r="BA114" s="431">
        <v>2.9991315317028273</v>
      </c>
      <c r="BB114" s="431">
        <v>2.2357748924139291</v>
      </c>
      <c r="BC114" s="431">
        <v>1.6018704942876465</v>
      </c>
      <c r="BD114" s="431">
        <v>79.860069425381681</v>
      </c>
      <c r="BE114" s="431">
        <v>350344.2173708409</v>
      </c>
      <c r="BF114" s="431">
        <v>8150.6104104205242</v>
      </c>
      <c r="BG114" s="431">
        <v>-3649.9383948837135</v>
      </c>
      <c r="BH114" s="431">
        <v>383153.50256660447</v>
      </c>
      <c r="BI114" s="431">
        <v>368792.32699982385</v>
      </c>
      <c r="BJ114" s="431">
        <v>-25240.852417206785</v>
      </c>
      <c r="BK114" s="431">
        <v>384509.62807252159</v>
      </c>
      <c r="BL114" s="431">
        <v>2982.8575261016122</v>
      </c>
      <c r="BM114" s="431">
        <v>-204.15247575886053</v>
      </c>
      <c r="BN114" s="431">
        <v>85.058281899025204</v>
      </c>
      <c r="BO114" s="431">
        <v>2440.5197940831367</v>
      </c>
      <c r="BP114" s="431">
        <v>-167.03384380270407</v>
      </c>
      <c r="BQ114" s="431">
        <v>1862.7378583984048</v>
      </c>
      <c r="BR114" s="431">
        <v>1075.7064435535742</v>
      </c>
      <c r="BS114" s="431">
        <v>482.18257882076693</v>
      </c>
      <c r="BT114" s="431">
        <v>1092.6191006612519</v>
      </c>
      <c r="BU114" s="431">
        <v>115.25949235862826</v>
      </c>
      <c r="BV114" s="431">
        <v>1123.7738024999921</v>
      </c>
      <c r="BW114" s="431">
        <v>504.67177781891633</v>
      </c>
      <c r="BX114" s="431">
        <v>1138.0481531510704</v>
      </c>
      <c r="BY114" s="431">
        <v>864.44138653845528</v>
      </c>
      <c r="BZ114" s="431">
        <v>-23978.228500083274</v>
      </c>
      <c r="CA114" s="431">
        <v>0</v>
      </c>
      <c r="CB114" s="431">
        <v>0</v>
      </c>
      <c r="CC114" s="432"/>
      <c r="CD114" s="428">
        <v>41892.480372800928</v>
      </c>
      <c r="CE114" s="433">
        <v>0.30887516912936769</v>
      </c>
      <c r="CF114" s="433">
        <v>0.21465334314226731</v>
      </c>
      <c r="CG114" s="433">
        <v>0.17822376316137725</v>
      </c>
      <c r="CH114" s="433">
        <v>0.1804430703502535</v>
      </c>
      <c r="CI114" s="433">
        <v>0.1647718856491506</v>
      </c>
      <c r="CJ114" s="433">
        <v>0.27010074318834371</v>
      </c>
      <c r="CK114" s="433">
        <v>0.26007046015078716</v>
      </c>
      <c r="CL114" s="433">
        <v>0.2795059670458605</v>
      </c>
      <c r="CM114" s="433">
        <v>0.2017515561404124</v>
      </c>
      <c r="CN114" s="433">
        <v>0.20249405129474354</v>
      </c>
      <c r="CO114" s="433">
        <v>0.62842859560263786</v>
      </c>
      <c r="CP114" s="433">
        <v>0.66510138936101393</v>
      </c>
      <c r="CQ114" s="433">
        <v>0.70349513193076929</v>
      </c>
      <c r="CR114" s="433">
        <v>0.39067782389425465</v>
      </c>
      <c r="CS114" s="433">
        <v>0.37407164929552272</v>
      </c>
      <c r="CT114" s="433">
        <v>0.447221292916757</v>
      </c>
      <c r="CU114" s="433">
        <v>0.3622790598707698</v>
      </c>
      <c r="CV114" s="433">
        <v>0.47428587647615433</v>
      </c>
      <c r="CW114" s="433">
        <v>0.45146578363252743</v>
      </c>
      <c r="CX114" s="433">
        <v>0.38013063472405745</v>
      </c>
      <c r="CY114" s="433">
        <v>0.38191095173995354</v>
      </c>
      <c r="CZ114" s="433">
        <v>0.29816004259848461</v>
      </c>
      <c r="DA114" s="433">
        <v>0.25104840798869349</v>
      </c>
      <c r="DB114" s="433">
        <v>0.742578194815812</v>
      </c>
      <c r="DC114" s="433">
        <v>0.29816004259848461</v>
      </c>
      <c r="DD114" s="433">
        <v>0.25104840798869349</v>
      </c>
      <c r="DE114" s="433">
        <v>0.33514434285463313</v>
      </c>
      <c r="DF114" s="433">
        <v>0.40997005857291635</v>
      </c>
      <c r="DG114" s="433">
        <v>0.35850475717306551</v>
      </c>
      <c r="DH114" s="433">
        <v>0.32111778921197004</v>
      </c>
      <c r="DI114" s="433">
        <v>0.37098831221773337</v>
      </c>
      <c r="DJ114" s="433">
        <v>0.33543004792329517</v>
      </c>
      <c r="DK114" s="433">
        <v>0.29332207405068994</v>
      </c>
      <c r="DL114" s="433">
        <v>0.26273273662797553</v>
      </c>
      <c r="DM114" s="433">
        <v>0.40997005857291635</v>
      </c>
      <c r="DN114" s="433">
        <v>0.31496538305707616</v>
      </c>
      <c r="DO114" s="433">
        <v>0</v>
      </c>
      <c r="DP114" s="433">
        <v>0</v>
      </c>
      <c r="DR114" s="409" t="s">
        <v>2704</v>
      </c>
      <c r="DS114" s="409" t="s">
        <v>2705</v>
      </c>
    </row>
    <row r="115" spans="2:123" s="1471" customFormat="1">
      <c r="B115" s="428">
        <v>41892.605933680556</v>
      </c>
      <c r="C115" s="429">
        <v>1.4282732740986048</v>
      </c>
      <c r="D115" s="429">
        <v>1.4335251290055739</v>
      </c>
      <c r="E115" s="429">
        <v>1.4581087613112591</v>
      </c>
      <c r="F115" s="429">
        <v>1.3543642446022772</v>
      </c>
      <c r="G115" s="429">
        <v>1.4676716952136706</v>
      </c>
      <c r="H115" s="429">
        <v>1.3919975038002392</v>
      </c>
      <c r="I115" s="429">
        <v>1.4530063673524676</v>
      </c>
      <c r="J115" s="429">
        <v>1.5092931268905689</v>
      </c>
      <c r="K115" s="429">
        <v>1.3770169776863603</v>
      </c>
      <c r="L115" s="429">
        <v>1.4966746244406621</v>
      </c>
      <c r="M115" s="429">
        <v>1.2409437611541083</v>
      </c>
      <c r="N115" s="429">
        <v>1.2142934719598268</v>
      </c>
      <c r="O115" s="429">
        <v>1.0341443897409031</v>
      </c>
      <c r="P115" s="429">
        <v>1.1837214332143522</v>
      </c>
      <c r="Q115" s="429">
        <v>1093.4822084877933</v>
      </c>
      <c r="R115" s="429">
        <v>59.64602874631813</v>
      </c>
      <c r="S115" s="429">
        <v>63.047416086527129</v>
      </c>
      <c r="T115" s="429">
        <v>2824.7711457253549</v>
      </c>
      <c r="U115" s="429">
        <v>1523.4266619747964</v>
      </c>
      <c r="V115" s="429">
        <v>1608.9470428247403</v>
      </c>
      <c r="W115" s="429">
        <v>1058.1959297659796</v>
      </c>
      <c r="X115" s="429">
        <v>51.765779039482929</v>
      </c>
      <c r="Y115" s="429">
        <v>52.456472077847998</v>
      </c>
      <c r="Z115" s="429">
        <v>54.267833866431239</v>
      </c>
      <c r="AA115" s="429">
        <v>48.405148848701842</v>
      </c>
      <c r="AB115" s="429">
        <v>48.970261334636895</v>
      </c>
      <c r="AC115" s="429">
        <v>50.696127313735396</v>
      </c>
      <c r="AD115" s="429">
        <v>8.5518067592504128</v>
      </c>
      <c r="AE115" s="429">
        <v>8.19632747697346</v>
      </c>
      <c r="AF115" s="429">
        <v>8.2346947259497441</v>
      </c>
      <c r="AG115" s="429">
        <v>8.715282394397823</v>
      </c>
      <c r="AH115" s="429">
        <v>8.3003767510986926</v>
      </c>
      <c r="AI115" s="429">
        <v>7.8839044251509813</v>
      </c>
      <c r="AJ115" s="429">
        <v>8.0754924652078515</v>
      </c>
      <c r="AK115" s="429">
        <v>9.1075358077348785</v>
      </c>
      <c r="AL115" s="429">
        <v>1174.7246007627934</v>
      </c>
      <c r="AM115" s="429">
        <v>1.2740164611112845</v>
      </c>
      <c r="AN115" s="429">
        <v>0</v>
      </c>
      <c r="AO115" s="432"/>
      <c r="AP115" s="428">
        <v>41892.605933680556</v>
      </c>
      <c r="AQ115" s="431">
        <v>93.172247324211824</v>
      </c>
      <c r="AR115" s="431">
        <v>124.45777257919785</v>
      </c>
      <c r="AS115" s="431">
        <v>49.73790599282222</v>
      </c>
      <c r="AT115" s="431">
        <v>38.576496243151404</v>
      </c>
      <c r="AU115" s="431">
        <v>40.274890860254594</v>
      </c>
      <c r="AV115" s="431">
        <v>42.30182163627201</v>
      </c>
      <c r="AW115" s="431">
        <v>-4.1447431050655963</v>
      </c>
      <c r="AX115" s="431">
        <v>11.402464594714107</v>
      </c>
      <c r="AY115" s="431">
        <v>117.21242917456914</v>
      </c>
      <c r="AZ115" s="431">
        <v>-86.097740952110485</v>
      </c>
      <c r="BA115" s="431">
        <v>2.9991315317028273</v>
      </c>
      <c r="BB115" s="431">
        <v>2.2357748924139291</v>
      </c>
      <c r="BC115" s="431">
        <v>1.6018704942876465</v>
      </c>
      <c r="BD115" s="431">
        <v>79.860069425381681</v>
      </c>
      <c r="BE115" s="431">
        <v>350344.2173708409</v>
      </c>
      <c r="BF115" s="431">
        <v>8150.6104104205242</v>
      </c>
      <c r="BG115" s="431">
        <v>-3649.9383948837135</v>
      </c>
      <c r="BH115" s="431">
        <v>383153.50256660447</v>
      </c>
      <c r="BI115" s="431">
        <v>368792.32699982385</v>
      </c>
      <c r="BJ115" s="431">
        <v>-25240.852417206785</v>
      </c>
      <c r="BK115" s="431">
        <v>384509.62807252159</v>
      </c>
      <c r="BL115" s="431">
        <v>2982.8575261016122</v>
      </c>
      <c r="BM115" s="431">
        <v>-204.15247575886053</v>
      </c>
      <c r="BN115" s="431">
        <v>85.058281899025204</v>
      </c>
      <c r="BO115" s="431">
        <v>2440.5197940831367</v>
      </c>
      <c r="BP115" s="431">
        <v>-167.03384380270407</v>
      </c>
      <c r="BQ115" s="431">
        <v>1862.7378583984048</v>
      </c>
      <c r="BR115" s="431">
        <v>1075.7064435535742</v>
      </c>
      <c r="BS115" s="431">
        <v>482.18257882076693</v>
      </c>
      <c r="BT115" s="431">
        <v>1092.6191006612519</v>
      </c>
      <c r="BU115" s="431">
        <v>115.25949235862826</v>
      </c>
      <c r="BV115" s="431">
        <v>1123.7738024999921</v>
      </c>
      <c r="BW115" s="431">
        <v>504.67177781891633</v>
      </c>
      <c r="BX115" s="431">
        <v>1138.0481531510704</v>
      </c>
      <c r="BY115" s="431">
        <v>864.44138653845528</v>
      </c>
      <c r="BZ115" s="431">
        <v>-23978.228500083274</v>
      </c>
      <c r="CA115" s="431">
        <v>3.4958075476049197</v>
      </c>
      <c r="CB115" s="431">
        <v>0</v>
      </c>
      <c r="CC115" s="432"/>
      <c r="CD115" s="428">
        <v>41892.605933680556</v>
      </c>
      <c r="CE115" s="433">
        <v>0.30887516912936769</v>
      </c>
      <c r="CF115" s="433">
        <v>0.21465334314226731</v>
      </c>
      <c r="CG115" s="433">
        <v>0.17822376316137725</v>
      </c>
      <c r="CH115" s="433">
        <v>0.1804430703502535</v>
      </c>
      <c r="CI115" s="433">
        <v>0.1647718856491506</v>
      </c>
      <c r="CJ115" s="433">
        <v>0.27010074318834371</v>
      </c>
      <c r="CK115" s="433">
        <v>0.26007046015078716</v>
      </c>
      <c r="CL115" s="433">
        <v>0.2795059670458605</v>
      </c>
      <c r="CM115" s="433">
        <v>0.2017515561404124</v>
      </c>
      <c r="CN115" s="433">
        <v>0.20249405129474354</v>
      </c>
      <c r="CO115" s="433">
        <v>0.62842859560263786</v>
      </c>
      <c r="CP115" s="433">
        <v>0.66510138936101393</v>
      </c>
      <c r="CQ115" s="433">
        <v>0.70349513193076929</v>
      </c>
      <c r="CR115" s="433">
        <v>0.39067782389425465</v>
      </c>
      <c r="CS115" s="433">
        <v>0.37407164929552272</v>
      </c>
      <c r="CT115" s="433">
        <v>0.447221292916757</v>
      </c>
      <c r="CU115" s="433">
        <v>0.3622790598707698</v>
      </c>
      <c r="CV115" s="433">
        <v>0.47428587647615433</v>
      </c>
      <c r="CW115" s="433">
        <v>0.45146578363252743</v>
      </c>
      <c r="CX115" s="433">
        <v>0.38013063472405745</v>
      </c>
      <c r="CY115" s="433">
        <v>0.38191095173995354</v>
      </c>
      <c r="CZ115" s="433">
        <v>0.29816004259848461</v>
      </c>
      <c r="DA115" s="433">
        <v>0.25104840798869349</v>
      </c>
      <c r="DB115" s="433">
        <v>0.742578194815812</v>
      </c>
      <c r="DC115" s="433">
        <v>0.29816004259848461</v>
      </c>
      <c r="DD115" s="433">
        <v>0.25104840798869349</v>
      </c>
      <c r="DE115" s="433">
        <v>0.33514434285463313</v>
      </c>
      <c r="DF115" s="433">
        <v>0.40997005857291635</v>
      </c>
      <c r="DG115" s="433">
        <v>0.35850475717306551</v>
      </c>
      <c r="DH115" s="433">
        <v>0.32111778921197004</v>
      </c>
      <c r="DI115" s="433">
        <v>0.37098831221773337</v>
      </c>
      <c r="DJ115" s="433">
        <v>0.33543004792329517</v>
      </c>
      <c r="DK115" s="433">
        <v>0.29332207405068994</v>
      </c>
      <c r="DL115" s="433">
        <v>0.26273273662797553</v>
      </c>
      <c r="DM115" s="433">
        <v>0.40997005857291635</v>
      </c>
      <c r="DN115" s="433">
        <v>0.31496538305707616</v>
      </c>
      <c r="DO115" s="433">
        <v>0.47682248462293253</v>
      </c>
      <c r="DP115" s="433">
        <v>0</v>
      </c>
      <c r="DR115" s="409" t="s">
        <v>2542</v>
      </c>
      <c r="DS115" s="409" t="s">
        <v>2716</v>
      </c>
    </row>
    <row r="116" spans="2:123" s="1471" customFormat="1">
      <c r="B116" s="428"/>
      <c r="C116" s="429"/>
      <c r="D116" s="429"/>
      <c r="E116" s="429"/>
      <c r="F116" s="429"/>
      <c r="G116" s="429"/>
      <c r="H116" s="429"/>
      <c r="I116" s="429"/>
      <c r="J116" s="429"/>
      <c r="K116" s="429"/>
      <c r="L116" s="429"/>
      <c r="M116" s="429"/>
      <c r="N116" s="429"/>
      <c r="O116" s="429"/>
      <c r="P116" s="429"/>
      <c r="Q116" s="429"/>
      <c r="R116" s="429"/>
      <c r="S116" s="429"/>
      <c r="T116" s="429"/>
      <c r="U116" s="429"/>
      <c r="V116" s="429"/>
      <c r="W116" s="429"/>
      <c r="X116" s="429"/>
      <c r="Y116" s="429"/>
      <c r="Z116" s="429"/>
      <c r="AA116" s="429"/>
      <c r="AB116" s="429"/>
      <c r="AC116" s="429"/>
      <c r="AD116" s="429"/>
      <c r="AE116" s="429"/>
      <c r="AF116" s="429"/>
      <c r="AG116" s="429"/>
      <c r="AH116" s="429"/>
      <c r="AI116" s="429"/>
      <c r="AJ116" s="429"/>
      <c r="AK116" s="429"/>
      <c r="AL116" s="429"/>
      <c r="AM116" s="429"/>
      <c r="AN116" s="429"/>
      <c r="AO116" s="432"/>
      <c r="AP116" s="428"/>
      <c r="AQ116" s="431"/>
      <c r="AR116" s="431"/>
      <c r="AS116" s="431"/>
      <c r="AT116" s="431"/>
      <c r="AU116" s="431"/>
      <c r="AV116" s="431"/>
      <c r="AW116" s="431"/>
      <c r="AX116" s="431"/>
      <c r="AY116" s="431"/>
      <c r="AZ116" s="431"/>
      <c r="BA116" s="431"/>
      <c r="BB116" s="431"/>
      <c r="BC116" s="431"/>
      <c r="BD116" s="431"/>
      <c r="BE116" s="431"/>
      <c r="BF116" s="431"/>
      <c r="BG116" s="431"/>
      <c r="BH116" s="431"/>
      <c r="BI116" s="431"/>
      <c r="BJ116" s="431"/>
      <c r="BK116" s="431"/>
      <c r="BL116" s="431"/>
      <c r="BM116" s="431"/>
      <c r="BN116" s="431"/>
      <c r="BO116" s="431"/>
      <c r="BP116" s="431"/>
      <c r="BQ116" s="431"/>
      <c r="BR116" s="431"/>
      <c r="BS116" s="431"/>
      <c r="BT116" s="431"/>
      <c r="BU116" s="431"/>
      <c r="BV116" s="431"/>
      <c r="BW116" s="431"/>
      <c r="BX116" s="431"/>
      <c r="BY116" s="431"/>
      <c r="BZ116" s="431"/>
      <c r="CA116" s="431"/>
      <c r="CB116" s="431"/>
      <c r="CC116" s="432"/>
      <c r="CD116" s="428"/>
      <c r="CE116" s="433"/>
      <c r="CF116" s="433"/>
      <c r="CG116" s="433"/>
      <c r="CH116" s="433"/>
      <c r="CI116" s="433"/>
      <c r="CJ116" s="433"/>
      <c r="CK116" s="433"/>
      <c r="CL116" s="433"/>
      <c r="CM116" s="433"/>
      <c r="CN116" s="433"/>
      <c r="CO116" s="433"/>
      <c r="CP116" s="433"/>
      <c r="CQ116" s="433"/>
      <c r="CR116" s="433"/>
      <c r="CS116" s="433"/>
      <c r="CT116" s="433"/>
      <c r="CU116" s="433"/>
      <c r="CV116" s="433"/>
      <c r="CW116" s="433"/>
      <c r="CX116" s="433"/>
      <c r="CY116" s="433"/>
      <c r="CZ116" s="433"/>
      <c r="DA116" s="433"/>
      <c r="DB116" s="433"/>
      <c r="DC116" s="433"/>
      <c r="DD116" s="433"/>
      <c r="DE116" s="433"/>
      <c r="DF116" s="433"/>
      <c r="DG116" s="433"/>
      <c r="DH116" s="433"/>
      <c r="DI116" s="433"/>
      <c r="DJ116" s="433"/>
      <c r="DK116" s="433"/>
      <c r="DL116" s="433"/>
      <c r="DM116" s="433"/>
      <c r="DN116" s="433"/>
      <c r="DO116" s="433"/>
      <c r="DP116" s="433"/>
      <c r="DR116" s="409"/>
      <c r="DS116" s="409"/>
    </row>
    <row r="117" spans="2:123" s="1471" customFormat="1">
      <c r="B117" s="428"/>
      <c r="C117" s="429"/>
      <c r="D117" s="429"/>
      <c r="E117" s="429"/>
      <c r="F117" s="429"/>
      <c r="G117" s="429"/>
      <c r="H117" s="429"/>
      <c r="I117" s="429"/>
      <c r="J117" s="429"/>
      <c r="K117" s="429"/>
      <c r="L117" s="429"/>
      <c r="M117" s="429"/>
      <c r="N117" s="429"/>
      <c r="O117" s="429"/>
      <c r="P117" s="429"/>
      <c r="Q117" s="429"/>
      <c r="R117" s="429"/>
      <c r="S117" s="429"/>
      <c r="T117" s="429"/>
      <c r="U117" s="429"/>
      <c r="V117" s="429"/>
      <c r="W117" s="429"/>
      <c r="X117" s="429"/>
      <c r="Y117" s="429"/>
      <c r="Z117" s="429"/>
      <c r="AA117" s="429"/>
      <c r="AB117" s="429"/>
      <c r="AC117" s="429"/>
      <c r="AD117" s="429"/>
      <c r="AE117" s="429"/>
      <c r="AF117" s="429"/>
      <c r="AG117" s="429"/>
      <c r="AH117" s="429"/>
      <c r="AI117" s="429"/>
      <c r="AJ117" s="429"/>
      <c r="AK117" s="429"/>
      <c r="AL117" s="429"/>
      <c r="AM117" s="429"/>
      <c r="AN117" s="429"/>
      <c r="AO117" s="432"/>
      <c r="AP117" s="428"/>
      <c r="AQ117" s="431"/>
      <c r="AR117" s="431"/>
      <c r="AS117" s="431"/>
      <c r="AT117" s="431"/>
      <c r="AU117" s="431"/>
      <c r="AV117" s="431"/>
      <c r="AW117" s="431"/>
      <c r="AX117" s="431"/>
      <c r="AY117" s="431"/>
      <c r="AZ117" s="431"/>
      <c r="BA117" s="431"/>
      <c r="BB117" s="431"/>
      <c r="BC117" s="431"/>
      <c r="BD117" s="431"/>
      <c r="BE117" s="431"/>
      <c r="BF117" s="431"/>
      <c r="BG117" s="431"/>
      <c r="BH117" s="431"/>
      <c r="BI117" s="431"/>
      <c r="BJ117" s="431"/>
      <c r="BK117" s="431"/>
      <c r="BL117" s="431"/>
      <c r="BM117" s="431"/>
      <c r="BN117" s="431"/>
      <c r="BO117" s="431"/>
      <c r="BP117" s="431"/>
      <c r="BQ117" s="431"/>
      <c r="BR117" s="431"/>
      <c r="BS117" s="431"/>
      <c r="BT117" s="431"/>
      <c r="BU117" s="431"/>
      <c r="BV117" s="431"/>
      <c r="BW117" s="431"/>
      <c r="BX117" s="431"/>
      <c r="BY117" s="431"/>
      <c r="BZ117" s="431"/>
      <c r="CA117" s="431"/>
      <c r="CB117" s="431"/>
      <c r="CC117" s="432"/>
      <c r="CD117" s="428"/>
      <c r="CE117" s="433"/>
      <c r="CF117" s="433"/>
      <c r="CG117" s="433"/>
      <c r="CH117" s="433"/>
      <c r="CI117" s="433"/>
      <c r="CJ117" s="433"/>
      <c r="CK117" s="433"/>
      <c r="CL117" s="433"/>
      <c r="CM117" s="433"/>
      <c r="CN117" s="433"/>
      <c r="CO117" s="433"/>
      <c r="CP117" s="433"/>
      <c r="CQ117" s="433"/>
      <c r="CR117" s="433"/>
      <c r="CS117" s="433"/>
      <c r="CT117" s="433"/>
      <c r="CU117" s="433"/>
      <c r="CV117" s="433"/>
      <c r="CW117" s="433"/>
      <c r="CX117" s="433"/>
      <c r="CY117" s="433"/>
      <c r="CZ117" s="433"/>
      <c r="DA117" s="433"/>
      <c r="DB117" s="433"/>
      <c r="DC117" s="433"/>
      <c r="DD117" s="433"/>
      <c r="DE117" s="433"/>
      <c r="DF117" s="433"/>
      <c r="DG117" s="433"/>
      <c r="DH117" s="433"/>
      <c r="DI117" s="433"/>
      <c r="DJ117" s="433"/>
      <c r="DK117" s="433"/>
      <c r="DL117" s="433"/>
      <c r="DM117" s="433"/>
      <c r="DN117" s="433"/>
      <c r="DO117" s="433"/>
      <c r="DP117" s="433"/>
      <c r="DR117" s="409"/>
      <c r="DS117" s="409"/>
    </row>
    <row r="118" spans="2:123" s="1471" customFormat="1">
      <c r="B118" s="428"/>
      <c r="C118" s="429"/>
      <c r="D118" s="429"/>
      <c r="E118" s="429"/>
      <c r="F118" s="429"/>
      <c r="G118" s="429"/>
      <c r="H118" s="429"/>
      <c r="I118" s="429"/>
      <c r="J118" s="429"/>
      <c r="K118" s="429"/>
      <c r="L118" s="429"/>
      <c r="M118" s="429"/>
      <c r="N118" s="429"/>
      <c r="O118" s="429"/>
      <c r="P118" s="429"/>
      <c r="Q118" s="429"/>
      <c r="R118" s="429"/>
      <c r="S118" s="429"/>
      <c r="T118" s="429"/>
      <c r="U118" s="429"/>
      <c r="V118" s="429"/>
      <c r="W118" s="429"/>
      <c r="X118" s="429"/>
      <c r="Y118" s="429"/>
      <c r="Z118" s="429"/>
      <c r="AA118" s="429"/>
      <c r="AB118" s="429"/>
      <c r="AC118" s="429"/>
      <c r="AD118" s="429"/>
      <c r="AE118" s="429"/>
      <c r="AF118" s="429"/>
      <c r="AG118" s="429"/>
      <c r="AH118" s="429"/>
      <c r="AI118" s="429"/>
      <c r="AJ118" s="429"/>
      <c r="AK118" s="429"/>
      <c r="AL118" s="429"/>
      <c r="AM118" s="429"/>
      <c r="AN118" s="429"/>
      <c r="AO118" s="432"/>
      <c r="AP118" s="428"/>
      <c r="AQ118" s="431"/>
      <c r="AR118" s="431"/>
      <c r="AS118" s="431"/>
      <c r="AT118" s="431"/>
      <c r="AU118" s="431"/>
      <c r="AV118" s="431"/>
      <c r="AW118" s="431"/>
      <c r="AX118" s="431"/>
      <c r="AY118" s="431"/>
      <c r="AZ118" s="431"/>
      <c r="BA118" s="431"/>
      <c r="BB118" s="431"/>
      <c r="BC118" s="431"/>
      <c r="BD118" s="431"/>
      <c r="BE118" s="431"/>
      <c r="BF118" s="431"/>
      <c r="BG118" s="431"/>
      <c r="BH118" s="431"/>
      <c r="BI118" s="431"/>
      <c r="BJ118" s="431"/>
      <c r="BK118" s="431"/>
      <c r="BL118" s="431"/>
      <c r="BM118" s="431"/>
      <c r="BN118" s="431"/>
      <c r="BO118" s="431"/>
      <c r="BP118" s="431"/>
      <c r="BQ118" s="431"/>
      <c r="BR118" s="431"/>
      <c r="BS118" s="431"/>
      <c r="BT118" s="431"/>
      <c r="BU118" s="431"/>
      <c r="BV118" s="431"/>
      <c r="BW118" s="431"/>
      <c r="BX118" s="431"/>
      <c r="BY118" s="431"/>
      <c r="BZ118" s="431"/>
      <c r="CA118" s="431"/>
      <c r="CB118" s="431"/>
      <c r="CC118" s="432"/>
      <c r="CD118" s="428"/>
      <c r="CE118" s="433"/>
      <c r="CF118" s="433"/>
      <c r="CG118" s="433"/>
      <c r="CH118" s="433"/>
      <c r="CI118" s="433"/>
      <c r="CJ118" s="433"/>
      <c r="CK118" s="433"/>
      <c r="CL118" s="433"/>
      <c r="CM118" s="433"/>
      <c r="CN118" s="433"/>
      <c r="CO118" s="433"/>
      <c r="CP118" s="433"/>
      <c r="CQ118" s="433"/>
      <c r="CR118" s="433"/>
      <c r="CS118" s="433"/>
      <c r="CT118" s="433"/>
      <c r="CU118" s="433"/>
      <c r="CV118" s="433"/>
      <c r="CW118" s="433"/>
      <c r="CX118" s="433"/>
      <c r="CY118" s="433"/>
      <c r="CZ118" s="433"/>
      <c r="DA118" s="433"/>
      <c r="DB118" s="433"/>
      <c r="DC118" s="433"/>
      <c r="DD118" s="433"/>
      <c r="DE118" s="433"/>
      <c r="DF118" s="433"/>
      <c r="DG118" s="433"/>
      <c r="DH118" s="433"/>
      <c r="DI118" s="433"/>
      <c r="DJ118" s="433"/>
      <c r="DK118" s="433"/>
      <c r="DL118" s="433"/>
      <c r="DM118" s="433"/>
      <c r="DN118" s="433"/>
      <c r="DO118" s="433"/>
      <c r="DP118" s="433"/>
      <c r="DR118" s="409"/>
      <c r="DS118" s="409"/>
    </row>
    <row r="119" spans="2:123" s="1471" customFormat="1">
      <c r="B119" s="428"/>
      <c r="C119" s="429"/>
      <c r="D119" s="429"/>
      <c r="E119" s="429"/>
      <c r="F119" s="429"/>
      <c r="G119" s="429"/>
      <c r="H119" s="429"/>
      <c r="I119" s="429"/>
      <c r="J119" s="429"/>
      <c r="K119" s="429"/>
      <c r="L119" s="429"/>
      <c r="M119" s="429"/>
      <c r="N119" s="429"/>
      <c r="O119" s="429"/>
      <c r="P119" s="429"/>
      <c r="Q119" s="429"/>
      <c r="R119" s="429"/>
      <c r="S119" s="429"/>
      <c r="T119" s="429"/>
      <c r="U119" s="429"/>
      <c r="V119" s="429"/>
      <c r="W119" s="429"/>
      <c r="X119" s="429"/>
      <c r="Y119" s="429"/>
      <c r="Z119" s="429"/>
      <c r="AA119" s="429"/>
      <c r="AB119" s="429"/>
      <c r="AC119" s="429"/>
      <c r="AD119" s="429"/>
      <c r="AE119" s="429"/>
      <c r="AF119" s="429"/>
      <c r="AG119" s="429"/>
      <c r="AH119" s="429"/>
      <c r="AI119" s="429"/>
      <c r="AJ119" s="429"/>
      <c r="AK119" s="429"/>
      <c r="AL119" s="429"/>
      <c r="AM119" s="429"/>
      <c r="AN119" s="429"/>
      <c r="AO119" s="432"/>
      <c r="AP119" s="428"/>
      <c r="AQ119" s="431"/>
      <c r="AR119" s="431"/>
      <c r="AS119" s="431"/>
      <c r="AT119" s="431"/>
      <c r="AU119" s="431"/>
      <c r="AV119" s="431"/>
      <c r="AW119" s="431"/>
      <c r="AX119" s="431"/>
      <c r="AY119" s="431"/>
      <c r="AZ119" s="431"/>
      <c r="BA119" s="431"/>
      <c r="BB119" s="431"/>
      <c r="BC119" s="431"/>
      <c r="BD119" s="431"/>
      <c r="BE119" s="431"/>
      <c r="BF119" s="431"/>
      <c r="BG119" s="431"/>
      <c r="BH119" s="431"/>
      <c r="BI119" s="431"/>
      <c r="BJ119" s="431"/>
      <c r="BK119" s="431"/>
      <c r="BL119" s="431"/>
      <c r="BM119" s="431"/>
      <c r="BN119" s="431"/>
      <c r="BO119" s="431"/>
      <c r="BP119" s="431"/>
      <c r="BQ119" s="431"/>
      <c r="BR119" s="431"/>
      <c r="BS119" s="431"/>
      <c r="BT119" s="431"/>
      <c r="BU119" s="431"/>
      <c r="BV119" s="431"/>
      <c r="BW119" s="431"/>
      <c r="BX119" s="431"/>
      <c r="BY119" s="431"/>
      <c r="BZ119" s="431"/>
      <c r="CA119" s="431"/>
      <c r="CB119" s="431"/>
      <c r="CC119" s="432"/>
      <c r="CD119" s="428"/>
      <c r="CE119" s="433"/>
      <c r="CF119" s="433"/>
      <c r="CG119" s="433"/>
      <c r="CH119" s="433"/>
      <c r="CI119" s="433"/>
      <c r="CJ119" s="433"/>
      <c r="CK119" s="433"/>
      <c r="CL119" s="433"/>
      <c r="CM119" s="433"/>
      <c r="CN119" s="433"/>
      <c r="CO119" s="433"/>
      <c r="CP119" s="433"/>
      <c r="CQ119" s="433"/>
      <c r="CR119" s="433"/>
      <c r="CS119" s="433"/>
      <c r="CT119" s="433"/>
      <c r="CU119" s="433"/>
      <c r="CV119" s="433"/>
      <c r="CW119" s="433"/>
      <c r="CX119" s="433"/>
      <c r="CY119" s="433"/>
      <c r="CZ119" s="433"/>
      <c r="DA119" s="433"/>
      <c r="DB119" s="433"/>
      <c r="DC119" s="433"/>
      <c r="DD119" s="433"/>
      <c r="DE119" s="433"/>
      <c r="DF119" s="433"/>
      <c r="DG119" s="433"/>
      <c r="DH119" s="433"/>
      <c r="DI119" s="433"/>
      <c r="DJ119" s="433"/>
      <c r="DK119" s="433"/>
      <c r="DL119" s="433"/>
      <c r="DM119" s="433"/>
      <c r="DN119" s="433"/>
      <c r="DO119" s="433"/>
      <c r="DP119" s="433"/>
      <c r="DR119" s="409"/>
      <c r="DS119" s="409"/>
    </row>
    <row r="120" spans="2:123" s="1471" customFormat="1">
      <c r="B120" s="428"/>
      <c r="C120" s="429"/>
      <c r="D120" s="429"/>
      <c r="E120" s="429"/>
      <c r="F120" s="429"/>
      <c r="G120" s="429"/>
      <c r="H120" s="429"/>
      <c r="I120" s="429"/>
      <c r="J120" s="429"/>
      <c r="K120" s="429"/>
      <c r="L120" s="429"/>
      <c r="M120" s="429"/>
      <c r="N120" s="429"/>
      <c r="O120" s="429"/>
      <c r="P120" s="429"/>
      <c r="Q120" s="429"/>
      <c r="R120" s="429"/>
      <c r="S120" s="429"/>
      <c r="T120" s="429"/>
      <c r="U120" s="429"/>
      <c r="V120" s="429"/>
      <c r="W120" s="429"/>
      <c r="X120" s="429"/>
      <c r="Y120" s="429"/>
      <c r="Z120" s="429"/>
      <c r="AA120" s="429"/>
      <c r="AB120" s="429"/>
      <c r="AC120" s="429"/>
      <c r="AD120" s="429"/>
      <c r="AE120" s="429"/>
      <c r="AF120" s="429"/>
      <c r="AG120" s="429"/>
      <c r="AH120" s="429"/>
      <c r="AI120" s="429"/>
      <c r="AJ120" s="429"/>
      <c r="AK120" s="429"/>
      <c r="AL120" s="429"/>
      <c r="AM120" s="429"/>
      <c r="AN120" s="429"/>
      <c r="AO120" s="432"/>
      <c r="AP120" s="428"/>
      <c r="AQ120" s="431"/>
      <c r="AR120" s="431"/>
      <c r="AS120" s="431"/>
      <c r="AT120" s="431"/>
      <c r="AU120" s="431"/>
      <c r="AV120" s="431"/>
      <c r="AW120" s="431"/>
      <c r="AX120" s="431"/>
      <c r="AY120" s="431"/>
      <c r="AZ120" s="431"/>
      <c r="BA120" s="431"/>
      <c r="BB120" s="431"/>
      <c r="BC120" s="431"/>
      <c r="BD120" s="431"/>
      <c r="BE120" s="431"/>
      <c r="BF120" s="431"/>
      <c r="BG120" s="431"/>
      <c r="BH120" s="431"/>
      <c r="BI120" s="431"/>
      <c r="BJ120" s="431"/>
      <c r="BK120" s="431"/>
      <c r="BL120" s="431"/>
      <c r="BM120" s="431"/>
      <c r="BN120" s="431"/>
      <c r="BO120" s="431"/>
      <c r="BP120" s="431"/>
      <c r="BQ120" s="431"/>
      <c r="BR120" s="431"/>
      <c r="BS120" s="431"/>
      <c r="BT120" s="431"/>
      <c r="BU120" s="431"/>
      <c r="BV120" s="431"/>
      <c r="BW120" s="431"/>
      <c r="BX120" s="431"/>
      <c r="BY120" s="431"/>
      <c r="BZ120" s="431"/>
      <c r="CA120" s="431"/>
      <c r="CB120" s="431"/>
      <c r="CC120" s="432"/>
      <c r="CD120" s="428"/>
      <c r="CE120" s="433"/>
      <c r="CF120" s="433"/>
      <c r="CG120" s="433"/>
      <c r="CH120" s="433"/>
      <c r="CI120" s="433"/>
      <c r="CJ120" s="433"/>
      <c r="CK120" s="433"/>
      <c r="CL120" s="433"/>
      <c r="CM120" s="433"/>
      <c r="CN120" s="433"/>
      <c r="CO120" s="433"/>
      <c r="CP120" s="433"/>
      <c r="CQ120" s="433"/>
      <c r="CR120" s="433"/>
      <c r="CS120" s="433"/>
      <c r="CT120" s="433"/>
      <c r="CU120" s="433"/>
      <c r="CV120" s="433"/>
      <c r="CW120" s="433"/>
      <c r="CX120" s="433"/>
      <c r="CY120" s="433"/>
      <c r="CZ120" s="433"/>
      <c r="DA120" s="433"/>
      <c r="DB120" s="433"/>
      <c r="DC120" s="433"/>
      <c r="DD120" s="433"/>
      <c r="DE120" s="433"/>
      <c r="DF120" s="433"/>
      <c r="DG120" s="433"/>
      <c r="DH120" s="433"/>
      <c r="DI120" s="433"/>
      <c r="DJ120" s="433"/>
      <c r="DK120" s="433"/>
      <c r="DL120" s="433"/>
      <c r="DM120" s="433"/>
      <c r="DN120" s="433"/>
      <c r="DO120" s="433"/>
      <c r="DP120" s="433"/>
      <c r="DR120" s="409"/>
      <c r="DS120" s="409"/>
    </row>
    <row r="121" spans="2:123" s="1471" customFormat="1">
      <c r="B121" s="428"/>
      <c r="C121" s="429"/>
      <c r="D121" s="429"/>
      <c r="E121" s="429"/>
      <c r="F121" s="429"/>
      <c r="G121" s="429"/>
      <c r="H121" s="429"/>
      <c r="I121" s="429"/>
      <c r="J121" s="429"/>
      <c r="K121" s="429"/>
      <c r="L121" s="429"/>
      <c r="M121" s="429"/>
      <c r="N121" s="429"/>
      <c r="O121" s="429"/>
      <c r="P121" s="429"/>
      <c r="Q121" s="429"/>
      <c r="R121" s="429"/>
      <c r="S121" s="429"/>
      <c r="T121" s="429"/>
      <c r="U121" s="429"/>
      <c r="V121" s="429"/>
      <c r="W121" s="429"/>
      <c r="X121" s="429"/>
      <c r="Y121" s="429"/>
      <c r="Z121" s="429"/>
      <c r="AA121" s="429"/>
      <c r="AB121" s="429"/>
      <c r="AC121" s="429"/>
      <c r="AD121" s="429"/>
      <c r="AE121" s="429"/>
      <c r="AF121" s="429"/>
      <c r="AG121" s="429"/>
      <c r="AH121" s="429"/>
      <c r="AI121" s="429"/>
      <c r="AJ121" s="429"/>
      <c r="AK121" s="429"/>
      <c r="AL121" s="429"/>
      <c r="AM121" s="429"/>
      <c r="AN121" s="429"/>
      <c r="AO121" s="432"/>
      <c r="AP121" s="428"/>
      <c r="AQ121" s="431"/>
      <c r="AR121" s="431"/>
      <c r="AS121" s="431"/>
      <c r="AT121" s="431"/>
      <c r="AU121" s="431"/>
      <c r="AV121" s="431"/>
      <c r="AW121" s="431"/>
      <c r="AX121" s="431"/>
      <c r="AY121" s="431"/>
      <c r="AZ121" s="431"/>
      <c r="BA121" s="431"/>
      <c r="BB121" s="431"/>
      <c r="BC121" s="431"/>
      <c r="BD121" s="431"/>
      <c r="BE121" s="431"/>
      <c r="BF121" s="431"/>
      <c r="BG121" s="431"/>
      <c r="BH121" s="431"/>
      <c r="BI121" s="431"/>
      <c r="BJ121" s="431"/>
      <c r="BK121" s="431"/>
      <c r="BL121" s="431"/>
      <c r="BM121" s="431"/>
      <c r="BN121" s="431"/>
      <c r="BO121" s="431"/>
      <c r="BP121" s="431"/>
      <c r="BQ121" s="431"/>
      <c r="BR121" s="431"/>
      <c r="BS121" s="431"/>
      <c r="BT121" s="431"/>
      <c r="BU121" s="431"/>
      <c r="BV121" s="431"/>
      <c r="BW121" s="431"/>
      <c r="BX121" s="431"/>
      <c r="BY121" s="431"/>
      <c r="BZ121" s="431"/>
      <c r="CA121" s="431"/>
      <c r="CB121" s="431"/>
      <c r="CC121" s="432"/>
      <c r="CD121" s="428"/>
      <c r="CE121" s="433"/>
      <c r="CF121" s="433"/>
      <c r="CG121" s="433"/>
      <c r="CH121" s="433"/>
      <c r="CI121" s="433"/>
      <c r="CJ121" s="433"/>
      <c r="CK121" s="433"/>
      <c r="CL121" s="433"/>
      <c r="CM121" s="433"/>
      <c r="CN121" s="433"/>
      <c r="CO121" s="433"/>
      <c r="CP121" s="433"/>
      <c r="CQ121" s="433"/>
      <c r="CR121" s="433"/>
      <c r="CS121" s="433"/>
      <c r="CT121" s="433"/>
      <c r="CU121" s="433"/>
      <c r="CV121" s="433"/>
      <c r="CW121" s="433"/>
      <c r="CX121" s="433"/>
      <c r="CY121" s="433"/>
      <c r="CZ121" s="433"/>
      <c r="DA121" s="433"/>
      <c r="DB121" s="433"/>
      <c r="DC121" s="433"/>
      <c r="DD121" s="433"/>
      <c r="DE121" s="433"/>
      <c r="DF121" s="433"/>
      <c r="DG121" s="433"/>
      <c r="DH121" s="433"/>
      <c r="DI121" s="433"/>
      <c r="DJ121" s="433"/>
      <c r="DK121" s="433"/>
      <c r="DL121" s="433"/>
      <c r="DM121" s="433"/>
      <c r="DN121" s="433"/>
      <c r="DO121" s="433"/>
      <c r="DP121" s="433"/>
      <c r="DR121" s="409"/>
      <c r="DS121" s="409"/>
    </row>
    <row r="122" spans="2:123" s="1471" customFormat="1">
      <c r="B122" s="428"/>
      <c r="C122" s="429"/>
      <c r="D122" s="429"/>
      <c r="E122" s="429"/>
      <c r="F122" s="429"/>
      <c r="G122" s="429"/>
      <c r="H122" s="429"/>
      <c r="I122" s="429"/>
      <c r="J122" s="429"/>
      <c r="K122" s="429"/>
      <c r="L122" s="429"/>
      <c r="M122" s="429"/>
      <c r="N122" s="429"/>
      <c r="O122" s="429"/>
      <c r="P122" s="429"/>
      <c r="Q122" s="429"/>
      <c r="R122" s="429"/>
      <c r="S122" s="429"/>
      <c r="T122" s="429"/>
      <c r="U122" s="429"/>
      <c r="V122" s="429"/>
      <c r="W122" s="429"/>
      <c r="X122" s="429"/>
      <c r="Y122" s="429"/>
      <c r="Z122" s="429"/>
      <c r="AA122" s="429"/>
      <c r="AB122" s="429"/>
      <c r="AC122" s="429"/>
      <c r="AD122" s="429"/>
      <c r="AE122" s="429"/>
      <c r="AF122" s="429"/>
      <c r="AG122" s="429"/>
      <c r="AH122" s="429"/>
      <c r="AI122" s="429"/>
      <c r="AJ122" s="429"/>
      <c r="AK122" s="429"/>
      <c r="AL122" s="429"/>
      <c r="AM122" s="429"/>
      <c r="AN122" s="429"/>
      <c r="AO122" s="432"/>
      <c r="AP122" s="428"/>
      <c r="AQ122" s="431"/>
      <c r="AR122" s="431"/>
      <c r="AS122" s="431"/>
      <c r="AT122" s="431"/>
      <c r="AU122" s="431"/>
      <c r="AV122" s="431"/>
      <c r="AW122" s="431"/>
      <c r="AX122" s="431"/>
      <c r="AY122" s="431"/>
      <c r="AZ122" s="431"/>
      <c r="BA122" s="431"/>
      <c r="BB122" s="431"/>
      <c r="BC122" s="431"/>
      <c r="BD122" s="431"/>
      <c r="BE122" s="431"/>
      <c r="BF122" s="431"/>
      <c r="BG122" s="431"/>
      <c r="BH122" s="431"/>
      <c r="BI122" s="431"/>
      <c r="BJ122" s="431"/>
      <c r="BK122" s="431"/>
      <c r="BL122" s="431"/>
      <c r="BM122" s="431"/>
      <c r="BN122" s="431"/>
      <c r="BO122" s="431"/>
      <c r="BP122" s="431"/>
      <c r="BQ122" s="431"/>
      <c r="BR122" s="431"/>
      <c r="BS122" s="431"/>
      <c r="BT122" s="431"/>
      <c r="BU122" s="431"/>
      <c r="BV122" s="431"/>
      <c r="BW122" s="431"/>
      <c r="BX122" s="431"/>
      <c r="BY122" s="431"/>
      <c r="BZ122" s="431"/>
      <c r="CA122" s="431"/>
      <c r="CB122" s="431"/>
      <c r="CC122" s="432"/>
      <c r="CD122" s="428"/>
      <c r="CE122" s="433"/>
      <c r="CF122" s="433"/>
      <c r="CG122" s="433"/>
      <c r="CH122" s="433"/>
      <c r="CI122" s="433"/>
      <c r="CJ122" s="433"/>
      <c r="CK122" s="433"/>
      <c r="CL122" s="433"/>
      <c r="CM122" s="433"/>
      <c r="CN122" s="433"/>
      <c r="CO122" s="433"/>
      <c r="CP122" s="433"/>
      <c r="CQ122" s="433"/>
      <c r="CR122" s="433"/>
      <c r="CS122" s="433"/>
      <c r="CT122" s="433"/>
      <c r="CU122" s="433"/>
      <c r="CV122" s="433"/>
      <c r="CW122" s="433"/>
      <c r="CX122" s="433"/>
      <c r="CY122" s="433"/>
      <c r="CZ122" s="433"/>
      <c r="DA122" s="433"/>
      <c r="DB122" s="433"/>
      <c r="DC122" s="433"/>
      <c r="DD122" s="433"/>
      <c r="DE122" s="433"/>
      <c r="DF122" s="433"/>
      <c r="DG122" s="433"/>
      <c r="DH122" s="433"/>
      <c r="DI122" s="433"/>
      <c r="DJ122" s="433"/>
      <c r="DK122" s="433"/>
      <c r="DL122" s="433"/>
      <c r="DM122" s="433"/>
      <c r="DN122" s="433"/>
      <c r="DO122" s="433"/>
      <c r="DP122" s="433"/>
      <c r="DR122" s="409"/>
      <c r="DS122" s="409"/>
    </row>
    <row r="123" spans="2:123" s="1471" customFormat="1">
      <c r="B123" s="428"/>
      <c r="C123" s="429"/>
      <c r="D123" s="429"/>
      <c r="E123" s="429"/>
      <c r="F123" s="429"/>
      <c r="G123" s="429"/>
      <c r="H123" s="429"/>
      <c r="I123" s="429"/>
      <c r="J123" s="429"/>
      <c r="K123" s="429"/>
      <c r="L123" s="429"/>
      <c r="M123" s="429"/>
      <c r="N123" s="429"/>
      <c r="O123" s="429"/>
      <c r="P123" s="429"/>
      <c r="Q123" s="429"/>
      <c r="R123" s="429"/>
      <c r="S123" s="429"/>
      <c r="T123" s="429"/>
      <c r="U123" s="429"/>
      <c r="V123" s="429"/>
      <c r="W123" s="429"/>
      <c r="X123" s="429"/>
      <c r="Y123" s="429"/>
      <c r="Z123" s="429"/>
      <c r="AA123" s="429"/>
      <c r="AB123" s="429"/>
      <c r="AC123" s="429"/>
      <c r="AD123" s="429"/>
      <c r="AE123" s="429"/>
      <c r="AF123" s="429"/>
      <c r="AG123" s="429"/>
      <c r="AH123" s="429"/>
      <c r="AI123" s="429"/>
      <c r="AJ123" s="429"/>
      <c r="AK123" s="429"/>
      <c r="AL123" s="429"/>
      <c r="AM123" s="429"/>
      <c r="AN123" s="429"/>
      <c r="AO123" s="432"/>
      <c r="AP123" s="428"/>
      <c r="AQ123" s="431"/>
      <c r="AR123" s="431"/>
      <c r="AS123" s="431"/>
      <c r="AT123" s="431"/>
      <c r="AU123" s="431"/>
      <c r="AV123" s="431"/>
      <c r="AW123" s="431"/>
      <c r="AX123" s="431"/>
      <c r="AY123" s="431"/>
      <c r="AZ123" s="431"/>
      <c r="BA123" s="431"/>
      <c r="BB123" s="431"/>
      <c r="BC123" s="431"/>
      <c r="BD123" s="431"/>
      <c r="BE123" s="431"/>
      <c r="BF123" s="431"/>
      <c r="BG123" s="431"/>
      <c r="BH123" s="431"/>
      <c r="BI123" s="431"/>
      <c r="BJ123" s="431"/>
      <c r="BK123" s="431"/>
      <c r="BL123" s="431"/>
      <c r="BM123" s="431"/>
      <c r="BN123" s="431"/>
      <c r="BO123" s="431"/>
      <c r="BP123" s="431"/>
      <c r="BQ123" s="431"/>
      <c r="BR123" s="431"/>
      <c r="BS123" s="431"/>
      <c r="BT123" s="431"/>
      <c r="BU123" s="431"/>
      <c r="BV123" s="431"/>
      <c r="BW123" s="431"/>
      <c r="BX123" s="431"/>
      <c r="BY123" s="431"/>
      <c r="BZ123" s="431"/>
      <c r="CA123" s="431"/>
      <c r="CB123" s="431"/>
      <c r="CC123" s="432"/>
      <c r="CD123" s="428"/>
      <c r="CE123" s="433"/>
      <c r="CF123" s="433"/>
      <c r="CG123" s="433"/>
      <c r="CH123" s="433"/>
      <c r="CI123" s="433"/>
      <c r="CJ123" s="433"/>
      <c r="CK123" s="433"/>
      <c r="CL123" s="433"/>
      <c r="CM123" s="433"/>
      <c r="CN123" s="433"/>
      <c r="CO123" s="433"/>
      <c r="CP123" s="433"/>
      <c r="CQ123" s="433"/>
      <c r="CR123" s="433"/>
      <c r="CS123" s="433"/>
      <c r="CT123" s="433"/>
      <c r="CU123" s="433"/>
      <c r="CV123" s="433"/>
      <c r="CW123" s="433"/>
      <c r="CX123" s="433"/>
      <c r="CY123" s="433"/>
      <c r="CZ123" s="433"/>
      <c r="DA123" s="433"/>
      <c r="DB123" s="433"/>
      <c r="DC123" s="433"/>
      <c r="DD123" s="433"/>
      <c r="DE123" s="433"/>
      <c r="DF123" s="433"/>
      <c r="DG123" s="433"/>
      <c r="DH123" s="433"/>
      <c r="DI123" s="433"/>
      <c r="DJ123" s="433"/>
      <c r="DK123" s="433"/>
      <c r="DL123" s="433"/>
      <c r="DM123" s="433"/>
      <c r="DN123" s="433"/>
      <c r="DO123" s="433"/>
      <c r="DP123" s="433"/>
      <c r="DR123" s="409"/>
      <c r="DS123" s="409"/>
    </row>
    <row r="124" spans="2:123" s="1471" customFormat="1">
      <c r="B124" s="428"/>
      <c r="C124" s="429"/>
      <c r="D124" s="429"/>
      <c r="E124" s="429"/>
      <c r="F124" s="429"/>
      <c r="G124" s="429"/>
      <c r="H124" s="429"/>
      <c r="I124" s="429"/>
      <c r="J124" s="429"/>
      <c r="K124" s="429"/>
      <c r="L124" s="429"/>
      <c r="M124" s="429"/>
      <c r="N124" s="429"/>
      <c r="O124" s="429"/>
      <c r="P124" s="429"/>
      <c r="Q124" s="429"/>
      <c r="R124" s="429"/>
      <c r="S124" s="429"/>
      <c r="T124" s="429"/>
      <c r="U124" s="429"/>
      <c r="V124" s="429"/>
      <c r="W124" s="429"/>
      <c r="X124" s="429"/>
      <c r="Y124" s="429"/>
      <c r="Z124" s="429"/>
      <c r="AA124" s="429"/>
      <c r="AB124" s="429"/>
      <c r="AC124" s="429"/>
      <c r="AD124" s="429"/>
      <c r="AE124" s="429"/>
      <c r="AF124" s="429"/>
      <c r="AG124" s="429"/>
      <c r="AH124" s="429"/>
      <c r="AI124" s="429"/>
      <c r="AJ124" s="429"/>
      <c r="AK124" s="429"/>
      <c r="AL124" s="429"/>
      <c r="AM124" s="429"/>
      <c r="AN124" s="429"/>
      <c r="AO124" s="432"/>
      <c r="AP124" s="428"/>
      <c r="AQ124" s="431"/>
      <c r="AR124" s="431"/>
      <c r="AS124" s="431"/>
      <c r="AT124" s="431"/>
      <c r="AU124" s="431"/>
      <c r="AV124" s="431"/>
      <c r="AW124" s="431"/>
      <c r="AX124" s="431"/>
      <c r="AY124" s="431"/>
      <c r="AZ124" s="431"/>
      <c r="BA124" s="431"/>
      <c r="BB124" s="431"/>
      <c r="BC124" s="431"/>
      <c r="BD124" s="431"/>
      <c r="BE124" s="431"/>
      <c r="BF124" s="431"/>
      <c r="BG124" s="431"/>
      <c r="BH124" s="431"/>
      <c r="BI124" s="431"/>
      <c r="BJ124" s="431"/>
      <c r="BK124" s="431"/>
      <c r="BL124" s="431"/>
      <c r="BM124" s="431"/>
      <c r="BN124" s="431"/>
      <c r="BO124" s="431"/>
      <c r="BP124" s="431"/>
      <c r="BQ124" s="431"/>
      <c r="BR124" s="431"/>
      <c r="BS124" s="431"/>
      <c r="BT124" s="431"/>
      <c r="BU124" s="431"/>
      <c r="BV124" s="431"/>
      <c r="BW124" s="431"/>
      <c r="BX124" s="431"/>
      <c r="BY124" s="431"/>
      <c r="BZ124" s="431"/>
      <c r="CA124" s="431"/>
      <c r="CB124" s="431"/>
      <c r="CC124" s="432"/>
      <c r="CD124" s="428"/>
      <c r="CE124" s="433"/>
      <c r="CF124" s="433"/>
      <c r="CG124" s="433"/>
      <c r="CH124" s="433"/>
      <c r="CI124" s="433"/>
      <c r="CJ124" s="433"/>
      <c r="CK124" s="433"/>
      <c r="CL124" s="433"/>
      <c r="CM124" s="433"/>
      <c r="CN124" s="433"/>
      <c r="CO124" s="433"/>
      <c r="CP124" s="433"/>
      <c r="CQ124" s="433"/>
      <c r="CR124" s="433"/>
      <c r="CS124" s="433"/>
      <c r="CT124" s="433"/>
      <c r="CU124" s="433"/>
      <c r="CV124" s="433"/>
      <c r="CW124" s="433"/>
      <c r="CX124" s="433"/>
      <c r="CY124" s="433"/>
      <c r="CZ124" s="433"/>
      <c r="DA124" s="433"/>
      <c r="DB124" s="433"/>
      <c r="DC124" s="433"/>
      <c r="DD124" s="433"/>
      <c r="DE124" s="433"/>
      <c r="DF124" s="433"/>
      <c r="DG124" s="433"/>
      <c r="DH124" s="433"/>
      <c r="DI124" s="433"/>
      <c r="DJ124" s="433"/>
      <c r="DK124" s="433"/>
      <c r="DL124" s="433"/>
      <c r="DM124" s="433"/>
      <c r="DN124" s="433"/>
      <c r="DO124" s="433"/>
      <c r="DP124" s="433"/>
      <c r="DR124" s="409"/>
      <c r="DS124" s="409"/>
    </row>
    <row r="125" spans="2:123" s="1471" customFormat="1">
      <c r="B125" s="428"/>
      <c r="C125" s="429"/>
      <c r="D125" s="429"/>
      <c r="E125" s="429"/>
      <c r="F125" s="429"/>
      <c r="G125" s="429"/>
      <c r="H125" s="429"/>
      <c r="I125" s="429"/>
      <c r="J125" s="429"/>
      <c r="K125" s="429"/>
      <c r="L125" s="429"/>
      <c r="M125" s="429"/>
      <c r="N125" s="429"/>
      <c r="O125" s="429"/>
      <c r="P125" s="429"/>
      <c r="Q125" s="429"/>
      <c r="R125" s="429"/>
      <c r="S125" s="429"/>
      <c r="T125" s="429"/>
      <c r="U125" s="429"/>
      <c r="V125" s="429"/>
      <c r="W125" s="429"/>
      <c r="X125" s="429"/>
      <c r="Y125" s="429"/>
      <c r="Z125" s="429"/>
      <c r="AA125" s="429"/>
      <c r="AB125" s="429"/>
      <c r="AC125" s="429"/>
      <c r="AD125" s="429"/>
      <c r="AE125" s="429"/>
      <c r="AF125" s="429"/>
      <c r="AG125" s="429"/>
      <c r="AH125" s="429"/>
      <c r="AI125" s="429"/>
      <c r="AJ125" s="429"/>
      <c r="AK125" s="429"/>
      <c r="AL125" s="429"/>
      <c r="AM125" s="429"/>
      <c r="AN125" s="429"/>
      <c r="AO125" s="432"/>
      <c r="AP125" s="428"/>
      <c r="AQ125" s="431"/>
      <c r="AR125" s="431"/>
      <c r="AS125" s="431"/>
      <c r="AT125" s="431"/>
      <c r="AU125" s="431"/>
      <c r="AV125" s="431"/>
      <c r="AW125" s="431"/>
      <c r="AX125" s="431"/>
      <c r="AY125" s="431"/>
      <c r="AZ125" s="431"/>
      <c r="BA125" s="431"/>
      <c r="BB125" s="431"/>
      <c r="BC125" s="431"/>
      <c r="BD125" s="431"/>
      <c r="BE125" s="431"/>
      <c r="BF125" s="431"/>
      <c r="BG125" s="431"/>
      <c r="BH125" s="431"/>
      <c r="BI125" s="431"/>
      <c r="BJ125" s="431"/>
      <c r="BK125" s="431"/>
      <c r="BL125" s="431"/>
      <c r="BM125" s="431"/>
      <c r="BN125" s="431"/>
      <c r="BO125" s="431"/>
      <c r="BP125" s="431"/>
      <c r="BQ125" s="431"/>
      <c r="BR125" s="431"/>
      <c r="BS125" s="431"/>
      <c r="BT125" s="431"/>
      <c r="BU125" s="431"/>
      <c r="BV125" s="431"/>
      <c r="BW125" s="431"/>
      <c r="BX125" s="431"/>
      <c r="BY125" s="431"/>
      <c r="BZ125" s="431"/>
      <c r="CA125" s="431"/>
      <c r="CB125" s="431"/>
      <c r="CC125" s="432"/>
      <c r="CD125" s="428"/>
      <c r="CE125" s="433"/>
      <c r="CF125" s="433"/>
      <c r="CG125" s="433"/>
      <c r="CH125" s="433"/>
      <c r="CI125" s="433"/>
      <c r="CJ125" s="433"/>
      <c r="CK125" s="433"/>
      <c r="CL125" s="433"/>
      <c r="CM125" s="433"/>
      <c r="CN125" s="433"/>
      <c r="CO125" s="433"/>
      <c r="CP125" s="433"/>
      <c r="CQ125" s="433"/>
      <c r="CR125" s="433"/>
      <c r="CS125" s="433"/>
      <c r="CT125" s="433"/>
      <c r="CU125" s="433"/>
      <c r="CV125" s="433"/>
      <c r="CW125" s="433"/>
      <c r="CX125" s="433"/>
      <c r="CY125" s="433"/>
      <c r="CZ125" s="433"/>
      <c r="DA125" s="433"/>
      <c r="DB125" s="433"/>
      <c r="DC125" s="433"/>
      <c r="DD125" s="433"/>
      <c r="DE125" s="433"/>
      <c r="DF125" s="433"/>
      <c r="DG125" s="433"/>
      <c r="DH125" s="433"/>
      <c r="DI125" s="433"/>
      <c r="DJ125" s="433"/>
      <c r="DK125" s="433"/>
      <c r="DL125" s="433"/>
      <c r="DM125" s="433"/>
      <c r="DN125" s="433"/>
      <c r="DO125" s="433"/>
      <c r="DP125" s="433"/>
      <c r="DR125" s="409"/>
      <c r="DS125" s="409"/>
    </row>
    <row r="126" spans="2:123" s="1471" customFormat="1">
      <c r="B126" s="428"/>
      <c r="C126" s="429"/>
      <c r="D126" s="429"/>
      <c r="E126" s="429"/>
      <c r="F126" s="429"/>
      <c r="G126" s="429"/>
      <c r="H126" s="429"/>
      <c r="I126" s="429"/>
      <c r="J126" s="429"/>
      <c r="K126" s="429"/>
      <c r="L126" s="429"/>
      <c r="M126" s="429"/>
      <c r="N126" s="429"/>
      <c r="O126" s="429"/>
      <c r="P126" s="429"/>
      <c r="Q126" s="429"/>
      <c r="R126" s="429"/>
      <c r="S126" s="429"/>
      <c r="T126" s="429"/>
      <c r="U126" s="429"/>
      <c r="V126" s="429"/>
      <c r="W126" s="429"/>
      <c r="X126" s="429"/>
      <c r="Y126" s="429"/>
      <c r="Z126" s="429"/>
      <c r="AA126" s="429"/>
      <c r="AB126" s="429"/>
      <c r="AC126" s="429"/>
      <c r="AD126" s="429"/>
      <c r="AE126" s="429"/>
      <c r="AF126" s="429"/>
      <c r="AG126" s="429"/>
      <c r="AH126" s="429"/>
      <c r="AI126" s="429"/>
      <c r="AJ126" s="429"/>
      <c r="AK126" s="429"/>
      <c r="AL126" s="429"/>
      <c r="AM126" s="429"/>
      <c r="AN126" s="429"/>
      <c r="AO126" s="432"/>
      <c r="AP126" s="428"/>
      <c r="AQ126" s="431"/>
      <c r="AR126" s="431"/>
      <c r="AS126" s="431"/>
      <c r="AT126" s="431"/>
      <c r="AU126" s="431"/>
      <c r="AV126" s="431"/>
      <c r="AW126" s="431"/>
      <c r="AX126" s="431"/>
      <c r="AY126" s="431"/>
      <c r="AZ126" s="431"/>
      <c r="BA126" s="431"/>
      <c r="BB126" s="431"/>
      <c r="BC126" s="431"/>
      <c r="BD126" s="431"/>
      <c r="BE126" s="431"/>
      <c r="BF126" s="431"/>
      <c r="BG126" s="431"/>
      <c r="BH126" s="431"/>
      <c r="BI126" s="431"/>
      <c r="BJ126" s="431"/>
      <c r="BK126" s="431"/>
      <c r="BL126" s="431"/>
      <c r="BM126" s="431"/>
      <c r="BN126" s="431"/>
      <c r="BO126" s="431"/>
      <c r="BP126" s="431"/>
      <c r="BQ126" s="431"/>
      <c r="BR126" s="431"/>
      <c r="BS126" s="431"/>
      <c r="BT126" s="431"/>
      <c r="BU126" s="431"/>
      <c r="BV126" s="431"/>
      <c r="BW126" s="431"/>
      <c r="BX126" s="431"/>
      <c r="BY126" s="431"/>
      <c r="BZ126" s="431"/>
      <c r="CA126" s="431"/>
      <c r="CB126" s="431"/>
      <c r="CC126" s="432"/>
      <c r="CD126" s="428"/>
      <c r="CE126" s="433"/>
      <c r="CF126" s="433"/>
      <c r="CG126" s="433"/>
      <c r="CH126" s="433"/>
      <c r="CI126" s="433"/>
      <c r="CJ126" s="433"/>
      <c r="CK126" s="433"/>
      <c r="CL126" s="433"/>
      <c r="CM126" s="433"/>
      <c r="CN126" s="433"/>
      <c r="CO126" s="433"/>
      <c r="CP126" s="433"/>
      <c r="CQ126" s="433"/>
      <c r="CR126" s="433"/>
      <c r="CS126" s="433"/>
      <c r="CT126" s="433"/>
      <c r="CU126" s="433"/>
      <c r="CV126" s="433"/>
      <c r="CW126" s="433"/>
      <c r="CX126" s="433"/>
      <c r="CY126" s="433"/>
      <c r="CZ126" s="433"/>
      <c r="DA126" s="433"/>
      <c r="DB126" s="433"/>
      <c r="DC126" s="433"/>
      <c r="DD126" s="433"/>
      <c r="DE126" s="433"/>
      <c r="DF126" s="433"/>
      <c r="DG126" s="433"/>
      <c r="DH126" s="433"/>
      <c r="DI126" s="433"/>
      <c r="DJ126" s="433"/>
      <c r="DK126" s="433"/>
      <c r="DL126" s="433"/>
      <c r="DM126" s="433"/>
      <c r="DN126" s="433"/>
      <c r="DO126" s="433"/>
      <c r="DP126" s="433"/>
      <c r="DR126" s="409"/>
      <c r="DS126" s="409"/>
    </row>
    <row r="127" spans="2:123" s="1471" customFormat="1">
      <c r="B127" s="428"/>
      <c r="C127" s="429"/>
      <c r="D127" s="429"/>
      <c r="E127" s="429"/>
      <c r="F127" s="429"/>
      <c r="G127" s="429"/>
      <c r="H127" s="429"/>
      <c r="I127" s="429"/>
      <c r="J127" s="429"/>
      <c r="K127" s="429"/>
      <c r="L127" s="429"/>
      <c r="M127" s="429"/>
      <c r="N127" s="429"/>
      <c r="O127" s="429"/>
      <c r="P127" s="429"/>
      <c r="Q127" s="429"/>
      <c r="R127" s="429"/>
      <c r="S127" s="429"/>
      <c r="T127" s="429"/>
      <c r="U127" s="429"/>
      <c r="V127" s="429"/>
      <c r="W127" s="429"/>
      <c r="X127" s="429"/>
      <c r="Y127" s="429"/>
      <c r="Z127" s="429"/>
      <c r="AA127" s="429"/>
      <c r="AB127" s="429"/>
      <c r="AC127" s="429"/>
      <c r="AD127" s="429"/>
      <c r="AE127" s="429"/>
      <c r="AF127" s="429"/>
      <c r="AG127" s="429"/>
      <c r="AH127" s="429"/>
      <c r="AI127" s="429"/>
      <c r="AJ127" s="429"/>
      <c r="AK127" s="429"/>
      <c r="AL127" s="429"/>
      <c r="AM127" s="429"/>
      <c r="AN127" s="429"/>
      <c r="AO127" s="432"/>
      <c r="AP127" s="428"/>
      <c r="AQ127" s="431"/>
      <c r="AR127" s="431"/>
      <c r="AS127" s="431"/>
      <c r="AT127" s="431"/>
      <c r="AU127" s="431"/>
      <c r="AV127" s="431"/>
      <c r="AW127" s="431"/>
      <c r="AX127" s="431"/>
      <c r="AY127" s="431"/>
      <c r="AZ127" s="431"/>
      <c r="BA127" s="431"/>
      <c r="BB127" s="431"/>
      <c r="BC127" s="431"/>
      <c r="BD127" s="431"/>
      <c r="BE127" s="431"/>
      <c r="BF127" s="431"/>
      <c r="BG127" s="431"/>
      <c r="BH127" s="431"/>
      <c r="BI127" s="431"/>
      <c r="BJ127" s="431"/>
      <c r="BK127" s="431"/>
      <c r="BL127" s="431"/>
      <c r="BM127" s="431"/>
      <c r="BN127" s="431"/>
      <c r="BO127" s="431"/>
      <c r="BP127" s="431"/>
      <c r="BQ127" s="431"/>
      <c r="BR127" s="431"/>
      <c r="BS127" s="431"/>
      <c r="BT127" s="431"/>
      <c r="BU127" s="431"/>
      <c r="BV127" s="431"/>
      <c r="BW127" s="431"/>
      <c r="BX127" s="431"/>
      <c r="BY127" s="431"/>
      <c r="BZ127" s="431"/>
      <c r="CA127" s="431"/>
      <c r="CB127" s="431"/>
      <c r="CC127" s="432"/>
      <c r="CD127" s="428"/>
      <c r="CE127" s="433"/>
      <c r="CF127" s="433"/>
      <c r="CG127" s="433"/>
      <c r="CH127" s="433"/>
      <c r="CI127" s="433"/>
      <c r="CJ127" s="433"/>
      <c r="CK127" s="433"/>
      <c r="CL127" s="433"/>
      <c r="CM127" s="433"/>
      <c r="CN127" s="433"/>
      <c r="CO127" s="433"/>
      <c r="CP127" s="433"/>
      <c r="CQ127" s="433"/>
      <c r="CR127" s="433"/>
      <c r="CS127" s="433"/>
      <c r="CT127" s="433"/>
      <c r="CU127" s="433"/>
      <c r="CV127" s="433"/>
      <c r="CW127" s="433"/>
      <c r="CX127" s="433"/>
      <c r="CY127" s="433"/>
      <c r="CZ127" s="433"/>
      <c r="DA127" s="433"/>
      <c r="DB127" s="433"/>
      <c r="DC127" s="433"/>
      <c r="DD127" s="433"/>
      <c r="DE127" s="433"/>
      <c r="DF127" s="433"/>
      <c r="DG127" s="433"/>
      <c r="DH127" s="433"/>
      <c r="DI127" s="433"/>
      <c r="DJ127" s="433"/>
      <c r="DK127" s="433"/>
      <c r="DL127" s="433"/>
      <c r="DM127" s="433"/>
      <c r="DN127" s="433"/>
      <c r="DO127" s="433"/>
      <c r="DP127" s="433"/>
      <c r="DR127" s="409"/>
      <c r="DS127" s="409"/>
    </row>
    <row r="128" spans="2:123" s="1471" customFormat="1">
      <c r="B128" s="428"/>
      <c r="C128" s="429"/>
      <c r="D128" s="429"/>
      <c r="E128" s="429"/>
      <c r="F128" s="429"/>
      <c r="G128" s="429"/>
      <c r="H128" s="429"/>
      <c r="I128" s="429"/>
      <c r="J128" s="429"/>
      <c r="K128" s="429"/>
      <c r="L128" s="429"/>
      <c r="M128" s="429"/>
      <c r="N128" s="429"/>
      <c r="O128" s="429"/>
      <c r="P128" s="429"/>
      <c r="Q128" s="429"/>
      <c r="R128" s="429"/>
      <c r="S128" s="429"/>
      <c r="T128" s="429"/>
      <c r="U128" s="429"/>
      <c r="V128" s="429"/>
      <c r="W128" s="429"/>
      <c r="X128" s="429"/>
      <c r="Y128" s="429"/>
      <c r="Z128" s="429"/>
      <c r="AA128" s="429"/>
      <c r="AB128" s="429"/>
      <c r="AC128" s="429"/>
      <c r="AD128" s="429"/>
      <c r="AE128" s="429"/>
      <c r="AF128" s="429"/>
      <c r="AG128" s="429"/>
      <c r="AH128" s="429"/>
      <c r="AI128" s="429"/>
      <c r="AJ128" s="429"/>
      <c r="AK128" s="429"/>
      <c r="AL128" s="429"/>
      <c r="AM128" s="429"/>
      <c r="AN128" s="429"/>
      <c r="AO128" s="432"/>
      <c r="AP128" s="428"/>
      <c r="AQ128" s="431"/>
      <c r="AR128" s="431"/>
      <c r="AS128" s="431"/>
      <c r="AT128" s="431"/>
      <c r="AU128" s="431"/>
      <c r="AV128" s="431"/>
      <c r="AW128" s="431"/>
      <c r="AX128" s="431"/>
      <c r="AY128" s="431"/>
      <c r="AZ128" s="431"/>
      <c r="BA128" s="431"/>
      <c r="BB128" s="431"/>
      <c r="BC128" s="431"/>
      <c r="BD128" s="431"/>
      <c r="BE128" s="431"/>
      <c r="BF128" s="431"/>
      <c r="BG128" s="431"/>
      <c r="BH128" s="431"/>
      <c r="BI128" s="431"/>
      <c r="BJ128" s="431"/>
      <c r="BK128" s="431"/>
      <c r="BL128" s="431"/>
      <c r="BM128" s="431"/>
      <c r="BN128" s="431"/>
      <c r="BO128" s="431"/>
      <c r="BP128" s="431"/>
      <c r="BQ128" s="431"/>
      <c r="BR128" s="431"/>
      <c r="BS128" s="431"/>
      <c r="BT128" s="431"/>
      <c r="BU128" s="431"/>
      <c r="BV128" s="431"/>
      <c r="BW128" s="431"/>
      <c r="BX128" s="431"/>
      <c r="BY128" s="431"/>
      <c r="BZ128" s="431"/>
      <c r="CA128" s="431"/>
      <c r="CB128" s="431"/>
      <c r="CC128" s="432"/>
      <c r="CD128" s="428"/>
      <c r="CE128" s="433"/>
      <c r="CF128" s="433"/>
      <c r="CG128" s="433"/>
      <c r="CH128" s="433"/>
      <c r="CI128" s="433"/>
      <c r="CJ128" s="433"/>
      <c r="CK128" s="433"/>
      <c r="CL128" s="433"/>
      <c r="CM128" s="433"/>
      <c r="CN128" s="433"/>
      <c r="CO128" s="433"/>
      <c r="CP128" s="433"/>
      <c r="CQ128" s="433"/>
      <c r="CR128" s="433"/>
      <c r="CS128" s="433"/>
      <c r="CT128" s="433"/>
      <c r="CU128" s="433"/>
      <c r="CV128" s="433"/>
      <c r="CW128" s="433"/>
      <c r="CX128" s="433"/>
      <c r="CY128" s="433"/>
      <c r="CZ128" s="433"/>
      <c r="DA128" s="433"/>
      <c r="DB128" s="433"/>
      <c r="DC128" s="433"/>
      <c r="DD128" s="433"/>
      <c r="DE128" s="433"/>
      <c r="DF128" s="433"/>
      <c r="DG128" s="433"/>
      <c r="DH128" s="433"/>
      <c r="DI128" s="433"/>
      <c r="DJ128" s="433"/>
      <c r="DK128" s="433"/>
      <c r="DL128" s="433"/>
      <c r="DM128" s="433"/>
      <c r="DN128" s="433"/>
      <c r="DO128" s="433"/>
      <c r="DP128" s="433"/>
      <c r="DR128" s="409"/>
      <c r="DS128" s="409"/>
    </row>
    <row r="129" spans="2:123" s="1471" customFormat="1">
      <c r="B129" s="428"/>
      <c r="C129" s="429"/>
      <c r="D129" s="429"/>
      <c r="E129" s="429"/>
      <c r="F129" s="429"/>
      <c r="G129" s="429"/>
      <c r="H129" s="429"/>
      <c r="I129" s="429"/>
      <c r="J129" s="429"/>
      <c r="K129" s="429"/>
      <c r="L129" s="429"/>
      <c r="M129" s="429"/>
      <c r="N129" s="429"/>
      <c r="O129" s="429"/>
      <c r="P129" s="429"/>
      <c r="Q129" s="429"/>
      <c r="R129" s="429"/>
      <c r="S129" s="429"/>
      <c r="T129" s="429"/>
      <c r="U129" s="429"/>
      <c r="V129" s="429"/>
      <c r="W129" s="429"/>
      <c r="X129" s="429"/>
      <c r="Y129" s="429"/>
      <c r="Z129" s="429"/>
      <c r="AA129" s="429"/>
      <c r="AB129" s="429"/>
      <c r="AC129" s="429"/>
      <c r="AD129" s="429"/>
      <c r="AE129" s="429"/>
      <c r="AF129" s="429"/>
      <c r="AG129" s="429"/>
      <c r="AH129" s="429"/>
      <c r="AI129" s="429"/>
      <c r="AJ129" s="429"/>
      <c r="AK129" s="429"/>
      <c r="AL129" s="429"/>
      <c r="AM129" s="429"/>
      <c r="AN129" s="429"/>
      <c r="AO129" s="432"/>
      <c r="AP129" s="428"/>
      <c r="AQ129" s="431"/>
      <c r="AR129" s="431"/>
      <c r="AS129" s="431"/>
      <c r="AT129" s="431"/>
      <c r="AU129" s="431"/>
      <c r="AV129" s="431"/>
      <c r="AW129" s="431"/>
      <c r="AX129" s="431"/>
      <c r="AY129" s="431"/>
      <c r="AZ129" s="431"/>
      <c r="BA129" s="431"/>
      <c r="BB129" s="431"/>
      <c r="BC129" s="431"/>
      <c r="BD129" s="431"/>
      <c r="BE129" s="431"/>
      <c r="BF129" s="431"/>
      <c r="BG129" s="431"/>
      <c r="BH129" s="431"/>
      <c r="BI129" s="431"/>
      <c r="BJ129" s="431"/>
      <c r="BK129" s="431"/>
      <c r="BL129" s="431"/>
      <c r="BM129" s="431"/>
      <c r="BN129" s="431"/>
      <c r="BO129" s="431"/>
      <c r="BP129" s="431"/>
      <c r="BQ129" s="431"/>
      <c r="BR129" s="431"/>
      <c r="BS129" s="431"/>
      <c r="BT129" s="431"/>
      <c r="BU129" s="431"/>
      <c r="BV129" s="431"/>
      <c r="BW129" s="431"/>
      <c r="BX129" s="431"/>
      <c r="BY129" s="431"/>
      <c r="BZ129" s="431"/>
      <c r="CA129" s="431"/>
      <c r="CB129" s="431"/>
      <c r="CC129" s="432"/>
      <c r="CD129" s="428"/>
      <c r="CE129" s="433"/>
      <c r="CF129" s="433"/>
      <c r="CG129" s="433"/>
      <c r="CH129" s="433"/>
      <c r="CI129" s="433"/>
      <c r="CJ129" s="433"/>
      <c r="CK129" s="433"/>
      <c r="CL129" s="433"/>
      <c r="CM129" s="433"/>
      <c r="CN129" s="433"/>
      <c r="CO129" s="433"/>
      <c r="CP129" s="433"/>
      <c r="CQ129" s="433"/>
      <c r="CR129" s="433"/>
      <c r="CS129" s="433"/>
      <c r="CT129" s="433"/>
      <c r="CU129" s="433"/>
      <c r="CV129" s="433"/>
      <c r="CW129" s="433"/>
      <c r="CX129" s="433"/>
      <c r="CY129" s="433"/>
      <c r="CZ129" s="433"/>
      <c r="DA129" s="433"/>
      <c r="DB129" s="433"/>
      <c r="DC129" s="433"/>
      <c r="DD129" s="433"/>
      <c r="DE129" s="433"/>
      <c r="DF129" s="433"/>
      <c r="DG129" s="433"/>
      <c r="DH129" s="433"/>
      <c r="DI129" s="433"/>
      <c r="DJ129" s="433"/>
      <c r="DK129" s="433"/>
      <c r="DL129" s="433"/>
      <c r="DM129" s="433"/>
      <c r="DN129" s="433"/>
      <c r="DO129" s="433"/>
      <c r="DP129" s="433"/>
      <c r="DR129" s="409"/>
      <c r="DS129" s="409"/>
    </row>
    <row r="130" spans="2:123" s="1471" customFormat="1">
      <c r="B130" s="428"/>
      <c r="C130" s="429"/>
      <c r="D130" s="429"/>
      <c r="E130" s="429"/>
      <c r="F130" s="429"/>
      <c r="G130" s="429"/>
      <c r="H130" s="429"/>
      <c r="I130" s="429"/>
      <c r="J130" s="429"/>
      <c r="K130" s="429"/>
      <c r="L130" s="429"/>
      <c r="M130" s="429"/>
      <c r="N130" s="429"/>
      <c r="O130" s="429"/>
      <c r="P130" s="429"/>
      <c r="Q130" s="429"/>
      <c r="R130" s="429"/>
      <c r="S130" s="429"/>
      <c r="T130" s="429"/>
      <c r="U130" s="429"/>
      <c r="V130" s="429"/>
      <c r="W130" s="429"/>
      <c r="X130" s="429"/>
      <c r="Y130" s="429"/>
      <c r="Z130" s="429"/>
      <c r="AA130" s="429"/>
      <c r="AB130" s="429"/>
      <c r="AC130" s="429"/>
      <c r="AD130" s="429"/>
      <c r="AE130" s="429"/>
      <c r="AF130" s="429"/>
      <c r="AG130" s="429"/>
      <c r="AH130" s="429"/>
      <c r="AI130" s="429"/>
      <c r="AJ130" s="429"/>
      <c r="AK130" s="429"/>
      <c r="AL130" s="429"/>
      <c r="AM130" s="429"/>
      <c r="AN130" s="429"/>
      <c r="AO130" s="432"/>
      <c r="AP130" s="428"/>
      <c r="AQ130" s="431"/>
      <c r="AR130" s="431"/>
      <c r="AS130" s="431"/>
      <c r="AT130" s="431"/>
      <c r="AU130" s="431"/>
      <c r="AV130" s="431"/>
      <c r="AW130" s="431"/>
      <c r="AX130" s="431"/>
      <c r="AY130" s="431"/>
      <c r="AZ130" s="431"/>
      <c r="BA130" s="431"/>
      <c r="BB130" s="431"/>
      <c r="BC130" s="431"/>
      <c r="BD130" s="431"/>
      <c r="BE130" s="431"/>
      <c r="BF130" s="431"/>
      <c r="BG130" s="431"/>
      <c r="BH130" s="431"/>
      <c r="BI130" s="431"/>
      <c r="BJ130" s="431"/>
      <c r="BK130" s="431"/>
      <c r="BL130" s="431"/>
      <c r="BM130" s="431"/>
      <c r="BN130" s="431"/>
      <c r="BO130" s="431"/>
      <c r="BP130" s="431"/>
      <c r="BQ130" s="431"/>
      <c r="BR130" s="431"/>
      <c r="BS130" s="431"/>
      <c r="BT130" s="431"/>
      <c r="BU130" s="431"/>
      <c r="BV130" s="431"/>
      <c r="BW130" s="431"/>
      <c r="BX130" s="431"/>
      <c r="BY130" s="431"/>
      <c r="BZ130" s="431"/>
      <c r="CA130" s="431"/>
      <c r="CB130" s="431"/>
      <c r="CC130" s="432"/>
      <c r="CD130" s="428"/>
      <c r="CE130" s="433"/>
      <c r="CF130" s="433"/>
      <c r="CG130" s="433"/>
      <c r="CH130" s="433"/>
      <c r="CI130" s="433"/>
      <c r="CJ130" s="433"/>
      <c r="CK130" s="433"/>
      <c r="CL130" s="433"/>
      <c r="CM130" s="433"/>
      <c r="CN130" s="433"/>
      <c r="CO130" s="433"/>
      <c r="CP130" s="433"/>
      <c r="CQ130" s="433"/>
      <c r="CR130" s="433"/>
      <c r="CS130" s="433"/>
      <c r="CT130" s="433"/>
      <c r="CU130" s="433"/>
      <c r="CV130" s="433"/>
      <c r="CW130" s="433"/>
      <c r="CX130" s="433"/>
      <c r="CY130" s="433"/>
      <c r="CZ130" s="433"/>
      <c r="DA130" s="433"/>
      <c r="DB130" s="433"/>
      <c r="DC130" s="433"/>
      <c r="DD130" s="433"/>
      <c r="DE130" s="433"/>
      <c r="DF130" s="433"/>
      <c r="DG130" s="433"/>
      <c r="DH130" s="433"/>
      <c r="DI130" s="433"/>
      <c r="DJ130" s="433"/>
      <c r="DK130" s="433"/>
      <c r="DL130" s="433"/>
      <c r="DM130" s="433"/>
      <c r="DN130" s="433"/>
      <c r="DO130" s="433"/>
      <c r="DP130" s="433"/>
      <c r="DR130" s="409"/>
      <c r="DS130" s="409"/>
    </row>
  </sheetData>
  <conditionalFormatting sqref="B26:DP105 B107:DP130">
    <cfRule type="expression" dxfId="39" priority="19">
      <formula>IF(B26&lt;&gt;B27,TRUE,FALSE)</formula>
    </cfRule>
  </conditionalFormatting>
  <conditionalFormatting sqref="C62:DP74 C27:DP60">
    <cfRule type="expression" dxfId="38" priority="18">
      <formula>IF(ABS(C26/C27-1)&gt;0.01,TRUE,FALSE)</formula>
    </cfRule>
  </conditionalFormatting>
  <conditionalFormatting sqref="B61:DP61">
    <cfRule type="expression" dxfId="37" priority="17">
      <formula>IF(B61&lt;&gt;B62,TRUE,FALSE)</formula>
    </cfRule>
  </conditionalFormatting>
  <conditionalFormatting sqref="C61:DP61">
    <cfRule type="expression" dxfId="36" priority="16">
      <formula>IF(ABS(C60/C61-1)&gt;0.01,TRUE,FALSE)</formula>
    </cfRule>
  </conditionalFormatting>
  <conditionalFormatting sqref="C16">
    <cfRule type="expression" dxfId="35" priority="15">
      <formula>IF(C16&lt;&gt;0,TRUE,FALSE)</formula>
    </cfRule>
  </conditionalFormatting>
  <conditionalFormatting sqref="D16:E16 T16:AN16 G16 I16:R16">
    <cfRule type="expression" dxfId="34" priority="14">
      <formula>IF(D16&lt;&gt;0,TRUE,FALSE)</formula>
    </cfRule>
  </conditionalFormatting>
  <conditionalFormatting sqref="AQ16">
    <cfRule type="expression" dxfId="33" priority="13">
      <formula>IF(AQ16&lt;&gt;0,TRUE,FALSE)</formula>
    </cfRule>
  </conditionalFormatting>
  <conditionalFormatting sqref="AR16:AS16 BH16:CB16 AU16 AW16:BF16">
    <cfRule type="expression" dxfId="32" priority="12">
      <formula>IF(AR16&lt;&gt;0,TRUE,FALSE)</formula>
    </cfRule>
  </conditionalFormatting>
  <conditionalFormatting sqref="CE16">
    <cfRule type="expression" dxfId="31" priority="11">
      <formula>IF(CE16&lt;&gt;0,TRUE,FALSE)</formula>
    </cfRule>
  </conditionalFormatting>
  <conditionalFormatting sqref="CF16:CG16 CV16:DP16 CI16 CK16:CT16">
    <cfRule type="expression" dxfId="30" priority="10">
      <formula>IF(CF16&lt;&gt;0,TRUE,FALSE)</formula>
    </cfRule>
  </conditionalFormatting>
  <conditionalFormatting sqref="S16">
    <cfRule type="expression" dxfId="29" priority="9">
      <formula>IF(S16&lt;&gt;0,TRUE,FALSE)</formula>
    </cfRule>
  </conditionalFormatting>
  <conditionalFormatting sqref="BG16">
    <cfRule type="expression" dxfId="28" priority="8">
      <formula>IF(BG16&lt;&gt;0,TRUE,FALSE)</formula>
    </cfRule>
  </conditionalFormatting>
  <conditionalFormatting sqref="CU16">
    <cfRule type="expression" dxfId="27" priority="7">
      <formula>IF(CU16&lt;&gt;0,TRUE,FALSE)</formula>
    </cfRule>
  </conditionalFormatting>
  <conditionalFormatting sqref="F16">
    <cfRule type="expression" dxfId="26" priority="6">
      <formula>IF(F16&lt;&gt;0,TRUE,FALSE)</formula>
    </cfRule>
  </conditionalFormatting>
  <conditionalFormatting sqref="AT16">
    <cfRule type="expression" dxfId="25" priority="5">
      <formula>IF(AT16&lt;&gt;0,TRUE,FALSE)</formula>
    </cfRule>
  </conditionalFormatting>
  <conditionalFormatting sqref="CH16">
    <cfRule type="expression" dxfId="24" priority="4">
      <formula>IF(CH16&lt;&gt;0,TRUE,FALSE)</formula>
    </cfRule>
  </conditionalFormatting>
  <conditionalFormatting sqref="CJ16">
    <cfRule type="expression" dxfId="23" priority="3">
      <formula>IF(CJ16&lt;&gt;0,TRUE,FALSE)</formula>
    </cfRule>
  </conditionalFormatting>
  <conditionalFormatting sqref="AV16">
    <cfRule type="expression" dxfId="22" priority="2">
      <formula>IF(AV16&lt;&gt;0,TRUE,FALSE)</formula>
    </cfRule>
  </conditionalFormatting>
  <conditionalFormatting sqref="H16">
    <cfRule type="expression" dxfId="21" priority="1">
      <formula>IF(H16&lt;&gt;0,TRUE,FALSE)</formula>
    </cfRule>
  </conditionalFormatting>
  <conditionalFormatting sqref="B106:DP106">
    <cfRule type="expression" dxfId="20" priority="45">
      <formula>IF(B106&lt;&gt;#REF!,TRUE,FALSE)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41" r:id="rId3" name="Drop Down 1">
              <controlPr defaultSize="0" autoLine="0" autoPict="0">
                <anchor moveWithCells="1">
                  <from>
                    <xdr:col>16</xdr:col>
                    <xdr:colOff>352425</xdr:colOff>
                    <xdr:row>0</xdr:row>
                    <xdr:rowOff>38100</xdr:rowOff>
                  </from>
                  <to>
                    <xdr:col>19</xdr:col>
                    <xdr:colOff>133350</xdr:colOff>
                    <xdr:row>0</xdr:row>
                    <xdr:rowOff>238125</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7">
    <tabColor rgb="FFFFFF00"/>
  </sheetPr>
  <dimension ref="A1:DS130"/>
  <sheetViews>
    <sheetView topLeftCell="B87" zoomScale="80" zoomScaleNormal="80" workbookViewId="0">
      <selection activeCell="B115" sqref="B115:DS115"/>
    </sheetView>
  </sheetViews>
  <sheetFormatPr defaultRowHeight="12.75"/>
  <cols>
    <col min="1" max="1" width="2.7109375" style="523" customWidth="1"/>
    <col min="2" max="2" width="11.42578125" style="523" customWidth="1"/>
    <col min="3" max="3" width="10.7109375" style="523" bestFit="1" customWidth="1"/>
    <col min="4" max="4" width="12.42578125" style="523" customWidth="1"/>
    <col min="5" max="12" width="9.140625" style="523"/>
    <col min="13" max="13" width="9.140625" style="523" customWidth="1"/>
    <col min="14" max="14" width="10.5703125" style="523" customWidth="1"/>
    <col min="15" max="41" width="9.140625" style="523"/>
    <col min="42" max="42" width="11.42578125" style="523" customWidth="1"/>
    <col min="43" max="80" width="9.140625" style="523"/>
    <col min="81" max="81" width="2.5703125" style="523" customWidth="1"/>
    <col min="82" max="82" width="11.42578125" style="523" customWidth="1"/>
    <col min="83" max="83" width="10.7109375" style="523" customWidth="1"/>
    <col min="84" max="88" width="10" style="523" customWidth="1"/>
    <col min="89" max="91" width="9.42578125" style="523" customWidth="1"/>
    <col min="92" max="92" width="10" style="523" customWidth="1"/>
    <col min="93" max="93" width="9.42578125" style="523" customWidth="1"/>
    <col min="94" max="94" width="10" style="523" customWidth="1"/>
    <col min="95" max="96" width="9.42578125" style="523" customWidth="1"/>
    <col min="97" max="97" width="10" style="523" customWidth="1"/>
    <col min="98" max="99" width="9.42578125" style="523" customWidth="1"/>
    <col min="100" max="100" width="9.5703125" style="523" customWidth="1"/>
    <col min="101" max="108" width="9.42578125" style="523" customWidth="1"/>
    <col min="109" max="112" width="10" style="523" customWidth="1"/>
    <col min="113" max="113" width="11" style="523" customWidth="1"/>
    <col min="114" max="114" width="10" style="523" customWidth="1"/>
    <col min="115" max="117" width="11" style="523" customWidth="1"/>
    <col min="118" max="120" width="9.42578125" style="523" customWidth="1"/>
    <col min="121" max="121" width="2.5703125" style="523" customWidth="1"/>
    <col min="122" max="122" width="9.140625" style="523"/>
    <col min="123" max="123" width="100.7109375" style="523" customWidth="1"/>
    <col min="124" max="16384" width="9.140625" style="523"/>
  </cols>
  <sheetData>
    <row r="1" spans="1:123" s="465" customFormat="1" ht="21">
      <c r="A1" s="465" t="s">
        <v>697</v>
      </c>
      <c r="M1" s="2399">
        <f ca="1">CHOOSE(chosenYear,'Log2015'!$D$4,'Log2020'!$D$4,'Log2035'!$D$4,'Log2050'!$D$4)</f>
        <v>-8.0112614142160741</v>
      </c>
      <c r="N1" s="465">
        <f ca="1">CHOOSE(chosenYear,'Log2015'!$D$5,'Log2020'!$D$5,'Log2035'!$D$5,'Log2050'!$D$5)</f>
        <v>-160807.124977848</v>
      </c>
      <c r="T1" s="468"/>
      <c r="U1" s="2388"/>
      <c r="V1" s="2388"/>
      <c r="W1" s="2388"/>
      <c r="Y1" s="2389"/>
      <c r="AA1" s="2388"/>
      <c r="AC1" s="2389"/>
    </row>
    <row r="2" spans="1:123">
      <c r="A2" s="393" t="s">
        <v>704</v>
      </c>
      <c r="N2" s="523">
        <f ca="1">N1</f>
        <v>-160807.124977848</v>
      </c>
    </row>
    <row r="4" spans="1:123">
      <c r="B4" s="398" t="s">
        <v>706</v>
      </c>
      <c r="C4" s="341" t="s">
        <v>68</v>
      </c>
      <c r="D4" s="400">
        <f ca="1">SUM(C16:AN16)</f>
        <v>1383.0059389811372</v>
      </c>
      <c r="K4" s="323"/>
      <c r="L4" s="323"/>
      <c r="M4" s="455"/>
      <c r="N4" s="455"/>
      <c r="O4" s="455"/>
      <c r="P4" s="455"/>
      <c r="Q4" s="455"/>
      <c r="R4" s="455"/>
      <c r="S4" s="455"/>
      <c r="T4" s="455"/>
      <c r="U4" s="455"/>
      <c r="V4" s="455"/>
      <c r="W4" s="455"/>
    </row>
    <row r="5" spans="1:123">
      <c r="B5" s="399" t="s">
        <v>706</v>
      </c>
      <c r="C5" s="340" t="s">
        <v>7</v>
      </c>
      <c r="D5" s="401">
        <f ca="1">SUM(AQ16:CB16)</f>
        <v>211676.58540118826</v>
      </c>
      <c r="K5" s="323"/>
      <c r="L5" s="323"/>
      <c r="M5" s="455"/>
      <c r="N5" s="455"/>
      <c r="O5" s="455"/>
      <c r="P5" s="455"/>
      <c r="Q5" s="455"/>
      <c r="R5" s="455"/>
      <c r="S5" s="455"/>
      <c r="T5" s="455"/>
      <c r="U5" s="455"/>
      <c r="V5" s="455"/>
      <c r="W5" s="455"/>
    </row>
    <row r="6" spans="1:123">
      <c r="B6" s="399" t="s">
        <v>706</v>
      </c>
      <c r="C6" s="340"/>
      <c r="D6" s="401">
        <f ca="1">D5+D4</f>
        <v>213059.5913401694</v>
      </c>
    </row>
    <row r="10" spans="1:123">
      <c r="B10" s="393"/>
    </row>
    <row r="12" spans="1:123">
      <c r="B12" s="234" t="s">
        <v>698</v>
      </c>
      <c r="AP12" s="234" t="s">
        <v>700</v>
      </c>
      <c r="CD12" s="234" t="s">
        <v>1657</v>
      </c>
    </row>
    <row r="13" spans="1:123" ht="62.25" customHeight="1">
      <c r="B13" s="392" t="s">
        <v>690</v>
      </c>
      <c r="C13" s="427" t="str">
        <f ca="1">OFFSET(Vehicles!$F$6,0,COLUMN()-COLUMN($C$13))</f>
        <v>Conv. diesel</v>
      </c>
      <c r="D13" s="427" t="str">
        <f ca="1">OFFSET(Vehicles!$F$6,0,COLUMN()-COLUMN($C$13))</f>
        <v>Conv. gasoline</v>
      </c>
      <c r="E13" s="427" t="str">
        <f ca="1">OFFSET(Vehicles!$F$6,0,COLUMN()-COLUMN($C$13))</f>
        <v>E85-1g</v>
      </c>
      <c r="F13" s="427" t="str">
        <f ca="1">OFFSET(Vehicles!$F$6,0,COLUMN()-COLUMN($C$13))</f>
        <v>E85-1g Sugarb.</v>
      </c>
      <c r="G13" s="427" t="str">
        <f ca="1">OFFSET(Vehicles!$F$6,0,COLUMN()-COLUMN($C$13))</f>
        <v>E85-2g</v>
      </c>
      <c r="H13" s="427" t="str">
        <f ca="1">OFFSET(Vehicles!$F$6,0,COLUMN()-COLUMN($C$13))</f>
        <v>Biodiesel-1g RME</v>
      </c>
      <c r="I13" s="427" t="str">
        <f ca="1">OFFSET(Vehicles!$F$6,0,COLUMN()-COLUMN($C$13))</f>
        <v>Biodiesel-2g</v>
      </c>
      <c r="J13" s="427" t="str">
        <f ca="1">OFFSET(Vehicles!$F$6,0,COLUMN()-COLUMN($C$13))</f>
        <v>DME</v>
      </c>
      <c r="K13" s="427" t="str">
        <f ca="1">OFFSET(Vehicles!$F$6,0,COLUMN()-COLUMN($C$13))</f>
        <v>B-Naturgas</v>
      </c>
      <c r="L13" s="427" t="str">
        <f ca="1">OFFSET(Vehicles!$F$6,0,COLUMN()-COLUMN($C$13))</f>
        <v>Biogas</v>
      </c>
      <c r="M13" s="427" t="str">
        <f ca="1">OFFSET(Vehicles!$F$6,0,COLUMN()-COLUMN($C$13))</f>
        <v>MeOH</v>
      </c>
      <c r="N13" s="427" t="str">
        <f ca="1">OFFSET(Vehicles!$F$6,0,COLUMN()-COLUMN($C$13))</f>
        <v>B-Brint</v>
      </c>
      <c r="O13" s="427" t="str">
        <f ca="1">OFFSET(Vehicles!$F$6,0,COLUMN()-COLUMN($C$13))</f>
        <v>Elbil</v>
      </c>
      <c r="P13" s="427" t="str">
        <f ca="1">OFFSET(Vehicles!$F$6,0,COLUMN()-COLUMN($C$13))</f>
        <v>Plugin Hybrid</v>
      </c>
      <c r="Q13" s="427" t="str">
        <f ca="1">OFFSET(Vehicles!$F$6,0,COLUMN()-COLUMN($C$13))</f>
        <v>Fast Ferry</v>
      </c>
      <c r="R13" s="427" t="str">
        <f ca="1">OFFSET(Vehicles!$F$6,0,COLUMN()-COLUMN($C$13))</f>
        <v>Aircraft Fossil</v>
      </c>
      <c r="S13" s="427" t="str">
        <f ca="1">OFFSET(Vehicles!$F$6,0,COLUMN()-COLUMN($C$13))</f>
        <v>Aircraft Biofuel</v>
      </c>
      <c r="T13" s="427" t="str">
        <f ca="1">OFFSET(Vehicles!$F$6,0,COLUMN()-COLUMN($C$13))</f>
        <v>9000TEU HFO</v>
      </c>
      <c r="U13" s="427" t="str">
        <f ca="1">OFFSET(Vehicles!$F$6,0,COLUMN()-COLUMN($C$13))</f>
        <v>9000TEU Diesel</v>
      </c>
      <c r="V13" s="427" t="str">
        <f ca="1">OFFSET(Vehicles!$F$6,0,COLUMN()-COLUMN($C$13))</f>
        <v>9000TEU BioDiesel</v>
      </c>
      <c r="W13" s="427" t="str">
        <f ca="1">OFFSET(Vehicles!$F$6,0,COLUMN()-COLUMN($C$13))</f>
        <v>9000TEU LNG</v>
      </c>
      <c r="X13" s="427" t="str">
        <f ca="1">OFFSET(Vehicles!$F$6,0,COLUMN()-COLUMN($C$13))</f>
        <v>IC Tog Diesel</v>
      </c>
      <c r="Y13" s="427" t="str">
        <f ca="1">OFFSET(Vehicles!$F$6,0,COLUMN()-COLUMN($C$13))</f>
        <v>IC Tog Biodiesel</v>
      </c>
      <c r="Z13" s="427" t="str">
        <f ca="1">OFFSET(Vehicles!$F$6,0,COLUMN()-COLUMN($C$13))</f>
        <v>IC Tog El</v>
      </c>
      <c r="AA13" s="427" t="str">
        <f ca="1">OFFSET(Vehicles!$F$6,0,COLUMN()-COLUMN($C$13))</f>
        <v>Lokaltog Diesel</v>
      </c>
      <c r="AB13" s="427" t="str">
        <f ca="1">OFFSET(Vehicles!$F$6,0,COLUMN()-COLUMN($C$13))</f>
        <v>Lokaltog biodiesel</v>
      </c>
      <c r="AC13" s="427" t="str">
        <f ca="1">OFFSET(Vehicles!$F$6,0,COLUMN()-COLUMN($C$13))</f>
        <v>Lokaltog Gas</v>
      </c>
      <c r="AD13" s="427" t="str">
        <f ca="1">OFFSET(Vehicles!$F$6,0,COLUMN()-COLUMN($C$13))</f>
        <v>L-Diesel</v>
      </c>
      <c r="AE13" s="427" t="str">
        <f ca="1">OFFSET(Vehicles!$F$6,0,COLUMN()-COLUMN($C$13))</f>
        <v>L-BioDiesel</v>
      </c>
      <c r="AF13" s="427" t="str">
        <f ca="1">OFFSET(Vehicles!$F$6,0,COLUMN()-COLUMN($C$13))</f>
        <v>L-CNG</v>
      </c>
      <c r="AG13" s="427" t="str">
        <f ca="1">OFFSET(Vehicles!$F$6,0,COLUMN()-COLUMN($C$13))</f>
        <v>L-DME</v>
      </c>
      <c r="AH13" s="427" t="str">
        <f ca="1">OFFSET(Vehicles!$F$6,0,COLUMN()-COLUMN($C$13))</f>
        <v>B-Diesel</v>
      </c>
      <c r="AI13" s="427" t="str">
        <f ca="1">OFFSET(Vehicles!$F$6,0,COLUMN()-COLUMN($C$13))</f>
        <v>B-Biodiesel</v>
      </c>
      <c r="AJ13" s="427" t="str">
        <f ca="1">OFFSET(Vehicles!$F$6,0,COLUMN()-COLUMN($C$13))</f>
        <v>B-CNG</v>
      </c>
      <c r="AK13" s="427" t="str">
        <f ca="1">OFFSET(Vehicles!$F$6,0,COLUMN()-COLUMN($C$13))</f>
        <v>B-Hybrid</v>
      </c>
      <c r="AL13" s="427" t="str">
        <f ca="1">OFFSET(Vehicles!$F$6,0,COLUMN()-COLUMN($C$13))</f>
        <v>Fast Ferry - Biodiesel</v>
      </c>
      <c r="AM13" s="427" t="str">
        <f ca="1">OFFSET(Vehicles!$F$6,0,COLUMN()-COLUMN($C$13))</f>
        <v>Ren brint</v>
      </c>
      <c r="AN13" s="427">
        <f ca="1">OFFSET(Vehicles!$F$6,0,COLUMN()-COLUMN($C$13))</f>
        <v>0</v>
      </c>
      <c r="AO13" s="391"/>
      <c r="AP13" s="392" t="s">
        <v>690</v>
      </c>
      <c r="AQ13" s="427" t="str">
        <f t="shared" ref="AQ13:CB13" ca="1" si="0">C13</f>
        <v>Conv. diesel</v>
      </c>
      <c r="AR13" s="427" t="str">
        <f t="shared" ca="1" si="0"/>
        <v>Conv. gasoline</v>
      </c>
      <c r="AS13" s="427" t="str">
        <f t="shared" ca="1" si="0"/>
        <v>E85-1g</v>
      </c>
      <c r="AT13" s="427" t="str">
        <f t="shared" ca="1" si="0"/>
        <v>E85-1g Sugarb.</v>
      </c>
      <c r="AU13" s="427" t="str">
        <f t="shared" ca="1" si="0"/>
        <v>E85-2g</v>
      </c>
      <c r="AV13" s="427" t="str">
        <f t="shared" ca="1" si="0"/>
        <v>Biodiesel-1g RME</v>
      </c>
      <c r="AW13" s="427" t="str">
        <f t="shared" ca="1" si="0"/>
        <v>Biodiesel-2g</v>
      </c>
      <c r="AX13" s="427" t="str">
        <f t="shared" ca="1" si="0"/>
        <v>DME</v>
      </c>
      <c r="AY13" s="427" t="str">
        <f t="shared" ca="1" si="0"/>
        <v>B-Naturgas</v>
      </c>
      <c r="AZ13" s="427" t="str">
        <f t="shared" ca="1" si="0"/>
        <v>Biogas</v>
      </c>
      <c r="BA13" s="427" t="str">
        <f t="shared" ca="1" si="0"/>
        <v>MeOH</v>
      </c>
      <c r="BB13" s="427" t="str">
        <f t="shared" ca="1" si="0"/>
        <v>B-Brint</v>
      </c>
      <c r="BC13" s="427" t="str">
        <f t="shared" ca="1" si="0"/>
        <v>Elbil</v>
      </c>
      <c r="BD13" s="427" t="str">
        <f t="shared" ca="1" si="0"/>
        <v>Plugin Hybrid</v>
      </c>
      <c r="BE13" s="427" t="str">
        <f t="shared" ca="1" si="0"/>
        <v>Fast Ferry</v>
      </c>
      <c r="BF13" s="427" t="str">
        <f t="shared" ca="1" si="0"/>
        <v>Aircraft Fossil</v>
      </c>
      <c r="BG13" s="427" t="str">
        <f t="shared" ca="1" si="0"/>
        <v>Aircraft Biofuel</v>
      </c>
      <c r="BH13" s="427" t="str">
        <f t="shared" ca="1" si="0"/>
        <v>9000TEU HFO</v>
      </c>
      <c r="BI13" s="427" t="str">
        <f t="shared" ca="1" si="0"/>
        <v>9000TEU Diesel</v>
      </c>
      <c r="BJ13" s="427" t="str">
        <f t="shared" ca="1" si="0"/>
        <v>9000TEU BioDiesel</v>
      </c>
      <c r="BK13" s="427" t="str">
        <f t="shared" ca="1" si="0"/>
        <v>9000TEU LNG</v>
      </c>
      <c r="BL13" s="427" t="str">
        <f t="shared" ca="1" si="0"/>
        <v>IC Tog Diesel</v>
      </c>
      <c r="BM13" s="427" t="str">
        <f t="shared" ca="1" si="0"/>
        <v>IC Tog Biodiesel</v>
      </c>
      <c r="BN13" s="427" t="str">
        <f t="shared" ca="1" si="0"/>
        <v>IC Tog El</v>
      </c>
      <c r="BO13" s="427" t="str">
        <f t="shared" ca="1" si="0"/>
        <v>Lokaltog Diesel</v>
      </c>
      <c r="BP13" s="427" t="str">
        <f t="shared" ca="1" si="0"/>
        <v>Lokaltog biodiesel</v>
      </c>
      <c r="BQ13" s="427" t="str">
        <f t="shared" ca="1" si="0"/>
        <v>Lokaltog Gas</v>
      </c>
      <c r="BR13" s="427" t="str">
        <f t="shared" ca="1" si="0"/>
        <v>L-Diesel</v>
      </c>
      <c r="BS13" s="427" t="str">
        <f t="shared" ca="1" si="0"/>
        <v>L-BioDiesel</v>
      </c>
      <c r="BT13" s="427" t="str">
        <f t="shared" ca="1" si="0"/>
        <v>L-CNG</v>
      </c>
      <c r="BU13" s="427" t="str">
        <f t="shared" ca="1" si="0"/>
        <v>L-DME</v>
      </c>
      <c r="BV13" s="427" t="str">
        <f t="shared" ca="1" si="0"/>
        <v>B-Diesel</v>
      </c>
      <c r="BW13" s="427" t="str">
        <f t="shared" ca="1" si="0"/>
        <v>B-Biodiesel</v>
      </c>
      <c r="BX13" s="427" t="str">
        <f t="shared" ca="1" si="0"/>
        <v>B-CNG</v>
      </c>
      <c r="BY13" s="427" t="str">
        <f t="shared" ca="1" si="0"/>
        <v>B-Hybrid</v>
      </c>
      <c r="BZ13" s="427" t="str">
        <f t="shared" ca="1" si="0"/>
        <v>Fast Ferry - Biodiesel</v>
      </c>
      <c r="CA13" s="427" t="str">
        <f t="shared" ca="1" si="0"/>
        <v>Ren brint</v>
      </c>
      <c r="CB13" s="427">
        <f t="shared" ca="1" si="0"/>
        <v>0</v>
      </c>
      <c r="CD13" s="392" t="s">
        <v>690</v>
      </c>
      <c r="CE13" s="427" t="str">
        <f t="shared" ref="CE13:DP13" ca="1" si="1">AQ13</f>
        <v>Conv. diesel</v>
      </c>
      <c r="CF13" s="427" t="str">
        <f t="shared" ca="1" si="1"/>
        <v>Conv. gasoline</v>
      </c>
      <c r="CG13" s="427" t="str">
        <f t="shared" ca="1" si="1"/>
        <v>E85-1g</v>
      </c>
      <c r="CH13" s="427" t="str">
        <f t="shared" ca="1" si="1"/>
        <v>E85-1g Sugarb.</v>
      </c>
      <c r="CI13" s="427" t="str">
        <f t="shared" ca="1" si="1"/>
        <v>E85-2g</v>
      </c>
      <c r="CJ13" s="427" t="str">
        <f t="shared" ca="1" si="1"/>
        <v>Biodiesel-1g RME</v>
      </c>
      <c r="CK13" s="427" t="str">
        <f t="shared" ca="1" si="1"/>
        <v>Biodiesel-2g</v>
      </c>
      <c r="CL13" s="427" t="str">
        <f t="shared" ca="1" si="1"/>
        <v>DME</v>
      </c>
      <c r="CM13" s="427" t="str">
        <f t="shared" ca="1" si="1"/>
        <v>B-Naturgas</v>
      </c>
      <c r="CN13" s="427" t="str">
        <f t="shared" ca="1" si="1"/>
        <v>Biogas</v>
      </c>
      <c r="CO13" s="427" t="str">
        <f t="shared" ca="1" si="1"/>
        <v>MeOH</v>
      </c>
      <c r="CP13" s="427" t="str">
        <f t="shared" ca="1" si="1"/>
        <v>B-Brint</v>
      </c>
      <c r="CQ13" s="427" t="str">
        <f t="shared" ca="1" si="1"/>
        <v>Elbil</v>
      </c>
      <c r="CR13" s="427" t="str">
        <f t="shared" ca="1" si="1"/>
        <v>Plugin Hybrid</v>
      </c>
      <c r="CS13" s="427" t="str">
        <f t="shared" ca="1" si="1"/>
        <v>Fast Ferry</v>
      </c>
      <c r="CT13" s="427" t="str">
        <f t="shared" ca="1" si="1"/>
        <v>Aircraft Fossil</v>
      </c>
      <c r="CU13" s="427" t="str">
        <f t="shared" ca="1" si="1"/>
        <v>Aircraft Biofuel</v>
      </c>
      <c r="CV13" s="427" t="str">
        <f t="shared" ca="1" si="1"/>
        <v>9000TEU HFO</v>
      </c>
      <c r="CW13" s="427" t="str">
        <f t="shared" ca="1" si="1"/>
        <v>9000TEU Diesel</v>
      </c>
      <c r="CX13" s="427" t="str">
        <f t="shared" ca="1" si="1"/>
        <v>9000TEU BioDiesel</v>
      </c>
      <c r="CY13" s="427" t="str">
        <f t="shared" ca="1" si="1"/>
        <v>9000TEU LNG</v>
      </c>
      <c r="CZ13" s="427" t="str">
        <f t="shared" ca="1" si="1"/>
        <v>IC Tog Diesel</v>
      </c>
      <c r="DA13" s="427" t="str">
        <f t="shared" ca="1" si="1"/>
        <v>IC Tog Biodiesel</v>
      </c>
      <c r="DB13" s="427" t="str">
        <f t="shared" ca="1" si="1"/>
        <v>IC Tog El</v>
      </c>
      <c r="DC13" s="427" t="str">
        <f t="shared" ca="1" si="1"/>
        <v>Lokaltog Diesel</v>
      </c>
      <c r="DD13" s="427" t="str">
        <f t="shared" ca="1" si="1"/>
        <v>Lokaltog biodiesel</v>
      </c>
      <c r="DE13" s="427" t="str">
        <f t="shared" ca="1" si="1"/>
        <v>Lokaltog Gas</v>
      </c>
      <c r="DF13" s="427" t="str">
        <f t="shared" ca="1" si="1"/>
        <v>L-Diesel</v>
      </c>
      <c r="DG13" s="427" t="str">
        <f t="shared" ca="1" si="1"/>
        <v>L-BioDiesel</v>
      </c>
      <c r="DH13" s="427" t="str">
        <f t="shared" ca="1" si="1"/>
        <v>L-CNG</v>
      </c>
      <c r="DI13" s="427" t="str">
        <f t="shared" ca="1" si="1"/>
        <v>L-DME</v>
      </c>
      <c r="DJ13" s="427" t="str">
        <f t="shared" ca="1" si="1"/>
        <v>B-Diesel</v>
      </c>
      <c r="DK13" s="427" t="str">
        <f t="shared" ca="1" si="1"/>
        <v>B-Biodiesel</v>
      </c>
      <c r="DL13" s="427" t="str">
        <f t="shared" ca="1" si="1"/>
        <v>B-CNG</v>
      </c>
      <c r="DM13" s="427" t="str">
        <f t="shared" ca="1" si="1"/>
        <v>B-Hybrid</v>
      </c>
      <c r="DN13" s="427" t="str">
        <f t="shared" ca="1" si="1"/>
        <v>Fast Ferry - Biodiesel</v>
      </c>
      <c r="DO13" s="427" t="str">
        <f t="shared" ca="1" si="1"/>
        <v>Ren brint</v>
      </c>
      <c r="DP13" s="427">
        <f t="shared" ca="1" si="1"/>
        <v>0</v>
      </c>
      <c r="DR13" s="392" t="s">
        <v>709</v>
      </c>
      <c r="DS13" s="404" t="s">
        <v>710</v>
      </c>
    </row>
    <row r="14" spans="1:123">
      <c r="B14" s="394">
        <f ca="1">NOW()</f>
        <v>41897.397369212966</v>
      </c>
      <c r="C14" s="434">
        <f ca="1">IF(C13=0,0,OFFSET(Vehicles!$F$24,0,COLUMN()-COLUMN($C$13)))</f>
        <v>1.470725339012354</v>
      </c>
      <c r="D14" s="434">
        <f ca="1">IF(D13=0,0,OFFSET(Vehicles!$F$24,0,COLUMN()-COLUMN($C$13)))</f>
        <v>1.4854748199882093</v>
      </c>
      <c r="E14" s="434">
        <f ca="1">IF(E13=0,0,OFFSET(Vehicles!$F$24,0,COLUMN()-COLUMN($C$13)))</f>
        <v>1.5857057027759596</v>
      </c>
      <c r="F14" s="434">
        <f ca="1">IF(F13=0,0,OFFSET(Vehicles!$F$24,0,COLUMN()-COLUMN($C$13)))</f>
        <v>1.4571230805536857</v>
      </c>
      <c r="G14" s="434">
        <f ca="1">IF(G13=0,0,OFFSET(Vehicles!$F$24,0,COLUMN()-COLUMN($C$13)))</f>
        <v>1.5444122668469531</v>
      </c>
      <c r="H14" s="434">
        <f ca="1">IF(H13=0,0,OFFSET(Vehicles!$F$24,0,COLUMN()-COLUMN($C$13)))</f>
        <v>1.4749866399349132</v>
      </c>
      <c r="I14" s="434">
        <f ca="1">IF(I13=0,0,OFFSET(Vehicles!$F$24,0,COLUMN()-COLUMN($C$13)))</f>
        <v>1.5401595887982942</v>
      </c>
      <c r="J14" s="434">
        <f ca="1">IF(J13=0,0,OFFSET(Vehicles!$F$24,0,COLUMN()-COLUMN($C$13)))</f>
        <v>1.5581135818536227</v>
      </c>
      <c r="K14" s="434">
        <f ca="1">IF(K13=0,0,OFFSET(Vehicles!$F$24,0,COLUMN()-COLUMN($C$13)))</f>
        <v>1.3864546445612862</v>
      </c>
      <c r="L14" s="434">
        <f ca="1">IF(L13=0,0,OFFSET(Vehicles!$F$24,0,COLUMN()-COLUMN($C$13)))</f>
        <v>1.6296539719899525</v>
      </c>
      <c r="M14" s="434">
        <f ca="1">IF(M13=0,0,OFFSET(Vehicles!$F$24,0,COLUMN()-COLUMN($C$13)))</f>
        <v>1.8158692777681844</v>
      </c>
      <c r="N14" s="434">
        <f ca="1">IF(N13=0,0,OFFSET(Vehicles!$F$24,0,COLUMN()-COLUMN($C$13)))</f>
        <v>1.7693777678709823</v>
      </c>
      <c r="O14" s="434">
        <f ca="1">IF(O13=0,0,OFFSET(Vehicles!$F$24,0,COLUMN()-COLUMN($C$13)))</f>
        <v>1.5031614990571662</v>
      </c>
      <c r="P14" s="434">
        <f ca="1">IF(P13=0,0,OFFSET(Vehicles!$F$24,0,COLUMN()-COLUMN($C$13)))</f>
        <v>1.4311277691880082</v>
      </c>
      <c r="Q14" s="434">
        <f ca="1">IF(Q13=0,0,OFFSET(Vehicles!$F$24,0,COLUMN()-COLUMN($C$13)))</f>
        <v>969.07697429578423</v>
      </c>
      <c r="R14" s="434">
        <f ca="1">IF(R13=0,0,OFFSET(Vehicles!$F$24,0,COLUMN()-COLUMN($C$13)))</f>
        <v>56.70829724251977</v>
      </c>
      <c r="S14" s="434">
        <f ca="1">IF(S13=0,0,OFFSET(Vehicles!$F$24,0,COLUMN()-COLUMN($C$13)))</f>
        <v>62.236896493288555</v>
      </c>
      <c r="T14" s="434">
        <f ca="1">IF(T13=0,0,OFFSET(Vehicles!$F$24,0,COLUMN()-COLUMN($C$13)))</f>
        <v>3729.5721162109244</v>
      </c>
      <c r="U14" s="434">
        <f ca="1">IF(U13=0,0,OFFSET(Vehicles!$F$24,0,COLUMN()-COLUMN($C$13)))</f>
        <v>1804.3946997505116</v>
      </c>
      <c r="V14" s="434">
        <f ca="1">IF(V13=0,0,OFFSET(Vehicles!$F$24,0,COLUMN()-COLUMN($C$13)))</f>
        <v>2082.0786831155383</v>
      </c>
      <c r="W14" s="434">
        <f ca="1">IF(W13=0,0,OFFSET(Vehicles!$F$24,0,COLUMN()-COLUMN($C$13)))</f>
        <v>1075.2454359084275</v>
      </c>
      <c r="X14" s="434">
        <f ca="1">IF(X13=0,0,OFFSET(Vehicles!$F$24,0,COLUMN()-COLUMN($C$13)))</f>
        <v>52.236431661707684</v>
      </c>
      <c r="Y14" s="434">
        <f ca="1">IF(Y13=0,0,OFFSET(Vehicles!$F$24,0,COLUMN()-COLUMN($C$13)))</f>
        <v>53.907663926079785</v>
      </c>
      <c r="Z14" s="434">
        <f ca="1">IF(Z13=0,0,OFFSET(Vehicles!$F$24,0,COLUMN()-COLUMN($C$13)))</f>
        <v>52.784194889146562</v>
      </c>
      <c r="AA14" s="434">
        <f ca="1">IF(AA13=0,0,OFFSET(Vehicles!$F$24,0,COLUMN()-COLUMN($C$13)))</f>
        <v>46.07295682875607</v>
      </c>
      <c r="AB14" s="434">
        <f ca="1">IF(AB13=0,0,OFFSET(Vehicles!$F$24,0,COLUMN()-COLUMN($C$13)))</f>
        <v>47.440328681424155</v>
      </c>
      <c r="AC14" s="434">
        <f ca="1">IF(AC13=0,0,OFFSET(Vehicles!$F$24,0,COLUMN()-COLUMN($C$13)))</f>
        <v>48.579708377593732</v>
      </c>
      <c r="AD14" s="434">
        <f ca="1">IF(AD13=0,0,OFFSET(Vehicles!$F$24,0,COLUMN()-COLUMN($C$13)))</f>
        <v>8.6055674102599848</v>
      </c>
      <c r="AE14" s="434">
        <f ca="1">IF(AE13=0,0,OFFSET(Vehicles!$F$24,0,COLUMN()-COLUMN($C$13)))</f>
        <v>8.7397368719796251</v>
      </c>
      <c r="AF14" s="434">
        <f ca="1">IF(AF13=0,0,OFFSET(Vehicles!$F$24,0,COLUMN()-COLUMN($C$13)))</f>
        <v>8.2930962339881127</v>
      </c>
      <c r="AG14" s="434">
        <f ca="1">IF(AG13=0,0,OFFSET(Vehicles!$F$24,0,COLUMN()-COLUMN($C$13)))</f>
        <v>8.8991791794710018</v>
      </c>
      <c r="AH14" s="434">
        <f ca="1">IF(AH13=0,0,OFFSET(Vehicles!$F$24,0,COLUMN()-COLUMN($C$13)))</f>
        <v>8.4349530668691539</v>
      </c>
      <c r="AI14" s="434">
        <f ca="1">IF(AI13=0,0,OFFSET(Vehicles!$F$24,0,COLUMN()-COLUMN($C$13)))</f>
        <v>8.4852358415485778</v>
      </c>
      <c r="AJ14" s="434">
        <f ca="1">IF(AJ13=0,0,OFFSET(Vehicles!$F$24,0,COLUMN()-COLUMN($C$13)))</f>
        <v>8.2759511224302926</v>
      </c>
      <c r="AK14" s="434">
        <f ca="1">IF(AK13=0,0,OFFSET(Vehicles!$F$24,0,COLUMN()-COLUMN($C$13)))</f>
        <v>9.2110560506352304</v>
      </c>
      <c r="AL14" s="434">
        <f ca="1">IF(AL13=0,0,OFFSET(Vehicles!$F$24,0,COLUMN()-COLUMN($C$13)))</f>
        <v>1148.5070700595998</v>
      </c>
      <c r="AM14" s="434">
        <f ca="1">IF(AM13=0,0,OFFSET(Vehicles!$F$24,0,COLUMN()-COLUMN($C$13)))</f>
        <v>2.0749934702262522</v>
      </c>
      <c r="AN14" s="434">
        <f ca="1">IF(AN13=0,0,OFFSET(Vehicles!$F$24,0,COLUMN()-COLUMN($C$13)))</f>
        <v>0</v>
      </c>
      <c r="AP14" s="394">
        <f ca="1">B14</f>
        <v>41897.397369212966</v>
      </c>
      <c r="AQ14" s="395">
        <f ca="1">IF(AQ13=0,0,OFFSET(Vehicles!$F$188,0,COLUMN()-COLUMN($AQ13)))</f>
        <v>130.30849928407619</v>
      </c>
      <c r="AR14" s="395">
        <f ca="1">IF(AR13=0,0,OFFSET(Vehicles!$F$188,0,COLUMN()-COLUMN($AQ13)))</f>
        <v>173.36485076842851</v>
      </c>
      <c r="AS14" s="395">
        <f ca="1">IF(AS13=0,0,OFFSET(Vehicles!$F$188,0,COLUMN()-COLUMN($AQ13)))</f>
        <v>656.49203682319421</v>
      </c>
      <c r="AT14" s="395">
        <f ca="1">IF(AT13=0,0,OFFSET(Vehicles!$F$188,0,COLUMN()-COLUMN($AQ13)))</f>
        <v>822.1090351161464</v>
      </c>
      <c r="AU14" s="395">
        <f ca="1">IF(AU13=0,0,OFFSET(Vehicles!$F$188,0,COLUMN()-COLUMN($AQ13)))</f>
        <v>30.800961196343653</v>
      </c>
      <c r="AV14" s="395">
        <f ca="1">IF(AV13=0,0,OFFSET(Vehicles!$F$188,0,COLUMN()-COLUMN($AQ13)))</f>
        <v>545.73459990388676</v>
      </c>
      <c r="AW14" s="395">
        <f ca="1">IF(AW13=0,0,OFFSET(Vehicles!$F$188,0,COLUMN()-COLUMN($AQ13)))</f>
        <v>-44.357441516486432</v>
      </c>
      <c r="AX14" s="395">
        <f ca="1">IF(AX13=0,0,OFFSET(Vehicles!$F$188,0,COLUMN()-COLUMN($AQ13)))</f>
        <v>-47.025624439545666</v>
      </c>
      <c r="AY14" s="395">
        <f ca="1">IF(AY13=0,0,OFFSET(Vehicles!$F$188,0,COLUMN()-COLUMN($AQ13)))</f>
        <v>148.46711957195433</v>
      </c>
      <c r="AZ14" s="395">
        <f ca="1">IF(AZ13=0,0,OFFSET(Vehicles!$F$188,0,COLUMN()-COLUMN($AQ13)))</f>
        <v>-118.74945696650954</v>
      </c>
      <c r="BA14" s="395">
        <f ca="1">IF(BA13=0,0,OFFSET(Vehicles!$F$188,0,COLUMN()-COLUMN($AQ13)))</f>
        <v>-8.1116204832290713</v>
      </c>
      <c r="BB14" s="395">
        <f ca="1">IF(BB13=0,0,OFFSET(Vehicles!$F$188,0,COLUMN()-COLUMN($AQ13)))</f>
        <v>4.243005198355692</v>
      </c>
      <c r="BC14" s="395">
        <f ca="1">IF(BC13=0,0,OFFSET(Vehicles!$F$188,0,COLUMN()-COLUMN($AQ13)))</f>
        <v>2.3500131018202395</v>
      </c>
      <c r="BD14" s="395">
        <f ca="1">IF(BD13=0,0,OFFSET(Vehicles!$F$188,0,COLUMN()-COLUMN($AQ13)))</f>
        <v>99.25718830055304</v>
      </c>
      <c r="BE14" s="395">
        <f ca="1">IF(BE13=0,0,OFFSET(Vehicles!$F$188,0,COLUMN()-COLUMN($AQ13)))</f>
        <v>350298.61560125841</v>
      </c>
      <c r="BF14" s="395">
        <f ca="1">IF(BF13=0,0,OFFSET(Vehicles!$F$188,0,COLUMN()-COLUMN($AQ13)))</f>
        <v>8160.5219186429176</v>
      </c>
      <c r="BG14" s="395">
        <f ca="1">IF(BG13=0,0,OFFSET(Vehicles!$F$188,0,COLUMN()-COLUMN($AQ13)))</f>
        <v>-9019.7786071368864</v>
      </c>
      <c r="BH14" s="395">
        <f ca="1">IF(BH13=0,0,OFFSET(Vehicles!$F$188,0,COLUMN()-COLUMN($AQ13)))</f>
        <v>562273.26292468584</v>
      </c>
      <c r="BI14" s="395">
        <f ca="1">IF(BI13=0,0,OFFSET(Vehicles!$F$188,0,COLUMN()-COLUMN($AQ13)))</f>
        <v>542118.16882409609</v>
      </c>
      <c r="BJ14" s="395">
        <f ca="1">IF(BJ13=0,0,OFFSET(Vehicles!$F$188,0,COLUMN()-COLUMN($AQ13)))</f>
        <v>-191292.0431264916</v>
      </c>
      <c r="BK14" s="395">
        <f ca="1">IF(BK13=0,0,OFFSET(Vehicles!$F$188,0,COLUMN()-COLUMN($AQ13)))</f>
        <v>528613.83067174477</v>
      </c>
      <c r="BL14" s="395">
        <f ca="1">IF(BL13=0,0,OFFSET(Vehicles!$F$188,0,COLUMN()-COLUMN($AQ13)))</f>
        <v>3264.8815206779341</v>
      </c>
      <c r="BM14" s="395">
        <f ca="1">IF(BM13=0,0,OFFSET(Vehicles!$F$188,0,COLUMN()-COLUMN($AQ13)))</f>
        <v>-1152.0474549139462</v>
      </c>
      <c r="BN14" s="395">
        <f ca="1">IF(BN13=0,0,OFFSET(Vehicles!$F$188,0,COLUMN()-COLUMN($AQ13)))</f>
        <v>100.57603941182192</v>
      </c>
      <c r="BO14" s="395">
        <f ca="1">IF(BO13=0,0,OFFSET(Vehicles!$F$188,0,COLUMN()-COLUMN($AQ13)))</f>
        <v>2671.266698736491</v>
      </c>
      <c r="BP14" s="395">
        <f ca="1">IF(BP13=0,0,OFFSET(Vehicles!$F$188,0,COLUMN()-COLUMN($AQ13)))</f>
        <v>-942.58428129322851</v>
      </c>
      <c r="BQ14" s="395">
        <f ca="1">IF(BQ13=0,0,OFFSET(Vehicles!$F$188,0,COLUMN()-COLUMN($AQ13)))</f>
        <v>2385.0901574690902</v>
      </c>
      <c r="BR14" s="395">
        <f ca="1">IF(BR13=0,0,OFFSET(Vehicles!$F$188,0,COLUMN()-COLUMN($AQ13)))</f>
        <v>1183.2686415251512</v>
      </c>
      <c r="BS14" s="395">
        <f ca="1">IF(BS13=0,0,OFFSET(Vehicles!$F$188,0,COLUMN()-COLUMN($AQ13)))</f>
        <v>4944.1121441584437</v>
      </c>
      <c r="BT14" s="395">
        <f ca="1">IF(BT13=0,0,OFFSET(Vehicles!$F$188,0,COLUMN()-COLUMN($AQ13)))</f>
        <v>1205.3277162569384</v>
      </c>
      <c r="BU14" s="395">
        <f ca="1">IF(BU13=0,0,OFFSET(Vehicles!$F$188,0,COLUMN()-COLUMN($AQ13)))</f>
        <v>-398.61279216049684</v>
      </c>
      <c r="BV14" s="395">
        <f ca="1">IF(BV13=0,0,OFFSET(Vehicles!$F$188,0,COLUMN()-COLUMN($AQ13)))</f>
        <v>1247.9778083912533</v>
      </c>
      <c r="BW14" s="395">
        <f ca="1">IF(BW13=0,0,OFFSET(Vehicles!$F$188,0,COLUMN()-COLUMN($AQ13)))</f>
        <v>5221.8434347449474</v>
      </c>
      <c r="BX14" s="395">
        <f ca="1">IF(BX13=0,0,OFFSET(Vehicles!$F$188,0,COLUMN()-COLUMN($AQ13)))</f>
        <v>1299.8312299017655</v>
      </c>
      <c r="BY14" s="395">
        <f ca="1">IF(BY13=0,0,OFFSET(Vehicles!$F$188,0,COLUMN()-COLUMN($AQ13)))</f>
        <v>959.98292953173348</v>
      </c>
      <c r="BZ14" s="395">
        <f ca="1">IF(BZ13=0,0,OFFSET(Vehicles!$F$188,0,COLUMN()-COLUMN($AQ13)))</f>
        <v>-123606.51558330099</v>
      </c>
      <c r="CA14" s="395">
        <f ca="1">IF(CA13=0,0,OFFSET(Vehicles!$F$188,0,COLUMN()-COLUMN($AQ13)))</f>
        <v>7.4868508085085361</v>
      </c>
      <c r="CB14" s="395">
        <f ca="1">IF(CB13=0,0,OFFSET(Vehicles!$F$188,0,COLUMN()-COLUMN($AQ13)))</f>
        <v>0</v>
      </c>
      <c r="CD14" s="394">
        <f ca="1">B14</f>
        <v>41897.397369212966</v>
      </c>
      <c r="CE14" s="395">
        <f ca="1">IF(CE13=0,0,OFFSET(Vehicles!$F$63,0,COLUMN()-COLUMN($CE13)))</f>
        <v>0.23759628394566742</v>
      </c>
      <c r="CF14" s="395">
        <f ca="1">IF(CF13=0,0,OFFSET(Vehicles!$F$63,0,COLUMN()-COLUMN($CE13)))</f>
        <v>0.16769792432989633</v>
      </c>
      <c r="CG14" s="395">
        <f ca="1">IF(CG13=0,0,OFFSET(Vehicles!$F$63,0,COLUMN()-COLUMN($CE13)))</f>
        <v>0.13923731496982597</v>
      </c>
      <c r="CH14" s="395">
        <f ca="1">IF(CH13=0,0,OFFSET(Vehicles!$F$63,0,COLUMN()-COLUMN($CE13)))</f>
        <v>0.14097114871113556</v>
      </c>
      <c r="CI14" s="395">
        <f ca="1">IF(CI13=0,0,OFFSET(Vehicles!$F$63,0,COLUMN()-COLUMN($CE13)))</f>
        <v>0.12872803566339891</v>
      </c>
      <c r="CJ14" s="395">
        <f ca="1">IF(CJ13=0,0,OFFSET(Vehicles!$F$63,0,COLUMN()-COLUMN($CE13)))</f>
        <v>0.20776980245257207</v>
      </c>
      <c r="CK14" s="395">
        <f ca="1">IF(CK13=0,0,OFFSET(Vehicles!$F$63,0,COLUMN()-COLUMN($CE13)))</f>
        <v>0.20005420011599015</v>
      </c>
      <c r="CL14" s="395">
        <f ca="1">IF(CL13=0,0,OFFSET(Vehicles!$F$63,0,COLUMN()-COLUMN($CE13)))</f>
        <v>0.2150045900352773</v>
      </c>
      <c r="CM14" s="395">
        <f ca="1">IF(CM13=0,0,OFFSET(Vehicles!$F$63,0,COLUMN()-COLUMN($CE13)))</f>
        <v>0.16831539661914319</v>
      </c>
      <c r="CN14" s="395">
        <f ca="1">IF(CN13=0,0,OFFSET(Vehicles!$F$63,0,COLUMN()-COLUMN($CE13)))</f>
        <v>0.15819847757401839</v>
      </c>
      <c r="CO14" s="395">
        <f ca="1">IF(CO13=0,0,OFFSET(Vehicles!$F$63,0,COLUMN()-COLUMN($CE13)))</f>
        <v>0.55351751631068857</v>
      </c>
      <c r="CP14" s="395">
        <f ca="1">IF(CP13=0,0,OFFSET(Vehicles!$F$63,0,COLUMN()-COLUMN($CE13)))</f>
        <v>0.54869968593943474</v>
      </c>
      <c r="CQ14" s="395">
        <f ca="1">IF(CQ13=0,0,OFFSET(Vehicles!$F$63,0,COLUMN()-COLUMN($CE13)))</f>
        <v>0.65414862139188079</v>
      </c>
      <c r="CR14" s="395">
        <f ca="1">IF(CR13=0,0,OFFSET(Vehicles!$F$63,0,COLUMN()-COLUMN($CE13)))</f>
        <v>0.37402054072693969</v>
      </c>
      <c r="CS14" s="395">
        <f ca="1">IF(CS13=0,0,OFFSET(Vehicles!$F$63,0,COLUMN()-COLUMN($CE13)))</f>
        <v>0.37407164929552272</v>
      </c>
      <c r="CT14" s="395">
        <f ca="1">IF(CT13=0,0,OFFSET(Vehicles!$F$63,0,COLUMN()-COLUMN($CE13)))</f>
        <v>0.447221292916757</v>
      </c>
      <c r="CU14" s="395">
        <f ca="1">IF(CU13=0,0,OFFSET(Vehicles!$F$63,0,COLUMN()-COLUMN($CE13)))</f>
        <v>0.3622790598707698</v>
      </c>
      <c r="CV14" s="395">
        <f ca="1">IF(CV13=0,0,OFFSET(Vehicles!$F$63,0,COLUMN()-COLUMN($CE13)))</f>
        <v>0.47428587647615433</v>
      </c>
      <c r="CW14" s="395">
        <f ca="1">IF(CW13=0,0,OFFSET(Vehicles!$F$63,0,COLUMN()-COLUMN($CE13)))</f>
        <v>0.45146578363252743</v>
      </c>
      <c r="CX14" s="395">
        <f ca="1">IF(CX13=0,0,OFFSET(Vehicles!$F$63,0,COLUMN()-COLUMN($CE13)))</f>
        <v>0.38013063472405745</v>
      </c>
      <c r="CY14" s="395">
        <f ca="1">IF(CY13=0,0,OFFSET(Vehicles!$F$63,0,COLUMN()-COLUMN($CE13)))</f>
        <v>0.40611005021873081</v>
      </c>
      <c r="CZ14" s="395">
        <f ca="1">IF(CZ13=0,0,OFFSET(Vehicles!$F$63,0,COLUMN()-COLUMN($CE13)))</f>
        <v>0.29816004259848461</v>
      </c>
      <c r="DA14" s="395">
        <f ca="1">IF(DA13=0,0,OFFSET(Vehicles!$F$63,0,COLUMN()-COLUMN($CE13)))</f>
        <v>0.25104840798869349</v>
      </c>
      <c r="DB14" s="395">
        <f ca="1">IF(DB13=0,0,OFFSET(Vehicles!$F$63,0,COLUMN()-COLUMN($CE13)))</f>
        <v>0.69049021146920753</v>
      </c>
      <c r="DC14" s="395">
        <f ca="1">IF(DC13=0,0,OFFSET(Vehicles!$F$63,0,COLUMN()-COLUMN($CE13)))</f>
        <v>0.29816004259848461</v>
      </c>
      <c r="DD14" s="395">
        <f ca="1">IF(DD13=0,0,OFFSET(Vehicles!$F$63,0,COLUMN()-COLUMN($CE13)))</f>
        <v>0.25104840798869349</v>
      </c>
      <c r="DE14" s="395">
        <f ca="1">IF(DE13=0,0,OFFSET(Vehicles!$F$63,0,COLUMN()-COLUMN($CE13)))</f>
        <v>0.28718003652181961</v>
      </c>
      <c r="DF14" s="395">
        <f ca="1">IF(DF13=0,0,OFFSET(Vehicles!$F$63,0,COLUMN()-COLUMN($CE13)))</f>
        <v>0.37270005324810579</v>
      </c>
      <c r="DG14" s="395">
        <f ca="1">IF(DG13=0,0,OFFSET(Vehicles!$F$63,0,COLUMN()-COLUMN($CE13)))</f>
        <v>0.32591341561187775</v>
      </c>
      <c r="DH14" s="395">
        <f ca="1">IF(DH13=0,0,OFFSET(Vehicles!$F$63,0,COLUMN()-COLUMN($CE13)))</f>
        <v>0.29089665540578735</v>
      </c>
      <c r="DI14" s="395">
        <f ca="1">IF(DI13=0,0,OFFSET(Vehicles!$F$63,0,COLUMN()-COLUMN($CE13)))</f>
        <v>0.33726210201612128</v>
      </c>
      <c r="DJ14" s="395">
        <f ca="1">IF(DJ13=0,0,OFFSET(Vehicles!$F$63,0,COLUMN()-COLUMN($CE13)))</f>
        <v>0.30102696608500845</v>
      </c>
      <c r="DK14" s="395">
        <f ca="1">IF(DK13=0,0,OFFSET(Vehicles!$F$63,0,COLUMN()-COLUMN($CE13)))</f>
        <v>0.26323775876343969</v>
      </c>
      <c r="DL14" s="395">
        <f ca="1">IF(DL13=0,0,OFFSET(Vehicles!$F$63,0,COLUMN()-COLUMN($CE13)))</f>
        <v>0.22790901296842467</v>
      </c>
      <c r="DM14" s="395">
        <f ca="1">IF(DM13=0,0,OFFSET(Vehicles!$F$63,0,COLUMN()-COLUMN($CE13)))</f>
        <v>0.39133505591051104</v>
      </c>
      <c r="DN14" s="395">
        <f ca="1">IF(DN13=0,0,OFFSET(Vehicles!$F$63,0,COLUMN()-COLUMN($CE13)))</f>
        <v>0.31496538305707616</v>
      </c>
      <c r="DO14" s="395">
        <f ca="1">IF(DO13=0,0,OFFSET(Vehicles!$F$63,0,COLUMN()-COLUMN($CE13)))</f>
        <v>0.3139907650936678</v>
      </c>
      <c r="DP14" s="395">
        <f ca="1">IF(DP13=0,0,OFFSET(Vehicles!$F$63,0,COLUMN()-COLUMN($CE13)))</f>
        <v>0</v>
      </c>
      <c r="DR14" s="342">
        <f>'Log2015'!L4</f>
        <v>0</v>
      </c>
      <c r="DS14" s="342">
        <f>'Log2015'!L5</f>
        <v>0</v>
      </c>
    </row>
    <row r="15" spans="1:123">
      <c r="B15" s="838">
        <f ca="1">OFFSET(B25,$C$19,0)</f>
        <v>41892.605940856483</v>
      </c>
      <c r="C15" s="839">
        <f ca="1">OFFSET(C25,$C$19,0)</f>
        <v>1.4282749283099454</v>
      </c>
      <c r="D15" s="839">
        <f t="shared" ref="D15:AN15" ca="1" si="2">OFFSET(D25,$C$19,0)</f>
        <v>1.433537449067831</v>
      </c>
      <c r="E15" s="839">
        <f t="shared" ca="1" si="2"/>
        <v>1.4567648364673231</v>
      </c>
      <c r="F15" s="839">
        <f ca="1">OFFSET(F25,$C$19,0)</f>
        <v>1.3546660352177509</v>
      </c>
      <c r="G15" s="839">
        <f t="shared" ca="1" si="2"/>
        <v>1.4856320093768611</v>
      </c>
      <c r="H15" s="839">
        <f ca="1">OFFSET(H25,$C$19,0)</f>
        <v>1.3917877151934028</v>
      </c>
      <c r="I15" s="839">
        <f t="shared" ca="1" si="2"/>
        <v>1.4711091214533691</v>
      </c>
      <c r="J15" s="839">
        <f t="shared" ca="1" si="2"/>
        <v>1.5265376511934561</v>
      </c>
      <c r="K15" s="839">
        <f t="shared" ca="1" si="2"/>
        <v>1.377005147194482</v>
      </c>
      <c r="L15" s="839">
        <f t="shared" ca="1" si="2"/>
        <v>1.5220182501492041</v>
      </c>
      <c r="M15" s="839">
        <f t="shared" ca="1" si="2"/>
        <v>1.24331062679701</v>
      </c>
      <c r="N15" s="839">
        <f t="shared" ca="1" si="2"/>
        <v>1.2142002568068775</v>
      </c>
      <c r="O15" s="839">
        <f t="shared" ca="1" si="2"/>
        <v>1.0340553595309836</v>
      </c>
      <c r="P15" s="839">
        <f t="shared" ca="1" si="2"/>
        <v>1.1837557721292313</v>
      </c>
      <c r="Q15" s="839">
        <f t="shared" ca="1" si="2"/>
        <v>1093.4834616048436</v>
      </c>
      <c r="R15" s="839">
        <f t="shared" ca="1" si="2"/>
        <v>59.688662330784332</v>
      </c>
      <c r="S15" s="839">
        <f ca="1">OFFSET(S25,$C$19,0)</f>
        <v>65.652622370867647</v>
      </c>
      <c r="T15" s="839">
        <f t="shared" ca="1" si="2"/>
        <v>2825.2219644903244</v>
      </c>
      <c r="U15" s="839">
        <f t="shared" ca="1" si="2"/>
        <v>1523.4279810773537</v>
      </c>
      <c r="V15" s="839">
        <f t="shared" ca="1" si="2"/>
        <v>1677.6447451924573</v>
      </c>
      <c r="W15" s="839">
        <f t="shared" ca="1" si="2"/>
        <v>1058.1960122792127</v>
      </c>
      <c r="X15" s="839">
        <f t="shared" ca="1" si="2"/>
        <v>51.765789708617575</v>
      </c>
      <c r="Y15" s="839">
        <f t="shared" ca="1" si="2"/>
        <v>53.012111237156027</v>
      </c>
      <c r="Z15" s="839">
        <f t="shared" ca="1" si="2"/>
        <v>54.263106420161471</v>
      </c>
      <c r="AA15" s="839">
        <f t="shared" ca="1" si="2"/>
        <v>48.405157577993819</v>
      </c>
      <c r="AB15" s="839">
        <f t="shared" ca="1" si="2"/>
        <v>49.42487519225255</v>
      </c>
      <c r="AC15" s="839">
        <f t="shared" ca="1" si="2"/>
        <v>50.696136750588032</v>
      </c>
      <c r="AD15" s="839">
        <f t="shared" ca="1" si="2"/>
        <v>8.5518105603325392</v>
      </c>
      <c r="AE15" s="839">
        <f t="shared" ca="1" si="2"/>
        <v>8.1938797965575318</v>
      </c>
      <c r="AF15" s="839">
        <f t="shared" ca="1" si="2"/>
        <v>8.2346232074869796</v>
      </c>
      <c r="AG15" s="839">
        <f t="shared" ca="1" si="2"/>
        <v>8.8976919291692944</v>
      </c>
      <c r="AH15" s="839">
        <f t="shared" ca="1" si="2"/>
        <v>8.3003807159900482</v>
      </c>
      <c r="AI15" s="839">
        <f t="shared" ca="1" si="2"/>
        <v>7.8813512609206668</v>
      </c>
      <c r="AJ15" s="839">
        <f t="shared" ca="1" si="2"/>
        <v>8.0754178646269317</v>
      </c>
      <c r="AK15" s="839">
        <f t="shared" ca="1" si="2"/>
        <v>9.1075388576513063</v>
      </c>
      <c r="AL15" s="839">
        <f t="shared" ca="1" si="2"/>
        <v>1239.985835905585</v>
      </c>
      <c r="AM15" s="839">
        <f t="shared" ca="1" si="2"/>
        <v>1.273822167951562</v>
      </c>
      <c r="AN15" s="839">
        <f t="shared" ca="1" si="2"/>
        <v>0</v>
      </c>
      <c r="AP15" s="838">
        <f ca="1">B15</f>
        <v>41892.605940856483</v>
      </c>
      <c r="AQ15" s="450">
        <f ca="1">OFFSET(AQ25,$C$19,0)</f>
        <v>93.115572163111594</v>
      </c>
      <c r="AR15" s="450">
        <f t="shared" ref="AR15:CB15" ca="1" si="3">OFFSET(AR25,$C$19,0)</f>
        <v>124.35148379730329</v>
      </c>
      <c r="AS15" s="450">
        <f t="shared" ca="1" si="3"/>
        <v>48.122007858302808</v>
      </c>
      <c r="AT15" s="450">
        <f ca="1">OFFSET(AT25,$C$19,0)</f>
        <v>38.827185425712173</v>
      </c>
      <c r="AU15" s="450">
        <f t="shared" ca="1" si="3"/>
        <v>43.084055296600567</v>
      </c>
      <c r="AV15" s="450">
        <f ca="1">OFFSET(AV25,$C$19,0)</f>
        <v>42.010592298912364</v>
      </c>
      <c r="AW15" s="450">
        <f t="shared" ca="1" si="3"/>
        <v>-1.0392267659548533</v>
      </c>
      <c r="AX15" s="450">
        <f t="shared" ca="1" si="3"/>
        <v>14.254006938435836</v>
      </c>
      <c r="AY15" s="450">
        <f t="shared" ca="1" si="3"/>
        <v>117.03442954201576</v>
      </c>
      <c r="AZ15" s="450">
        <f t="shared" ca="1" si="3"/>
        <v>12.585378684796332</v>
      </c>
      <c r="BA15" s="450">
        <f t="shared" ca="1" si="3"/>
        <v>2.1254037771214698</v>
      </c>
      <c r="BB15" s="450">
        <f t="shared" ca="1" si="3"/>
        <v>0</v>
      </c>
      <c r="BC15" s="450">
        <f t="shared" ca="1" si="3"/>
        <v>0</v>
      </c>
      <c r="BD15" s="450">
        <f t="shared" ca="1" si="3"/>
        <v>79.107421085544118</v>
      </c>
      <c r="BE15" s="450">
        <f t="shared" ca="1" si="3"/>
        <v>350126.22064869007</v>
      </c>
      <c r="BF15" s="450">
        <f t="shared" ca="1" si="3"/>
        <v>8150.3037933058504</v>
      </c>
      <c r="BG15" s="450">
        <f ca="1">OFFSET(BG25,$C$19,0)</f>
        <v>-3143.7324884513982</v>
      </c>
      <c r="BH15" s="450">
        <f t="shared" ca="1" si="3"/>
        <v>382645.72866345476</v>
      </c>
      <c r="BI15" s="450">
        <f t="shared" ca="1" si="3"/>
        <v>368562.85120300995</v>
      </c>
      <c r="BJ15" s="450">
        <f t="shared" ca="1" si="3"/>
        <v>-12666.722540876313</v>
      </c>
      <c r="BK15" s="450">
        <f t="shared" ca="1" si="3"/>
        <v>384495.27377550275</v>
      </c>
      <c r="BL15" s="450">
        <f t="shared" ca="1" si="3"/>
        <v>2981.0014852963359</v>
      </c>
      <c r="BM15" s="450">
        <f t="shared" ca="1" si="3"/>
        <v>-102.45069079789147</v>
      </c>
      <c r="BN15" s="450">
        <f t="shared" ca="1" si="3"/>
        <v>0</v>
      </c>
      <c r="BO15" s="450">
        <f t="shared" ca="1" si="3"/>
        <v>2439.0012152424561</v>
      </c>
      <c r="BP15" s="450">
        <f t="shared" ca="1" si="3"/>
        <v>-83.823292471002119</v>
      </c>
      <c r="BQ15" s="450">
        <f t="shared" ca="1" si="3"/>
        <v>1862.6169584558716</v>
      </c>
      <c r="BR15" s="450">
        <f t="shared" ca="1" si="3"/>
        <v>1075.0451937174334</v>
      </c>
      <c r="BS15" s="450">
        <f t="shared" ca="1" si="3"/>
        <v>478.78469961107407</v>
      </c>
      <c r="BT15" s="450">
        <f t="shared" ca="1" si="3"/>
        <v>1090.9803605600571</v>
      </c>
      <c r="BU15" s="450">
        <f t="shared" ca="1" si="3"/>
        <v>146.73731212667536</v>
      </c>
      <c r="BV15" s="450">
        <f t="shared" ca="1" si="3"/>
        <v>1123.0840558247526</v>
      </c>
      <c r="BW15" s="450">
        <f t="shared" ca="1" si="3"/>
        <v>501.12746557918939</v>
      </c>
      <c r="BX15" s="450">
        <f t="shared" ca="1" si="3"/>
        <v>1136.3387908577236</v>
      </c>
      <c r="BY15" s="450">
        <f t="shared" ca="1" si="3"/>
        <v>863.91081217288638</v>
      </c>
      <c r="BZ15" s="450">
        <f t="shared" ca="1" si="3"/>
        <v>-12033.09469949742</v>
      </c>
      <c r="CA15" s="450">
        <f t="shared" ca="1" si="3"/>
        <v>0</v>
      </c>
      <c r="CB15" s="450">
        <f t="shared" ca="1" si="3"/>
        <v>0</v>
      </c>
      <c r="CD15" s="838">
        <f ca="1">B15</f>
        <v>41892.605940856483</v>
      </c>
      <c r="CE15" s="450">
        <f ca="1">OFFSET(CE25,$C$19,0)</f>
        <v>0.30887516912936769</v>
      </c>
      <c r="CF15" s="450">
        <f t="shared" ref="CF15:DP15" ca="1" si="4">OFFSET(CF25,$C$19,0)</f>
        <v>0.21465334314226731</v>
      </c>
      <c r="CG15" s="450">
        <f t="shared" ca="1" si="4"/>
        <v>0.17822376316137725</v>
      </c>
      <c r="CH15" s="450">
        <f ca="1">OFFSET(CH25,$C$19,0)</f>
        <v>0.1804430703502535</v>
      </c>
      <c r="CI15" s="450">
        <f t="shared" ca="1" si="4"/>
        <v>0.1647718856491506</v>
      </c>
      <c r="CJ15" s="450">
        <f ca="1">OFFSET(CJ25,$C$19,0)</f>
        <v>0.27010074318834371</v>
      </c>
      <c r="CK15" s="450">
        <f t="shared" ca="1" si="4"/>
        <v>0.26007046015078716</v>
      </c>
      <c r="CL15" s="450">
        <f t="shared" ca="1" si="4"/>
        <v>0.2795059670458605</v>
      </c>
      <c r="CM15" s="450">
        <f t="shared" ca="1" si="4"/>
        <v>0.2017515561404124</v>
      </c>
      <c r="CN15" s="450">
        <f t="shared" ca="1" si="4"/>
        <v>0.20249405129474354</v>
      </c>
      <c r="CO15" s="450">
        <f t="shared" ca="1" si="4"/>
        <v>0.62842859560263786</v>
      </c>
      <c r="CP15" s="450">
        <f t="shared" ca="1" si="4"/>
        <v>0.66510138936101393</v>
      </c>
      <c r="CQ15" s="450">
        <f t="shared" ca="1" si="4"/>
        <v>0.70349513193076929</v>
      </c>
      <c r="CR15" s="450">
        <f t="shared" ca="1" si="4"/>
        <v>0.39067782389425465</v>
      </c>
      <c r="CS15" s="450">
        <f t="shared" ca="1" si="4"/>
        <v>0.37407164929552272</v>
      </c>
      <c r="CT15" s="450">
        <f t="shared" ca="1" si="4"/>
        <v>0.447221292916757</v>
      </c>
      <c r="CU15" s="450">
        <f ca="1">OFFSET(CU25,$C$19,0)</f>
        <v>0.3622790598707698</v>
      </c>
      <c r="CV15" s="450">
        <f t="shared" ca="1" si="4"/>
        <v>0.47428587647615433</v>
      </c>
      <c r="CW15" s="450">
        <f t="shared" ca="1" si="4"/>
        <v>0.45146578363252743</v>
      </c>
      <c r="CX15" s="450">
        <f t="shared" ca="1" si="4"/>
        <v>0.38013063472405745</v>
      </c>
      <c r="CY15" s="450">
        <f t="shared" ca="1" si="4"/>
        <v>0.38191095173995354</v>
      </c>
      <c r="CZ15" s="450">
        <f t="shared" ca="1" si="4"/>
        <v>0.29816004259848461</v>
      </c>
      <c r="DA15" s="450">
        <f t="shared" ca="1" si="4"/>
        <v>0.25104840798869349</v>
      </c>
      <c r="DB15" s="450">
        <f t="shared" ca="1" si="4"/>
        <v>0.742578194815812</v>
      </c>
      <c r="DC15" s="450">
        <f t="shared" ca="1" si="4"/>
        <v>0.29816004259848461</v>
      </c>
      <c r="DD15" s="450">
        <f t="shared" ca="1" si="4"/>
        <v>0.25104840798869349</v>
      </c>
      <c r="DE15" s="450">
        <f t="shared" ca="1" si="4"/>
        <v>0.33514434285463313</v>
      </c>
      <c r="DF15" s="450">
        <f t="shared" ca="1" si="4"/>
        <v>0.40997005857291635</v>
      </c>
      <c r="DG15" s="450">
        <f t="shared" ca="1" si="4"/>
        <v>0.35850475717306551</v>
      </c>
      <c r="DH15" s="450">
        <f t="shared" ca="1" si="4"/>
        <v>0.32111778921197004</v>
      </c>
      <c r="DI15" s="450">
        <f t="shared" ca="1" si="4"/>
        <v>0.37098831221773337</v>
      </c>
      <c r="DJ15" s="450">
        <f t="shared" ca="1" si="4"/>
        <v>0.33543004792329517</v>
      </c>
      <c r="DK15" s="450">
        <f t="shared" ca="1" si="4"/>
        <v>0.29332207405068994</v>
      </c>
      <c r="DL15" s="450">
        <f t="shared" ca="1" si="4"/>
        <v>0.26273273662797553</v>
      </c>
      <c r="DM15" s="450">
        <f t="shared" ca="1" si="4"/>
        <v>0.40997005857291635</v>
      </c>
      <c r="DN15" s="450">
        <f t="shared" ca="1" si="4"/>
        <v>0.31496538305707616</v>
      </c>
      <c r="DO15" s="450">
        <f t="shared" ca="1" si="4"/>
        <v>0.47682248462293253</v>
      </c>
      <c r="DP15" s="450">
        <f t="shared" ca="1" si="4"/>
        <v>0</v>
      </c>
      <c r="DR15" s="455"/>
      <c r="DS15" s="455"/>
    </row>
    <row r="16" spans="1:123">
      <c r="B16" s="396" t="s">
        <v>701</v>
      </c>
      <c r="C16" s="397">
        <f ca="1">C14-C15</f>
        <v>4.2450410702408625E-2</v>
      </c>
      <c r="D16" s="397">
        <f t="shared" ref="D16:AN16" ca="1" si="5">D14-D15</f>
        <v>5.1937370920378312E-2</v>
      </c>
      <c r="E16" s="397">
        <f t="shared" ca="1" si="5"/>
        <v>0.12894086630863644</v>
      </c>
      <c r="F16" s="397">
        <f ca="1">F14-F15</f>
        <v>0.1024570453359348</v>
      </c>
      <c r="G16" s="397">
        <f t="shared" ca="1" si="5"/>
        <v>5.8780257470091968E-2</v>
      </c>
      <c r="H16" s="397">
        <f ca="1">H14-H15</f>
        <v>8.3198924741510361E-2</v>
      </c>
      <c r="I16" s="397">
        <f t="shared" ca="1" si="5"/>
        <v>6.9050467344925037E-2</v>
      </c>
      <c r="J16" s="397">
        <f t="shared" ca="1" si="5"/>
        <v>3.1575930660166618E-2</v>
      </c>
      <c r="K16" s="397">
        <f t="shared" ca="1" si="5"/>
        <v>9.449497366804227E-3</v>
      </c>
      <c r="L16" s="397">
        <f t="shared" ca="1" si="5"/>
        <v>0.10763572184074843</v>
      </c>
      <c r="M16" s="397">
        <f t="shared" ca="1" si="5"/>
        <v>0.57255865097117442</v>
      </c>
      <c r="N16" s="397">
        <f t="shared" ca="1" si="5"/>
        <v>0.55517751106410484</v>
      </c>
      <c r="O16" s="397">
        <f t="shared" ca="1" si="5"/>
        <v>0.46910613952618263</v>
      </c>
      <c r="P16" s="397">
        <f t="shared" ca="1" si="5"/>
        <v>0.24737199705877688</v>
      </c>
      <c r="Q16" s="397">
        <f t="shared" ca="1" si="5"/>
        <v>-124.40648730905934</v>
      </c>
      <c r="R16" s="397">
        <f t="shared" ca="1" si="5"/>
        <v>-2.9803650882645627</v>
      </c>
      <c r="S16" s="397">
        <f ca="1">S14-S15</f>
        <v>-3.4157258775790922</v>
      </c>
      <c r="T16" s="397">
        <f t="shared" ca="1" si="5"/>
        <v>904.35015172060002</v>
      </c>
      <c r="U16" s="397">
        <f t="shared" ca="1" si="5"/>
        <v>280.96671867315786</v>
      </c>
      <c r="V16" s="397">
        <f t="shared" ca="1" si="5"/>
        <v>404.43393792308098</v>
      </c>
      <c r="W16" s="397">
        <f t="shared" ca="1" si="5"/>
        <v>17.049423629214743</v>
      </c>
      <c r="X16" s="397">
        <f t="shared" ca="1" si="5"/>
        <v>0.4706419530901087</v>
      </c>
      <c r="Y16" s="397">
        <f t="shared" ca="1" si="5"/>
        <v>0.8955526889237575</v>
      </c>
      <c r="Z16" s="397">
        <f t="shared" ca="1" si="5"/>
        <v>-1.4789115310149086</v>
      </c>
      <c r="AA16" s="397">
        <f t="shared" ca="1" si="5"/>
        <v>-2.3322007492377494</v>
      </c>
      <c r="AB16" s="397">
        <f t="shared" ca="1" si="5"/>
        <v>-1.9845465108283946</v>
      </c>
      <c r="AC16" s="397">
        <f t="shared" ca="1" si="5"/>
        <v>-2.1164283729942994</v>
      </c>
      <c r="AD16" s="397">
        <f t="shared" ca="1" si="5"/>
        <v>5.3756849927445671E-2</v>
      </c>
      <c r="AE16" s="397">
        <f t="shared" ca="1" si="5"/>
        <v>0.54585707542209327</v>
      </c>
      <c r="AF16" s="397">
        <f t="shared" ca="1" si="5"/>
        <v>5.8473026501133063E-2</v>
      </c>
      <c r="AG16" s="397">
        <f t="shared" ca="1" si="5"/>
        <v>1.4872503017073768E-3</v>
      </c>
      <c r="AH16" s="397">
        <f t="shared" ca="1" si="5"/>
        <v>0.13457235087910568</v>
      </c>
      <c r="AI16" s="397">
        <f t="shared" ca="1" si="5"/>
        <v>0.60388458062791095</v>
      </c>
      <c r="AJ16" s="397">
        <f t="shared" ca="1" si="5"/>
        <v>0.20053325780336095</v>
      </c>
      <c r="AK16" s="397">
        <f t="shared" ca="1" si="5"/>
        <v>0.10351719298392403</v>
      </c>
      <c r="AL16" s="397">
        <f t="shared" ca="1" si="5"/>
        <v>-91.478765845985208</v>
      </c>
      <c r="AM16" s="397">
        <f t="shared" ca="1" si="5"/>
        <v>0.80117130227469024</v>
      </c>
      <c r="AN16" s="397">
        <f t="shared" ca="1" si="5"/>
        <v>0</v>
      </c>
      <c r="AP16" s="396" t="s">
        <v>701</v>
      </c>
      <c r="AQ16" s="397">
        <f ca="1">AQ14-AQ15</f>
        <v>37.192927120964598</v>
      </c>
      <c r="AR16" s="397">
        <f t="shared" ref="AR16:CB16" ca="1" si="6">AR14-AR15</f>
        <v>49.013366971125222</v>
      </c>
      <c r="AS16" s="397">
        <f t="shared" ca="1" si="6"/>
        <v>608.37002896489139</v>
      </c>
      <c r="AT16" s="397">
        <f ca="1">AT14-AT15</f>
        <v>783.28184969043423</v>
      </c>
      <c r="AU16" s="397">
        <f t="shared" ca="1" si="6"/>
        <v>-12.283094100256914</v>
      </c>
      <c r="AV16" s="397">
        <f ca="1">AV14-AV15</f>
        <v>503.72400760497442</v>
      </c>
      <c r="AW16" s="397">
        <f t="shared" ca="1" si="6"/>
        <v>-43.318214750531581</v>
      </c>
      <c r="AX16" s="397">
        <f t="shared" ca="1" si="6"/>
        <v>-61.279631377981502</v>
      </c>
      <c r="AY16" s="397">
        <f t="shared" ca="1" si="6"/>
        <v>31.43269002993857</v>
      </c>
      <c r="AZ16" s="397">
        <f t="shared" ca="1" si="6"/>
        <v>-131.33483565130587</v>
      </c>
      <c r="BA16" s="397">
        <f t="shared" ca="1" si="6"/>
        <v>-10.237024260350541</v>
      </c>
      <c r="BB16" s="397">
        <f t="shared" ca="1" si="6"/>
        <v>4.243005198355692</v>
      </c>
      <c r="BC16" s="397">
        <f t="shared" ca="1" si="6"/>
        <v>2.3500131018202395</v>
      </c>
      <c r="BD16" s="397">
        <f t="shared" ca="1" si="6"/>
        <v>20.149767215008922</v>
      </c>
      <c r="BE16" s="397">
        <f t="shared" ca="1" si="6"/>
        <v>172.39495256834198</v>
      </c>
      <c r="BF16" s="397">
        <f t="shared" ca="1" si="6"/>
        <v>10.218125337067249</v>
      </c>
      <c r="BG16" s="397">
        <f ca="1">BG14-BG15</f>
        <v>-5876.0461186854882</v>
      </c>
      <c r="BH16" s="397">
        <f t="shared" ca="1" si="6"/>
        <v>179627.53426123108</v>
      </c>
      <c r="BI16" s="397">
        <f t="shared" ca="1" si="6"/>
        <v>173555.31762108614</v>
      </c>
      <c r="BJ16" s="397">
        <f t="shared" ca="1" si="6"/>
        <v>-178625.32058561529</v>
      </c>
      <c r="BK16" s="397">
        <f t="shared" ca="1" si="6"/>
        <v>144118.55689624202</v>
      </c>
      <c r="BL16" s="397">
        <f t="shared" ca="1" si="6"/>
        <v>283.88003538159819</v>
      </c>
      <c r="BM16" s="397">
        <f t="shared" ca="1" si="6"/>
        <v>-1049.5967641160548</v>
      </c>
      <c r="BN16" s="397">
        <f t="shared" ca="1" si="6"/>
        <v>100.57603941182192</v>
      </c>
      <c r="BO16" s="397">
        <f t="shared" ca="1" si="6"/>
        <v>232.26548349403492</v>
      </c>
      <c r="BP16" s="397">
        <f t="shared" ca="1" si="6"/>
        <v>-858.76098882222641</v>
      </c>
      <c r="BQ16" s="397">
        <f t="shared" ca="1" si="6"/>
        <v>522.47319901321862</v>
      </c>
      <c r="BR16" s="397">
        <f t="shared" ca="1" si="6"/>
        <v>108.22344780771778</v>
      </c>
      <c r="BS16" s="397">
        <f t="shared" ca="1" si="6"/>
        <v>4465.3274445473699</v>
      </c>
      <c r="BT16" s="397">
        <f t="shared" ca="1" si="6"/>
        <v>114.34735569688132</v>
      </c>
      <c r="BU16" s="397">
        <f t="shared" ca="1" si="6"/>
        <v>-545.35010428717214</v>
      </c>
      <c r="BV16" s="397">
        <f t="shared" ca="1" si="6"/>
        <v>124.89375256650078</v>
      </c>
      <c r="BW16" s="397">
        <f t="shared" ca="1" si="6"/>
        <v>4720.715969165758</v>
      </c>
      <c r="BX16" s="397">
        <f t="shared" ca="1" si="6"/>
        <v>163.49243904404193</v>
      </c>
      <c r="BY16" s="397">
        <f t="shared" ca="1" si="6"/>
        <v>96.072117358847095</v>
      </c>
      <c r="BZ16" s="397">
        <f t="shared" ca="1" si="6"/>
        <v>-111573.42088380357</v>
      </c>
      <c r="CA16" s="397">
        <f t="shared" ca="1" si="6"/>
        <v>7.4868508085085361</v>
      </c>
      <c r="CB16" s="397">
        <f t="shared" ca="1" si="6"/>
        <v>0</v>
      </c>
      <c r="CD16" s="396" t="s">
        <v>701</v>
      </c>
      <c r="CE16" s="397">
        <f ca="1">CE14-CE15</f>
        <v>-7.1278885183700263E-2</v>
      </c>
      <c r="CF16" s="397">
        <f t="shared" ref="CF16:DP16" ca="1" si="7">CF14-CF15</f>
        <v>-4.6955418812370975E-2</v>
      </c>
      <c r="CG16" s="397">
        <f t="shared" ca="1" si="7"/>
        <v>-3.8986448191551282E-2</v>
      </c>
      <c r="CH16" s="397">
        <f ca="1">CH14-CH15</f>
        <v>-3.9471921639117946E-2</v>
      </c>
      <c r="CI16" s="397">
        <f t="shared" ca="1" si="7"/>
        <v>-3.6043849985751691E-2</v>
      </c>
      <c r="CJ16" s="397">
        <f ca="1">CJ14-CJ15</f>
        <v>-6.2330940735771639E-2</v>
      </c>
      <c r="CK16" s="397">
        <f t="shared" ca="1" si="7"/>
        <v>-6.0016260034797014E-2</v>
      </c>
      <c r="CL16" s="397">
        <f t="shared" ca="1" si="7"/>
        <v>-6.45013770105832E-2</v>
      </c>
      <c r="CM16" s="397">
        <f t="shared" ca="1" si="7"/>
        <v>-3.3436159521269215E-2</v>
      </c>
      <c r="CN16" s="397">
        <f t="shared" ca="1" si="7"/>
        <v>-4.4295573720725151E-2</v>
      </c>
      <c r="CO16" s="397">
        <f t="shared" ca="1" si="7"/>
        <v>-7.491107929194929E-2</v>
      </c>
      <c r="CP16" s="397">
        <f t="shared" ca="1" si="7"/>
        <v>-0.11640170342157918</v>
      </c>
      <c r="CQ16" s="397">
        <f t="shared" ca="1" si="7"/>
        <v>-4.9346510538888499E-2</v>
      </c>
      <c r="CR16" s="397">
        <f t="shared" ca="1" si="7"/>
        <v>-1.6657283167314962E-2</v>
      </c>
      <c r="CS16" s="397">
        <f t="shared" ca="1" si="7"/>
        <v>0</v>
      </c>
      <c r="CT16" s="397">
        <f t="shared" ca="1" si="7"/>
        <v>0</v>
      </c>
      <c r="CU16" s="397">
        <f ca="1">CU14-CU15</f>
        <v>0</v>
      </c>
      <c r="CV16" s="397">
        <f t="shared" ca="1" si="7"/>
        <v>0</v>
      </c>
      <c r="CW16" s="397">
        <f t="shared" ca="1" si="7"/>
        <v>0</v>
      </c>
      <c r="CX16" s="397">
        <f t="shared" ca="1" si="7"/>
        <v>0</v>
      </c>
      <c r="CY16" s="397">
        <f t="shared" ca="1" si="7"/>
        <v>2.419909847877727E-2</v>
      </c>
      <c r="CZ16" s="397">
        <f t="shared" ca="1" si="7"/>
        <v>0</v>
      </c>
      <c r="DA16" s="397">
        <f t="shared" ca="1" si="7"/>
        <v>0</v>
      </c>
      <c r="DB16" s="397">
        <f t="shared" ca="1" si="7"/>
        <v>-5.2087983346604472E-2</v>
      </c>
      <c r="DC16" s="397">
        <f t="shared" ca="1" si="7"/>
        <v>0</v>
      </c>
      <c r="DD16" s="397">
        <f t="shared" ca="1" si="7"/>
        <v>0</v>
      </c>
      <c r="DE16" s="397">
        <f t="shared" ca="1" si="7"/>
        <v>-4.7964306332813511E-2</v>
      </c>
      <c r="DF16" s="397">
        <f t="shared" ca="1" si="7"/>
        <v>-3.7270005324810562E-2</v>
      </c>
      <c r="DG16" s="397">
        <f t="shared" ca="1" si="7"/>
        <v>-3.2591341561187759E-2</v>
      </c>
      <c r="DH16" s="397">
        <f t="shared" ca="1" si="7"/>
        <v>-3.0221133806182687E-2</v>
      </c>
      <c r="DI16" s="397">
        <f t="shared" ca="1" si="7"/>
        <v>-3.3726210201612095E-2</v>
      </c>
      <c r="DJ16" s="397">
        <f t="shared" ca="1" si="7"/>
        <v>-3.440308183828672E-2</v>
      </c>
      <c r="DK16" s="397">
        <f t="shared" ca="1" si="7"/>
        <v>-3.0084315287250252E-2</v>
      </c>
      <c r="DL16" s="397">
        <f t="shared" ca="1" si="7"/>
        <v>-3.4823723659550859E-2</v>
      </c>
      <c r="DM16" s="397">
        <f t="shared" ca="1" si="7"/>
        <v>-1.8635002662405309E-2</v>
      </c>
      <c r="DN16" s="397">
        <f t="shared" ca="1" si="7"/>
        <v>0</v>
      </c>
      <c r="DO16" s="397">
        <f t="shared" ca="1" si="7"/>
        <v>-0.16283171952926473</v>
      </c>
      <c r="DP16" s="397">
        <f t="shared" ca="1" si="7"/>
        <v>0</v>
      </c>
    </row>
    <row r="19" spans="2:123">
      <c r="B19" s="410" t="s">
        <v>702</v>
      </c>
      <c r="C19" s="1240">
        <f>COUNT($B$26:$B$130)</f>
        <v>90</v>
      </c>
      <c r="D19" s="412"/>
      <c r="E19" s="412"/>
      <c r="F19" s="412"/>
      <c r="G19" s="412"/>
      <c r="H19" s="412"/>
      <c r="I19" s="412"/>
      <c r="J19" s="412"/>
      <c r="K19" s="412"/>
      <c r="L19" s="412"/>
      <c r="M19" s="412"/>
      <c r="N19" s="412"/>
      <c r="O19" s="412"/>
      <c r="P19" s="412"/>
      <c r="Q19" s="412"/>
      <c r="R19" s="412"/>
      <c r="S19" s="412"/>
      <c r="T19" s="412"/>
      <c r="U19" s="412"/>
      <c r="V19" s="412"/>
      <c r="W19" s="412"/>
      <c r="X19" s="412"/>
      <c r="Y19" s="412"/>
      <c r="Z19" s="412"/>
      <c r="AA19" s="412"/>
      <c r="AB19" s="412"/>
      <c r="AC19" s="412"/>
      <c r="AD19" s="412"/>
      <c r="AE19" s="412"/>
      <c r="AF19" s="412"/>
      <c r="AG19" s="412"/>
      <c r="AH19" s="412"/>
      <c r="AI19" s="412"/>
      <c r="AJ19" s="412"/>
      <c r="AK19" s="412"/>
      <c r="AL19" s="412"/>
      <c r="AM19" s="412"/>
      <c r="AN19" s="412"/>
      <c r="AP19" s="410"/>
      <c r="AQ19" s="412"/>
      <c r="AR19" s="412"/>
      <c r="AS19" s="412"/>
      <c r="AT19" s="412"/>
      <c r="AU19" s="412"/>
      <c r="AV19" s="412"/>
      <c r="AW19" s="412"/>
      <c r="AX19" s="412"/>
      <c r="AY19" s="412"/>
      <c r="AZ19" s="412"/>
      <c r="BA19" s="412"/>
      <c r="BB19" s="412"/>
      <c r="BC19" s="412"/>
      <c r="BD19" s="412"/>
      <c r="BE19" s="412"/>
      <c r="BF19" s="412"/>
      <c r="BG19" s="412"/>
      <c r="BH19" s="412"/>
      <c r="BI19" s="412"/>
      <c r="BJ19" s="412"/>
      <c r="BK19" s="412"/>
      <c r="BL19" s="412"/>
      <c r="BM19" s="412"/>
      <c r="BN19" s="412"/>
      <c r="BO19" s="412"/>
      <c r="BP19" s="412"/>
      <c r="BQ19" s="412"/>
      <c r="BR19" s="412"/>
      <c r="BS19" s="412"/>
      <c r="BT19" s="412"/>
      <c r="BU19" s="412"/>
      <c r="BV19" s="412"/>
      <c r="BW19" s="412"/>
      <c r="BX19" s="412"/>
      <c r="BY19" s="412"/>
      <c r="BZ19" s="412"/>
      <c r="CA19" s="412"/>
      <c r="CB19" s="412"/>
      <c r="CD19" s="410"/>
      <c r="CE19" s="415"/>
      <c r="CF19" s="415"/>
      <c r="CG19" s="415"/>
      <c r="CH19" s="415"/>
      <c r="CI19" s="415"/>
      <c r="CJ19" s="415"/>
      <c r="CK19" s="415"/>
      <c r="CL19" s="415"/>
      <c r="CM19" s="415"/>
      <c r="CN19" s="415"/>
      <c r="CO19" s="415"/>
      <c r="CP19" s="415"/>
      <c r="CQ19" s="415"/>
      <c r="CR19" s="415"/>
      <c r="CS19" s="415"/>
      <c r="CT19" s="415"/>
      <c r="CU19" s="415"/>
      <c r="CV19" s="415"/>
      <c r="CW19" s="415"/>
      <c r="CX19" s="415"/>
      <c r="CY19" s="415"/>
      <c r="CZ19" s="415"/>
      <c r="DA19" s="415"/>
      <c r="DB19" s="415"/>
      <c r="DC19" s="415"/>
      <c r="DD19" s="415"/>
      <c r="DE19" s="415"/>
      <c r="DF19" s="415"/>
      <c r="DG19" s="415"/>
      <c r="DH19" s="415"/>
      <c r="DI19" s="415"/>
      <c r="DJ19" s="415"/>
      <c r="DK19" s="415"/>
      <c r="DL19" s="415"/>
      <c r="DM19" s="415"/>
      <c r="DN19" s="415"/>
      <c r="DO19" s="415"/>
      <c r="DP19" s="415"/>
    </row>
    <row r="20" spans="2:123">
      <c r="AQ20" s="296"/>
      <c r="AR20" s="296"/>
      <c r="AS20" s="296"/>
      <c r="AT20" s="296"/>
      <c r="AU20" s="296"/>
      <c r="AV20" s="296"/>
      <c r="AW20" s="296"/>
      <c r="AX20" s="296"/>
      <c r="AY20" s="296"/>
      <c r="AZ20" s="296"/>
      <c r="BA20" s="296"/>
      <c r="BB20" s="296"/>
      <c r="BC20" s="296"/>
      <c r="BD20" s="296"/>
      <c r="BE20" s="296"/>
      <c r="BF20" s="296"/>
      <c r="BG20" s="296"/>
      <c r="BH20" s="296"/>
      <c r="BI20" s="296"/>
      <c r="BJ20" s="296"/>
      <c r="BK20" s="296"/>
      <c r="BL20" s="296"/>
      <c r="BM20" s="296"/>
      <c r="BN20" s="296"/>
      <c r="BO20" s="296"/>
      <c r="BP20" s="296"/>
      <c r="BQ20" s="296"/>
      <c r="BR20" s="296"/>
      <c r="BS20" s="296"/>
      <c r="BT20" s="296"/>
      <c r="BU20" s="296"/>
      <c r="BV20" s="296"/>
      <c r="BW20" s="296"/>
      <c r="BX20" s="296"/>
      <c r="BY20" s="296"/>
      <c r="BZ20" s="296"/>
      <c r="CA20" s="296"/>
      <c r="CB20" s="296"/>
      <c r="CE20" s="296"/>
      <c r="CF20" s="296"/>
      <c r="CG20" s="296"/>
      <c r="CH20" s="296"/>
      <c r="CI20" s="296"/>
      <c r="CJ20" s="296"/>
      <c r="CK20" s="296"/>
      <c r="CL20" s="296"/>
      <c r="CM20" s="296"/>
      <c r="CN20" s="296"/>
      <c r="CO20" s="296"/>
      <c r="CP20" s="296"/>
      <c r="CQ20" s="296"/>
      <c r="CR20" s="296"/>
      <c r="CS20" s="296"/>
      <c r="CT20" s="296"/>
      <c r="CU20" s="296"/>
      <c r="CV20" s="296"/>
      <c r="CW20" s="296"/>
      <c r="CX20" s="296"/>
      <c r="CY20" s="296"/>
      <c r="CZ20" s="296"/>
      <c r="DA20" s="296"/>
      <c r="DB20" s="296"/>
      <c r="DC20" s="296"/>
      <c r="DD20" s="296"/>
      <c r="DE20" s="296"/>
      <c r="DF20" s="296"/>
      <c r="DG20" s="296"/>
      <c r="DH20" s="296"/>
      <c r="DI20" s="296"/>
      <c r="DJ20" s="296"/>
      <c r="DK20" s="296"/>
      <c r="DL20" s="296"/>
      <c r="DM20" s="296"/>
      <c r="DN20" s="296"/>
      <c r="DO20" s="296"/>
      <c r="DP20" s="296"/>
    </row>
    <row r="21" spans="2:123">
      <c r="AQ21" s="411"/>
      <c r="AR21" s="411"/>
      <c r="AS21" s="411"/>
      <c r="AT21" s="411"/>
      <c r="AU21" s="411"/>
      <c r="AV21" s="411"/>
      <c r="AW21" s="411"/>
      <c r="AX21" s="411"/>
      <c r="AY21" s="411"/>
      <c r="AZ21" s="411"/>
      <c r="BA21" s="411"/>
      <c r="BB21" s="411"/>
      <c r="BC21" s="411"/>
      <c r="BD21" s="411"/>
      <c r="BE21" s="411"/>
      <c r="BF21" s="411"/>
      <c r="BG21" s="411"/>
      <c r="BH21" s="411"/>
      <c r="BI21" s="411"/>
      <c r="BJ21" s="411"/>
      <c r="BK21" s="411"/>
      <c r="BL21" s="411"/>
      <c r="BM21" s="411"/>
      <c r="BN21" s="411"/>
      <c r="BO21" s="411"/>
      <c r="BP21" s="411"/>
      <c r="BQ21" s="411"/>
      <c r="BR21" s="411"/>
      <c r="BS21" s="411"/>
      <c r="BT21" s="411"/>
      <c r="BU21" s="411"/>
      <c r="BV21" s="411"/>
      <c r="BW21" s="411"/>
      <c r="BX21" s="411"/>
      <c r="BY21" s="411"/>
      <c r="BZ21" s="411"/>
      <c r="CA21" s="411"/>
      <c r="CB21" s="411"/>
      <c r="CE21" s="411"/>
      <c r="CF21" s="411"/>
      <c r="CG21" s="411"/>
      <c r="CH21" s="411"/>
      <c r="CI21" s="411"/>
      <c r="CJ21" s="411"/>
      <c r="CK21" s="411"/>
      <c r="CL21" s="411"/>
      <c r="CM21" s="411"/>
      <c r="CN21" s="411"/>
      <c r="CO21" s="411"/>
      <c r="CP21" s="411"/>
      <c r="CQ21" s="411"/>
      <c r="CR21" s="411"/>
      <c r="CS21" s="411"/>
      <c r="CT21" s="411"/>
      <c r="CU21" s="411"/>
      <c r="CV21" s="411"/>
      <c r="CW21" s="411"/>
      <c r="CX21" s="411"/>
      <c r="CY21" s="411"/>
      <c r="CZ21" s="411"/>
      <c r="DA21" s="411"/>
      <c r="DB21" s="411"/>
      <c r="DC21" s="411"/>
      <c r="DD21" s="411"/>
      <c r="DE21" s="411"/>
      <c r="DF21" s="411"/>
      <c r="DG21" s="411"/>
      <c r="DH21" s="411"/>
      <c r="DI21" s="411"/>
      <c r="DJ21" s="411"/>
      <c r="DK21" s="411"/>
      <c r="DL21" s="411"/>
      <c r="DM21" s="411"/>
      <c r="DN21" s="411"/>
      <c r="DO21" s="411"/>
      <c r="DP21" s="411"/>
    </row>
    <row r="22" spans="2:123">
      <c r="AQ22" s="302"/>
      <c r="AR22" s="302"/>
      <c r="AS22" s="302"/>
      <c r="AT22" s="302"/>
      <c r="AU22" s="302"/>
      <c r="AV22" s="302"/>
      <c r="AW22" s="302"/>
      <c r="AX22" s="302"/>
      <c r="AY22" s="302"/>
      <c r="AZ22" s="302"/>
      <c r="BA22" s="302"/>
      <c r="BB22" s="302"/>
      <c r="BC22" s="302"/>
      <c r="BD22" s="302"/>
      <c r="BE22" s="302"/>
      <c r="BF22" s="302"/>
      <c r="BG22" s="302"/>
      <c r="BH22" s="302"/>
      <c r="BI22" s="302"/>
      <c r="BJ22" s="302"/>
      <c r="BK22" s="302"/>
      <c r="BL22" s="302"/>
      <c r="BM22" s="302"/>
      <c r="BN22" s="302"/>
      <c r="BO22" s="302"/>
      <c r="BP22" s="302"/>
      <c r="BQ22" s="302"/>
      <c r="BR22" s="302"/>
      <c r="BS22" s="302"/>
      <c r="BT22" s="302"/>
      <c r="BU22" s="302"/>
      <c r="BV22" s="302"/>
      <c r="BW22" s="302"/>
      <c r="BX22" s="302"/>
      <c r="BY22" s="302"/>
      <c r="CE22" s="302"/>
      <c r="CF22" s="302"/>
      <c r="CG22" s="302"/>
      <c r="CH22" s="302"/>
      <c r="CI22" s="302"/>
      <c r="CJ22" s="302"/>
      <c r="CK22" s="302"/>
      <c r="CL22" s="302"/>
      <c r="CM22" s="302"/>
      <c r="CN22" s="302"/>
      <c r="CO22" s="302"/>
      <c r="CP22" s="302"/>
      <c r="CQ22" s="302"/>
      <c r="CR22" s="302"/>
      <c r="CS22" s="302"/>
      <c r="CT22" s="302"/>
      <c r="CU22" s="302"/>
      <c r="CV22" s="302"/>
      <c r="CW22" s="302"/>
      <c r="CX22" s="302"/>
      <c r="CY22" s="302"/>
      <c r="CZ22" s="302"/>
      <c r="DA22" s="302"/>
      <c r="DB22" s="302"/>
      <c r="DC22" s="302"/>
      <c r="DD22" s="302"/>
      <c r="DE22" s="302"/>
      <c r="DF22" s="302"/>
      <c r="DG22" s="302"/>
      <c r="DH22" s="302"/>
      <c r="DI22" s="302"/>
      <c r="DJ22" s="302"/>
      <c r="DK22" s="302"/>
      <c r="DL22" s="302"/>
      <c r="DM22" s="302"/>
    </row>
    <row r="24" spans="2:123">
      <c r="B24" s="234" t="s">
        <v>699</v>
      </c>
      <c r="J24" s="393"/>
      <c r="AP24" s="234" t="s">
        <v>700</v>
      </c>
      <c r="CD24" s="234" t="s">
        <v>700</v>
      </c>
    </row>
    <row r="25" spans="2:123" ht="41.25" customHeight="1">
      <c r="B25" s="427" t="s">
        <v>690</v>
      </c>
      <c r="C25" s="427" t="str">
        <f ca="1">C13</f>
        <v>Conv. diesel</v>
      </c>
      <c r="D25" s="427" t="str">
        <f t="shared" ref="D25:BU25" ca="1" si="8">D13</f>
        <v>Conv. gasoline</v>
      </c>
      <c r="E25" s="427" t="str">
        <f t="shared" ca="1" si="8"/>
        <v>E85-1g</v>
      </c>
      <c r="F25" s="427" t="str">
        <f ca="1">F13</f>
        <v>E85-1g Sugarb.</v>
      </c>
      <c r="G25" s="427" t="str">
        <f t="shared" ca="1" si="8"/>
        <v>E85-2g</v>
      </c>
      <c r="H25" s="427" t="str">
        <f ca="1">H13</f>
        <v>Biodiesel-1g RME</v>
      </c>
      <c r="I25" s="427" t="str">
        <f t="shared" ca="1" si="8"/>
        <v>Biodiesel-2g</v>
      </c>
      <c r="J25" s="427" t="str">
        <f t="shared" ca="1" si="8"/>
        <v>DME</v>
      </c>
      <c r="K25" s="427" t="str">
        <f t="shared" ca="1" si="8"/>
        <v>B-Naturgas</v>
      </c>
      <c r="L25" s="427" t="str">
        <f t="shared" ca="1" si="8"/>
        <v>Biogas</v>
      </c>
      <c r="M25" s="427" t="str">
        <f t="shared" ca="1" si="8"/>
        <v>MeOH</v>
      </c>
      <c r="N25" s="427" t="str">
        <f t="shared" ca="1" si="8"/>
        <v>B-Brint</v>
      </c>
      <c r="O25" s="427" t="str">
        <f t="shared" ca="1" si="8"/>
        <v>Elbil</v>
      </c>
      <c r="P25" s="427" t="str">
        <f t="shared" ca="1" si="8"/>
        <v>Plugin Hybrid</v>
      </c>
      <c r="Q25" s="427" t="str">
        <f t="shared" ca="1" si="8"/>
        <v>Fast Ferry</v>
      </c>
      <c r="R25" s="427" t="str">
        <f t="shared" ca="1" si="8"/>
        <v>Aircraft Fossil</v>
      </c>
      <c r="S25" s="427" t="str">
        <f ca="1">S13</f>
        <v>Aircraft Biofuel</v>
      </c>
      <c r="T25" s="427" t="str">
        <f t="shared" ca="1" si="8"/>
        <v>9000TEU HFO</v>
      </c>
      <c r="U25" s="427" t="str">
        <f t="shared" ca="1" si="8"/>
        <v>9000TEU Diesel</v>
      </c>
      <c r="V25" s="427" t="str">
        <f t="shared" ca="1" si="8"/>
        <v>9000TEU BioDiesel</v>
      </c>
      <c r="W25" s="427" t="str">
        <f t="shared" ca="1" si="8"/>
        <v>9000TEU LNG</v>
      </c>
      <c r="X25" s="427" t="str">
        <f t="shared" ca="1" si="8"/>
        <v>IC Tog Diesel</v>
      </c>
      <c r="Y25" s="427" t="str">
        <f t="shared" ca="1" si="8"/>
        <v>IC Tog Biodiesel</v>
      </c>
      <c r="Z25" s="427" t="str">
        <f t="shared" ca="1" si="8"/>
        <v>IC Tog El</v>
      </c>
      <c r="AA25" s="427" t="str">
        <f t="shared" ca="1" si="8"/>
        <v>Lokaltog Diesel</v>
      </c>
      <c r="AB25" s="427" t="str">
        <f t="shared" ca="1" si="8"/>
        <v>Lokaltog biodiesel</v>
      </c>
      <c r="AC25" s="427" t="str">
        <f t="shared" ca="1" si="8"/>
        <v>Lokaltog Gas</v>
      </c>
      <c r="AD25" s="427" t="str">
        <f t="shared" ca="1" si="8"/>
        <v>L-Diesel</v>
      </c>
      <c r="AE25" s="427" t="str">
        <f t="shared" ca="1" si="8"/>
        <v>L-BioDiesel</v>
      </c>
      <c r="AF25" s="427" t="str">
        <f t="shared" ca="1" si="8"/>
        <v>L-CNG</v>
      </c>
      <c r="AG25" s="427" t="str">
        <f t="shared" ca="1" si="8"/>
        <v>L-DME</v>
      </c>
      <c r="AH25" s="427" t="str">
        <f t="shared" ca="1" si="8"/>
        <v>B-Diesel</v>
      </c>
      <c r="AI25" s="427" t="str">
        <f t="shared" ca="1" si="8"/>
        <v>B-Biodiesel</v>
      </c>
      <c r="AJ25" s="427" t="str">
        <f t="shared" ca="1" si="8"/>
        <v>B-CNG</v>
      </c>
      <c r="AK25" s="427" t="str">
        <f t="shared" ca="1" si="8"/>
        <v>B-Hybrid</v>
      </c>
      <c r="AL25" s="427" t="str">
        <f t="shared" ca="1" si="8"/>
        <v>Fast Ferry - Biodiesel</v>
      </c>
      <c r="AM25" s="427" t="str">
        <f t="shared" ca="1" si="8"/>
        <v>Ren brint</v>
      </c>
      <c r="AN25" s="427">
        <f t="shared" ca="1" si="8"/>
        <v>0</v>
      </c>
      <c r="AO25" s="427">
        <f t="shared" si="8"/>
        <v>0</v>
      </c>
      <c r="AP25" s="427" t="str">
        <f t="shared" si="8"/>
        <v>Dato</v>
      </c>
      <c r="AQ25" s="427" t="str">
        <f t="shared" ca="1" si="8"/>
        <v>Conv. diesel</v>
      </c>
      <c r="AR25" s="427" t="str">
        <f t="shared" ca="1" si="8"/>
        <v>Conv. gasoline</v>
      </c>
      <c r="AS25" s="427" t="str">
        <f t="shared" ca="1" si="8"/>
        <v>E85-1g</v>
      </c>
      <c r="AT25" s="427" t="str">
        <f ca="1">AT13</f>
        <v>E85-1g Sugarb.</v>
      </c>
      <c r="AU25" s="427" t="str">
        <f t="shared" ca="1" si="8"/>
        <v>E85-2g</v>
      </c>
      <c r="AV25" s="427" t="str">
        <f ca="1">AV13</f>
        <v>Biodiesel-1g RME</v>
      </c>
      <c r="AW25" s="427" t="str">
        <f t="shared" ca="1" si="8"/>
        <v>Biodiesel-2g</v>
      </c>
      <c r="AX25" s="427" t="str">
        <f t="shared" ca="1" si="8"/>
        <v>DME</v>
      </c>
      <c r="AY25" s="427" t="str">
        <f t="shared" ca="1" si="8"/>
        <v>B-Naturgas</v>
      </c>
      <c r="AZ25" s="427" t="str">
        <f t="shared" ca="1" si="8"/>
        <v>Biogas</v>
      </c>
      <c r="BA25" s="427" t="str">
        <f t="shared" ca="1" si="8"/>
        <v>MeOH</v>
      </c>
      <c r="BB25" s="427" t="str">
        <f t="shared" ca="1" si="8"/>
        <v>B-Brint</v>
      </c>
      <c r="BC25" s="427" t="str">
        <f t="shared" ca="1" si="8"/>
        <v>Elbil</v>
      </c>
      <c r="BD25" s="427" t="str">
        <f t="shared" ca="1" si="8"/>
        <v>Plugin Hybrid</v>
      </c>
      <c r="BE25" s="427" t="str">
        <f t="shared" ca="1" si="8"/>
        <v>Fast Ferry</v>
      </c>
      <c r="BF25" s="427" t="str">
        <f t="shared" ca="1" si="8"/>
        <v>Aircraft Fossil</v>
      </c>
      <c r="BG25" s="427" t="str">
        <f ca="1">BG13</f>
        <v>Aircraft Biofuel</v>
      </c>
      <c r="BH25" s="427" t="str">
        <f t="shared" ca="1" si="8"/>
        <v>9000TEU HFO</v>
      </c>
      <c r="BI25" s="427" t="str">
        <f t="shared" ca="1" si="8"/>
        <v>9000TEU Diesel</v>
      </c>
      <c r="BJ25" s="427" t="str">
        <f t="shared" ca="1" si="8"/>
        <v>9000TEU BioDiesel</v>
      </c>
      <c r="BK25" s="427" t="str">
        <f t="shared" ca="1" si="8"/>
        <v>9000TEU LNG</v>
      </c>
      <c r="BL25" s="427" t="str">
        <f t="shared" ca="1" si="8"/>
        <v>IC Tog Diesel</v>
      </c>
      <c r="BM25" s="427" t="str">
        <f t="shared" ca="1" si="8"/>
        <v>IC Tog Biodiesel</v>
      </c>
      <c r="BN25" s="427" t="str">
        <f t="shared" ca="1" si="8"/>
        <v>IC Tog El</v>
      </c>
      <c r="BO25" s="427" t="str">
        <f t="shared" ca="1" si="8"/>
        <v>Lokaltog Diesel</v>
      </c>
      <c r="BP25" s="427" t="str">
        <f t="shared" ca="1" si="8"/>
        <v>Lokaltog biodiesel</v>
      </c>
      <c r="BQ25" s="427" t="str">
        <f t="shared" ca="1" si="8"/>
        <v>Lokaltog Gas</v>
      </c>
      <c r="BR25" s="427" t="str">
        <f t="shared" ca="1" si="8"/>
        <v>L-Diesel</v>
      </c>
      <c r="BS25" s="427" t="str">
        <f t="shared" ca="1" si="8"/>
        <v>L-BioDiesel</v>
      </c>
      <c r="BT25" s="427" t="str">
        <f t="shared" ca="1" si="8"/>
        <v>L-CNG</v>
      </c>
      <c r="BU25" s="427" t="str">
        <f t="shared" ca="1" si="8"/>
        <v>L-DME</v>
      </c>
      <c r="BV25" s="427" t="str">
        <f t="shared" ref="BV25:DP25" ca="1" si="9">BV13</f>
        <v>B-Diesel</v>
      </c>
      <c r="BW25" s="427" t="str">
        <f t="shared" ca="1" si="9"/>
        <v>B-Biodiesel</v>
      </c>
      <c r="BX25" s="427" t="str">
        <f t="shared" ca="1" si="9"/>
        <v>B-CNG</v>
      </c>
      <c r="BY25" s="427" t="str">
        <f t="shared" ca="1" si="9"/>
        <v>B-Hybrid</v>
      </c>
      <c r="BZ25" s="427" t="str">
        <f t="shared" ca="1" si="9"/>
        <v>Fast Ferry - Biodiesel</v>
      </c>
      <c r="CA25" s="427" t="str">
        <f t="shared" ca="1" si="9"/>
        <v>Ren brint</v>
      </c>
      <c r="CB25" s="427">
        <f t="shared" ca="1" si="9"/>
        <v>0</v>
      </c>
      <c r="CC25" s="427">
        <f t="shared" si="9"/>
        <v>0</v>
      </c>
      <c r="CD25" s="427" t="str">
        <f t="shared" si="9"/>
        <v>Dato</v>
      </c>
      <c r="CE25" s="427" t="str">
        <f t="shared" ca="1" si="9"/>
        <v>Conv. diesel</v>
      </c>
      <c r="CF25" s="427" t="str">
        <f t="shared" ca="1" si="9"/>
        <v>Conv. gasoline</v>
      </c>
      <c r="CG25" s="427" t="str">
        <f t="shared" ca="1" si="9"/>
        <v>E85-1g</v>
      </c>
      <c r="CH25" s="427" t="str">
        <f ca="1">CH13</f>
        <v>E85-1g Sugarb.</v>
      </c>
      <c r="CI25" s="427" t="str">
        <f t="shared" ca="1" si="9"/>
        <v>E85-2g</v>
      </c>
      <c r="CJ25" s="427" t="str">
        <f ca="1">CJ13</f>
        <v>Biodiesel-1g RME</v>
      </c>
      <c r="CK25" s="427" t="str">
        <f t="shared" ca="1" si="9"/>
        <v>Biodiesel-2g</v>
      </c>
      <c r="CL25" s="427" t="str">
        <f t="shared" ca="1" si="9"/>
        <v>DME</v>
      </c>
      <c r="CM25" s="427" t="str">
        <f t="shared" ca="1" si="9"/>
        <v>B-Naturgas</v>
      </c>
      <c r="CN25" s="427" t="str">
        <f t="shared" ca="1" si="9"/>
        <v>Biogas</v>
      </c>
      <c r="CO25" s="427" t="str">
        <f t="shared" ca="1" si="9"/>
        <v>MeOH</v>
      </c>
      <c r="CP25" s="427" t="str">
        <f t="shared" ca="1" si="9"/>
        <v>B-Brint</v>
      </c>
      <c r="CQ25" s="427" t="str">
        <f t="shared" ca="1" si="9"/>
        <v>Elbil</v>
      </c>
      <c r="CR25" s="427" t="str">
        <f t="shared" ca="1" si="9"/>
        <v>Plugin Hybrid</v>
      </c>
      <c r="CS25" s="427" t="str">
        <f t="shared" ca="1" si="9"/>
        <v>Fast Ferry</v>
      </c>
      <c r="CT25" s="427" t="str">
        <f t="shared" ca="1" si="9"/>
        <v>Aircraft Fossil</v>
      </c>
      <c r="CU25" s="427" t="str">
        <f ca="1">CU13</f>
        <v>Aircraft Biofuel</v>
      </c>
      <c r="CV25" s="427" t="str">
        <f t="shared" ca="1" si="9"/>
        <v>9000TEU HFO</v>
      </c>
      <c r="CW25" s="427" t="str">
        <f t="shared" ca="1" si="9"/>
        <v>9000TEU Diesel</v>
      </c>
      <c r="CX25" s="427" t="str">
        <f t="shared" ca="1" si="9"/>
        <v>9000TEU BioDiesel</v>
      </c>
      <c r="CY25" s="427" t="str">
        <f t="shared" ca="1" si="9"/>
        <v>9000TEU LNG</v>
      </c>
      <c r="CZ25" s="427" t="str">
        <f t="shared" ca="1" si="9"/>
        <v>IC Tog Diesel</v>
      </c>
      <c r="DA25" s="427" t="str">
        <f t="shared" ca="1" si="9"/>
        <v>IC Tog Biodiesel</v>
      </c>
      <c r="DB25" s="427" t="str">
        <f t="shared" ca="1" si="9"/>
        <v>IC Tog El</v>
      </c>
      <c r="DC25" s="427" t="str">
        <f t="shared" ca="1" si="9"/>
        <v>Lokaltog Diesel</v>
      </c>
      <c r="DD25" s="427" t="str">
        <f t="shared" ca="1" si="9"/>
        <v>Lokaltog biodiesel</v>
      </c>
      <c r="DE25" s="427" t="str">
        <f t="shared" ca="1" si="9"/>
        <v>Lokaltog Gas</v>
      </c>
      <c r="DF25" s="427" t="str">
        <f t="shared" ca="1" si="9"/>
        <v>L-Diesel</v>
      </c>
      <c r="DG25" s="427" t="str">
        <f t="shared" ca="1" si="9"/>
        <v>L-BioDiesel</v>
      </c>
      <c r="DH25" s="427" t="str">
        <f t="shared" ca="1" si="9"/>
        <v>L-CNG</v>
      </c>
      <c r="DI25" s="427" t="str">
        <f t="shared" ca="1" si="9"/>
        <v>L-DME</v>
      </c>
      <c r="DJ25" s="427" t="str">
        <f t="shared" ca="1" si="9"/>
        <v>B-Diesel</v>
      </c>
      <c r="DK25" s="427" t="str">
        <f t="shared" ca="1" si="9"/>
        <v>B-Biodiesel</v>
      </c>
      <c r="DL25" s="427" t="str">
        <f t="shared" ca="1" si="9"/>
        <v>B-CNG</v>
      </c>
      <c r="DM25" s="427" t="str">
        <f t="shared" ca="1" si="9"/>
        <v>B-Hybrid</v>
      </c>
      <c r="DN25" s="427" t="str">
        <f t="shared" ca="1" si="9"/>
        <v>Fast Ferry - Biodiesel</v>
      </c>
      <c r="DO25" s="427" t="str">
        <f t="shared" ca="1" si="9"/>
        <v>Ren brint</v>
      </c>
      <c r="DP25" s="427">
        <f t="shared" ca="1" si="9"/>
        <v>0</v>
      </c>
      <c r="DR25" s="427"/>
      <c r="DS25" s="427"/>
    </row>
    <row r="26" spans="2:123" s="455" customFormat="1">
      <c r="B26" s="428">
        <v>41652.68602951389</v>
      </c>
      <c r="C26" s="429">
        <v>1.4180614173249078</v>
      </c>
      <c r="D26" s="429">
        <v>1.4164193317069305</v>
      </c>
      <c r="E26" s="429">
        <v>1.5000507821811806</v>
      </c>
      <c r="F26" s="429"/>
      <c r="G26" s="429">
        <v>1.4544054363145498</v>
      </c>
      <c r="H26" s="429"/>
      <c r="I26" s="429">
        <v>1.3980713448758868</v>
      </c>
      <c r="J26" s="429">
        <v>1.6514958956325159</v>
      </c>
      <c r="K26" s="429">
        <v>1.3988563631251159</v>
      </c>
      <c r="L26" s="429">
        <v>1.4772201247806069</v>
      </c>
      <c r="M26" s="429">
        <v>1.3144346955646447</v>
      </c>
      <c r="N26" s="429">
        <v>1.3701961278424337</v>
      </c>
      <c r="O26" s="429">
        <v>1.234991050139048</v>
      </c>
      <c r="P26" s="429">
        <v>1.2033160421066182</v>
      </c>
      <c r="Q26" s="429"/>
      <c r="R26" s="429">
        <v>11.673487001496168</v>
      </c>
      <c r="S26" s="429"/>
      <c r="T26" s="429">
        <v>68.853948762798368</v>
      </c>
      <c r="U26" s="429">
        <v>69.033466064596524</v>
      </c>
      <c r="V26" s="429">
        <v>68.922682788560508</v>
      </c>
      <c r="W26" s="429"/>
      <c r="X26" s="429">
        <v>0</v>
      </c>
      <c r="Y26" s="429">
        <v>0</v>
      </c>
      <c r="Z26" s="429">
        <v>0</v>
      </c>
      <c r="AA26" s="429">
        <v>0</v>
      </c>
      <c r="AB26" s="429">
        <v>0</v>
      </c>
      <c r="AC26" s="429">
        <v>0</v>
      </c>
      <c r="AD26" s="429">
        <v>3.2934689479679067</v>
      </c>
      <c r="AE26" s="429">
        <v>0</v>
      </c>
      <c r="AF26" s="429">
        <v>0</v>
      </c>
      <c r="AG26" s="429">
        <v>0</v>
      </c>
      <c r="AH26" s="429">
        <v>3.1895246198396299</v>
      </c>
      <c r="AI26" s="429">
        <v>6.3774589253330101</v>
      </c>
      <c r="AJ26" s="429">
        <v>6.5033233488726561</v>
      </c>
      <c r="AK26" s="429">
        <v>7.0007984140961357</v>
      </c>
      <c r="AL26" s="429">
        <v>0</v>
      </c>
      <c r="AM26" s="429">
        <v>0</v>
      </c>
      <c r="AN26" s="429">
        <v>0</v>
      </c>
      <c r="AO26" s="432"/>
      <c r="AP26" s="428">
        <v>41652.68602951389</v>
      </c>
      <c r="AQ26" s="431">
        <v>94.244484550959783</v>
      </c>
      <c r="AR26" s="431">
        <v>124.99206695553173</v>
      </c>
      <c r="AS26" s="431">
        <v>238.55825780636138</v>
      </c>
      <c r="AT26" s="431"/>
      <c r="AU26" s="431">
        <v>22.019192241338732</v>
      </c>
      <c r="AV26" s="431"/>
      <c r="AW26" s="431">
        <v>94.798938632174483</v>
      </c>
      <c r="AX26" s="431">
        <v>78.214348636710184</v>
      </c>
      <c r="AY26" s="431">
        <v>117.18257733512266</v>
      </c>
      <c r="AZ26" s="431">
        <v>-82.656704644787297</v>
      </c>
      <c r="BA26" s="431">
        <v>15.866737223369883</v>
      </c>
      <c r="BB26" s="431">
        <v>5.7757008395402076</v>
      </c>
      <c r="BC26" s="431">
        <v>4.9497703029320155</v>
      </c>
      <c r="BD26" s="431">
        <v>19.593995332440805</v>
      </c>
      <c r="BE26" s="431"/>
      <c r="BF26" s="431">
        <v>8064.0560546332463</v>
      </c>
      <c r="BG26" s="431"/>
      <c r="BH26" s="431">
        <v>574.4420942571993</v>
      </c>
      <c r="BI26" s="431">
        <v>555.77276533170561</v>
      </c>
      <c r="BJ26" s="431">
        <v>559.0480600370762</v>
      </c>
      <c r="BK26" s="431">
        <v>0</v>
      </c>
      <c r="BL26" s="431">
        <v>0</v>
      </c>
      <c r="BM26" s="431">
        <v>0</v>
      </c>
      <c r="BN26" s="431">
        <v>0</v>
      </c>
      <c r="BO26" s="431">
        <v>0</v>
      </c>
      <c r="BP26" s="431">
        <v>0</v>
      </c>
      <c r="BQ26" s="431">
        <v>831.13803759415521</v>
      </c>
      <c r="BR26" s="431">
        <v>0</v>
      </c>
      <c r="BS26" s="431">
        <v>0</v>
      </c>
      <c r="BT26" s="431">
        <v>0</v>
      </c>
      <c r="BU26" s="431">
        <v>0</v>
      </c>
      <c r="BV26" s="431">
        <v>771.96910772160402</v>
      </c>
      <c r="BW26" s="431">
        <v>1274.4994598590947</v>
      </c>
      <c r="BX26" s="431">
        <v>1179.9066311503386</v>
      </c>
      <c r="BY26" s="431">
        <v>980.3841998916115</v>
      </c>
      <c r="BZ26" s="431">
        <v>0</v>
      </c>
      <c r="CA26" s="431">
        <v>0</v>
      </c>
      <c r="CB26" s="431">
        <v>0</v>
      </c>
      <c r="CC26" s="432"/>
      <c r="CD26" s="428">
        <v>41652.68602951389</v>
      </c>
      <c r="CE26" s="433">
        <v>0.30759941944884489</v>
      </c>
      <c r="CF26" s="433">
        <v>0.21368653957671954</v>
      </c>
      <c r="CG26" s="433">
        <v>0.16794913607715131</v>
      </c>
      <c r="CH26" s="433"/>
      <c r="CI26" s="433">
        <v>0.15098113338820576</v>
      </c>
      <c r="CJ26" s="433"/>
      <c r="CK26" s="433">
        <v>0.25899628896575483</v>
      </c>
      <c r="CL26" s="433">
        <v>0.27649961398917294</v>
      </c>
      <c r="CM26" s="433">
        <v>0.20129058533430336</v>
      </c>
      <c r="CN26" s="433">
        <v>0.20193747485667865</v>
      </c>
      <c r="CO26" s="433">
        <v>0.14170471559769959</v>
      </c>
      <c r="CP26" s="433">
        <v>0.6472517576995086</v>
      </c>
      <c r="CQ26" s="433">
        <v>0.67663897658204775</v>
      </c>
      <c r="CR26" s="433">
        <v>0.47764154429191014</v>
      </c>
      <c r="CS26" s="433"/>
      <c r="CT26" s="433">
        <v>0.44773699730205757</v>
      </c>
      <c r="CU26" s="433"/>
      <c r="CV26" s="433">
        <v>0.47651872850367988</v>
      </c>
      <c r="CW26" s="433">
        <v>0.47402386605078101</v>
      </c>
      <c r="CX26" s="433">
        <v>0.39912436248524713</v>
      </c>
      <c r="CY26" s="433">
        <v>0</v>
      </c>
      <c r="CZ26" s="433">
        <v>0</v>
      </c>
      <c r="DA26" s="433">
        <v>0</v>
      </c>
      <c r="DB26" s="433">
        <v>0</v>
      </c>
      <c r="DC26" s="433">
        <v>0</v>
      </c>
      <c r="DD26" s="433">
        <v>0</v>
      </c>
      <c r="DE26" s="433">
        <v>0.40827675582953765</v>
      </c>
      <c r="DF26" s="433">
        <v>0</v>
      </c>
      <c r="DG26" s="433">
        <v>0</v>
      </c>
      <c r="DH26" s="433">
        <v>0</v>
      </c>
      <c r="DI26" s="433">
        <v>0</v>
      </c>
      <c r="DJ26" s="433">
        <v>0.3468418965385815</v>
      </c>
      <c r="DK26" s="433">
        <v>0.33404461840598537</v>
      </c>
      <c r="DL26" s="433">
        <v>0.28377973353156666</v>
      </c>
      <c r="DM26" s="433">
        <v>0.40827675582953765</v>
      </c>
      <c r="DN26" s="433">
        <v>0</v>
      </c>
      <c r="DO26" s="433">
        <v>0</v>
      </c>
      <c r="DP26" s="433">
        <v>0</v>
      </c>
      <c r="DR26" s="409" t="s">
        <v>855</v>
      </c>
      <c r="DS26" s="409" t="s">
        <v>2654</v>
      </c>
    </row>
    <row r="27" spans="2:123" s="1471" customFormat="1">
      <c r="B27" s="428">
        <v>41655.644030555559</v>
      </c>
      <c r="C27" s="429">
        <v>1.4180614173249078</v>
      </c>
      <c r="D27" s="429">
        <v>1.4164193317069305</v>
      </c>
      <c r="E27" s="429">
        <v>1.5000507821811806</v>
      </c>
      <c r="F27" s="429"/>
      <c r="G27" s="429">
        <v>1.4544054363145498</v>
      </c>
      <c r="H27" s="429"/>
      <c r="I27" s="429">
        <v>1.3980713448758868</v>
      </c>
      <c r="J27" s="429">
        <v>1.6514958956325159</v>
      </c>
      <c r="K27" s="429">
        <v>1.3988563631251159</v>
      </c>
      <c r="L27" s="429">
        <v>1.4772201247806069</v>
      </c>
      <c r="M27" s="429">
        <v>1.3144346955646447</v>
      </c>
      <c r="N27" s="429">
        <v>1.3701961278424337</v>
      </c>
      <c r="O27" s="429">
        <v>1.234991050139048</v>
      </c>
      <c r="P27" s="429">
        <v>1.2033160421066182</v>
      </c>
      <c r="Q27" s="429"/>
      <c r="R27" s="429">
        <v>11.673487001496168</v>
      </c>
      <c r="S27" s="429"/>
      <c r="T27" s="429">
        <v>4643.4177658776116</v>
      </c>
      <c r="U27" s="429">
        <v>4822.9350676757704</v>
      </c>
      <c r="V27" s="429">
        <v>4712.1517916397488</v>
      </c>
      <c r="W27" s="429"/>
      <c r="X27" s="429">
        <v>0</v>
      </c>
      <c r="Y27" s="429">
        <v>0</v>
      </c>
      <c r="Z27" s="429">
        <v>0</v>
      </c>
      <c r="AA27" s="429">
        <v>0</v>
      </c>
      <c r="AB27" s="429">
        <v>0</v>
      </c>
      <c r="AC27" s="429">
        <v>0</v>
      </c>
      <c r="AD27" s="429">
        <v>3.2934689479679067</v>
      </c>
      <c r="AE27" s="429">
        <v>0</v>
      </c>
      <c r="AF27" s="429">
        <v>0</v>
      </c>
      <c r="AG27" s="429">
        <v>0</v>
      </c>
      <c r="AH27" s="429">
        <v>3.1895246198396299</v>
      </c>
      <c r="AI27" s="429">
        <v>6.3774589253330101</v>
      </c>
      <c r="AJ27" s="429">
        <v>6.5033233488726561</v>
      </c>
      <c r="AK27" s="429">
        <v>7.0007984140961357</v>
      </c>
      <c r="AL27" s="429">
        <v>0</v>
      </c>
      <c r="AM27" s="429">
        <v>0</v>
      </c>
      <c r="AN27" s="429">
        <v>0</v>
      </c>
      <c r="AO27" s="432"/>
      <c r="AP27" s="428">
        <v>41655.644030555559</v>
      </c>
      <c r="AQ27" s="431">
        <v>94.244484550959783</v>
      </c>
      <c r="AR27" s="431">
        <v>124.99206695553173</v>
      </c>
      <c r="AS27" s="431">
        <v>238.55825780636138</v>
      </c>
      <c r="AT27" s="431"/>
      <c r="AU27" s="431">
        <v>22.019192241338732</v>
      </c>
      <c r="AV27" s="431"/>
      <c r="AW27" s="431">
        <v>94.798938632174483</v>
      </c>
      <c r="AX27" s="431">
        <v>78.214348636710184</v>
      </c>
      <c r="AY27" s="431">
        <v>117.18257733512266</v>
      </c>
      <c r="AZ27" s="431">
        <v>-82.656704644787297</v>
      </c>
      <c r="BA27" s="431">
        <v>15.866737223369883</v>
      </c>
      <c r="BB27" s="431">
        <v>5.7757008395402076</v>
      </c>
      <c r="BC27" s="431">
        <v>4.9497703029320155</v>
      </c>
      <c r="BD27" s="431">
        <v>19.593995332440805</v>
      </c>
      <c r="BE27" s="431"/>
      <c r="BF27" s="431">
        <v>8064.0560546332463</v>
      </c>
      <c r="BG27" s="431"/>
      <c r="BH27" s="431">
        <v>562958.2584641159</v>
      </c>
      <c r="BI27" s="431">
        <v>544288.92953862203</v>
      </c>
      <c r="BJ27" s="431">
        <v>547564.22424399271</v>
      </c>
      <c r="BK27" s="431">
        <v>0</v>
      </c>
      <c r="BL27" s="431">
        <v>0</v>
      </c>
      <c r="BM27" s="431">
        <v>0</v>
      </c>
      <c r="BN27" s="431">
        <v>0</v>
      </c>
      <c r="BO27" s="431">
        <v>0</v>
      </c>
      <c r="BP27" s="431">
        <v>0</v>
      </c>
      <c r="BQ27" s="431">
        <v>831.13803759415521</v>
      </c>
      <c r="BR27" s="431">
        <v>0</v>
      </c>
      <c r="BS27" s="431">
        <v>0</v>
      </c>
      <c r="BT27" s="431">
        <v>0</v>
      </c>
      <c r="BU27" s="431">
        <v>0</v>
      </c>
      <c r="BV27" s="431">
        <v>771.96910772160402</v>
      </c>
      <c r="BW27" s="431">
        <v>1274.4994598590947</v>
      </c>
      <c r="BX27" s="431">
        <v>1179.9066311503386</v>
      </c>
      <c r="BY27" s="431">
        <v>980.3841998916115</v>
      </c>
      <c r="BZ27" s="431">
        <v>0</v>
      </c>
      <c r="CA27" s="431">
        <v>0</v>
      </c>
      <c r="CB27" s="431">
        <v>0</v>
      </c>
      <c r="CC27" s="432"/>
      <c r="CD27" s="428">
        <v>41655.644030555559</v>
      </c>
      <c r="CE27" s="433">
        <v>0.30759941944884489</v>
      </c>
      <c r="CF27" s="433">
        <v>0.21368653957671954</v>
      </c>
      <c r="CG27" s="433">
        <v>0.16794913607715131</v>
      </c>
      <c r="CH27" s="433"/>
      <c r="CI27" s="433">
        <v>0.15098113338820576</v>
      </c>
      <c r="CJ27" s="433"/>
      <c r="CK27" s="433">
        <v>0.25899628896575483</v>
      </c>
      <c r="CL27" s="433">
        <v>0.27649961398917294</v>
      </c>
      <c r="CM27" s="433">
        <v>0.20129058533430336</v>
      </c>
      <c r="CN27" s="433">
        <v>0.20193747485667865</v>
      </c>
      <c r="CO27" s="433">
        <v>0.14170471559769959</v>
      </c>
      <c r="CP27" s="433">
        <v>0.6472517576995086</v>
      </c>
      <c r="CQ27" s="433">
        <v>0.67663897658204775</v>
      </c>
      <c r="CR27" s="433">
        <v>0.47764154429191014</v>
      </c>
      <c r="CS27" s="433"/>
      <c r="CT27" s="433">
        <v>0.44773699730205757</v>
      </c>
      <c r="CU27" s="433"/>
      <c r="CV27" s="433">
        <v>0.47651872850367988</v>
      </c>
      <c r="CW27" s="433">
        <v>0.47402386605078101</v>
      </c>
      <c r="CX27" s="433">
        <v>0.39912436248524713</v>
      </c>
      <c r="CY27" s="433">
        <v>0</v>
      </c>
      <c r="CZ27" s="433">
        <v>0</v>
      </c>
      <c r="DA27" s="433">
        <v>0</v>
      </c>
      <c r="DB27" s="433">
        <v>0</v>
      </c>
      <c r="DC27" s="433">
        <v>0</v>
      </c>
      <c r="DD27" s="433">
        <v>0</v>
      </c>
      <c r="DE27" s="433">
        <v>0.40827675582953765</v>
      </c>
      <c r="DF27" s="433">
        <v>0</v>
      </c>
      <c r="DG27" s="433">
        <v>0</v>
      </c>
      <c r="DH27" s="433">
        <v>0</v>
      </c>
      <c r="DI27" s="433">
        <v>0</v>
      </c>
      <c r="DJ27" s="433">
        <v>0.3468418965385815</v>
      </c>
      <c r="DK27" s="433">
        <v>0.33404461840598537</v>
      </c>
      <c r="DL27" s="433">
        <v>0.28377973353156666</v>
      </c>
      <c r="DM27" s="433">
        <v>0.40827675582953765</v>
      </c>
      <c r="DN27" s="433">
        <v>0</v>
      </c>
      <c r="DO27" s="433">
        <v>0</v>
      </c>
      <c r="DP27" s="433">
        <v>0</v>
      </c>
      <c r="DR27" s="409" t="s">
        <v>855</v>
      </c>
      <c r="DS27" s="409" t="s">
        <v>1662</v>
      </c>
    </row>
    <row r="28" spans="2:123" s="1471" customFormat="1">
      <c r="B28" s="428">
        <v>41662.542655092591</v>
      </c>
      <c r="C28" s="429">
        <v>1.4180614173249078</v>
      </c>
      <c r="D28" s="429">
        <v>1.4164193317069305</v>
      </c>
      <c r="E28" s="429">
        <v>1.5000507821811806</v>
      </c>
      <c r="F28" s="429"/>
      <c r="G28" s="429">
        <v>1.4544054363145498</v>
      </c>
      <c r="H28" s="429"/>
      <c r="I28" s="429">
        <v>1.3980713448758868</v>
      </c>
      <c r="J28" s="429">
        <v>1.6514958956325159</v>
      </c>
      <c r="K28" s="429">
        <v>1.3988563631251159</v>
      </c>
      <c r="L28" s="429">
        <v>1.4772201247806069</v>
      </c>
      <c r="M28" s="429">
        <v>1.3144346955646447</v>
      </c>
      <c r="N28" s="429">
        <v>1.3701961278424337</v>
      </c>
      <c r="O28" s="429">
        <v>1.234991050139048</v>
      </c>
      <c r="P28" s="429">
        <v>1.2033160421066182</v>
      </c>
      <c r="Q28" s="429"/>
      <c r="R28" s="429">
        <v>11.673487001496168</v>
      </c>
      <c r="S28" s="429"/>
      <c r="T28" s="429">
        <v>4643.4177658776116</v>
      </c>
      <c r="U28" s="429">
        <v>4822.9350676757704</v>
      </c>
      <c r="V28" s="429">
        <v>4712.1517916397488</v>
      </c>
      <c r="W28" s="429"/>
      <c r="X28" s="429">
        <v>0</v>
      </c>
      <c r="Y28" s="429">
        <v>0</v>
      </c>
      <c r="Z28" s="429">
        <v>0</v>
      </c>
      <c r="AA28" s="429">
        <v>0</v>
      </c>
      <c r="AB28" s="429">
        <v>0</v>
      </c>
      <c r="AC28" s="429">
        <v>0</v>
      </c>
      <c r="AD28" s="429">
        <v>3.2934689479679067</v>
      </c>
      <c r="AE28" s="429">
        <v>0</v>
      </c>
      <c r="AF28" s="429">
        <v>0</v>
      </c>
      <c r="AG28" s="429">
        <v>0</v>
      </c>
      <c r="AH28" s="429">
        <v>3.1895246198396299</v>
      </c>
      <c r="AI28" s="429">
        <v>6.3774589253330101</v>
      </c>
      <c r="AJ28" s="429">
        <v>6.5033233488726561</v>
      </c>
      <c r="AK28" s="429">
        <v>7.0007984140961357</v>
      </c>
      <c r="AL28" s="429">
        <v>0</v>
      </c>
      <c r="AM28" s="429">
        <v>0</v>
      </c>
      <c r="AN28" s="429">
        <v>0</v>
      </c>
      <c r="AO28" s="432"/>
      <c r="AP28" s="428">
        <v>41662.542655092591</v>
      </c>
      <c r="AQ28" s="431">
        <v>94.244484550959783</v>
      </c>
      <c r="AR28" s="431">
        <v>124.99206695553173</v>
      </c>
      <c r="AS28" s="431">
        <v>238.55825780636138</v>
      </c>
      <c r="AT28" s="431"/>
      <c r="AU28" s="431">
        <v>22.019192241338732</v>
      </c>
      <c r="AV28" s="431"/>
      <c r="AW28" s="431">
        <v>94.798938632174483</v>
      </c>
      <c r="AX28" s="431">
        <v>78.214348636710184</v>
      </c>
      <c r="AY28" s="431">
        <v>117.18257733512266</v>
      </c>
      <c r="AZ28" s="431">
        <v>-82.656704644787297</v>
      </c>
      <c r="BA28" s="431">
        <v>15.866737223369883</v>
      </c>
      <c r="BB28" s="431">
        <v>5.7757008395402076</v>
      </c>
      <c r="BC28" s="431">
        <v>4.9497703029320155</v>
      </c>
      <c r="BD28" s="431">
        <v>19.593995332440805</v>
      </c>
      <c r="BE28" s="431"/>
      <c r="BF28" s="431">
        <v>8064.0560546332463</v>
      </c>
      <c r="BG28" s="431"/>
      <c r="BH28" s="431">
        <v>562958.2584641159</v>
      </c>
      <c r="BI28" s="431">
        <v>544288.92953862203</v>
      </c>
      <c r="BJ28" s="431">
        <v>547564.22424399271</v>
      </c>
      <c r="BK28" s="431">
        <v>0</v>
      </c>
      <c r="BL28" s="431">
        <v>0</v>
      </c>
      <c r="BM28" s="431">
        <v>0</v>
      </c>
      <c r="BN28" s="431">
        <v>0</v>
      </c>
      <c r="BO28" s="431">
        <v>0</v>
      </c>
      <c r="BP28" s="431">
        <v>0</v>
      </c>
      <c r="BQ28" s="431">
        <v>831.13803759415521</v>
      </c>
      <c r="BR28" s="431">
        <v>0</v>
      </c>
      <c r="BS28" s="431">
        <v>0</v>
      </c>
      <c r="BT28" s="431">
        <v>0</v>
      </c>
      <c r="BU28" s="431">
        <v>0</v>
      </c>
      <c r="BV28" s="431">
        <v>771.96910772160402</v>
      </c>
      <c r="BW28" s="431">
        <v>1274.4994598590947</v>
      </c>
      <c r="BX28" s="431">
        <v>1179.9066311503386</v>
      </c>
      <c r="BY28" s="431">
        <v>980.3841998916115</v>
      </c>
      <c r="BZ28" s="431">
        <v>0</v>
      </c>
      <c r="CA28" s="431">
        <v>0</v>
      </c>
      <c r="CB28" s="431">
        <v>0</v>
      </c>
      <c r="CC28" s="432"/>
      <c r="CD28" s="428">
        <v>41662.542655092591</v>
      </c>
      <c r="CE28" s="433">
        <v>0.30759941944884489</v>
      </c>
      <c r="CF28" s="433">
        <v>0.21368653957671954</v>
      </c>
      <c r="CG28" s="433">
        <v>0.16794913607715131</v>
      </c>
      <c r="CH28" s="433"/>
      <c r="CI28" s="433">
        <v>0.15098113338820576</v>
      </c>
      <c r="CJ28" s="433"/>
      <c r="CK28" s="433">
        <v>0.25899628896575483</v>
      </c>
      <c r="CL28" s="433">
        <v>0.27649961398917294</v>
      </c>
      <c r="CM28" s="433">
        <v>0.20129058533430336</v>
      </c>
      <c r="CN28" s="433">
        <v>0.20193747485667865</v>
      </c>
      <c r="CO28" s="433">
        <v>0.14170471559769959</v>
      </c>
      <c r="CP28" s="433">
        <v>0.6472517576995086</v>
      </c>
      <c r="CQ28" s="433">
        <v>0.67663897658204775</v>
      </c>
      <c r="CR28" s="433">
        <v>0.47764154429191014</v>
      </c>
      <c r="CS28" s="433"/>
      <c r="CT28" s="433">
        <v>0.44773699730205757</v>
      </c>
      <c r="CU28" s="433"/>
      <c r="CV28" s="433">
        <v>0.47651872850367988</v>
      </c>
      <c r="CW28" s="433">
        <v>0.47402386605078101</v>
      </c>
      <c r="CX28" s="433">
        <v>0.39912436248524713</v>
      </c>
      <c r="CY28" s="433">
        <v>0</v>
      </c>
      <c r="CZ28" s="433">
        <v>0</v>
      </c>
      <c r="DA28" s="433">
        <v>0</v>
      </c>
      <c r="DB28" s="433">
        <v>0</v>
      </c>
      <c r="DC28" s="433">
        <v>0</v>
      </c>
      <c r="DD28" s="433">
        <v>0</v>
      </c>
      <c r="DE28" s="433">
        <v>0.40827675582953765</v>
      </c>
      <c r="DF28" s="433">
        <v>0</v>
      </c>
      <c r="DG28" s="433">
        <v>0</v>
      </c>
      <c r="DH28" s="433">
        <v>0</v>
      </c>
      <c r="DI28" s="433">
        <v>0</v>
      </c>
      <c r="DJ28" s="433">
        <v>0.3468418965385815</v>
      </c>
      <c r="DK28" s="433">
        <v>0.33404461840598537</v>
      </c>
      <c r="DL28" s="433">
        <v>0.28377973353156666</v>
      </c>
      <c r="DM28" s="433">
        <v>0.40827675582953765</v>
      </c>
      <c r="DN28" s="433">
        <v>0</v>
      </c>
      <c r="DO28" s="433">
        <v>0</v>
      </c>
      <c r="DP28" s="433">
        <v>0</v>
      </c>
      <c r="DR28" s="409" t="s">
        <v>711</v>
      </c>
      <c r="DS28" s="409" t="s">
        <v>1709</v>
      </c>
    </row>
    <row r="29" spans="2:123" s="1471" customFormat="1">
      <c r="B29" s="428">
        <v>41667.543187152776</v>
      </c>
      <c r="C29" s="429">
        <v>1.4180614173249078</v>
      </c>
      <c r="D29" s="429">
        <v>1.4164193317069305</v>
      </c>
      <c r="E29" s="429">
        <v>1.5000507821811806</v>
      </c>
      <c r="F29" s="429"/>
      <c r="G29" s="429">
        <v>1.4544054363145498</v>
      </c>
      <c r="H29" s="429"/>
      <c r="I29" s="429">
        <v>1.3980713448758868</v>
      </c>
      <c r="J29" s="429">
        <v>1.6514958956325159</v>
      </c>
      <c r="K29" s="429">
        <v>1.3988563631251159</v>
      </c>
      <c r="L29" s="429">
        <v>1.4762854015745379</v>
      </c>
      <c r="M29" s="429">
        <v>1.3144346955646447</v>
      </c>
      <c r="N29" s="429">
        <v>1.3701961278424337</v>
      </c>
      <c r="O29" s="429">
        <v>1.234991050139048</v>
      </c>
      <c r="P29" s="429">
        <v>1.2033160421066182</v>
      </c>
      <c r="Q29" s="429"/>
      <c r="R29" s="429">
        <v>11.673487001496168</v>
      </c>
      <c r="S29" s="429"/>
      <c r="T29" s="429">
        <v>4643.4177658776116</v>
      </c>
      <c r="U29" s="429">
        <v>4822.9350676757704</v>
      </c>
      <c r="V29" s="429">
        <v>4712.1517916397488</v>
      </c>
      <c r="W29" s="429"/>
      <c r="X29" s="429">
        <v>0</v>
      </c>
      <c r="Y29" s="429">
        <v>0</v>
      </c>
      <c r="Z29" s="429">
        <v>0</v>
      </c>
      <c r="AA29" s="429">
        <v>0</v>
      </c>
      <c r="AB29" s="429">
        <v>0</v>
      </c>
      <c r="AC29" s="429">
        <v>0</v>
      </c>
      <c r="AD29" s="429">
        <v>3.2934689479679067</v>
      </c>
      <c r="AE29" s="429">
        <v>0</v>
      </c>
      <c r="AF29" s="429">
        <v>0</v>
      </c>
      <c r="AG29" s="429">
        <v>0</v>
      </c>
      <c r="AH29" s="429">
        <v>3.1895246198396299</v>
      </c>
      <c r="AI29" s="429">
        <v>6.3774589253330101</v>
      </c>
      <c r="AJ29" s="429">
        <v>6.5033233488726561</v>
      </c>
      <c r="AK29" s="429">
        <v>7.0007984140961357</v>
      </c>
      <c r="AL29" s="429">
        <v>0</v>
      </c>
      <c r="AM29" s="429">
        <v>0</v>
      </c>
      <c r="AN29" s="429">
        <v>0</v>
      </c>
      <c r="AO29" s="432"/>
      <c r="AP29" s="428">
        <v>41667.543187152776</v>
      </c>
      <c r="AQ29" s="431">
        <v>94.244484550959783</v>
      </c>
      <c r="AR29" s="431">
        <v>124.99206695553173</v>
      </c>
      <c r="AS29" s="431">
        <v>238.55825780636138</v>
      </c>
      <c r="AT29" s="431"/>
      <c r="AU29" s="431">
        <v>22.019192241338732</v>
      </c>
      <c r="AV29" s="431"/>
      <c r="AW29" s="431">
        <v>94.798938632174483</v>
      </c>
      <c r="AX29" s="431">
        <v>78.214348636710184</v>
      </c>
      <c r="AY29" s="431">
        <v>117.18257733512266</v>
      </c>
      <c r="AZ29" s="431">
        <v>-86.497361497288793</v>
      </c>
      <c r="BA29" s="431">
        <v>15.866737223369883</v>
      </c>
      <c r="BB29" s="431">
        <v>5.7757008395402076</v>
      </c>
      <c r="BC29" s="431">
        <v>4.9497703029320155</v>
      </c>
      <c r="BD29" s="431">
        <v>19.593995332440805</v>
      </c>
      <c r="BE29" s="431"/>
      <c r="BF29" s="431">
        <v>8064.0560546332463</v>
      </c>
      <c r="BG29" s="431"/>
      <c r="BH29" s="431">
        <v>562958.2584641159</v>
      </c>
      <c r="BI29" s="431">
        <v>544288.92953862203</v>
      </c>
      <c r="BJ29" s="431">
        <v>547564.22424399271</v>
      </c>
      <c r="BK29" s="431">
        <v>0</v>
      </c>
      <c r="BL29" s="431">
        <v>0</v>
      </c>
      <c r="BM29" s="431">
        <v>0</v>
      </c>
      <c r="BN29" s="431">
        <v>0</v>
      </c>
      <c r="BO29" s="431">
        <v>0</v>
      </c>
      <c r="BP29" s="431">
        <v>0</v>
      </c>
      <c r="BQ29" s="431">
        <v>831.13803759415521</v>
      </c>
      <c r="BR29" s="431">
        <v>0</v>
      </c>
      <c r="BS29" s="431">
        <v>0</v>
      </c>
      <c r="BT29" s="431">
        <v>0</v>
      </c>
      <c r="BU29" s="431">
        <v>0</v>
      </c>
      <c r="BV29" s="431">
        <v>771.96910772160402</v>
      </c>
      <c r="BW29" s="431">
        <v>1274.4994598590947</v>
      </c>
      <c r="BX29" s="431">
        <v>1179.9066311503386</v>
      </c>
      <c r="BY29" s="431">
        <v>980.3841998916115</v>
      </c>
      <c r="BZ29" s="431">
        <v>0</v>
      </c>
      <c r="CA29" s="431">
        <v>0</v>
      </c>
      <c r="CB29" s="431">
        <v>0</v>
      </c>
      <c r="CC29" s="432"/>
      <c r="CD29" s="428">
        <v>41667.543187152776</v>
      </c>
      <c r="CE29" s="433">
        <v>0.30759941944884489</v>
      </c>
      <c r="CF29" s="433">
        <v>0.21368653957671954</v>
      </c>
      <c r="CG29" s="433">
        <v>0.16794913607715131</v>
      </c>
      <c r="CH29" s="433"/>
      <c r="CI29" s="433">
        <v>0.15098113338820576</v>
      </c>
      <c r="CJ29" s="433"/>
      <c r="CK29" s="433">
        <v>0.25899628896575483</v>
      </c>
      <c r="CL29" s="433">
        <v>0.27649961398917294</v>
      </c>
      <c r="CM29" s="433">
        <v>0.20129058533430336</v>
      </c>
      <c r="CN29" s="433">
        <v>0.20203138400313342</v>
      </c>
      <c r="CO29" s="433">
        <v>0.14170471559769959</v>
      </c>
      <c r="CP29" s="433">
        <v>0.6472517576995086</v>
      </c>
      <c r="CQ29" s="433">
        <v>0.67663897658204775</v>
      </c>
      <c r="CR29" s="433">
        <v>0.47764154429191014</v>
      </c>
      <c r="CS29" s="433"/>
      <c r="CT29" s="433">
        <v>0.44773699730205757</v>
      </c>
      <c r="CU29" s="433"/>
      <c r="CV29" s="433">
        <v>0.47651872850367988</v>
      </c>
      <c r="CW29" s="433">
        <v>0.47402386605078101</v>
      </c>
      <c r="CX29" s="433">
        <v>0.39912436248524713</v>
      </c>
      <c r="CY29" s="433">
        <v>0</v>
      </c>
      <c r="CZ29" s="433">
        <v>0</v>
      </c>
      <c r="DA29" s="433">
        <v>0</v>
      </c>
      <c r="DB29" s="433">
        <v>0</v>
      </c>
      <c r="DC29" s="433">
        <v>0</v>
      </c>
      <c r="DD29" s="433">
        <v>0</v>
      </c>
      <c r="DE29" s="433">
        <v>0.40827675582953765</v>
      </c>
      <c r="DF29" s="433">
        <v>0</v>
      </c>
      <c r="DG29" s="433">
        <v>0</v>
      </c>
      <c r="DH29" s="433">
        <v>0</v>
      </c>
      <c r="DI29" s="433">
        <v>0</v>
      </c>
      <c r="DJ29" s="433">
        <v>0.3468418965385815</v>
      </c>
      <c r="DK29" s="433">
        <v>0.33404461840598537</v>
      </c>
      <c r="DL29" s="433">
        <v>0.28377973353156666</v>
      </c>
      <c r="DM29" s="433">
        <v>0.40827675582953765</v>
      </c>
      <c r="DN29" s="433">
        <v>0</v>
      </c>
      <c r="DO29" s="433">
        <v>0</v>
      </c>
      <c r="DP29" s="433">
        <v>0</v>
      </c>
      <c r="DR29" s="409" t="s">
        <v>1776</v>
      </c>
      <c r="DS29" s="409" t="s">
        <v>1777</v>
      </c>
    </row>
    <row r="30" spans="2:123" s="1471" customFormat="1">
      <c r="B30" s="428">
        <v>41669.686966435183</v>
      </c>
      <c r="C30" s="429">
        <v>1.4180614173249078</v>
      </c>
      <c r="D30" s="429">
        <v>1.4164193317069305</v>
      </c>
      <c r="E30" s="429">
        <v>1.5000507821811806</v>
      </c>
      <c r="F30" s="429"/>
      <c r="G30" s="429">
        <v>1.4544054363145498</v>
      </c>
      <c r="H30" s="429"/>
      <c r="I30" s="429">
        <v>1.3980713448758868</v>
      </c>
      <c r="J30" s="429">
        <v>1.6514958956325159</v>
      </c>
      <c r="K30" s="429">
        <v>1.3988563631251159</v>
      </c>
      <c r="L30" s="429">
        <v>1.4762854015745379</v>
      </c>
      <c r="M30" s="429">
        <v>1.3144346955646447</v>
      </c>
      <c r="N30" s="429">
        <v>1.3701961278424337</v>
      </c>
      <c r="O30" s="429">
        <v>1.234991050139048</v>
      </c>
      <c r="P30" s="429">
        <v>1.2033160421066182</v>
      </c>
      <c r="Q30" s="429"/>
      <c r="R30" s="429">
        <v>11.673487001496168</v>
      </c>
      <c r="S30" s="429"/>
      <c r="T30" s="429">
        <v>3165.5943485029593</v>
      </c>
      <c r="U30" s="429">
        <v>3291.8697621157121</v>
      </c>
      <c r="V30" s="429">
        <v>3216.5158880367981</v>
      </c>
      <c r="W30" s="429"/>
      <c r="X30" s="429">
        <v>0</v>
      </c>
      <c r="Y30" s="429">
        <v>0</v>
      </c>
      <c r="Z30" s="429">
        <v>0</v>
      </c>
      <c r="AA30" s="429">
        <v>0</v>
      </c>
      <c r="AB30" s="429">
        <v>0</v>
      </c>
      <c r="AC30" s="429">
        <v>0</v>
      </c>
      <c r="AD30" s="429">
        <v>3.2934689479679067</v>
      </c>
      <c r="AE30" s="429">
        <v>0</v>
      </c>
      <c r="AF30" s="429">
        <v>0</v>
      </c>
      <c r="AG30" s="429">
        <v>0</v>
      </c>
      <c r="AH30" s="429">
        <v>3.1895246198396299</v>
      </c>
      <c r="AI30" s="429">
        <v>6.3774589253330101</v>
      </c>
      <c r="AJ30" s="429">
        <v>6.5033233488726561</v>
      </c>
      <c r="AK30" s="429">
        <v>7.0007984140961357</v>
      </c>
      <c r="AL30" s="429">
        <v>0</v>
      </c>
      <c r="AM30" s="429">
        <v>0</v>
      </c>
      <c r="AN30" s="429">
        <v>0</v>
      </c>
      <c r="AO30" s="432"/>
      <c r="AP30" s="428">
        <v>41669.686966435183</v>
      </c>
      <c r="AQ30" s="431">
        <v>94.244484550959783</v>
      </c>
      <c r="AR30" s="431">
        <v>124.99206695553173</v>
      </c>
      <c r="AS30" s="431">
        <v>238.55825780636138</v>
      </c>
      <c r="AT30" s="431"/>
      <c r="AU30" s="431">
        <v>22.019192241338732</v>
      </c>
      <c r="AV30" s="431"/>
      <c r="AW30" s="431">
        <v>94.798938632174483</v>
      </c>
      <c r="AX30" s="431">
        <v>78.214348636710184</v>
      </c>
      <c r="AY30" s="431">
        <v>117.18257733512266</v>
      </c>
      <c r="AZ30" s="431">
        <v>-86.497361497288793</v>
      </c>
      <c r="BA30" s="431">
        <v>15.866737223369883</v>
      </c>
      <c r="BB30" s="431">
        <v>5.7757008395402076</v>
      </c>
      <c r="BC30" s="431">
        <v>4.9497703029320155</v>
      </c>
      <c r="BD30" s="431">
        <v>19.593995332440805</v>
      </c>
      <c r="BE30" s="431"/>
      <c r="BF30" s="431">
        <v>8064.0560546332463</v>
      </c>
      <c r="BG30" s="431"/>
      <c r="BH30" s="431">
        <v>382919.58170831372</v>
      </c>
      <c r="BI30" s="431">
        <v>370220.85757478961</v>
      </c>
      <c r="BJ30" s="431">
        <v>372448.68612103676</v>
      </c>
      <c r="BK30" s="431">
        <v>0</v>
      </c>
      <c r="BL30" s="431">
        <v>0</v>
      </c>
      <c r="BM30" s="431">
        <v>0</v>
      </c>
      <c r="BN30" s="431">
        <v>0</v>
      </c>
      <c r="BO30" s="431">
        <v>0</v>
      </c>
      <c r="BP30" s="431">
        <v>0</v>
      </c>
      <c r="BQ30" s="431">
        <v>831.13803759415521</v>
      </c>
      <c r="BR30" s="431">
        <v>0</v>
      </c>
      <c r="BS30" s="431">
        <v>0</v>
      </c>
      <c r="BT30" s="431">
        <v>0</v>
      </c>
      <c r="BU30" s="431">
        <v>0</v>
      </c>
      <c r="BV30" s="431">
        <v>771.96910772160402</v>
      </c>
      <c r="BW30" s="431">
        <v>1274.4994598590947</v>
      </c>
      <c r="BX30" s="431">
        <v>1179.9066311503386</v>
      </c>
      <c r="BY30" s="431">
        <v>980.3841998916115</v>
      </c>
      <c r="BZ30" s="431">
        <v>0</v>
      </c>
      <c r="CA30" s="431">
        <v>0</v>
      </c>
      <c r="CB30" s="431">
        <v>0</v>
      </c>
      <c r="CC30" s="432"/>
      <c r="CD30" s="428">
        <v>41669.686966435183</v>
      </c>
      <c r="CE30" s="433">
        <v>0.30759941944884489</v>
      </c>
      <c r="CF30" s="433">
        <v>0.21368653957671954</v>
      </c>
      <c r="CG30" s="433">
        <v>0.16794913607715131</v>
      </c>
      <c r="CH30" s="433"/>
      <c r="CI30" s="433">
        <v>0.15098113338820576</v>
      </c>
      <c r="CJ30" s="433"/>
      <c r="CK30" s="433">
        <v>0.25899628896575483</v>
      </c>
      <c r="CL30" s="433">
        <v>0.27649961398917294</v>
      </c>
      <c r="CM30" s="433">
        <v>0.20129058533430336</v>
      </c>
      <c r="CN30" s="433">
        <v>0.20203138400313342</v>
      </c>
      <c r="CO30" s="433">
        <v>0.14170471559769959</v>
      </c>
      <c r="CP30" s="433">
        <v>0.6472517576995086</v>
      </c>
      <c r="CQ30" s="433">
        <v>0.67663897658204775</v>
      </c>
      <c r="CR30" s="433">
        <v>0.47764154429191014</v>
      </c>
      <c r="CS30" s="433"/>
      <c r="CT30" s="433">
        <v>0.44773699730205757</v>
      </c>
      <c r="CU30" s="433"/>
      <c r="CV30" s="433">
        <v>0.47651872850367988</v>
      </c>
      <c r="CW30" s="433">
        <v>0.47402386605078101</v>
      </c>
      <c r="CX30" s="433">
        <v>0.39912436248524713</v>
      </c>
      <c r="CY30" s="433">
        <v>0</v>
      </c>
      <c r="CZ30" s="433">
        <v>0</v>
      </c>
      <c r="DA30" s="433">
        <v>0</v>
      </c>
      <c r="DB30" s="433">
        <v>0</v>
      </c>
      <c r="DC30" s="433">
        <v>0</v>
      </c>
      <c r="DD30" s="433">
        <v>0</v>
      </c>
      <c r="DE30" s="433">
        <v>0.40827675582953765</v>
      </c>
      <c r="DF30" s="433">
        <v>0</v>
      </c>
      <c r="DG30" s="433">
        <v>0</v>
      </c>
      <c r="DH30" s="433">
        <v>0</v>
      </c>
      <c r="DI30" s="433">
        <v>0</v>
      </c>
      <c r="DJ30" s="433">
        <v>0.3468418965385815</v>
      </c>
      <c r="DK30" s="433">
        <v>0.33404461840598537</v>
      </c>
      <c r="DL30" s="433">
        <v>0.28377973353156666</v>
      </c>
      <c r="DM30" s="433">
        <v>0.40827675582953765</v>
      </c>
      <c r="DN30" s="433">
        <v>0</v>
      </c>
      <c r="DO30" s="433">
        <v>0</v>
      </c>
      <c r="DP30" s="433">
        <v>0</v>
      </c>
      <c r="DR30" s="409" t="s">
        <v>855</v>
      </c>
      <c r="DS30" s="409" t="s">
        <v>2314</v>
      </c>
    </row>
    <row r="31" spans="2:123" s="1471" customFormat="1">
      <c r="B31" s="428">
        <v>41674.466356944446</v>
      </c>
      <c r="C31" s="429">
        <v>1.4180614173249078</v>
      </c>
      <c r="D31" s="429">
        <v>1.4164193317069305</v>
      </c>
      <c r="E31" s="429">
        <v>1.5000507821811806</v>
      </c>
      <c r="F31" s="429"/>
      <c r="G31" s="429">
        <v>1.4544054363145498</v>
      </c>
      <c r="H31" s="429"/>
      <c r="I31" s="429">
        <v>1.3980713448758868</v>
      </c>
      <c r="J31" s="429">
        <v>1.6514958956325159</v>
      </c>
      <c r="K31" s="429">
        <v>1.3988563631251159</v>
      </c>
      <c r="L31" s="429">
        <v>1.4762854015745379</v>
      </c>
      <c r="M31" s="429">
        <v>1.3144346955646447</v>
      </c>
      <c r="N31" s="429">
        <v>1.3713998637156459</v>
      </c>
      <c r="O31" s="429">
        <v>1.2359624722371743</v>
      </c>
      <c r="P31" s="429">
        <v>1.2043222482708076</v>
      </c>
      <c r="Q31" s="429"/>
      <c r="R31" s="429">
        <v>11.673487001496168</v>
      </c>
      <c r="S31" s="429"/>
      <c r="T31" s="429">
        <v>3165.5943485029593</v>
      </c>
      <c r="U31" s="429">
        <v>3291.8697621157121</v>
      </c>
      <c r="V31" s="429">
        <v>3216.5158880367981</v>
      </c>
      <c r="W31" s="429"/>
      <c r="X31" s="429">
        <v>227.39997901793427</v>
      </c>
      <c r="Y31" s="429">
        <v>222.32993449256088</v>
      </c>
      <c r="Z31" s="429">
        <v>88.31783855372538</v>
      </c>
      <c r="AA31" s="429">
        <v>306.74850291162033</v>
      </c>
      <c r="AB31" s="429">
        <v>301.82844851932094</v>
      </c>
      <c r="AC31" s="429">
        <v>259.65000022069</v>
      </c>
      <c r="AD31" s="429">
        <v>3.2934689479679067</v>
      </c>
      <c r="AE31" s="429">
        <v>0</v>
      </c>
      <c r="AF31" s="429">
        <v>0</v>
      </c>
      <c r="AG31" s="429">
        <v>0</v>
      </c>
      <c r="AH31" s="429">
        <v>3.1895246198396299</v>
      </c>
      <c r="AI31" s="429">
        <v>6.3774589253330101</v>
      </c>
      <c r="AJ31" s="429">
        <v>6.5033233488726561</v>
      </c>
      <c r="AK31" s="429">
        <v>7.0007984140961357</v>
      </c>
      <c r="AL31" s="429">
        <v>0</v>
      </c>
      <c r="AM31" s="429">
        <v>0</v>
      </c>
      <c r="AN31" s="429">
        <v>0</v>
      </c>
      <c r="AO31" s="432"/>
      <c r="AP31" s="428">
        <v>41674.466356944446</v>
      </c>
      <c r="AQ31" s="431">
        <v>94.244484550959783</v>
      </c>
      <c r="AR31" s="431">
        <v>124.99206695553173</v>
      </c>
      <c r="AS31" s="431">
        <v>238.55825780636138</v>
      </c>
      <c r="AT31" s="431"/>
      <c r="AU31" s="431">
        <v>22.019192241338732</v>
      </c>
      <c r="AV31" s="431"/>
      <c r="AW31" s="431">
        <v>94.798938632174483</v>
      </c>
      <c r="AX31" s="431">
        <v>78.214348636710184</v>
      </c>
      <c r="AY31" s="431">
        <v>117.18257733512266</v>
      </c>
      <c r="AZ31" s="431">
        <v>-86.497361497288793</v>
      </c>
      <c r="BA31" s="431">
        <v>15.866737223369883</v>
      </c>
      <c r="BB31" s="431">
        <v>5.7769718002969688</v>
      </c>
      <c r="BC31" s="431">
        <v>4.9497703029320155</v>
      </c>
      <c r="BD31" s="431">
        <v>19.593995332440805</v>
      </c>
      <c r="BE31" s="431"/>
      <c r="BF31" s="431">
        <v>8064.0560546332463</v>
      </c>
      <c r="BG31" s="431"/>
      <c r="BH31" s="431">
        <v>382919.58170831372</v>
      </c>
      <c r="BI31" s="431">
        <v>370220.85757478961</v>
      </c>
      <c r="BJ31" s="431">
        <v>372448.68612103676</v>
      </c>
      <c r="BK31" s="431">
        <v>532369.98915043601</v>
      </c>
      <c r="BL31" s="431">
        <v>535573.56084211206</v>
      </c>
      <c r="BM31" s="431">
        <v>27159.037215323762</v>
      </c>
      <c r="BN31" s="431">
        <v>527176.13559774891</v>
      </c>
      <c r="BO31" s="431">
        <v>530348.45293145732</v>
      </c>
      <c r="BP31" s="431">
        <v>355262.20478076226</v>
      </c>
      <c r="BQ31" s="431">
        <v>831.13803759415521</v>
      </c>
      <c r="BR31" s="431">
        <v>0</v>
      </c>
      <c r="BS31" s="431">
        <v>0</v>
      </c>
      <c r="BT31" s="431">
        <v>0</v>
      </c>
      <c r="BU31" s="431">
        <v>0</v>
      </c>
      <c r="BV31" s="431">
        <v>771.96910772160402</v>
      </c>
      <c r="BW31" s="431">
        <v>1274.4994598590947</v>
      </c>
      <c r="BX31" s="431">
        <v>1179.9066311503386</v>
      </c>
      <c r="BY31" s="431">
        <v>980.3841998916115</v>
      </c>
      <c r="BZ31" s="431">
        <v>0</v>
      </c>
      <c r="CA31" s="431">
        <v>0</v>
      </c>
      <c r="CB31" s="431">
        <v>0</v>
      </c>
      <c r="CC31" s="432"/>
      <c r="CD31" s="428">
        <v>41674.466356944446</v>
      </c>
      <c r="CE31" s="433">
        <v>0.30759941944884489</v>
      </c>
      <c r="CF31" s="433">
        <v>0.21368653957671954</v>
      </c>
      <c r="CG31" s="433">
        <v>0.16794913607715131</v>
      </c>
      <c r="CH31" s="433"/>
      <c r="CI31" s="433">
        <v>0.15098113338820576</v>
      </c>
      <c r="CJ31" s="433"/>
      <c r="CK31" s="433">
        <v>0.25899628896575483</v>
      </c>
      <c r="CL31" s="433">
        <v>0.27649961398917294</v>
      </c>
      <c r="CM31" s="433">
        <v>0.20129058533430336</v>
      </c>
      <c r="CN31" s="433">
        <v>0.20203138400313342</v>
      </c>
      <c r="CO31" s="433">
        <v>0.14170471559769959</v>
      </c>
      <c r="CP31" s="433">
        <v>0.6472517576995086</v>
      </c>
      <c r="CQ31" s="433">
        <v>0.67663897658204775</v>
      </c>
      <c r="CR31" s="433">
        <v>0.47764154429191014</v>
      </c>
      <c r="CS31" s="433"/>
      <c r="CT31" s="433">
        <v>0.44773699730205757</v>
      </c>
      <c r="CU31" s="433"/>
      <c r="CV31" s="433">
        <v>0.47651872850367988</v>
      </c>
      <c r="CW31" s="433">
        <v>0.47402386605078101</v>
      </c>
      <c r="CX31" s="433">
        <v>0.39912436248524713</v>
      </c>
      <c r="CY31" s="433">
        <v>0.29692854969420923</v>
      </c>
      <c r="CZ31" s="433">
        <v>0.25001150066075878</v>
      </c>
      <c r="DA31" s="433">
        <v>0.76359964131937108</v>
      </c>
      <c r="DB31" s="433">
        <v>0.29692854969420923</v>
      </c>
      <c r="DC31" s="433">
        <v>0.25001150066075878</v>
      </c>
      <c r="DD31" s="433">
        <v>0.3433734775731957</v>
      </c>
      <c r="DE31" s="433">
        <v>0.40827675582953765</v>
      </c>
      <c r="DF31" s="433">
        <v>0</v>
      </c>
      <c r="DG31" s="433">
        <v>0</v>
      </c>
      <c r="DH31" s="433">
        <v>0</v>
      </c>
      <c r="DI31" s="433">
        <v>0</v>
      </c>
      <c r="DJ31" s="433">
        <v>0.3468418965385815</v>
      </c>
      <c r="DK31" s="433">
        <v>0.33404461840598537</v>
      </c>
      <c r="DL31" s="433">
        <v>0.28377973353156666</v>
      </c>
      <c r="DM31" s="433">
        <v>0.40827675582953765</v>
      </c>
      <c r="DN31" s="433">
        <v>0</v>
      </c>
      <c r="DO31" s="433">
        <v>0</v>
      </c>
      <c r="DP31" s="433">
        <v>0</v>
      </c>
      <c r="DR31" s="409" t="s">
        <v>855</v>
      </c>
      <c r="DS31" s="409" t="s">
        <v>1999</v>
      </c>
    </row>
    <row r="32" spans="2:123" s="1471" customFormat="1">
      <c r="B32" s="428">
        <v>41711.450383217591</v>
      </c>
      <c r="C32" s="429">
        <v>1.4180614173249078</v>
      </c>
      <c r="D32" s="429">
        <v>1.4164193317069305</v>
      </c>
      <c r="E32" s="429">
        <v>1.5000507821811806</v>
      </c>
      <c r="F32" s="429"/>
      <c r="G32" s="429">
        <v>1.4544054363145498</v>
      </c>
      <c r="H32" s="429"/>
      <c r="I32" s="429">
        <v>1.3980713448758868</v>
      </c>
      <c r="J32" s="429">
        <v>1.6514958956325159</v>
      </c>
      <c r="K32" s="429">
        <v>1.3988563631251159</v>
      </c>
      <c r="L32" s="429">
        <v>1.4762854015745379</v>
      </c>
      <c r="M32" s="429">
        <v>1.3144346955646447</v>
      </c>
      <c r="N32" s="429">
        <v>1.3713998637156459</v>
      </c>
      <c r="O32" s="429">
        <v>1.2359624722371743</v>
      </c>
      <c r="P32" s="429">
        <v>1.2043222482708076</v>
      </c>
      <c r="Q32" s="429"/>
      <c r="R32" s="429">
        <v>11.673487001496168</v>
      </c>
      <c r="S32" s="429"/>
      <c r="T32" s="429">
        <v>3165.5943485029593</v>
      </c>
      <c r="U32" s="429">
        <v>3291.8697621157121</v>
      </c>
      <c r="V32" s="429">
        <v>3216.5158880367981</v>
      </c>
      <c r="W32" s="429"/>
      <c r="X32" s="429">
        <v>227.39997901793427</v>
      </c>
      <c r="Y32" s="429">
        <v>222.32993449256088</v>
      </c>
      <c r="Z32" s="429">
        <v>88.663750263641177</v>
      </c>
      <c r="AA32" s="429">
        <v>306.74850291162033</v>
      </c>
      <c r="AB32" s="429">
        <v>301.82844851932094</v>
      </c>
      <c r="AC32" s="429">
        <v>259.65000022069</v>
      </c>
      <c r="AD32" s="429">
        <v>3.2934689479679067</v>
      </c>
      <c r="AE32" s="429">
        <v>0</v>
      </c>
      <c r="AF32" s="429">
        <v>0</v>
      </c>
      <c r="AG32" s="429">
        <v>0</v>
      </c>
      <c r="AH32" s="429">
        <v>3.1895246198396299</v>
      </c>
      <c r="AI32" s="429">
        <v>6.3774589253330101</v>
      </c>
      <c r="AJ32" s="429">
        <v>6.5033233488726561</v>
      </c>
      <c r="AK32" s="429">
        <v>7.0007984140961357</v>
      </c>
      <c r="AL32" s="429">
        <v>0</v>
      </c>
      <c r="AM32" s="429">
        <v>0</v>
      </c>
      <c r="AN32" s="429">
        <v>0</v>
      </c>
      <c r="AO32" s="432"/>
      <c r="AP32" s="428">
        <v>41711.450383217591</v>
      </c>
      <c r="AQ32" s="431">
        <v>94.244484550959783</v>
      </c>
      <c r="AR32" s="431">
        <v>124.99206695553173</v>
      </c>
      <c r="AS32" s="431">
        <v>238.55825780636138</v>
      </c>
      <c r="AT32" s="431"/>
      <c r="AU32" s="431">
        <v>22.019192241338732</v>
      </c>
      <c r="AV32" s="431"/>
      <c r="AW32" s="431">
        <v>94.798938632174483</v>
      </c>
      <c r="AX32" s="431">
        <v>78.214348636710184</v>
      </c>
      <c r="AY32" s="431">
        <v>117.18257733512266</v>
      </c>
      <c r="AZ32" s="431">
        <v>-86.497361497288793</v>
      </c>
      <c r="BA32" s="431">
        <v>15.866737223369883</v>
      </c>
      <c r="BB32" s="431">
        <v>5.7769718002969688</v>
      </c>
      <c r="BC32" s="431">
        <v>4.9497703029320155</v>
      </c>
      <c r="BD32" s="431">
        <v>19.593995332440805</v>
      </c>
      <c r="BE32" s="431"/>
      <c r="BF32" s="431">
        <v>8064.0560546332463</v>
      </c>
      <c r="BG32" s="431"/>
      <c r="BH32" s="431">
        <v>382919.58170831372</v>
      </c>
      <c r="BI32" s="431">
        <v>370220.85757478961</v>
      </c>
      <c r="BJ32" s="431">
        <v>372448.68612103676</v>
      </c>
      <c r="BK32" s="431">
        <v>532369.98915043601</v>
      </c>
      <c r="BL32" s="431">
        <v>535573.56084211206</v>
      </c>
      <c r="BM32" s="431">
        <v>27159.037215323762</v>
      </c>
      <c r="BN32" s="431">
        <v>527176.13559774891</v>
      </c>
      <c r="BO32" s="431">
        <v>530348.45293145732</v>
      </c>
      <c r="BP32" s="431">
        <v>355262.20478076226</v>
      </c>
      <c r="BQ32" s="431">
        <v>831.13803759415521</v>
      </c>
      <c r="BR32" s="431">
        <v>0</v>
      </c>
      <c r="BS32" s="431">
        <v>0</v>
      </c>
      <c r="BT32" s="431">
        <v>0</v>
      </c>
      <c r="BU32" s="431">
        <v>0</v>
      </c>
      <c r="BV32" s="431">
        <v>771.96910772160402</v>
      </c>
      <c r="BW32" s="431">
        <v>1274.4994598590947</v>
      </c>
      <c r="BX32" s="431">
        <v>1179.9066311503386</v>
      </c>
      <c r="BY32" s="431">
        <v>980.3841998916115</v>
      </c>
      <c r="BZ32" s="431">
        <v>0</v>
      </c>
      <c r="CA32" s="431">
        <v>0</v>
      </c>
      <c r="CB32" s="431">
        <v>0</v>
      </c>
      <c r="CC32" s="432"/>
      <c r="CD32" s="428">
        <v>41711.450383217591</v>
      </c>
      <c r="CE32" s="433">
        <v>0.30759941944884489</v>
      </c>
      <c r="CF32" s="433">
        <v>0.21368653957671954</v>
      </c>
      <c r="CG32" s="433">
        <v>0.16794913607715131</v>
      </c>
      <c r="CH32" s="433"/>
      <c r="CI32" s="433">
        <v>0.15098113338820576</v>
      </c>
      <c r="CJ32" s="433"/>
      <c r="CK32" s="433">
        <v>0.25899628896575483</v>
      </c>
      <c r="CL32" s="433">
        <v>0.27649961398917294</v>
      </c>
      <c r="CM32" s="433">
        <v>0.20129058533430336</v>
      </c>
      <c r="CN32" s="433">
        <v>0.20203138400313342</v>
      </c>
      <c r="CO32" s="433">
        <v>0.14170471559769959</v>
      </c>
      <c r="CP32" s="433">
        <v>0.6472517576995086</v>
      </c>
      <c r="CQ32" s="433">
        <v>0.67663897658204775</v>
      </c>
      <c r="CR32" s="433">
        <v>0.47764154429191014</v>
      </c>
      <c r="CS32" s="433"/>
      <c r="CT32" s="433">
        <v>0.44773699730205757</v>
      </c>
      <c r="CU32" s="433"/>
      <c r="CV32" s="433">
        <v>0.47651872850367988</v>
      </c>
      <c r="CW32" s="433">
        <v>0.47402386605078101</v>
      </c>
      <c r="CX32" s="433">
        <v>0.39912436248524713</v>
      </c>
      <c r="CY32" s="433">
        <v>0.29692854969420923</v>
      </c>
      <c r="CZ32" s="433">
        <v>0.25001150066075878</v>
      </c>
      <c r="DA32" s="433">
        <v>0.76359964131937108</v>
      </c>
      <c r="DB32" s="433">
        <v>0.29692854969420923</v>
      </c>
      <c r="DC32" s="433">
        <v>0.25001150066075878</v>
      </c>
      <c r="DD32" s="433">
        <v>0.3433734775731957</v>
      </c>
      <c r="DE32" s="433">
        <v>0.40827675582953765</v>
      </c>
      <c r="DF32" s="433">
        <v>0</v>
      </c>
      <c r="DG32" s="433">
        <v>0</v>
      </c>
      <c r="DH32" s="433">
        <v>0</v>
      </c>
      <c r="DI32" s="433">
        <v>0</v>
      </c>
      <c r="DJ32" s="433">
        <v>0.3468418965385815</v>
      </c>
      <c r="DK32" s="433">
        <v>0.33404461840598537</v>
      </c>
      <c r="DL32" s="433">
        <v>0.28377973353156666</v>
      </c>
      <c r="DM32" s="433">
        <v>0.40827675582953765</v>
      </c>
      <c r="DN32" s="433">
        <v>0</v>
      </c>
      <c r="DO32" s="433">
        <v>0</v>
      </c>
      <c r="DP32" s="433">
        <v>0</v>
      </c>
      <c r="DR32" s="409" t="s">
        <v>1776</v>
      </c>
      <c r="DS32" s="409" t="s">
        <v>2002</v>
      </c>
    </row>
    <row r="33" spans="2:123" s="1471" customFormat="1">
      <c r="B33" s="428">
        <v>41726.452563888888</v>
      </c>
      <c r="C33" s="429">
        <v>1.4180614173249078</v>
      </c>
      <c r="D33" s="429">
        <v>1.4164193317069305</v>
      </c>
      <c r="E33" s="429">
        <v>1.5004526029914496</v>
      </c>
      <c r="F33" s="429"/>
      <c r="G33" s="429">
        <v>1.4544054363145498</v>
      </c>
      <c r="H33" s="429"/>
      <c r="I33" s="429">
        <v>1.3980713448758868</v>
      </c>
      <c r="J33" s="429">
        <v>1.6514958956325159</v>
      </c>
      <c r="K33" s="429">
        <v>1.3988563631251159</v>
      </c>
      <c r="L33" s="429">
        <v>1.4762854015745379</v>
      </c>
      <c r="M33" s="429">
        <v>1.3145567686894168</v>
      </c>
      <c r="N33" s="429">
        <v>1.3713998637156459</v>
      </c>
      <c r="O33" s="429">
        <v>1.2359624722371743</v>
      </c>
      <c r="P33" s="429">
        <v>1.2043222482708076</v>
      </c>
      <c r="Q33" s="429"/>
      <c r="R33" s="429">
        <v>11.673487001496168</v>
      </c>
      <c r="S33" s="429"/>
      <c r="T33" s="429">
        <v>3165.5943485029593</v>
      </c>
      <c r="U33" s="429">
        <v>3291.8697621157121</v>
      </c>
      <c r="V33" s="429">
        <v>3216.5158880367981</v>
      </c>
      <c r="W33" s="429"/>
      <c r="X33" s="429">
        <v>227.39997901793427</v>
      </c>
      <c r="Y33" s="429">
        <v>222.32993449256088</v>
      </c>
      <c r="Z33" s="429">
        <v>88.663750263641177</v>
      </c>
      <c r="AA33" s="429">
        <v>306.74850291162033</v>
      </c>
      <c r="AB33" s="429">
        <v>301.82844851932094</v>
      </c>
      <c r="AC33" s="429">
        <v>259.65000022069</v>
      </c>
      <c r="AD33" s="429">
        <v>3.2934689479679067</v>
      </c>
      <c r="AE33" s="429">
        <v>0</v>
      </c>
      <c r="AF33" s="429">
        <v>0</v>
      </c>
      <c r="AG33" s="429">
        <v>0</v>
      </c>
      <c r="AH33" s="429">
        <v>3.1895246198396299</v>
      </c>
      <c r="AI33" s="429">
        <v>6.3774589253330101</v>
      </c>
      <c r="AJ33" s="429">
        <v>6.5033233488726561</v>
      </c>
      <c r="AK33" s="429">
        <v>7.0007984140961357</v>
      </c>
      <c r="AL33" s="429">
        <v>0</v>
      </c>
      <c r="AM33" s="429">
        <v>0</v>
      </c>
      <c r="AN33" s="429">
        <v>0</v>
      </c>
      <c r="AO33" s="432"/>
      <c r="AP33" s="428">
        <v>41726.452563888888</v>
      </c>
      <c r="AQ33" s="431">
        <v>94.244484550959783</v>
      </c>
      <c r="AR33" s="431">
        <v>124.99206695553173</v>
      </c>
      <c r="AS33" s="431">
        <v>239.15622581215825</v>
      </c>
      <c r="AT33" s="431"/>
      <c r="AU33" s="431">
        <v>22.019192241338732</v>
      </c>
      <c r="AV33" s="431"/>
      <c r="AW33" s="431">
        <v>94.798938632174483</v>
      </c>
      <c r="AX33" s="431">
        <v>78.214348636710184</v>
      </c>
      <c r="AY33" s="431">
        <v>117.18257733512266</v>
      </c>
      <c r="AZ33" s="431">
        <v>-86.497361497288793</v>
      </c>
      <c r="BA33" s="431">
        <v>16.048399847893172</v>
      </c>
      <c r="BB33" s="431">
        <v>5.7769718002969688</v>
      </c>
      <c r="BC33" s="431">
        <v>4.9497703029320155</v>
      </c>
      <c r="BD33" s="431">
        <v>19.593995332440805</v>
      </c>
      <c r="BE33" s="431"/>
      <c r="BF33" s="431">
        <v>8064.0560546332463</v>
      </c>
      <c r="BG33" s="431"/>
      <c r="BH33" s="431">
        <v>382919.58170831372</v>
      </c>
      <c r="BI33" s="431">
        <v>370220.85757478961</v>
      </c>
      <c r="BJ33" s="431">
        <v>372448.68612103676</v>
      </c>
      <c r="BK33" s="431">
        <v>532369.98915043601</v>
      </c>
      <c r="BL33" s="431">
        <v>535573.56084211206</v>
      </c>
      <c r="BM33" s="431">
        <v>27159.037215323762</v>
      </c>
      <c r="BN33" s="431">
        <v>527176.13559774891</v>
      </c>
      <c r="BO33" s="431">
        <v>530348.45293145732</v>
      </c>
      <c r="BP33" s="431">
        <v>355262.20478076226</v>
      </c>
      <c r="BQ33" s="431">
        <v>831.13803759415521</v>
      </c>
      <c r="BR33" s="431">
        <v>0</v>
      </c>
      <c r="BS33" s="431">
        <v>0</v>
      </c>
      <c r="BT33" s="431">
        <v>0</v>
      </c>
      <c r="BU33" s="431">
        <v>0</v>
      </c>
      <c r="BV33" s="431">
        <v>771.96910772160402</v>
      </c>
      <c r="BW33" s="431">
        <v>1274.4994598590947</v>
      </c>
      <c r="BX33" s="431">
        <v>1179.9066311503386</v>
      </c>
      <c r="BY33" s="431">
        <v>980.3841998916115</v>
      </c>
      <c r="BZ33" s="431">
        <v>0</v>
      </c>
      <c r="CA33" s="431">
        <v>0</v>
      </c>
      <c r="CB33" s="431">
        <v>0</v>
      </c>
      <c r="CC33" s="432"/>
      <c r="CD33" s="428">
        <v>41726.452563888888</v>
      </c>
      <c r="CE33" s="433">
        <v>0.30759941944884489</v>
      </c>
      <c r="CF33" s="433">
        <v>0.21368653957671954</v>
      </c>
      <c r="CG33" s="433">
        <v>0.16794913607715131</v>
      </c>
      <c r="CH33" s="433"/>
      <c r="CI33" s="433">
        <v>0.15098113338820576</v>
      </c>
      <c r="CJ33" s="433"/>
      <c r="CK33" s="433">
        <v>0.25899628896575483</v>
      </c>
      <c r="CL33" s="433">
        <v>0.27649961398917294</v>
      </c>
      <c r="CM33" s="433">
        <v>0.20129058533430336</v>
      </c>
      <c r="CN33" s="433">
        <v>0.20203138400313342</v>
      </c>
      <c r="CO33" s="433">
        <v>0.14170471559769959</v>
      </c>
      <c r="CP33" s="433">
        <v>0.6472517576995086</v>
      </c>
      <c r="CQ33" s="433">
        <v>0.67663897658204775</v>
      </c>
      <c r="CR33" s="433">
        <v>0.47764154429191014</v>
      </c>
      <c r="CS33" s="433"/>
      <c r="CT33" s="433">
        <v>0.44773699730205757</v>
      </c>
      <c r="CU33" s="433"/>
      <c r="CV33" s="433">
        <v>0.47651872850367988</v>
      </c>
      <c r="CW33" s="433">
        <v>0.47402386605078101</v>
      </c>
      <c r="CX33" s="433">
        <v>0.39912436248524713</v>
      </c>
      <c r="CY33" s="433">
        <v>0.29692854969420923</v>
      </c>
      <c r="CZ33" s="433">
        <v>0.25001150066075878</v>
      </c>
      <c r="DA33" s="433">
        <v>0.76359964131937108</v>
      </c>
      <c r="DB33" s="433">
        <v>0.29692854969420923</v>
      </c>
      <c r="DC33" s="433">
        <v>0.25001150066075878</v>
      </c>
      <c r="DD33" s="433">
        <v>0.3433734775731957</v>
      </c>
      <c r="DE33" s="433">
        <v>0.40827675582953765</v>
      </c>
      <c r="DF33" s="433">
        <v>0</v>
      </c>
      <c r="DG33" s="433">
        <v>0</v>
      </c>
      <c r="DH33" s="433">
        <v>0</v>
      </c>
      <c r="DI33" s="433">
        <v>0</v>
      </c>
      <c r="DJ33" s="433">
        <v>0.3468418965385815</v>
      </c>
      <c r="DK33" s="433">
        <v>0.33404461840598537</v>
      </c>
      <c r="DL33" s="433">
        <v>0.28377973353156666</v>
      </c>
      <c r="DM33" s="433">
        <v>0.40827675582953765</v>
      </c>
      <c r="DN33" s="433">
        <v>0</v>
      </c>
      <c r="DO33" s="433">
        <v>0</v>
      </c>
      <c r="DP33" s="433">
        <v>0</v>
      </c>
      <c r="DR33" s="409" t="s">
        <v>2011</v>
      </c>
      <c r="DS33" s="409" t="s">
        <v>2012</v>
      </c>
    </row>
    <row r="34" spans="2:123" s="1471" customFormat="1">
      <c r="B34" s="428">
        <v>41726.561363773151</v>
      </c>
      <c r="C34" s="429">
        <v>1.4180614173249078</v>
      </c>
      <c r="D34" s="429">
        <v>1.4164193317069305</v>
      </c>
      <c r="E34" s="429">
        <v>1.5004526029914496</v>
      </c>
      <c r="F34" s="429"/>
      <c r="G34" s="429">
        <v>1.4544054363145498</v>
      </c>
      <c r="H34" s="429"/>
      <c r="I34" s="429">
        <v>1.3980713448758868</v>
      </c>
      <c r="J34" s="429">
        <v>1.6514958956325159</v>
      </c>
      <c r="K34" s="429">
        <v>1.3988563631251159</v>
      </c>
      <c r="L34" s="429">
        <v>1.4762854015745379</v>
      </c>
      <c r="M34" s="429">
        <v>1.3145567686894168</v>
      </c>
      <c r="N34" s="429">
        <v>1.3713998637156459</v>
      </c>
      <c r="O34" s="429">
        <v>1.2359624722371743</v>
      </c>
      <c r="P34" s="429">
        <v>1.2043222482708076</v>
      </c>
      <c r="Q34" s="429"/>
      <c r="R34" s="429">
        <v>11.673487001496168</v>
      </c>
      <c r="S34" s="429"/>
      <c r="T34" s="429">
        <v>3165.5943485029593</v>
      </c>
      <c r="U34" s="429">
        <v>3291.8697621157121</v>
      </c>
      <c r="V34" s="429">
        <v>3216.5158880367981</v>
      </c>
      <c r="W34" s="429"/>
      <c r="X34" s="429">
        <v>227.39997901793427</v>
      </c>
      <c r="Y34" s="429">
        <v>222.32993449256088</v>
      </c>
      <c r="Z34" s="429">
        <v>87.331447290993779</v>
      </c>
      <c r="AA34" s="429">
        <v>306.74850291162033</v>
      </c>
      <c r="AB34" s="429">
        <v>301.82844851932094</v>
      </c>
      <c r="AC34" s="429">
        <v>259.65000022069</v>
      </c>
      <c r="AD34" s="429">
        <v>3.2934689479679067</v>
      </c>
      <c r="AE34" s="429">
        <v>0</v>
      </c>
      <c r="AF34" s="429">
        <v>0</v>
      </c>
      <c r="AG34" s="429">
        <v>0</v>
      </c>
      <c r="AH34" s="429">
        <v>3.1895246198396299</v>
      </c>
      <c r="AI34" s="429">
        <v>6.3774589253330101</v>
      </c>
      <c r="AJ34" s="429">
        <v>6.5033233488726561</v>
      </c>
      <c r="AK34" s="429">
        <v>7.0007984140961357</v>
      </c>
      <c r="AL34" s="429">
        <v>0</v>
      </c>
      <c r="AM34" s="429">
        <v>0</v>
      </c>
      <c r="AN34" s="429">
        <v>0</v>
      </c>
      <c r="AO34" s="432"/>
      <c r="AP34" s="428">
        <v>41726.561363773151</v>
      </c>
      <c r="AQ34" s="431">
        <v>94.244484550959783</v>
      </c>
      <c r="AR34" s="431">
        <v>124.99206695553173</v>
      </c>
      <c r="AS34" s="431">
        <v>239.15622581215825</v>
      </c>
      <c r="AT34" s="431"/>
      <c r="AU34" s="431">
        <v>22.019192241338732</v>
      </c>
      <c r="AV34" s="431"/>
      <c r="AW34" s="431">
        <v>94.798938632174483</v>
      </c>
      <c r="AX34" s="431">
        <v>78.214348636710184</v>
      </c>
      <c r="AY34" s="431">
        <v>117.18257733512266</v>
      </c>
      <c r="AZ34" s="431">
        <v>-86.497361497288793</v>
      </c>
      <c r="BA34" s="431">
        <v>16.048399847893172</v>
      </c>
      <c r="BB34" s="431">
        <v>5.7769718002969688</v>
      </c>
      <c r="BC34" s="431">
        <v>4.9497703029320155</v>
      </c>
      <c r="BD34" s="431">
        <v>19.593995332440805</v>
      </c>
      <c r="BE34" s="431"/>
      <c r="BF34" s="431">
        <v>8064.0560546332463</v>
      </c>
      <c r="BG34" s="431"/>
      <c r="BH34" s="431">
        <v>382919.58170831372</v>
      </c>
      <c r="BI34" s="431">
        <v>370220.85757478961</v>
      </c>
      <c r="BJ34" s="431">
        <v>372448.68612103676</v>
      </c>
      <c r="BK34" s="431">
        <v>532369.98915043601</v>
      </c>
      <c r="BL34" s="431">
        <v>535573.56084211206</v>
      </c>
      <c r="BM34" s="431">
        <v>25729.614203990935</v>
      </c>
      <c r="BN34" s="431">
        <v>527176.13559774891</v>
      </c>
      <c r="BO34" s="431">
        <v>530348.45293145732</v>
      </c>
      <c r="BP34" s="431">
        <v>355262.20478076226</v>
      </c>
      <c r="BQ34" s="431">
        <v>831.13803759415521</v>
      </c>
      <c r="BR34" s="431">
        <v>0</v>
      </c>
      <c r="BS34" s="431">
        <v>0</v>
      </c>
      <c r="BT34" s="431">
        <v>0</v>
      </c>
      <c r="BU34" s="431">
        <v>0</v>
      </c>
      <c r="BV34" s="431">
        <v>771.96910772160402</v>
      </c>
      <c r="BW34" s="431">
        <v>1274.4994598590947</v>
      </c>
      <c r="BX34" s="431">
        <v>1179.9066311503386</v>
      </c>
      <c r="BY34" s="431">
        <v>980.3841998916115</v>
      </c>
      <c r="BZ34" s="431">
        <v>0</v>
      </c>
      <c r="CA34" s="431">
        <v>0</v>
      </c>
      <c r="CB34" s="431">
        <v>0</v>
      </c>
      <c r="CC34" s="432"/>
      <c r="CD34" s="428">
        <v>41726.561363773151</v>
      </c>
      <c r="CE34" s="433">
        <v>0.30759941944884489</v>
      </c>
      <c r="CF34" s="433">
        <v>0.21368653957671954</v>
      </c>
      <c r="CG34" s="433">
        <v>0.16794913607715131</v>
      </c>
      <c r="CH34" s="433"/>
      <c r="CI34" s="433">
        <v>0.15098113338820576</v>
      </c>
      <c r="CJ34" s="433"/>
      <c r="CK34" s="433">
        <v>0.25899628896575483</v>
      </c>
      <c r="CL34" s="433">
        <v>0.27649961398917294</v>
      </c>
      <c r="CM34" s="433">
        <v>0.20129058533430336</v>
      </c>
      <c r="CN34" s="433">
        <v>0.20203138400313342</v>
      </c>
      <c r="CO34" s="433">
        <v>0.14170471559769959</v>
      </c>
      <c r="CP34" s="433">
        <v>0.6472517576995086</v>
      </c>
      <c r="CQ34" s="433">
        <v>0.67663897658204775</v>
      </c>
      <c r="CR34" s="433">
        <v>0.47764154429191014</v>
      </c>
      <c r="CS34" s="433"/>
      <c r="CT34" s="433">
        <v>0.44773699730205757</v>
      </c>
      <c r="CU34" s="433"/>
      <c r="CV34" s="433">
        <v>0.47651872850367988</v>
      </c>
      <c r="CW34" s="433">
        <v>0.47402386605078101</v>
      </c>
      <c r="CX34" s="433">
        <v>0.39912436248524713</v>
      </c>
      <c r="CY34" s="433">
        <v>0.29692854969420923</v>
      </c>
      <c r="CZ34" s="433">
        <v>0.25001150066075878</v>
      </c>
      <c r="DA34" s="433">
        <v>0.80602184361489149</v>
      </c>
      <c r="DB34" s="433">
        <v>0.29692854969420923</v>
      </c>
      <c r="DC34" s="433">
        <v>0.25001150066075878</v>
      </c>
      <c r="DD34" s="433">
        <v>0.3433734775731957</v>
      </c>
      <c r="DE34" s="433">
        <v>0.40827675582953765</v>
      </c>
      <c r="DF34" s="433">
        <v>0</v>
      </c>
      <c r="DG34" s="433">
        <v>0</v>
      </c>
      <c r="DH34" s="433">
        <v>0</v>
      </c>
      <c r="DI34" s="433">
        <v>0</v>
      </c>
      <c r="DJ34" s="433">
        <v>0.3468418965385815</v>
      </c>
      <c r="DK34" s="433">
        <v>0.33404461840598537</v>
      </c>
      <c r="DL34" s="433">
        <v>0.28377973353156666</v>
      </c>
      <c r="DM34" s="433">
        <v>0.40827675582953765</v>
      </c>
      <c r="DN34" s="433">
        <v>0</v>
      </c>
      <c r="DO34" s="433">
        <v>0</v>
      </c>
      <c r="DP34" s="433">
        <v>0</v>
      </c>
      <c r="DR34" s="409" t="s">
        <v>855</v>
      </c>
      <c r="DS34" s="409" t="s">
        <v>2014</v>
      </c>
    </row>
    <row r="35" spans="2:123" s="1471" customFormat="1">
      <c r="B35" s="428">
        <v>41726.615462152775</v>
      </c>
      <c r="C35" s="429">
        <v>1.4180614173249078</v>
      </c>
      <c r="D35" s="429">
        <v>1.4164193317069305</v>
      </c>
      <c r="E35" s="429">
        <v>1.5004526029914496</v>
      </c>
      <c r="F35" s="429"/>
      <c r="G35" s="429">
        <v>1.4544054363145498</v>
      </c>
      <c r="H35" s="429"/>
      <c r="I35" s="429">
        <v>1.3980713448758868</v>
      </c>
      <c r="J35" s="429">
        <v>1.6514958956325159</v>
      </c>
      <c r="K35" s="429">
        <v>1.3988553128330607</v>
      </c>
      <c r="L35" s="429">
        <v>1.4762843512824828</v>
      </c>
      <c r="M35" s="429">
        <v>1.3145567686894168</v>
      </c>
      <c r="N35" s="429">
        <v>1.3714429898979088</v>
      </c>
      <c r="O35" s="429">
        <v>1.2359624722371743</v>
      </c>
      <c r="P35" s="429">
        <v>1.2043222482708076</v>
      </c>
      <c r="Q35" s="429"/>
      <c r="R35" s="429">
        <v>11.673487001496168</v>
      </c>
      <c r="S35" s="429"/>
      <c r="T35" s="429">
        <v>3165.5943485029593</v>
      </c>
      <c r="U35" s="429">
        <v>3291.8697621157121</v>
      </c>
      <c r="V35" s="429">
        <v>3216.5158880367981</v>
      </c>
      <c r="W35" s="429"/>
      <c r="X35" s="429">
        <v>227.39997901793427</v>
      </c>
      <c r="Y35" s="429">
        <v>222.32993449256088</v>
      </c>
      <c r="Z35" s="429">
        <v>87.331447290993779</v>
      </c>
      <c r="AA35" s="429">
        <v>306.74850291162033</v>
      </c>
      <c r="AB35" s="429">
        <v>301.82844851932094</v>
      </c>
      <c r="AC35" s="429">
        <v>259.6499802162752</v>
      </c>
      <c r="AD35" s="429">
        <v>3.2934689479679067</v>
      </c>
      <c r="AE35" s="429">
        <v>0</v>
      </c>
      <c r="AF35" s="429">
        <v>0</v>
      </c>
      <c r="AG35" s="429">
        <v>0</v>
      </c>
      <c r="AH35" s="429">
        <v>3.1895171341217088</v>
      </c>
      <c r="AI35" s="429">
        <v>6.3774589253330101</v>
      </c>
      <c r="AJ35" s="429">
        <v>6.5033118873747808</v>
      </c>
      <c r="AK35" s="429">
        <v>7.0007984140961357</v>
      </c>
      <c r="AL35" s="429">
        <v>0</v>
      </c>
      <c r="AM35" s="429">
        <v>0</v>
      </c>
      <c r="AN35" s="429">
        <v>0</v>
      </c>
      <c r="AO35" s="432"/>
      <c r="AP35" s="428">
        <v>41726.615462152775</v>
      </c>
      <c r="AQ35" s="431">
        <v>94.244484550959783</v>
      </c>
      <c r="AR35" s="431">
        <v>124.99206695553173</v>
      </c>
      <c r="AS35" s="431">
        <v>239.15622581215825</v>
      </c>
      <c r="AT35" s="431"/>
      <c r="AU35" s="431">
        <v>22.019192241338732</v>
      </c>
      <c r="AV35" s="431"/>
      <c r="AW35" s="431">
        <v>94.798938632174483</v>
      </c>
      <c r="AX35" s="431">
        <v>78.214348636710184</v>
      </c>
      <c r="AY35" s="431">
        <v>117.18257733512266</v>
      </c>
      <c r="AZ35" s="431">
        <v>-86.497361497288793</v>
      </c>
      <c r="BA35" s="431">
        <v>16.048399847893172</v>
      </c>
      <c r="BB35" s="431">
        <v>5.7770943999774635</v>
      </c>
      <c r="BC35" s="431">
        <v>4.9497703029320155</v>
      </c>
      <c r="BD35" s="431">
        <v>19.593995332440805</v>
      </c>
      <c r="BE35" s="431"/>
      <c r="BF35" s="431">
        <v>8064.0560546332463</v>
      </c>
      <c r="BG35" s="431"/>
      <c r="BH35" s="431">
        <v>382919.58170831372</v>
      </c>
      <c r="BI35" s="431">
        <v>370220.85757478961</v>
      </c>
      <c r="BJ35" s="431">
        <v>372448.68612103676</v>
      </c>
      <c r="BK35" s="431">
        <v>532369.98915043601</v>
      </c>
      <c r="BL35" s="431">
        <v>535573.56084211206</v>
      </c>
      <c r="BM35" s="431">
        <v>25729.614203990935</v>
      </c>
      <c r="BN35" s="431">
        <v>527176.13559774891</v>
      </c>
      <c r="BO35" s="431">
        <v>530348.45293145732</v>
      </c>
      <c r="BP35" s="431">
        <v>355262.20478076226</v>
      </c>
      <c r="BQ35" s="431">
        <v>831.13803759415521</v>
      </c>
      <c r="BR35" s="431">
        <v>0</v>
      </c>
      <c r="BS35" s="431">
        <v>0</v>
      </c>
      <c r="BT35" s="431">
        <v>0</v>
      </c>
      <c r="BU35" s="431">
        <v>0</v>
      </c>
      <c r="BV35" s="431">
        <v>771.96910772160402</v>
      </c>
      <c r="BW35" s="431">
        <v>1274.4994598590947</v>
      </c>
      <c r="BX35" s="431">
        <v>1179.9066311503386</v>
      </c>
      <c r="BY35" s="431">
        <v>980.3841998916115</v>
      </c>
      <c r="BZ35" s="431">
        <v>0</v>
      </c>
      <c r="CA35" s="431">
        <v>0</v>
      </c>
      <c r="CB35" s="431">
        <v>0</v>
      </c>
      <c r="CC35" s="432"/>
      <c r="CD35" s="428">
        <v>41726.615462152775</v>
      </c>
      <c r="CE35" s="433">
        <v>0.30759941944884489</v>
      </c>
      <c r="CF35" s="433">
        <v>0.21368653957671954</v>
      </c>
      <c r="CG35" s="433">
        <v>0.16794913607715131</v>
      </c>
      <c r="CH35" s="433"/>
      <c r="CI35" s="433">
        <v>0.15098113338820576</v>
      </c>
      <c r="CJ35" s="433"/>
      <c r="CK35" s="433">
        <v>0.25899628896575483</v>
      </c>
      <c r="CL35" s="433">
        <v>0.27649961398917294</v>
      </c>
      <c r="CM35" s="433">
        <v>0.20129058533430336</v>
      </c>
      <c r="CN35" s="433">
        <v>0.20203138400313342</v>
      </c>
      <c r="CO35" s="433">
        <v>0.14170471559769959</v>
      </c>
      <c r="CP35" s="433">
        <v>0.6472517576995086</v>
      </c>
      <c r="CQ35" s="433">
        <v>0.67663897658204775</v>
      </c>
      <c r="CR35" s="433">
        <v>0.47764154429191014</v>
      </c>
      <c r="CS35" s="433"/>
      <c r="CT35" s="433">
        <v>0.44773699730205757</v>
      </c>
      <c r="CU35" s="433"/>
      <c r="CV35" s="433">
        <v>0.47651872850367988</v>
      </c>
      <c r="CW35" s="433">
        <v>0.47402386605078101</v>
      </c>
      <c r="CX35" s="433">
        <v>0.39912436248524713</v>
      </c>
      <c r="CY35" s="433">
        <v>0.29692854969420923</v>
      </c>
      <c r="CZ35" s="433">
        <v>0.25001150066075878</v>
      </c>
      <c r="DA35" s="433">
        <v>0.80602184361489149</v>
      </c>
      <c r="DB35" s="433">
        <v>0.29692854969420923</v>
      </c>
      <c r="DC35" s="433">
        <v>0.25001150066075878</v>
      </c>
      <c r="DD35" s="433">
        <v>0.3433734775731957</v>
      </c>
      <c r="DE35" s="433">
        <v>0.40827675582953765</v>
      </c>
      <c r="DF35" s="433">
        <v>0</v>
      </c>
      <c r="DG35" s="433">
        <v>0</v>
      </c>
      <c r="DH35" s="433">
        <v>0</v>
      </c>
      <c r="DI35" s="433">
        <v>0</v>
      </c>
      <c r="DJ35" s="433">
        <v>0.3468418965385815</v>
      </c>
      <c r="DK35" s="433">
        <v>0.33404461840598537</v>
      </c>
      <c r="DL35" s="433">
        <v>0.28377973353156666</v>
      </c>
      <c r="DM35" s="433">
        <v>0.40827675582953765</v>
      </c>
      <c r="DN35" s="433">
        <v>0</v>
      </c>
      <c r="DO35" s="433">
        <v>0</v>
      </c>
      <c r="DP35" s="433">
        <v>0</v>
      </c>
      <c r="DR35" s="409" t="s">
        <v>855</v>
      </c>
      <c r="DS35" s="409" t="s">
        <v>2015</v>
      </c>
    </row>
    <row r="36" spans="2:123" s="1471" customFormat="1">
      <c r="B36" s="428">
        <v>41726.618160879632</v>
      </c>
      <c r="C36" s="429">
        <v>1.4180614173249078</v>
      </c>
      <c r="D36" s="429">
        <v>1.4164193317069305</v>
      </c>
      <c r="E36" s="429">
        <v>1.5004526029914496</v>
      </c>
      <c r="F36" s="429"/>
      <c r="G36" s="429">
        <v>1.4544054363145498</v>
      </c>
      <c r="H36" s="429"/>
      <c r="I36" s="429">
        <v>1.3980713448758868</v>
      </c>
      <c r="J36" s="429">
        <v>1.6514958956325159</v>
      </c>
      <c r="K36" s="429">
        <v>1.398984422038239</v>
      </c>
      <c r="L36" s="429">
        <v>1.4758677395326845</v>
      </c>
      <c r="M36" s="429">
        <v>1.3145567686894168</v>
      </c>
      <c r="N36" s="429">
        <v>1.3712722444228607</v>
      </c>
      <c r="O36" s="429">
        <v>1.2359624722371743</v>
      </c>
      <c r="P36" s="429">
        <v>1.2043222482708076</v>
      </c>
      <c r="Q36" s="429"/>
      <c r="R36" s="429">
        <v>11.673487001496168</v>
      </c>
      <c r="S36" s="429"/>
      <c r="T36" s="429">
        <v>3165.5943485029593</v>
      </c>
      <c r="U36" s="429">
        <v>3291.8697621157121</v>
      </c>
      <c r="V36" s="429">
        <v>3216.5158880367981</v>
      </c>
      <c r="W36" s="429"/>
      <c r="X36" s="429">
        <v>227.39997901793427</v>
      </c>
      <c r="Y36" s="429">
        <v>222.32993449256088</v>
      </c>
      <c r="Z36" s="429">
        <v>87.331447290993779</v>
      </c>
      <c r="AA36" s="429">
        <v>306.74850291162033</v>
      </c>
      <c r="AB36" s="429">
        <v>301.82844851932094</v>
      </c>
      <c r="AC36" s="429">
        <v>260.04941485273611</v>
      </c>
      <c r="AD36" s="429">
        <v>3.2934689479679067</v>
      </c>
      <c r="AE36" s="429">
        <v>0</v>
      </c>
      <c r="AF36" s="429">
        <v>0</v>
      </c>
      <c r="AG36" s="429">
        <v>0</v>
      </c>
      <c r="AH36" s="429">
        <v>3.1903557831874987</v>
      </c>
      <c r="AI36" s="429">
        <v>6.3774589253330101</v>
      </c>
      <c r="AJ36" s="429">
        <v>6.5045959558617046</v>
      </c>
      <c r="AK36" s="429">
        <v>7.0007984140961357</v>
      </c>
      <c r="AL36" s="429">
        <v>0</v>
      </c>
      <c r="AM36" s="429">
        <v>0</v>
      </c>
      <c r="AN36" s="429">
        <v>0</v>
      </c>
      <c r="AO36" s="432"/>
      <c r="AP36" s="428">
        <v>41726.618160879632</v>
      </c>
      <c r="AQ36" s="431">
        <v>94.244484550959783</v>
      </c>
      <c r="AR36" s="431">
        <v>124.99206695553173</v>
      </c>
      <c r="AS36" s="431">
        <v>239.15622581215825</v>
      </c>
      <c r="AT36" s="431"/>
      <c r="AU36" s="431">
        <v>22.019192241338732</v>
      </c>
      <c r="AV36" s="431"/>
      <c r="AW36" s="431">
        <v>94.798938632174483</v>
      </c>
      <c r="AX36" s="431">
        <v>78.214348636710184</v>
      </c>
      <c r="AY36" s="431">
        <v>117.6208120442564</v>
      </c>
      <c r="AZ36" s="431">
        <v>-88.448476378983528</v>
      </c>
      <c r="BA36" s="431">
        <v>16.048399847893172</v>
      </c>
      <c r="BB36" s="431">
        <v>5.3971028969857624</v>
      </c>
      <c r="BC36" s="431">
        <v>4.9497703029320155</v>
      </c>
      <c r="BD36" s="431">
        <v>19.593995332440805</v>
      </c>
      <c r="BE36" s="431"/>
      <c r="BF36" s="431">
        <v>8064.0560546332463</v>
      </c>
      <c r="BG36" s="431"/>
      <c r="BH36" s="431">
        <v>382919.58170831372</v>
      </c>
      <c r="BI36" s="431">
        <v>370220.85757478961</v>
      </c>
      <c r="BJ36" s="431">
        <v>372448.68612103676</v>
      </c>
      <c r="BK36" s="431">
        <v>532369.98915043601</v>
      </c>
      <c r="BL36" s="431">
        <v>535573.56084211206</v>
      </c>
      <c r="BM36" s="431">
        <v>25729.614203990935</v>
      </c>
      <c r="BN36" s="431">
        <v>527176.13559774891</v>
      </c>
      <c r="BO36" s="431">
        <v>530348.45293145732</v>
      </c>
      <c r="BP36" s="431">
        <v>356618.00370683864</v>
      </c>
      <c r="BQ36" s="431">
        <v>831.13803759415521</v>
      </c>
      <c r="BR36" s="431">
        <v>0</v>
      </c>
      <c r="BS36" s="431">
        <v>0</v>
      </c>
      <c r="BT36" s="431">
        <v>0</v>
      </c>
      <c r="BU36" s="431">
        <v>0</v>
      </c>
      <c r="BV36" s="431">
        <v>774.81572991948747</v>
      </c>
      <c r="BW36" s="431">
        <v>1274.4994598590947</v>
      </c>
      <c r="BX36" s="431">
        <v>1184.2651381917053</v>
      </c>
      <c r="BY36" s="431">
        <v>980.3841998916115</v>
      </c>
      <c r="BZ36" s="431">
        <v>0</v>
      </c>
      <c r="CA36" s="431">
        <v>0</v>
      </c>
      <c r="CB36" s="431">
        <v>0</v>
      </c>
      <c r="CC36" s="432"/>
      <c r="CD36" s="428">
        <v>41726.618160879632</v>
      </c>
      <c r="CE36" s="433">
        <v>0.30759941944884489</v>
      </c>
      <c r="CF36" s="433">
        <v>0.21368653957671954</v>
      </c>
      <c r="CG36" s="433">
        <v>0.16794913607715131</v>
      </c>
      <c r="CH36" s="433"/>
      <c r="CI36" s="433">
        <v>0.15098113338820576</v>
      </c>
      <c r="CJ36" s="433"/>
      <c r="CK36" s="433">
        <v>0.25899628896575483</v>
      </c>
      <c r="CL36" s="433">
        <v>0.27649961398917294</v>
      </c>
      <c r="CM36" s="433">
        <v>0.20129058533430336</v>
      </c>
      <c r="CN36" s="433">
        <v>0.20203138400313342</v>
      </c>
      <c r="CO36" s="433">
        <v>0.14170471559769959</v>
      </c>
      <c r="CP36" s="433">
        <v>0.6472517576995086</v>
      </c>
      <c r="CQ36" s="433">
        <v>0.67663897658204775</v>
      </c>
      <c r="CR36" s="433">
        <v>0.47764154429191014</v>
      </c>
      <c r="CS36" s="433"/>
      <c r="CT36" s="433">
        <v>0.44773699730205757</v>
      </c>
      <c r="CU36" s="433"/>
      <c r="CV36" s="433">
        <v>0.47651872850367988</v>
      </c>
      <c r="CW36" s="433">
        <v>0.47402386605078101</v>
      </c>
      <c r="CX36" s="433">
        <v>0.39912436248524713</v>
      </c>
      <c r="CY36" s="433">
        <v>0.29692854969420923</v>
      </c>
      <c r="CZ36" s="433">
        <v>0.25001150066075878</v>
      </c>
      <c r="DA36" s="433">
        <v>0.80602184361489149</v>
      </c>
      <c r="DB36" s="433">
        <v>0.29692854969420923</v>
      </c>
      <c r="DC36" s="433">
        <v>0.25001150066075878</v>
      </c>
      <c r="DD36" s="433">
        <v>0.3433734775731957</v>
      </c>
      <c r="DE36" s="433">
        <v>0.40827675582953765</v>
      </c>
      <c r="DF36" s="433">
        <v>0</v>
      </c>
      <c r="DG36" s="433">
        <v>0</v>
      </c>
      <c r="DH36" s="433">
        <v>0</v>
      </c>
      <c r="DI36" s="433">
        <v>0</v>
      </c>
      <c r="DJ36" s="433">
        <v>0.3468418965385815</v>
      </c>
      <c r="DK36" s="433">
        <v>0.33404461840598537</v>
      </c>
      <c r="DL36" s="433">
        <v>0.28377973353156666</v>
      </c>
      <c r="DM36" s="433">
        <v>0.40827675582953765</v>
      </c>
      <c r="DN36" s="433">
        <v>0</v>
      </c>
      <c r="DO36" s="433">
        <v>0</v>
      </c>
      <c r="DP36" s="433">
        <v>0</v>
      </c>
      <c r="DR36" s="409" t="s">
        <v>855</v>
      </c>
      <c r="DS36" s="409" t="s">
        <v>2016</v>
      </c>
    </row>
    <row r="37" spans="2:123" s="1471" customFormat="1">
      <c r="B37" s="428">
        <v>41730.537321064818</v>
      </c>
      <c r="C37" s="429">
        <v>1.4180614173249078</v>
      </c>
      <c r="D37" s="429">
        <v>1.4164193317069305</v>
      </c>
      <c r="E37" s="429">
        <v>1.4624378468761952</v>
      </c>
      <c r="F37" s="429"/>
      <c r="G37" s="429">
        <v>1.4515705868268747</v>
      </c>
      <c r="H37" s="429"/>
      <c r="I37" s="429">
        <v>1.3956966999836862</v>
      </c>
      <c r="J37" s="429">
        <v>1.4750717572022811</v>
      </c>
      <c r="K37" s="429">
        <v>1.3988563631251159</v>
      </c>
      <c r="L37" s="429">
        <v>1.498736604853717</v>
      </c>
      <c r="M37" s="429">
        <v>1.2884484679882049</v>
      </c>
      <c r="N37" s="429">
        <v>1.3713998637156459</v>
      </c>
      <c r="O37" s="429">
        <v>1.2359624722371743</v>
      </c>
      <c r="P37" s="429">
        <v>1.2043222482708076</v>
      </c>
      <c r="Q37" s="429"/>
      <c r="R37" s="429">
        <v>11.673487001496168</v>
      </c>
      <c r="S37" s="429"/>
      <c r="T37" s="429">
        <v>3165.5943485029593</v>
      </c>
      <c r="U37" s="429">
        <v>3291.8697621157121</v>
      </c>
      <c r="V37" s="429">
        <v>3207.5619963469708</v>
      </c>
      <c r="W37" s="429"/>
      <c r="X37" s="429">
        <v>227.39997901793427</v>
      </c>
      <c r="Y37" s="429">
        <v>221.67177300154168</v>
      </c>
      <c r="Z37" s="429">
        <v>87.331447290993779</v>
      </c>
      <c r="AA37" s="429">
        <v>306.74850291162033</v>
      </c>
      <c r="AB37" s="429">
        <v>301.18859888221709</v>
      </c>
      <c r="AC37" s="429">
        <v>259.65000022069</v>
      </c>
      <c r="AD37" s="429">
        <v>3.2934689479679067</v>
      </c>
      <c r="AE37" s="429">
        <v>0</v>
      </c>
      <c r="AF37" s="429">
        <v>0</v>
      </c>
      <c r="AG37" s="429">
        <v>0</v>
      </c>
      <c r="AH37" s="429">
        <v>3.1895246198396299</v>
      </c>
      <c r="AI37" s="429">
        <v>6.3774589253330101</v>
      </c>
      <c r="AJ37" s="429">
        <v>6.5033233488726561</v>
      </c>
      <c r="AK37" s="429">
        <v>7.0007984140961357</v>
      </c>
      <c r="AL37" s="429">
        <v>0</v>
      </c>
      <c r="AM37" s="429">
        <v>0</v>
      </c>
      <c r="AN37" s="429">
        <v>0</v>
      </c>
      <c r="AO37" s="432"/>
      <c r="AP37" s="428">
        <v>41730.537321064818</v>
      </c>
      <c r="AQ37" s="431">
        <v>94.244484550959783</v>
      </c>
      <c r="AR37" s="431">
        <v>124.99206695553173</v>
      </c>
      <c r="AS37" s="431">
        <v>205.58165309813026</v>
      </c>
      <c r="AT37" s="431"/>
      <c r="AU37" s="431">
        <v>21.672362258313328</v>
      </c>
      <c r="AV37" s="431"/>
      <c r="AW37" s="431">
        <v>94.560471021105442</v>
      </c>
      <c r="AX37" s="431">
        <v>31.51751537090572</v>
      </c>
      <c r="AY37" s="431">
        <v>117.18257733512266</v>
      </c>
      <c r="AZ37" s="431">
        <v>-135.22310591891164</v>
      </c>
      <c r="BA37" s="431">
        <v>7.5100125759959253</v>
      </c>
      <c r="BB37" s="431">
        <v>5.7769718002969688</v>
      </c>
      <c r="BC37" s="431">
        <v>4.9497703029320155</v>
      </c>
      <c r="BD37" s="431">
        <v>19.593995332440805</v>
      </c>
      <c r="BE37" s="431"/>
      <c r="BF37" s="431">
        <v>8064.0560546332463</v>
      </c>
      <c r="BG37" s="431"/>
      <c r="BH37" s="431">
        <v>382919.58170831372</v>
      </c>
      <c r="BI37" s="431">
        <v>370220.85757478961</v>
      </c>
      <c r="BJ37" s="431">
        <v>371490.50947612675</v>
      </c>
      <c r="BK37" s="431">
        <v>532369.98915043601</v>
      </c>
      <c r="BL37" s="431">
        <v>534195.7225069179</v>
      </c>
      <c r="BM37" s="431">
        <v>25729.614203990935</v>
      </c>
      <c r="BN37" s="431">
        <v>527176.13559774891</v>
      </c>
      <c r="BO37" s="431">
        <v>528984.05692148465</v>
      </c>
      <c r="BP37" s="431">
        <v>355262.20478076226</v>
      </c>
      <c r="BQ37" s="431">
        <v>831.13803759415521</v>
      </c>
      <c r="BR37" s="431">
        <v>0</v>
      </c>
      <c r="BS37" s="431">
        <v>0</v>
      </c>
      <c r="BT37" s="431">
        <v>0</v>
      </c>
      <c r="BU37" s="431">
        <v>0</v>
      </c>
      <c r="BV37" s="431">
        <v>771.96910772160402</v>
      </c>
      <c r="BW37" s="431">
        <v>1274.4994598590947</v>
      </c>
      <c r="BX37" s="431">
        <v>1179.9066311503386</v>
      </c>
      <c r="BY37" s="431">
        <v>980.3841998916115</v>
      </c>
      <c r="BZ37" s="431">
        <v>0</v>
      </c>
      <c r="CA37" s="431">
        <v>0</v>
      </c>
      <c r="CB37" s="431">
        <v>0</v>
      </c>
      <c r="CC37" s="432"/>
      <c r="CD37" s="428">
        <v>41730.537321064818</v>
      </c>
      <c r="CE37" s="433">
        <v>0.30759941944884495</v>
      </c>
      <c r="CF37" s="433">
        <v>0.21368653957671949</v>
      </c>
      <c r="CG37" s="433">
        <v>0.16794913607715128</v>
      </c>
      <c r="CH37" s="433"/>
      <c r="CI37" s="433">
        <v>0.15098113338820573</v>
      </c>
      <c r="CJ37" s="433"/>
      <c r="CK37" s="433">
        <v>0.25899628896575483</v>
      </c>
      <c r="CL37" s="433">
        <v>0.27649961398917294</v>
      </c>
      <c r="CM37" s="433">
        <v>0.20129058533430333</v>
      </c>
      <c r="CN37" s="433">
        <v>0.20203138400313342</v>
      </c>
      <c r="CO37" s="433">
        <v>0.14170471559769959</v>
      </c>
      <c r="CP37" s="433">
        <v>0.6472517576995086</v>
      </c>
      <c r="CQ37" s="433">
        <v>0.67663897658204775</v>
      </c>
      <c r="CR37" s="433">
        <v>0.47764154429191003</v>
      </c>
      <c r="CS37" s="433"/>
      <c r="CT37" s="433">
        <v>0.44773699730205768</v>
      </c>
      <c r="CU37" s="433"/>
      <c r="CV37" s="433">
        <v>0.47651872850367988</v>
      </c>
      <c r="CW37" s="433">
        <v>0.47402386605078112</v>
      </c>
      <c r="CX37" s="433">
        <v>0.39912436248524713</v>
      </c>
      <c r="CY37" s="433">
        <v>0.29692854969420929</v>
      </c>
      <c r="CZ37" s="433">
        <v>0.25001150066075878</v>
      </c>
      <c r="DA37" s="433">
        <v>0.80602184361489149</v>
      </c>
      <c r="DB37" s="433">
        <v>0.29692854969420929</v>
      </c>
      <c r="DC37" s="433">
        <v>0.25001150066075878</v>
      </c>
      <c r="DD37" s="433">
        <v>0.34337347757319564</v>
      </c>
      <c r="DE37" s="433">
        <v>0.40827675582953776</v>
      </c>
      <c r="DF37" s="433">
        <v>0</v>
      </c>
      <c r="DG37" s="433">
        <v>0</v>
      </c>
      <c r="DH37" s="433">
        <v>0</v>
      </c>
      <c r="DI37" s="433">
        <v>0</v>
      </c>
      <c r="DJ37" s="433">
        <v>0.34684189653858144</v>
      </c>
      <c r="DK37" s="433">
        <v>0.33404461840598543</v>
      </c>
      <c r="DL37" s="433">
        <v>0.2837797335315666</v>
      </c>
      <c r="DM37" s="433">
        <v>0.40827675582953776</v>
      </c>
      <c r="DN37" s="433">
        <v>0</v>
      </c>
      <c r="DO37" s="433">
        <v>0</v>
      </c>
      <c r="DP37" s="433">
        <v>0</v>
      </c>
      <c r="DR37" s="409" t="s">
        <v>855</v>
      </c>
      <c r="DS37" s="409" t="s">
        <v>2025</v>
      </c>
    </row>
    <row r="38" spans="2:123" s="1471" customFormat="1">
      <c r="B38" s="428">
        <v>41730.54801770833</v>
      </c>
      <c r="C38" s="429">
        <v>1.4180614173249078</v>
      </c>
      <c r="D38" s="429">
        <v>1.4164193317069305</v>
      </c>
      <c r="E38" s="429">
        <v>1.4624378468761952</v>
      </c>
      <c r="F38" s="429"/>
      <c r="G38" s="429">
        <v>1.4515705868268747</v>
      </c>
      <c r="H38" s="429"/>
      <c r="I38" s="429">
        <v>1.3956966999836862</v>
      </c>
      <c r="J38" s="429">
        <v>1.4750717572022811</v>
      </c>
      <c r="K38" s="429">
        <v>1.3988563631251159</v>
      </c>
      <c r="L38" s="429">
        <v>1.4762854015745379</v>
      </c>
      <c r="M38" s="429">
        <v>1.2884484679882049</v>
      </c>
      <c r="N38" s="429">
        <v>1.3713998637156459</v>
      </c>
      <c r="O38" s="429">
        <v>1.2359624722371743</v>
      </c>
      <c r="P38" s="429">
        <v>1.2043222482708076</v>
      </c>
      <c r="Q38" s="429"/>
      <c r="R38" s="429">
        <v>11.673487001496168</v>
      </c>
      <c r="S38" s="429"/>
      <c r="T38" s="429">
        <v>3165.5943485029593</v>
      </c>
      <c r="U38" s="429">
        <v>3291.8697621157121</v>
      </c>
      <c r="V38" s="429">
        <v>3207.5619963469708</v>
      </c>
      <c r="W38" s="429"/>
      <c r="X38" s="429">
        <v>227.39997901793427</v>
      </c>
      <c r="Y38" s="429">
        <v>221.67177300154168</v>
      </c>
      <c r="Z38" s="429">
        <v>87.331447290993779</v>
      </c>
      <c r="AA38" s="429">
        <v>306.74850291162033</v>
      </c>
      <c r="AB38" s="429">
        <v>301.18859888221709</v>
      </c>
      <c r="AC38" s="429">
        <v>259.65000022069</v>
      </c>
      <c r="AD38" s="429">
        <v>3.2934689479679067</v>
      </c>
      <c r="AE38" s="429">
        <v>0</v>
      </c>
      <c r="AF38" s="429">
        <v>0</v>
      </c>
      <c r="AG38" s="429">
        <v>0</v>
      </c>
      <c r="AH38" s="429">
        <v>3.1895246198396299</v>
      </c>
      <c r="AI38" s="429">
        <v>6.3774589253330101</v>
      </c>
      <c r="AJ38" s="429">
        <v>6.5033233488726561</v>
      </c>
      <c r="AK38" s="429">
        <v>7.0007984140961357</v>
      </c>
      <c r="AL38" s="429">
        <v>0</v>
      </c>
      <c r="AM38" s="429">
        <v>0</v>
      </c>
      <c r="AN38" s="429">
        <v>0</v>
      </c>
      <c r="AO38" s="432"/>
      <c r="AP38" s="428">
        <v>41730.54801770833</v>
      </c>
      <c r="AQ38" s="431">
        <v>94.244484550959783</v>
      </c>
      <c r="AR38" s="431">
        <v>124.99206695553173</v>
      </c>
      <c r="AS38" s="431">
        <v>205.58165309813026</v>
      </c>
      <c r="AT38" s="431"/>
      <c r="AU38" s="431">
        <v>21.672362258313328</v>
      </c>
      <c r="AV38" s="431"/>
      <c r="AW38" s="431">
        <v>94.560471021105442</v>
      </c>
      <c r="AX38" s="431">
        <v>31.51751537090572</v>
      </c>
      <c r="AY38" s="431">
        <v>117.18257733512266</v>
      </c>
      <c r="AZ38" s="431">
        <v>-86.497361497288793</v>
      </c>
      <c r="BA38" s="431">
        <v>7.5100125759959253</v>
      </c>
      <c r="BB38" s="431">
        <v>5.7769718002969688</v>
      </c>
      <c r="BC38" s="431">
        <v>4.9497703029320155</v>
      </c>
      <c r="BD38" s="431">
        <v>19.593995332440805</v>
      </c>
      <c r="BE38" s="431"/>
      <c r="BF38" s="431">
        <v>8064.0560546332463</v>
      </c>
      <c r="BG38" s="431"/>
      <c r="BH38" s="431">
        <v>382919.58170831372</v>
      </c>
      <c r="BI38" s="431">
        <v>370220.85757478961</v>
      </c>
      <c r="BJ38" s="431">
        <v>371490.50947612675</v>
      </c>
      <c r="BK38" s="431">
        <v>532369.98915043601</v>
      </c>
      <c r="BL38" s="431">
        <v>534195.7225069179</v>
      </c>
      <c r="BM38" s="431">
        <v>25729.614203990935</v>
      </c>
      <c r="BN38" s="431">
        <v>527176.13559774891</v>
      </c>
      <c r="BO38" s="431">
        <v>528984.05692148465</v>
      </c>
      <c r="BP38" s="431">
        <v>355262.20478076226</v>
      </c>
      <c r="BQ38" s="431">
        <v>831.13803759415521</v>
      </c>
      <c r="BR38" s="431">
        <v>0</v>
      </c>
      <c r="BS38" s="431">
        <v>0</v>
      </c>
      <c r="BT38" s="431">
        <v>0</v>
      </c>
      <c r="BU38" s="431">
        <v>0</v>
      </c>
      <c r="BV38" s="431">
        <v>771.96910772160402</v>
      </c>
      <c r="BW38" s="431">
        <v>1274.4994598590947</v>
      </c>
      <c r="BX38" s="431">
        <v>1179.9066311503386</v>
      </c>
      <c r="BY38" s="431">
        <v>980.3841998916115</v>
      </c>
      <c r="BZ38" s="431">
        <v>0</v>
      </c>
      <c r="CA38" s="431">
        <v>0</v>
      </c>
      <c r="CB38" s="431">
        <v>0</v>
      </c>
      <c r="CC38" s="432"/>
      <c r="CD38" s="428">
        <v>41730.54801770833</v>
      </c>
      <c r="CE38" s="433">
        <v>0.30759941944884495</v>
      </c>
      <c r="CF38" s="433">
        <v>0.21368653957671949</v>
      </c>
      <c r="CG38" s="433">
        <v>0.16794913607715128</v>
      </c>
      <c r="CH38" s="433"/>
      <c r="CI38" s="433">
        <v>0.15098113338820573</v>
      </c>
      <c r="CJ38" s="433"/>
      <c r="CK38" s="433">
        <v>0.25899628896575483</v>
      </c>
      <c r="CL38" s="433">
        <v>0.27649961398917294</v>
      </c>
      <c r="CM38" s="433">
        <v>0.20129058533430333</v>
      </c>
      <c r="CN38" s="433">
        <v>0.20203138400313336</v>
      </c>
      <c r="CO38" s="433">
        <v>0.14170471559769959</v>
      </c>
      <c r="CP38" s="433">
        <v>0.6472517576995086</v>
      </c>
      <c r="CQ38" s="433">
        <v>0.67663897658204775</v>
      </c>
      <c r="CR38" s="433">
        <v>0.47764154429191003</v>
      </c>
      <c r="CS38" s="433"/>
      <c r="CT38" s="433">
        <v>0.44773699730205768</v>
      </c>
      <c r="CU38" s="433"/>
      <c r="CV38" s="433">
        <v>0.47651872850367988</v>
      </c>
      <c r="CW38" s="433">
        <v>0.47402386605078112</v>
      </c>
      <c r="CX38" s="433">
        <v>0.39912436248524713</v>
      </c>
      <c r="CY38" s="433">
        <v>0.29692854969420929</v>
      </c>
      <c r="CZ38" s="433">
        <v>0.25001150066075878</v>
      </c>
      <c r="DA38" s="433">
        <v>0.80602184361489149</v>
      </c>
      <c r="DB38" s="433">
        <v>0.29692854969420929</v>
      </c>
      <c r="DC38" s="433">
        <v>0.25001150066075878</v>
      </c>
      <c r="DD38" s="433">
        <v>0.34337347757319564</v>
      </c>
      <c r="DE38" s="433">
        <v>0.40827675582953776</v>
      </c>
      <c r="DF38" s="433">
        <v>0</v>
      </c>
      <c r="DG38" s="433">
        <v>0</v>
      </c>
      <c r="DH38" s="433">
        <v>0</v>
      </c>
      <c r="DI38" s="433">
        <v>0</v>
      </c>
      <c r="DJ38" s="433">
        <v>0.34684189653858144</v>
      </c>
      <c r="DK38" s="433">
        <v>0.33404461840598543</v>
      </c>
      <c r="DL38" s="433">
        <v>0.2837797335315666</v>
      </c>
      <c r="DM38" s="433">
        <v>0.40827675582953776</v>
      </c>
      <c r="DN38" s="433">
        <v>0</v>
      </c>
      <c r="DO38" s="433">
        <v>0</v>
      </c>
      <c r="DP38" s="433">
        <v>0</v>
      </c>
      <c r="DR38" s="409" t="s">
        <v>855</v>
      </c>
      <c r="DS38" s="409" t="s">
        <v>2026</v>
      </c>
    </row>
    <row r="39" spans="2:123" s="1471" customFormat="1">
      <c r="B39" s="428">
        <v>41736.549550925927</v>
      </c>
      <c r="C39" s="429">
        <v>1.4180614173249078</v>
      </c>
      <c r="D39" s="429">
        <v>1.4164193317069305</v>
      </c>
      <c r="E39" s="429">
        <v>1.4624378468761952</v>
      </c>
      <c r="F39" s="429"/>
      <c r="G39" s="429">
        <v>1.4515705868268747</v>
      </c>
      <c r="H39" s="429"/>
      <c r="I39" s="429">
        <v>1.3956966999836862</v>
      </c>
      <c r="J39" s="429">
        <v>1.4750717572022811</v>
      </c>
      <c r="K39" s="429">
        <v>1.3988563631251159</v>
      </c>
      <c r="L39" s="429">
        <v>1.4762854015745379</v>
      </c>
      <c r="M39" s="429">
        <v>1.1479484679882048</v>
      </c>
      <c r="N39" s="429">
        <v>1.2408998637156461</v>
      </c>
      <c r="O39" s="429">
        <v>1.052962472237174</v>
      </c>
      <c r="P39" s="429">
        <v>1.1088222482708074</v>
      </c>
      <c r="Q39" s="429"/>
      <c r="R39" s="429">
        <v>11.673487001496168</v>
      </c>
      <c r="S39" s="429"/>
      <c r="T39" s="429">
        <v>3165.5943485029593</v>
      </c>
      <c r="U39" s="429">
        <v>3291.8697621157121</v>
      </c>
      <c r="V39" s="429">
        <v>3207.5619963469708</v>
      </c>
      <c r="W39" s="429"/>
      <c r="X39" s="429">
        <v>227.39997901793427</v>
      </c>
      <c r="Y39" s="429">
        <v>221.67177300154168</v>
      </c>
      <c r="Z39" s="429">
        <v>87.331447290993779</v>
      </c>
      <c r="AA39" s="429">
        <v>306.74850291162033</v>
      </c>
      <c r="AB39" s="429">
        <v>301.18859888221709</v>
      </c>
      <c r="AC39" s="429">
        <v>259.65000022069</v>
      </c>
      <c r="AD39" s="429">
        <v>3.2934689479679067</v>
      </c>
      <c r="AE39" s="429">
        <v>0</v>
      </c>
      <c r="AF39" s="429">
        <v>0</v>
      </c>
      <c r="AG39" s="429">
        <v>0</v>
      </c>
      <c r="AH39" s="429">
        <v>3.1895246198396299</v>
      </c>
      <c r="AI39" s="429">
        <v>6.3774589253330101</v>
      </c>
      <c r="AJ39" s="429">
        <v>6.5033233488726561</v>
      </c>
      <c r="AK39" s="429">
        <v>7.0007984140961357</v>
      </c>
      <c r="AL39" s="429">
        <v>0</v>
      </c>
      <c r="AM39" s="429">
        <v>0</v>
      </c>
      <c r="AN39" s="429">
        <v>0</v>
      </c>
      <c r="AO39" s="432"/>
      <c r="AP39" s="428">
        <v>41736.549550925927</v>
      </c>
      <c r="AQ39" s="431">
        <v>94.244484550959783</v>
      </c>
      <c r="AR39" s="431">
        <v>124.99206695553173</v>
      </c>
      <c r="AS39" s="431">
        <v>205.58165309813026</v>
      </c>
      <c r="AT39" s="431"/>
      <c r="AU39" s="431">
        <v>21.672362258313328</v>
      </c>
      <c r="AV39" s="431"/>
      <c r="AW39" s="431">
        <v>94.560471021105442</v>
      </c>
      <c r="AX39" s="431">
        <v>31.51751537090572</v>
      </c>
      <c r="AY39" s="431">
        <v>117.18257733512266</v>
      </c>
      <c r="AZ39" s="431">
        <v>-86.497361497288793</v>
      </c>
      <c r="BA39" s="431">
        <v>7.5100125759959253</v>
      </c>
      <c r="BB39" s="431">
        <v>5.7769718002969688</v>
      </c>
      <c r="BC39" s="431">
        <v>4.9497703029320155</v>
      </c>
      <c r="BD39" s="431">
        <v>19.593995332440805</v>
      </c>
      <c r="BE39" s="431"/>
      <c r="BF39" s="431">
        <v>8064.0560546332463</v>
      </c>
      <c r="BG39" s="431"/>
      <c r="BH39" s="431">
        <v>382919.58170831372</v>
      </c>
      <c r="BI39" s="431">
        <v>370220.85757478961</v>
      </c>
      <c r="BJ39" s="431">
        <v>371490.50947612675</v>
      </c>
      <c r="BK39" s="431">
        <v>532369.98915043601</v>
      </c>
      <c r="BL39" s="431">
        <v>534195.7225069179</v>
      </c>
      <c r="BM39" s="431">
        <v>25729.614203990935</v>
      </c>
      <c r="BN39" s="431">
        <v>527176.13559774891</v>
      </c>
      <c r="BO39" s="431">
        <v>528984.05692148465</v>
      </c>
      <c r="BP39" s="431">
        <v>355262.20478076226</v>
      </c>
      <c r="BQ39" s="431">
        <v>831.13803759415521</v>
      </c>
      <c r="BR39" s="431">
        <v>0</v>
      </c>
      <c r="BS39" s="431">
        <v>0</v>
      </c>
      <c r="BT39" s="431">
        <v>0</v>
      </c>
      <c r="BU39" s="431">
        <v>0</v>
      </c>
      <c r="BV39" s="431">
        <v>771.96910772160402</v>
      </c>
      <c r="BW39" s="431">
        <v>1274.4994598590947</v>
      </c>
      <c r="BX39" s="431">
        <v>1179.9066311503386</v>
      </c>
      <c r="BY39" s="431">
        <v>980.3841998916115</v>
      </c>
      <c r="BZ39" s="431">
        <v>0</v>
      </c>
      <c r="CA39" s="431">
        <v>0</v>
      </c>
      <c r="CB39" s="431">
        <v>0</v>
      </c>
      <c r="CC39" s="432"/>
      <c r="CD39" s="428">
        <v>41736.549550925927</v>
      </c>
      <c r="CE39" s="433">
        <v>0.30759941944884495</v>
      </c>
      <c r="CF39" s="433">
        <v>0.21368653957671949</v>
      </c>
      <c r="CG39" s="433">
        <v>0.16794913607715128</v>
      </c>
      <c r="CH39" s="433"/>
      <c r="CI39" s="433">
        <v>0.15098113338820573</v>
      </c>
      <c r="CJ39" s="433"/>
      <c r="CK39" s="433">
        <v>0.25899628896575483</v>
      </c>
      <c r="CL39" s="433">
        <v>0.27649961398917294</v>
      </c>
      <c r="CM39" s="433">
        <v>0.20129058533430333</v>
      </c>
      <c r="CN39" s="433">
        <v>0.20203138400313336</v>
      </c>
      <c r="CO39" s="433">
        <v>0.14170471559769959</v>
      </c>
      <c r="CP39" s="433">
        <v>0.6472517576995086</v>
      </c>
      <c r="CQ39" s="433">
        <v>0.67663897658204775</v>
      </c>
      <c r="CR39" s="433">
        <v>0.47764154429191003</v>
      </c>
      <c r="CS39" s="433"/>
      <c r="CT39" s="433">
        <v>0.44773699730205768</v>
      </c>
      <c r="CU39" s="433"/>
      <c r="CV39" s="433">
        <v>0.47651872850367988</v>
      </c>
      <c r="CW39" s="433">
        <v>0.47402386605078112</v>
      </c>
      <c r="CX39" s="433">
        <v>0.39912436248524713</v>
      </c>
      <c r="CY39" s="433">
        <v>0.29692854969420929</v>
      </c>
      <c r="CZ39" s="433">
        <v>0.25001150066075878</v>
      </c>
      <c r="DA39" s="433">
        <v>0.80602184361489149</v>
      </c>
      <c r="DB39" s="433">
        <v>0.29692854969420929</v>
      </c>
      <c r="DC39" s="433">
        <v>0.25001150066075878</v>
      </c>
      <c r="DD39" s="433">
        <v>0.34337347757319564</v>
      </c>
      <c r="DE39" s="433">
        <v>0.40827675582953776</v>
      </c>
      <c r="DF39" s="433">
        <v>0</v>
      </c>
      <c r="DG39" s="433">
        <v>0</v>
      </c>
      <c r="DH39" s="433">
        <v>0</v>
      </c>
      <c r="DI39" s="433">
        <v>0</v>
      </c>
      <c r="DJ39" s="433">
        <v>0.34684189653858144</v>
      </c>
      <c r="DK39" s="433">
        <v>0.33404461840598543</v>
      </c>
      <c r="DL39" s="433">
        <v>0.2837797335315666</v>
      </c>
      <c r="DM39" s="433">
        <v>0.40827675582953776</v>
      </c>
      <c r="DN39" s="433">
        <v>0</v>
      </c>
      <c r="DO39" s="433">
        <v>0</v>
      </c>
      <c r="DP39" s="433">
        <v>0</v>
      </c>
      <c r="DR39" s="409" t="s">
        <v>855</v>
      </c>
      <c r="DS39" s="409" t="s">
        <v>2031</v>
      </c>
    </row>
    <row r="40" spans="2:123" s="1471" customFormat="1">
      <c r="B40" s="428">
        <v>41736.562908333333</v>
      </c>
      <c r="C40" s="429">
        <v>1.4180614173249078</v>
      </c>
      <c r="D40" s="429">
        <v>1.4164193317069305</v>
      </c>
      <c r="E40" s="429">
        <v>1.4624378468761952</v>
      </c>
      <c r="F40" s="429"/>
      <c r="G40" s="429">
        <v>1.4515705868268747</v>
      </c>
      <c r="H40" s="429"/>
      <c r="I40" s="429">
        <v>1.3956966999836862</v>
      </c>
      <c r="J40" s="429">
        <v>1.4750717572022811</v>
      </c>
      <c r="K40" s="429">
        <v>1.3988563631251159</v>
      </c>
      <c r="L40" s="429">
        <v>1.4762854015745379</v>
      </c>
      <c r="M40" s="429">
        <v>1.1384697429740336</v>
      </c>
      <c r="N40" s="429">
        <v>1.2408998637156461</v>
      </c>
      <c r="O40" s="429">
        <v>1.052962472237174</v>
      </c>
      <c r="P40" s="429">
        <v>1.1088222482708074</v>
      </c>
      <c r="Q40" s="429"/>
      <c r="R40" s="429">
        <v>11.673487001496168</v>
      </c>
      <c r="S40" s="429"/>
      <c r="T40" s="429">
        <v>3165.5943485029593</v>
      </c>
      <c r="U40" s="429">
        <v>3291.8697621157121</v>
      </c>
      <c r="V40" s="429">
        <v>3207.5619963469708</v>
      </c>
      <c r="W40" s="429"/>
      <c r="X40" s="429">
        <v>227.39997901793427</v>
      </c>
      <c r="Y40" s="429">
        <v>221.67177300154168</v>
      </c>
      <c r="Z40" s="429">
        <v>87.331447290993779</v>
      </c>
      <c r="AA40" s="429">
        <v>306.74850291162033</v>
      </c>
      <c r="AB40" s="429">
        <v>301.18859888221709</v>
      </c>
      <c r="AC40" s="429">
        <v>259.65000022069</v>
      </c>
      <c r="AD40" s="429">
        <v>3.2934689479679067</v>
      </c>
      <c r="AE40" s="429">
        <v>0</v>
      </c>
      <c r="AF40" s="429">
        <v>0</v>
      </c>
      <c r="AG40" s="429">
        <v>0</v>
      </c>
      <c r="AH40" s="429">
        <v>3.1895246198396299</v>
      </c>
      <c r="AI40" s="429">
        <v>6.3774589253330101</v>
      </c>
      <c r="AJ40" s="429">
        <v>6.5033233488726561</v>
      </c>
      <c r="AK40" s="429">
        <v>7.0007984140961357</v>
      </c>
      <c r="AL40" s="429">
        <v>0</v>
      </c>
      <c r="AM40" s="429">
        <v>0</v>
      </c>
      <c r="AN40" s="429">
        <v>0</v>
      </c>
      <c r="AO40" s="432"/>
      <c r="AP40" s="428">
        <v>41736.562908333333</v>
      </c>
      <c r="AQ40" s="431">
        <v>94.244484550959783</v>
      </c>
      <c r="AR40" s="431">
        <v>124.99206695553173</v>
      </c>
      <c r="AS40" s="431">
        <v>205.58165309813026</v>
      </c>
      <c r="AT40" s="431"/>
      <c r="AU40" s="431">
        <v>21.672362258313328</v>
      </c>
      <c r="AV40" s="431"/>
      <c r="AW40" s="431">
        <v>94.560471021105442</v>
      </c>
      <c r="AX40" s="431">
        <v>31.51751537090572</v>
      </c>
      <c r="AY40" s="431">
        <v>117.18257733512266</v>
      </c>
      <c r="AZ40" s="431">
        <v>-86.497361497288793</v>
      </c>
      <c r="BA40" s="431">
        <v>4.9901585247195595</v>
      </c>
      <c r="BB40" s="431">
        <v>5.7769718002969688</v>
      </c>
      <c r="BC40" s="431">
        <v>4.9497703029320155</v>
      </c>
      <c r="BD40" s="431">
        <v>19.593995332440805</v>
      </c>
      <c r="BE40" s="431"/>
      <c r="BF40" s="431">
        <v>8064.0560546332463</v>
      </c>
      <c r="BG40" s="431"/>
      <c r="BH40" s="431">
        <v>382919.58170831372</v>
      </c>
      <c r="BI40" s="431">
        <v>370220.85757478961</v>
      </c>
      <c r="BJ40" s="431">
        <v>371490.50947612675</v>
      </c>
      <c r="BK40" s="431">
        <v>532369.98915043601</v>
      </c>
      <c r="BL40" s="431">
        <v>534195.7225069179</v>
      </c>
      <c r="BM40" s="431">
        <v>25729.614203990935</v>
      </c>
      <c r="BN40" s="431">
        <v>527176.13559774891</v>
      </c>
      <c r="BO40" s="431">
        <v>528984.05692148465</v>
      </c>
      <c r="BP40" s="431">
        <v>355262.20478076226</v>
      </c>
      <c r="BQ40" s="431">
        <v>831.13803759415521</v>
      </c>
      <c r="BR40" s="431">
        <v>0</v>
      </c>
      <c r="BS40" s="431">
        <v>0</v>
      </c>
      <c r="BT40" s="431">
        <v>0</v>
      </c>
      <c r="BU40" s="431">
        <v>0</v>
      </c>
      <c r="BV40" s="431">
        <v>771.96910772160402</v>
      </c>
      <c r="BW40" s="431">
        <v>1274.4994598590947</v>
      </c>
      <c r="BX40" s="431">
        <v>1179.9066311503386</v>
      </c>
      <c r="BY40" s="431">
        <v>980.3841998916115</v>
      </c>
      <c r="BZ40" s="431">
        <v>0</v>
      </c>
      <c r="CA40" s="431">
        <v>0</v>
      </c>
      <c r="CB40" s="431">
        <v>0</v>
      </c>
      <c r="CC40" s="432"/>
      <c r="CD40" s="428">
        <v>41736.562908333333</v>
      </c>
      <c r="CE40" s="433">
        <v>0.30759941944884495</v>
      </c>
      <c r="CF40" s="433">
        <v>0.21368653957671949</v>
      </c>
      <c r="CG40" s="433">
        <v>0.16794913607715128</v>
      </c>
      <c r="CH40" s="433"/>
      <c r="CI40" s="433">
        <v>0.15098113338820573</v>
      </c>
      <c r="CJ40" s="433"/>
      <c r="CK40" s="433">
        <v>0.25899628896575483</v>
      </c>
      <c r="CL40" s="433">
        <v>0.27649961398917294</v>
      </c>
      <c r="CM40" s="433">
        <v>0.20129058533430333</v>
      </c>
      <c r="CN40" s="433">
        <v>0.20203138400313336</v>
      </c>
      <c r="CO40" s="433">
        <v>0.14170471559769959</v>
      </c>
      <c r="CP40" s="433">
        <v>0.6472517576995086</v>
      </c>
      <c r="CQ40" s="433">
        <v>0.67663897658204775</v>
      </c>
      <c r="CR40" s="433">
        <v>0.47764154429191003</v>
      </c>
      <c r="CS40" s="433"/>
      <c r="CT40" s="433">
        <v>0.44773699730205768</v>
      </c>
      <c r="CU40" s="433"/>
      <c r="CV40" s="433">
        <v>0.47651872850367988</v>
      </c>
      <c r="CW40" s="433">
        <v>0.47402386605078112</v>
      </c>
      <c r="CX40" s="433">
        <v>0.39912436248524713</v>
      </c>
      <c r="CY40" s="433">
        <v>0.29692854969420929</v>
      </c>
      <c r="CZ40" s="433">
        <v>0.25001150066075878</v>
      </c>
      <c r="DA40" s="433">
        <v>0.80602184361489149</v>
      </c>
      <c r="DB40" s="433">
        <v>0.29692854969420929</v>
      </c>
      <c r="DC40" s="433">
        <v>0.25001150066075878</v>
      </c>
      <c r="DD40" s="433">
        <v>0.34337347757319564</v>
      </c>
      <c r="DE40" s="433">
        <v>0.40827675582953776</v>
      </c>
      <c r="DF40" s="433">
        <v>0</v>
      </c>
      <c r="DG40" s="433">
        <v>0</v>
      </c>
      <c r="DH40" s="433">
        <v>0</v>
      </c>
      <c r="DI40" s="433">
        <v>0</v>
      </c>
      <c r="DJ40" s="433">
        <v>0.34684189653858144</v>
      </c>
      <c r="DK40" s="433">
        <v>0.33404461840598543</v>
      </c>
      <c r="DL40" s="433">
        <v>0.2837797335315666</v>
      </c>
      <c r="DM40" s="433">
        <v>0.40827675582953776</v>
      </c>
      <c r="DN40" s="433">
        <v>0</v>
      </c>
      <c r="DO40" s="433">
        <v>0</v>
      </c>
      <c r="DP40" s="433">
        <v>0</v>
      </c>
      <c r="DR40" s="409" t="s">
        <v>855</v>
      </c>
      <c r="DS40" s="409" t="s">
        <v>2315</v>
      </c>
    </row>
    <row r="41" spans="2:123" s="1471" customFormat="1">
      <c r="B41" s="428">
        <v>41743.432896759259</v>
      </c>
      <c r="C41" s="429">
        <v>1.4180614173249078</v>
      </c>
      <c r="D41" s="429">
        <v>1.4164193317069305</v>
      </c>
      <c r="E41" s="429">
        <v>1.4624378468761952</v>
      </c>
      <c r="F41" s="429"/>
      <c r="G41" s="429">
        <v>1.4515705868268747</v>
      </c>
      <c r="H41" s="429"/>
      <c r="I41" s="429">
        <v>1.3757282544438871</v>
      </c>
      <c r="J41" s="429">
        <v>1.4750717572022811</v>
      </c>
      <c r="K41" s="429">
        <v>1.3988563631251159</v>
      </c>
      <c r="L41" s="429">
        <v>1.4762854015745379</v>
      </c>
      <c r="M41" s="429">
        <v>1.1384697429740336</v>
      </c>
      <c r="N41" s="429">
        <v>1.2408998637156461</v>
      </c>
      <c r="O41" s="429">
        <v>1.052962472237174</v>
      </c>
      <c r="P41" s="429">
        <v>1.1088222482708074</v>
      </c>
      <c r="Q41" s="429"/>
      <c r="R41" s="429">
        <v>11.673487001496168</v>
      </c>
      <c r="S41" s="429"/>
      <c r="T41" s="429">
        <v>3165.5943485029593</v>
      </c>
      <c r="U41" s="429">
        <v>3291.8697621157121</v>
      </c>
      <c r="V41" s="429">
        <v>3127.3276279745942</v>
      </c>
      <c r="W41" s="429"/>
      <c r="X41" s="429">
        <v>227.39997901793427</v>
      </c>
      <c r="Y41" s="429">
        <v>106.29639923220947</v>
      </c>
      <c r="Z41" s="429">
        <v>87.331447290993779</v>
      </c>
      <c r="AA41" s="429">
        <v>306.74850291162033</v>
      </c>
      <c r="AB41" s="429">
        <v>186.93883851551254</v>
      </c>
      <c r="AC41" s="429">
        <v>259.65000022069</v>
      </c>
      <c r="AD41" s="429">
        <v>3.2934689479679067</v>
      </c>
      <c r="AE41" s="429">
        <v>0</v>
      </c>
      <c r="AF41" s="429">
        <v>0</v>
      </c>
      <c r="AG41" s="429">
        <v>0</v>
      </c>
      <c r="AH41" s="429">
        <v>3.1895246198396299</v>
      </c>
      <c r="AI41" s="429">
        <v>6.3774589253330101</v>
      </c>
      <c r="AJ41" s="429">
        <v>6.5033233488726561</v>
      </c>
      <c r="AK41" s="429">
        <v>7.0007984140961357</v>
      </c>
      <c r="AL41" s="429">
        <v>0</v>
      </c>
      <c r="AM41" s="429">
        <v>0</v>
      </c>
      <c r="AN41" s="429">
        <v>0</v>
      </c>
      <c r="AO41" s="432"/>
      <c r="AP41" s="428">
        <v>41743.432896759259</v>
      </c>
      <c r="AQ41" s="431">
        <v>94.244484550959783</v>
      </c>
      <c r="AR41" s="431">
        <v>124.99206695553173</v>
      </c>
      <c r="AS41" s="431">
        <v>205.58165309813026</v>
      </c>
      <c r="AT41" s="431"/>
      <c r="AU41" s="431">
        <v>21.672362258313328</v>
      </c>
      <c r="AV41" s="431"/>
      <c r="AW41" s="431">
        <v>12.512708968895206</v>
      </c>
      <c r="AX41" s="431">
        <v>31.51751537090572</v>
      </c>
      <c r="AY41" s="431">
        <v>117.18257733512266</v>
      </c>
      <c r="AZ41" s="431">
        <v>-86.497361497288793</v>
      </c>
      <c r="BA41" s="431">
        <v>4.9901585247195595</v>
      </c>
      <c r="BB41" s="431">
        <v>5.7769718002969688</v>
      </c>
      <c r="BC41" s="431">
        <v>4.9497703029320155</v>
      </c>
      <c r="BD41" s="431">
        <v>19.593995332440805</v>
      </c>
      <c r="BE41" s="431"/>
      <c r="BF41" s="431">
        <v>8064.0560546332463</v>
      </c>
      <c r="BG41" s="431"/>
      <c r="BH41" s="431">
        <v>382919.58170831372</v>
      </c>
      <c r="BI41" s="431">
        <v>370220.85757478961</v>
      </c>
      <c r="BJ41" s="431">
        <v>41817.859118568645</v>
      </c>
      <c r="BK41" s="431">
        <v>532369.98915043601</v>
      </c>
      <c r="BL41" s="431">
        <v>60133.222506918079</v>
      </c>
      <c r="BM41" s="431">
        <v>25729.614203990935</v>
      </c>
      <c r="BN41" s="431">
        <v>527176.13559774891</v>
      </c>
      <c r="BO41" s="431">
        <v>59546.556921484727</v>
      </c>
      <c r="BP41" s="431">
        <v>355262.20478076226</v>
      </c>
      <c r="BQ41" s="431">
        <v>831.13803759415521</v>
      </c>
      <c r="BR41" s="431">
        <v>0</v>
      </c>
      <c r="BS41" s="431">
        <v>0</v>
      </c>
      <c r="BT41" s="431">
        <v>0</v>
      </c>
      <c r="BU41" s="431">
        <v>0</v>
      </c>
      <c r="BV41" s="431">
        <v>771.96910772160402</v>
      </c>
      <c r="BW41" s="431">
        <v>1274.4994598590947</v>
      </c>
      <c r="BX41" s="431">
        <v>1179.9066311503386</v>
      </c>
      <c r="BY41" s="431">
        <v>980.3841998916115</v>
      </c>
      <c r="BZ41" s="431">
        <v>0</v>
      </c>
      <c r="CA41" s="431">
        <v>0</v>
      </c>
      <c r="CB41" s="431">
        <v>0</v>
      </c>
      <c r="CC41" s="432"/>
      <c r="CD41" s="428">
        <v>41743.432896759259</v>
      </c>
      <c r="CE41" s="433">
        <v>0.30759941944884495</v>
      </c>
      <c r="CF41" s="433">
        <v>0.21368653957671949</v>
      </c>
      <c r="CG41" s="433">
        <v>0.16794913607715128</v>
      </c>
      <c r="CH41" s="433"/>
      <c r="CI41" s="433">
        <v>0.15098113338820573</v>
      </c>
      <c r="CJ41" s="433"/>
      <c r="CK41" s="433">
        <v>0.25899628896575483</v>
      </c>
      <c r="CL41" s="433">
        <v>0.27649961398917294</v>
      </c>
      <c r="CM41" s="433">
        <v>0.20129058533430333</v>
      </c>
      <c r="CN41" s="433">
        <v>0.20203138400313336</v>
      </c>
      <c r="CO41" s="433">
        <v>0.14170471559769959</v>
      </c>
      <c r="CP41" s="433">
        <v>0.6472517576995086</v>
      </c>
      <c r="CQ41" s="433">
        <v>0.67663897658204775</v>
      </c>
      <c r="CR41" s="433">
        <v>0.47764154429191003</v>
      </c>
      <c r="CS41" s="433"/>
      <c r="CT41" s="433">
        <v>0.44773699730205768</v>
      </c>
      <c r="CU41" s="433"/>
      <c r="CV41" s="433">
        <v>0.47651872850367988</v>
      </c>
      <c r="CW41" s="433">
        <v>0.47402386605078112</v>
      </c>
      <c r="CX41" s="433">
        <v>0.39912436248524713</v>
      </c>
      <c r="CY41" s="433">
        <v>0.29692854969420929</v>
      </c>
      <c r="CZ41" s="433">
        <v>0.25001150066075878</v>
      </c>
      <c r="DA41" s="433">
        <v>0.80602184361489149</v>
      </c>
      <c r="DB41" s="433">
        <v>0.29692854969420929</v>
      </c>
      <c r="DC41" s="433">
        <v>0.25001150066075878</v>
      </c>
      <c r="DD41" s="433">
        <v>0.34337347757319564</v>
      </c>
      <c r="DE41" s="433">
        <v>0.40827675582953776</v>
      </c>
      <c r="DF41" s="433">
        <v>0</v>
      </c>
      <c r="DG41" s="433">
        <v>0</v>
      </c>
      <c r="DH41" s="433">
        <v>0</v>
      </c>
      <c r="DI41" s="433">
        <v>0</v>
      </c>
      <c r="DJ41" s="433">
        <v>0.34684189653858144</v>
      </c>
      <c r="DK41" s="433">
        <v>0.33404461840598543</v>
      </c>
      <c r="DL41" s="433">
        <v>0.2837797335315666</v>
      </c>
      <c r="DM41" s="433">
        <v>0.40827675582953776</v>
      </c>
      <c r="DN41" s="433">
        <v>0</v>
      </c>
      <c r="DO41" s="433">
        <v>0</v>
      </c>
      <c r="DP41" s="433">
        <v>0</v>
      </c>
      <c r="DR41" s="409" t="s">
        <v>855</v>
      </c>
      <c r="DS41" s="409" t="s">
        <v>2032</v>
      </c>
    </row>
    <row r="42" spans="2:123" s="1471" customFormat="1">
      <c r="B42" s="428">
        <v>41758.673905902775</v>
      </c>
      <c r="C42" s="429">
        <v>1.4180614173249078</v>
      </c>
      <c r="D42" s="429">
        <v>1.4164193317069305</v>
      </c>
      <c r="E42" s="429">
        <v>1.4624378468761952</v>
      </c>
      <c r="F42" s="429"/>
      <c r="G42" s="429">
        <v>1.4515705868268747</v>
      </c>
      <c r="H42" s="429"/>
      <c r="I42" s="429">
        <v>1.3757282544438871</v>
      </c>
      <c r="J42" s="429">
        <v>1.4750717572022811</v>
      </c>
      <c r="K42" s="429">
        <v>1.3988563631251159</v>
      </c>
      <c r="L42" s="429">
        <v>1.4762854015745379</v>
      </c>
      <c r="M42" s="429">
        <v>1.1384697429740336</v>
      </c>
      <c r="N42" s="429">
        <v>1.2408998637156461</v>
      </c>
      <c r="O42" s="429">
        <v>1.052962472237174</v>
      </c>
      <c r="P42" s="429">
        <v>1.1088222482708074</v>
      </c>
      <c r="Q42" s="429"/>
      <c r="R42" s="429">
        <v>11.673487001496168</v>
      </c>
      <c r="S42" s="429"/>
      <c r="T42" s="429">
        <v>3165.5943485029593</v>
      </c>
      <c r="U42" s="429">
        <v>3291.8697621157121</v>
      </c>
      <c r="V42" s="429">
        <v>3127.3276279745942</v>
      </c>
      <c r="W42" s="429">
        <v>974.25394993154873</v>
      </c>
      <c r="X42" s="429">
        <v>227.39997901793427</v>
      </c>
      <c r="Y42" s="429">
        <v>106.29639923220947</v>
      </c>
      <c r="Z42" s="429">
        <v>87.331447290993779</v>
      </c>
      <c r="AA42" s="429">
        <v>306.74850291162033</v>
      </c>
      <c r="AB42" s="429">
        <v>186.93883851551254</v>
      </c>
      <c r="AC42" s="429">
        <v>259.65000022069</v>
      </c>
      <c r="AD42" s="429">
        <v>3.2934689479679067</v>
      </c>
      <c r="AE42" s="429">
        <v>0</v>
      </c>
      <c r="AF42" s="429">
        <v>0</v>
      </c>
      <c r="AG42" s="429">
        <v>0</v>
      </c>
      <c r="AH42" s="429">
        <v>3.1895246198396299</v>
      </c>
      <c r="AI42" s="429">
        <v>6.3774589253330101</v>
      </c>
      <c r="AJ42" s="429">
        <v>6.5033233488726561</v>
      </c>
      <c r="AK42" s="429">
        <v>7.0007984140961357</v>
      </c>
      <c r="AL42" s="429">
        <v>0</v>
      </c>
      <c r="AM42" s="429">
        <v>0</v>
      </c>
      <c r="AN42" s="429">
        <v>0</v>
      </c>
      <c r="AO42" s="432"/>
      <c r="AP42" s="428">
        <v>41758.673905902775</v>
      </c>
      <c r="AQ42" s="431">
        <v>94.244484550959783</v>
      </c>
      <c r="AR42" s="431">
        <v>124.99206695553173</v>
      </c>
      <c r="AS42" s="431">
        <v>205.58165309813026</v>
      </c>
      <c r="AT42" s="431"/>
      <c r="AU42" s="431">
        <v>21.672362258313328</v>
      </c>
      <c r="AV42" s="431"/>
      <c r="AW42" s="431">
        <v>12.512708968895206</v>
      </c>
      <c r="AX42" s="431">
        <v>31.51751537090572</v>
      </c>
      <c r="AY42" s="431">
        <v>117.18257733512266</v>
      </c>
      <c r="AZ42" s="431">
        <v>-86.497361497288793</v>
      </c>
      <c r="BA42" s="431">
        <v>4.9901585247195595</v>
      </c>
      <c r="BB42" s="431">
        <v>5.7769718002969688</v>
      </c>
      <c r="BC42" s="431">
        <v>4.9497703029320155</v>
      </c>
      <c r="BD42" s="431">
        <v>19.593995332440805</v>
      </c>
      <c r="BE42" s="431"/>
      <c r="BF42" s="431">
        <v>8064.0560546332463</v>
      </c>
      <c r="BG42" s="431"/>
      <c r="BH42" s="431">
        <v>382919.58170831372</v>
      </c>
      <c r="BI42" s="431">
        <v>370220.85757478961</v>
      </c>
      <c r="BJ42" s="431">
        <v>41817.859118568645</v>
      </c>
      <c r="BK42" s="431">
        <v>343009.57756284473</v>
      </c>
      <c r="BL42" s="431">
        <v>532369.98915043601</v>
      </c>
      <c r="BM42" s="431">
        <v>60133.222506918079</v>
      </c>
      <c r="BN42" s="431">
        <v>25729.614203990935</v>
      </c>
      <c r="BO42" s="431">
        <v>527176.13559774891</v>
      </c>
      <c r="BP42" s="431">
        <v>59546.556921484727</v>
      </c>
      <c r="BQ42" s="431">
        <v>355262.20478076226</v>
      </c>
      <c r="BR42" s="431">
        <v>831.13803759415521</v>
      </c>
      <c r="BS42" s="431">
        <v>0</v>
      </c>
      <c r="BT42" s="431">
        <v>0</v>
      </c>
      <c r="BU42" s="431">
        <v>0</v>
      </c>
      <c r="BV42" s="431">
        <v>771.96910772160402</v>
      </c>
      <c r="BW42" s="431">
        <v>1274.4994598590947</v>
      </c>
      <c r="BX42" s="431">
        <v>1179.9066311503386</v>
      </c>
      <c r="BY42" s="431">
        <v>980.3841998916115</v>
      </c>
      <c r="BZ42" s="431">
        <v>0</v>
      </c>
      <c r="CA42" s="431">
        <v>0</v>
      </c>
      <c r="CB42" s="431">
        <v>0</v>
      </c>
      <c r="CC42" s="432"/>
      <c r="CD42" s="428">
        <v>41758.673905902775</v>
      </c>
      <c r="CE42" s="433">
        <v>0.30759941944884495</v>
      </c>
      <c r="CF42" s="433">
        <v>0.21368653957671949</v>
      </c>
      <c r="CG42" s="433">
        <v>0.16794913607715128</v>
      </c>
      <c r="CH42" s="433"/>
      <c r="CI42" s="433">
        <v>0.15098113338820573</v>
      </c>
      <c r="CJ42" s="433"/>
      <c r="CK42" s="433">
        <v>0.25899628896575483</v>
      </c>
      <c r="CL42" s="433">
        <v>0.27649961398917294</v>
      </c>
      <c r="CM42" s="433">
        <v>0.20129058533430333</v>
      </c>
      <c r="CN42" s="433">
        <v>0.20203138400313336</v>
      </c>
      <c r="CO42" s="433">
        <v>0.14170471559769959</v>
      </c>
      <c r="CP42" s="433">
        <v>0.6472517576995086</v>
      </c>
      <c r="CQ42" s="433">
        <v>0.67663897658204775</v>
      </c>
      <c r="CR42" s="433">
        <v>0.47764154429191003</v>
      </c>
      <c r="CS42" s="433"/>
      <c r="CT42" s="433">
        <v>0.44773699730205768</v>
      </c>
      <c r="CU42" s="433"/>
      <c r="CV42" s="433">
        <v>0.47651872850367988</v>
      </c>
      <c r="CW42" s="433">
        <v>0.47402386605078112</v>
      </c>
      <c r="CX42" s="433">
        <v>0.39912436248524713</v>
      </c>
      <c r="CY42" s="433">
        <v>0.40410385706493002</v>
      </c>
      <c r="CZ42" s="433">
        <v>0.29692854969420929</v>
      </c>
      <c r="DA42" s="433">
        <v>0.25001150066075878</v>
      </c>
      <c r="DB42" s="433">
        <v>0.80602184361489149</v>
      </c>
      <c r="DC42" s="433">
        <v>0.29692854969420929</v>
      </c>
      <c r="DD42" s="433">
        <v>0.25001150066075878</v>
      </c>
      <c r="DE42" s="433">
        <v>0.34337347757319564</v>
      </c>
      <c r="DF42" s="433">
        <v>0.40827675582953776</v>
      </c>
      <c r="DG42" s="433">
        <v>0</v>
      </c>
      <c r="DH42" s="433">
        <v>0</v>
      </c>
      <c r="DI42" s="433">
        <v>0</v>
      </c>
      <c r="DJ42" s="433">
        <v>0.34684189653858144</v>
      </c>
      <c r="DK42" s="433">
        <v>0.33404461840598543</v>
      </c>
      <c r="DL42" s="433">
        <v>0.2837797335315666</v>
      </c>
      <c r="DM42" s="433">
        <v>0.40827675582953776</v>
      </c>
      <c r="DN42" s="433">
        <v>0</v>
      </c>
      <c r="DO42" s="433">
        <v>0</v>
      </c>
      <c r="DP42" s="433">
        <v>0</v>
      </c>
      <c r="DR42" s="409" t="s">
        <v>855</v>
      </c>
      <c r="DS42" s="409" t="s">
        <v>2051</v>
      </c>
    </row>
    <row r="43" spans="2:123" s="1471" customFormat="1">
      <c r="B43" s="428">
        <v>41761.602901736114</v>
      </c>
      <c r="C43" s="429">
        <v>1.4180614173249078</v>
      </c>
      <c r="D43" s="429">
        <v>1.4164193317069305</v>
      </c>
      <c r="E43" s="429">
        <v>1.4624378468761952</v>
      </c>
      <c r="F43" s="429"/>
      <c r="G43" s="429">
        <v>1.4515705868268747</v>
      </c>
      <c r="H43" s="429"/>
      <c r="I43" s="429">
        <v>1.3774731037781562</v>
      </c>
      <c r="J43" s="429">
        <v>1.4750717572022811</v>
      </c>
      <c r="K43" s="429">
        <v>1.3988563631251159</v>
      </c>
      <c r="L43" s="429">
        <v>1.4762854015745379</v>
      </c>
      <c r="M43" s="429">
        <v>1.1384697429740336</v>
      </c>
      <c r="N43" s="429">
        <v>1.2408998637156461</v>
      </c>
      <c r="O43" s="429">
        <v>1.052962472237174</v>
      </c>
      <c r="P43" s="429">
        <v>1.1088222482708074</v>
      </c>
      <c r="Q43" s="429"/>
      <c r="R43" s="429">
        <v>11.673487001496168</v>
      </c>
      <c r="S43" s="429"/>
      <c r="T43" s="429">
        <v>3165.5943485029593</v>
      </c>
      <c r="U43" s="429">
        <v>3291.8697621157121</v>
      </c>
      <c r="V43" s="429">
        <v>3133.9018087252016</v>
      </c>
      <c r="W43" s="429">
        <v>974.25394993154873</v>
      </c>
      <c r="X43" s="429">
        <v>227.39997901793427</v>
      </c>
      <c r="Y43" s="429">
        <v>106.66909360018639</v>
      </c>
      <c r="Z43" s="429">
        <v>87.331447290993779</v>
      </c>
      <c r="AA43" s="429">
        <v>306.74850291162033</v>
      </c>
      <c r="AB43" s="429">
        <v>187.29905874032283</v>
      </c>
      <c r="AC43" s="429">
        <v>259.65000022069</v>
      </c>
      <c r="AD43" s="429">
        <v>3.2934689479679067</v>
      </c>
      <c r="AE43" s="429">
        <v>0</v>
      </c>
      <c r="AF43" s="429">
        <v>0</v>
      </c>
      <c r="AG43" s="429">
        <v>0</v>
      </c>
      <c r="AH43" s="429">
        <v>3.1895246198396299</v>
      </c>
      <c r="AI43" s="429">
        <v>6.3774589253330101</v>
      </c>
      <c r="AJ43" s="429">
        <v>6.5033233488726561</v>
      </c>
      <c r="AK43" s="429">
        <v>7.0007984140961357</v>
      </c>
      <c r="AL43" s="429">
        <v>0</v>
      </c>
      <c r="AM43" s="429">
        <v>0</v>
      </c>
      <c r="AN43" s="429">
        <v>0</v>
      </c>
      <c r="AO43" s="432"/>
      <c r="AP43" s="428">
        <v>41761.602901736114</v>
      </c>
      <c r="AQ43" s="431">
        <v>94.244484550959783</v>
      </c>
      <c r="AR43" s="431">
        <v>124.99206695553173</v>
      </c>
      <c r="AS43" s="431">
        <v>205.58165309813026</v>
      </c>
      <c r="AT43" s="431"/>
      <c r="AU43" s="431">
        <v>21.672362258313328</v>
      </c>
      <c r="AV43" s="431"/>
      <c r="AW43" s="431">
        <v>12.642792891134588</v>
      </c>
      <c r="AX43" s="431">
        <v>31.51751537090572</v>
      </c>
      <c r="AY43" s="431">
        <v>117.18257733512266</v>
      </c>
      <c r="AZ43" s="431">
        <v>-86.497361497288793</v>
      </c>
      <c r="BA43" s="431">
        <v>4.9901585247195595</v>
      </c>
      <c r="BB43" s="431">
        <v>5.7769718002969688</v>
      </c>
      <c r="BC43" s="431">
        <v>4.9497703029320155</v>
      </c>
      <c r="BD43" s="431">
        <v>19.593995332440805</v>
      </c>
      <c r="BE43" s="431"/>
      <c r="BF43" s="431">
        <v>8064.0560546332463</v>
      </c>
      <c r="BG43" s="431"/>
      <c r="BH43" s="431">
        <v>382919.58170831372</v>
      </c>
      <c r="BI43" s="431">
        <v>370220.85757478961</v>
      </c>
      <c r="BJ43" s="431">
        <v>42340.543837089972</v>
      </c>
      <c r="BK43" s="431">
        <v>343009.57756284473</v>
      </c>
      <c r="BL43" s="431">
        <v>532369.98915043601</v>
      </c>
      <c r="BM43" s="431">
        <v>60884.832396623126</v>
      </c>
      <c r="BN43" s="431">
        <v>25729.614203990935</v>
      </c>
      <c r="BO43" s="431">
        <v>527176.13559774891</v>
      </c>
      <c r="BP43" s="431">
        <v>60290.834031778017</v>
      </c>
      <c r="BQ43" s="431">
        <v>355262.20478076226</v>
      </c>
      <c r="BR43" s="431">
        <v>831.13803759415521</v>
      </c>
      <c r="BS43" s="431">
        <v>0</v>
      </c>
      <c r="BT43" s="431">
        <v>0</v>
      </c>
      <c r="BU43" s="431">
        <v>0</v>
      </c>
      <c r="BV43" s="431">
        <v>771.96910772160402</v>
      </c>
      <c r="BW43" s="431">
        <v>1274.4994598590947</v>
      </c>
      <c r="BX43" s="431">
        <v>1179.9066311503386</v>
      </c>
      <c r="BY43" s="431">
        <v>980.3841998916115</v>
      </c>
      <c r="BZ43" s="431">
        <v>0</v>
      </c>
      <c r="CA43" s="431">
        <v>0</v>
      </c>
      <c r="CB43" s="431">
        <v>0</v>
      </c>
      <c r="CC43" s="432"/>
      <c r="CD43" s="428">
        <v>41761.602901736114</v>
      </c>
      <c r="CE43" s="433">
        <v>0.30759941944884495</v>
      </c>
      <c r="CF43" s="433">
        <v>0.21368653957671949</v>
      </c>
      <c r="CG43" s="433">
        <v>0.16794913607715128</v>
      </c>
      <c r="CH43" s="433"/>
      <c r="CI43" s="433">
        <v>0.15098113338820573</v>
      </c>
      <c r="CJ43" s="433"/>
      <c r="CK43" s="433">
        <v>0.25899628896575483</v>
      </c>
      <c r="CL43" s="433">
        <v>0.27649961398917294</v>
      </c>
      <c r="CM43" s="433">
        <v>0.20129058533430333</v>
      </c>
      <c r="CN43" s="433">
        <v>0.20203138400313336</v>
      </c>
      <c r="CO43" s="433">
        <v>0.14170471559769959</v>
      </c>
      <c r="CP43" s="433">
        <v>0.6472517576995086</v>
      </c>
      <c r="CQ43" s="433">
        <v>0.67663897658204775</v>
      </c>
      <c r="CR43" s="433">
        <v>0.47764154429191003</v>
      </c>
      <c r="CS43" s="433"/>
      <c r="CT43" s="433">
        <v>0.44773699730205768</v>
      </c>
      <c r="CU43" s="433"/>
      <c r="CV43" s="433">
        <v>0.47651872850367988</v>
      </c>
      <c r="CW43" s="433">
        <v>0.47402386605078112</v>
      </c>
      <c r="CX43" s="433">
        <v>0.39912436248524713</v>
      </c>
      <c r="CY43" s="433">
        <v>0.40410385706493002</v>
      </c>
      <c r="CZ43" s="433">
        <v>0.29692854969420929</v>
      </c>
      <c r="DA43" s="433">
        <v>0.25001150066075878</v>
      </c>
      <c r="DB43" s="433">
        <v>0.80602184361489149</v>
      </c>
      <c r="DC43" s="433">
        <v>0.29692854969420929</v>
      </c>
      <c r="DD43" s="433">
        <v>0.25001150066075878</v>
      </c>
      <c r="DE43" s="433">
        <v>0.34337347757319564</v>
      </c>
      <c r="DF43" s="433">
        <v>0.40827675582953776</v>
      </c>
      <c r="DG43" s="433">
        <v>0</v>
      </c>
      <c r="DH43" s="433">
        <v>0</v>
      </c>
      <c r="DI43" s="433">
        <v>0</v>
      </c>
      <c r="DJ43" s="433">
        <v>0.34684189653858144</v>
      </c>
      <c r="DK43" s="433">
        <v>0.33404461840598543</v>
      </c>
      <c r="DL43" s="433">
        <v>0.2837797335315666</v>
      </c>
      <c r="DM43" s="433">
        <v>0.40827675582953776</v>
      </c>
      <c r="DN43" s="433">
        <v>0</v>
      </c>
      <c r="DO43" s="433">
        <v>0</v>
      </c>
      <c r="DP43" s="433">
        <v>0</v>
      </c>
      <c r="DR43" s="409" t="s">
        <v>855</v>
      </c>
      <c r="DS43" s="409" t="s">
        <v>2060</v>
      </c>
    </row>
    <row r="44" spans="2:123" s="1471" customFormat="1">
      <c r="B44" s="428">
        <v>41765.914219328704</v>
      </c>
      <c r="C44" s="429">
        <v>1.4180614173249078</v>
      </c>
      <c r="D44" s="429">
        <v>1.4164193317069305</v>
      </c>
      <c r="E44" s="429">
        <v>1.4624378468761952</v>
      </c>
      <c r="F44" s="429"/>
      <c r="G44" s="429">
        <v>1.4590161427529564</v>
      </c>
      <c r="H44" s="429"/>
      <c r="I44" s="429">
        <v>1.3835910986287359</v>
      </c>
      <c r="J44" s="429">
        <v>1.4807296125090006</v>
      </c>
      <c r="K44" s="429">
        <v>1.3878077131725413</v>
      </c>
      <c r="L44" s="429">
        <v>1.4652367516219633</v>
      </c>
      <c r="M44" s="429">
        <v>1.1392935699491231</v>
      </c>
      <c r="N44" s="429">
        <v>1.2426507763846775</v>
      </c>
      <c r="O44" s="429">
        <v>1.052962472237174</v>
      </c>
      <c r="P44" s="429">
        <v>1.1088222482708074</v>
      </c>
      <c r="Q44" s="429"/>
      <c r="R44" s="429">
        <v>11.673487001496168</v>
      </c>
      <c r="S44" s="429"/>
      <c r="T44" s="429">
        <v>3165.5943485029593</v>
      </c>
      <c r="U44" s="429">
        <v>3291.8697621157121</v>
      </c>
      <c r="V44" s="429">
        <v>3156.9275294497993</v>
      </c>
      <c r="W44" s="429">
        <v>949.25962749987366</v>
      </c>
      <c r="X44" s="429">
        <v>227.39997901793427</v>
      </c>
      <c r="Y44" s="429">
        <v>107.41030105154817</v>
      </c>
      <c r="Z44" s="429">
        <v>87.331447290993779</v>
      </c>
      <c r="AA44" s="429">
        <v>306.74850291162033</v>
      </c>
      <c r="AB44" s="429">
        <v>188.0015308643944</v>
      </c>
      <c r="AC44" s="429">
        <v>259.43956182319016</v>
      </c>
      <c r="AD44" s="429">
        <v>3.2934689479679067</v>
      </c>
      <c r="AE44" s="429">
        <v>0</v>
      </c>
      <c r="AF44" s="429">
        <v>0</v>
      </c>
      <c r="AG44" s="429">
        <v>0</v>
      </c>
      <c r="AH44" s="429">
        <v>3.1107778783594613</v>
      </c>
      <c r="AI44" s="429">
        <v>6.3774589253330092</v>
      </c>
      <c r="AJ44" s="429">
        <v>6.3827530015040397</v>
      </c>
      <c r="AK44" s="429">
        <v>7.0007984140961357</v>
      </c>
      <c r="AL44" s="429">
        <v>0</v>
      </c>
      <c r="AM44" s="429">
        <v>0</v>
      </c>
      <c r="AN44" s="429">
        <v>0</v>
      </c>
      <c r="AO44" s="432"/>
      <c r="AP44" s="428">
        <v>41765.914219328704</v>
      </c>
      <c r="AQ44" s="431">
        <v>94.244484550959783</v>
      </c>
      <c r="AR44" s="431">
        <v>124.99206695553173</v>
      </c>
      <c r="AS44" s="431">
        <v>205.58165309813026</v>
      </c>
      <c r="AT44" s="431"/>
      <c r="AU44" s="431">
        <v>21.815646762726821</v>
      </c>
      <c r="AV44" s="431"/>
      <c r="AW44" s="431">
        <v>12.868733589248569</v>
      </c>
      <c r="AX44" s="431">
        <v>31.918984165131459</v>
      </c>
      <c r="AY44" s="431">
        <v>117.18257733512266</v>
      </c>
      <c r="AZ44" s="431">
        <v>-86.497361497288793</v>
      </c>
      <c r="BA44" s="431">
        <v>5.0674256560626958</v>
      </c>
      <c r="BB44" s="431">
        <v>5.8081514556183542</v>
      </c>
      <c r="BC44" s="431">
        <v>4.9497703029320155</v>
      </c>
      <c r="BD44" s="431">
        <v>19.593995332440805</v>
      </c>
      <c r="BE44" s="431"/>
      <c r="BF44" s="431">
        <v>8064.0560546332463</v>
      </c>
      <c r="BG44" s="431"/>
      <c r="BH44" s="431">
        <v>382919.58170831372</v>
      </c>
      <c r="BI44" s="431">
        <v>370220.85757478961</v>
      </c>
      <c r="BJ44" s="431">
        <v>43248.386621680169</v>
      </c>
      <c r="BK44" s="431">
        <v>343009.57756284473</v>
      </c>
      <c r="BL44" s="431">
        <v>532369.98915043601</v>
      </c>
      <c r="BM44" s="431">
        <v>62190.291674494722</v>
      </c>
      <c r="BN44" s="431">
        <v>25729.614203990935</v>
      </c>
      <c r="BO44" s="431">
        <v>527176.13559774891</v>
      </c>
      <c r="BP44" s="431">
        <v>61583.557121572812</v>
      </c>
      <c r="BQ44" s="431">
        <v>355262.20478076226</v>
      </c>
      <c r="BR44" s="431">
        <v>831.13803759415543</v>
      </c>
      <c r="BS44" s="431">
        <v>0</v>
      </c>
      <c r="BT44" s="431">
        <v>0</v>
      </c>
      <c r="BU44" s="431">
        <v>0</v>
      </c>
      <c r="BV44" s="431">
        <v>771.96910772160402</v>
      </c>
      <c r="BW44" s="431">
        <v>1274.4994598590949</v>
      </c>
      <c r="BX44" s="431">
        <v>1179.9066311503391</v>
      </c>
      <c r="BY44" s="431">
        <v>980.38419989161173</v>
      </c>
      <c r="BZ44" s="431">
        <v>0</v>
      </c>
      <c r="CA44" s="431">
        <v>0</v>
      </c>
      <c r="CB44" s="431">
        <v>0</v>
      </c>
      <c r="CC44" s="432"/>
      <c r="CD44" s="428">
        <v>41765.914219328704</v>
      </c>
      <c r="CE44" s="433">
        <v>0.30759941944884495</v>
      </c>
      <c r="CF44" s="433">
        <v>0.21368653957671949</v>
      </c>
      <c r="CG44" s="433">
        <v>0.16794913607715128</v>
      </c>
      <c r="CH44" s="433"/>
      <c r="CI44" s="433">
        <v>0.15098113338820573</v>
      </c>
      <c r="CJ44" s="433"/>
      <c r="CK44" s="433">
        <v>0.25899628896575483</v>
      </c>
      <c r="CL44" s="433">
        <v>0.27649961398917294</v>
      </c>
      <c r="CM44" s="433">
        <v>0.20129058533430333</v>
      </c>
      <c r="CN44" s="433">
        <v>0.20203138400313336</v>
      </c>
      <c r="CO44" s="433">
        <v>0.14170471559769959</v>
      </c>
      <c r="CP44" s="433">
        <v>0.6472517576995086</v>
      </c>
      <c r="CQ44" s="433">
        <v>0.67663897658204775</v>
      </c>
      <c r="CR44" s="433">
        <v>0.47764154429191003</v>
      </c>
      <c r="CS44" s="433"/>
      <c r="CT44" s="433">
        <v>0.44773699730205768</v>
      </c>
      <c r="CU44" s="433"/>
      <c r="CV44" s="433">
        <v>0.47651872850367988</v>
      </c>
      <c r="CW44" s="433">
        <v>0.47402386605078112</v>
      </c>
      <c r="CX44" s="433">
        <v>0.39912436248524713</v>
      </c>
      <c r="CY44" s="433">
        <v>0.40410385706493002</v>
      </c>
      <c r="CZ44" s="433">
        <v>0.29692854969420929</v>
      </c>
      <c r="DA44" s="433">
        <v>0.25001150066075878</v>
      </c>
      <c r="DB44" s="433">
        <v>0.80602184361489149</v>
      </c>
      <c r="DC44" s="433">
        <v>0.29692854969420929</v>
      </c>
      <c r="DD44" s="433">
        <v>0.25001150066075878</v>
      </c>
      <c r="DE44" s="433">
        <v>0.34337347757319564</v>
      </c>
      <c r="DF44" s="433">
        <v>0.40827675582953776</v>
      </c>
      <c r="DG44" s="433">
        <v>0</v>
      </c>
      <c r="DH44" s="433">
        <v>0</v>
      </c>
      <c r="DI44" s="433">
        <v>0</v>
      </c>
      <c r="DJ44" s="433">
        <v>0.34684189653858144</v>
      </c>
      <c r="DK44" s="433">
        <v>0.33404461840598543</v>
      </c>
      <c r="DL44" s="433">
        <v>0.2837797335315666</v>
      </c>
      <c r="DM44" s="433">
        <v>0.40827675582953776</v>
      </c>
      <c r="DN44" s="433">
        <v>0</v>
      </c>
      <c r="DO44" s="433">
        <v>0</v>
      </c>
      <c r="DP44" s="433">
        <v>0</v>
      </c>
      <c r="DR44" s="409" t="s">
        <v>855</v>
      </c>
      <c r="DS44" s="409" t="s">
        <v>2076</v>
      </c>
    </row>
    <row r="45" spans="2:123" s="1471" customFormat="1">
      <c r="B45" s="428">
        <v>41765.919940972221</v>
      </c>
      <c r="C45" s="429">
        <v>1.4180614173249078</v>
      </c>
      <c r="D45" s="429">
        <v>1.4164193317069305</v>
      </c>
      <c r="E45" s="429">
        <v>1.4624378468761952</v>
      </c>
      <c r="F45" s="429"/>
      <c r="G45" s="429">
        <v>1.4590161427529564</v>
      </c>
      <c r="H45" s="429"/>
      <c r="I45" s="429">
        <v>1.3835910986287359</v>
      </c>
      <c r="J45" s="429">
        <v>1.4807296125090006</v>
      </c>
      <c r="K45" s="429">
        <v>1.3878077131725413</v>
      </c>
      <c r="L45" s="429">
        <v>1.4652367516219633</v>
      </c>
      <c r="M45" s="429">
        <v>1.1392935699491231</v>
      </c>
      <c r="N45" s="429">
        <v>1.2426507763846775</v>
      </c>
      <c r="O45" s="429">
        <v>1.052962472237174</v>
      </c>
      <c r="P45" s="429">
        <v>1.1088222482708074</v>
      </c>
      <c r="Q45" s="429"/>
      <c r="R45" s="429">
        <v>11.673487001496168</v>
      </c>
      <c r="S45" s="429"/>
      <c r="T45" s="429">
        <v>3199.3791457191819</v>
      </c>
      <c r="U45" s="429">
        <v>3325.6545593319347</v>
      </c>
      <c r="V45" s="429">
        <v>3190.7123266660219</v>
      </c>
      <c r="W45" s="429">
        <v>994.47163553923042</v>
      </c>
      <c r="X45" s="429">
        <v>227.39997901793427</v>
      </c>
      <c r="Y45" s="429">
        <v>107.41030105154817</v>
      </c>
      <c r="Z45" s="429">
        <v>87.331447290993779</v>
      </c>
      <c r="AA45" s="429">
        <v>306.74850291162033</v>
      </c>
      <c r="AB45" s="429">
        <v>188.0015308643944</v>
      </c>
      <c r="AC45" s="429">
        <v>259.43956182319016</v>
      </c>
      <c r="AD45" s="429">
        <v>3.2934689479679067</v>
      </c>
      <c r="AE45" s="429">
        <v>0</v>
      </c>
      <c r="AF45" s="429">
        <v>0</v>
      </c>
      <c r="AG45" s="429">
        <v>0</v>
      </c>
      <c r="AH45" s="429">
        <v>3.1107778783594613</v>
      </c>
      <c r="AI45" s="429">
        <v>6.3774589253330092</v>
      </c>
      <c r="AJ45" s="429">
        <v>6.3827530015040397</v>
      </c>
      <c r="AK45" s="429">
        <v>7.0007984140961357</v>
      </c>
      <c r="AL45" s="429">
        <v>0</v>
      </c>
      <c r="AM45" s="429">
        <v>0</v>
      </c>
      <c r="AN45" s="429">
        <v>0</v>
      </c>
      <c r="AO45" s="432"/>
      <c r="AP45" s="428">
        <v>41765.919940972221</v>
      </c>
      <c r="AQ45" s="431">
        <v>94.244484550959783</v>
      </c>
      <c r="AR45" s="431">
        <v>124.99206695553173</v>
      </c>
      <c r="AS45" s="431">
        <v>205.58165309813026</v>
      </c>
      <c r="AT45" s="431"/>
      <c r="AU45" s="431">
        <v>21.815646762726821</v>
      </c>
      <c r="AV45" s="431"/>
      <c r="AW45" s="431">
        <v>12.868733589248569</v>
      </c>
      <c r="AX45" s="431">
        <v>31.918984165131459</v>
      </c>
      <c r="AY45" s="431">
        <v>117.18257733512266</v>
      </c>
      <c r="AZ45" s="431">
        <v>-86.497361497288793</v>
      </c>
      <c r="BA45" s="431">
        <v>5.0674256560626958</v>
      </c>
      <c r="BB45" s="431">
        <v>5.8081514556183542</v>
      </c>
      <c r="BC45" s="431">
        <v>4.9497703029320155</v>
      </c>
      <c r="BD45" s="431">
        <v>19.593995332440805</v>
      </c>
      <c r="BE45" s="431"/>
      <c r="BF45" s="431">
        <v>8064.0560546332463</v>
      </c>
      <c r="BG45" s="431"/>
      <c r="BH45" s="431">
        <v>382919.58170831372</v>
      </c>
      <c r="BI45" s="431">
        <v>370220.85757478961</v>
      </c>
      <c r="BJ45" s="431">
        <v>43248.386621680169</v>
      </c>
      <c r="BK45" s="431">
        <v>343009.57756284473</v>
      </c>
      <c r="BL45" s="431">
        <v>532369.98915043601</v>
      </c>
      <c r="BM45" s="431">
        <v>62190.291674494722</v>
      </c>
      <c r="BN45" s="431">
        <v>25729.614203990935</v>
      </c>
      <c r="BO45" s="431">
        <v>527176.13559774891</v>
      </c>
      <c r="BP45" s="431">
        <v>61583.557121572812</v>
      </c>
      <c r="BQ45" s="431">
        <v>355262.20478076226</v>
      </c>
      <c r="BR45" s="431">
        <v>831.13803759415543</v>
      </c>
      <c r="BS45" s="431">
        <v>0</v>
      </c>
      <c r="BT45" s="431">
        <v>0</v>
      </c>
      <c r="BU45" s="431">
        <v>0</v>
      </c>
      <c r="BV45" s="431">
        <v>771.96910772160402</v>
      </c>
      <c r="BW45" s="431">
        <v>1274.4994598590949</v>
      </c>
      <c r="BX45" s="431">
        <v>1179.9066311503391</v>
      </c>
      <c r="BY45" s="431">
        <v>980.38419989161173</v>
      </c>
      <c r="BZ45" s="431">
        <v>0</v>
      </c>
      <c r="CA45" s="431">
        <v>0</v>
      </c>
      <c r="CB45" s="431">
        <v>0</v>
      </c>
      <c r="CC45" s="432"/>
      <c r="CD45" s="428">
        <v>41765.919940972221</v>
      </c>
      <c r="CE45" s="433">
        <v>0.30759941944884495</v>
      </c>
      <c r="CF45" s="433">
        <v>0.21368653957671949</v>
      </c>
      <c r="CG45" s="433">
        <v>0.16794913607715128</v>
      </c>
      <c r="CH45" s="433"/>
      <c r="CI45" s="433">
        <v>0.15098113338820573</v>
      </c>
      <c r="CJ45" s="433"/>
      <c r="CK45" s="433">
        <v>0.25899628896575483</v>
      </c>
      <c r="CL45" s="433">
        <v>0.27649961398917294</v>
      </c>
      <c r="CM45" s="433">
        <v>0.20129058533430333</v>
      </c>
      <c r="CN45" s="433">
        <v>0.20203138400313336</v>
      </c>
      <c r="CO45" s="433">
        <v>0.14170471559769959</v>
      </c>
      <c r="CP45" s="433">
        <v>0.6472517576995086</v>
      </c>
      <c r="CQ45" s="433">
        <v>0.67663897658204775</v>
      </c>
      <c r="CR45" s="433">
        <v>0.47764154429191003</v>
      </c>
      <c r="CS45" s="433"/>
      <c r="CT45" s="433">
        <v>0.44773699730205768</v>
      </c>
      <c r="CU45" s="433"/>
      <c r="CV45" s="433">
        <v>0.47651872850367988</v>
      </c>
      <c r="CW45" s="433">
        <v>0.47402386605078112</v>
      </c>
      <c r="CX45" s="433">
        <v>0.39912436248524713</v>
      </c>
      <c r="CY45" s="433">
        <v>0.40410385706493002</v>
      </c>
      <c r="CZ45" s="433">
        <v>0.29692854969420929</v>
      </c>
      <c r="DA45" s="433">
        <v>0.25001150066075878</v>
      </c>
      <c r="DB45" s="433">
        <v>0.80602184361489149</v>
      </c>
      <c r="DC45" s="433">
        <v>0.29692854969420929</v>
      </c>
      <c r="DD45" s="433">
        <v>0.25001150066075878</v>
      </c>
      <c r="DE45" s="433">
        <v>0.34337347757319564</v>
      </c>
      <c r="DF45" s="433">
        <v>0.40827675582953776</v>
      </c>
      <c r="DG45" s="433">
        <v>0</v>
      </c>
      <c r="DH45" s="433">
        <v>0</v>
      </c>
      <c r="DI45" s="433">
        <v>0</v>
      </c>
      <c r="DJ45" s="433">
        <v>0.34684189653858144</v>
      </c>
      <c r="DK45" s="433">
        <v>0.33404461840598543</v>
      </c>
      <c r="DL45" s="433">
        <v>0.2837797335315666</v>
      </c>
      <c r="DM45" s="433">
        <v>0.40827675582953776</v>
      </c>
      <c r="DN45" s="433">
        <v>0</v>
      </c>
      <c r="DO45" s="433">
        <v>0</v>
      </c>
      <c r="DP45" s="433">
        <v>0</v>
      </c>
      <c r="DR45" s="409" t="s">
        <v>855</v>
      </c>
      <c r="DS45" s="409" t="s">
        <v>2079</v>
      </c>
    </row>
    <row r="46" spans="2:123" s="1471" customFormat="1">
      <c r="B46" s="428">
        <v>41765.930322569446</v>
      </c>
      <c r="C46" s="429">
        <v>1.4180614173249078</v>
      </c>
      <c r="D46" s="429">
        <v>1.4164193317069305</v>
      </c>
      <c r="E46" s="429">
        <v>1.4624378468761952</v>
      </c>
      <c r="F46" s="429"/>
      <c r="G46" s="429">
        <v>1.4590161427529564</v>
      </c>
      <c r="H46" s="429"/>
      <c r="I46" s="429">
        <v>1.3835910986287359</v>
      </c>
      <c r="J46" s="429">
        <v>1.4807296125090006</v>
      </c>
      <c r="K46" s="429">
        <v>1.3878077131725413</v>
      </c>
      <c r="L46" s="429">
        <v>1.4652367516219633</v>
      </c>
      <c r="M46" s="429">
        <v>1.1392935699491231</v>
      </c>
      <c r="N46" s="429">
        <v>1.2426507763846775</v>
      </c>
      <c r="O46" s="429">
        <v>1.052962472237174</v>
      </c>
      <c r="P46" s="429">
        <v>1.1088222482708074</v>
      </c>
      <c r="Q46" s="429"/>
      <c r="R46" s="429">
        <v>11.673487001496168</v>
      </c>
      <c r="S46" s="429">
        <v>27.084015822062693</v>
      </c>
      <c r="T46" s="429">
        <v>3199.3791457191819</v>
      </c>
      <c r="U46" s="429">
        <v>3325.6545593319347</v>
      </c>
      <c r="V46" s="429">
        <v>3190.7123266660219</v>
      </c>
      <c r="W46" s="429">
        <v>994.47163553923042</v>
      </c>
      <c r="X46" s="429">
        <v>227.39997901793427</v>
      </c>
      <c r="Y46" s="429">
        <v>107.41030105154817</v>
      </c>
      <c r="Z46" s="429">
        <v>87.331447290993779</v>
      </c>
      <c r="AA46" s="429">
        <v>306.74850291162033</v>
      </c>
      <c r="AB46" s="429">
        <v>188.0015308643944</v>
      </c>
      <c r="AC46" s="429">
        <v>259.43956182319016</v>
      </c>
      <c r="AD46" s="429">
        <v>3.2934689479679067</v>
      </c>
      <c r="AE46" s="429">
        <v>0</v>
      </c>
      <c r="AF46" s="429">
        <v>0</v>
      </c>
      <c r="AG46" s="429">
        <v>0</v>
      </c>
      <c r="AH46" s="429">
        <v>3.1107778783594613</v>
      </c>
      <c r="AI46" s="429">
        <v>6.3774589253330092</v>
      </c>
      <c r="AJ46" s="429">
        <v>6.3827530015040397</v>
      </c>
      <c r="AK46" s="429">
        <v>7.0007984140961357</v>
      </c>
      <c r="AL46" s="429">
        <v>0</v>
      </c>
      <c r="AM46" s="429">
        <v>0</v>
      </c>
      <c r="AN46" s="429">
        <v>0</v>
      </c>
      <c r="AO46" s="432"/>
      <c r="AP46" s="428">
        <v>41765.930322569446</v>
      </c>
      <c r="AQ46" s="431">
        <v>94.244484550959783</v>
      </c>
      <c r="AR46" s="431">
        <v>124.99206695553173</v>
      </c>
      <c r="AS46" s="431">
        <v>205.58165309813026</v>
      </c>
      <c r="AT46" s="431"/>
      <c r="AU46" s="431">
        <v>21.815646762726821</v>
      </c>
      <c r="AV46" s="431"/>
      <c r="AW46" s="431">
        <v>12.868733589248569</v>
      </c>
      <c r="AX46" s="431">
        <v>31.918984165131459</v>
      </c>
      <c r="AY46" s="431">
        <v>117.18257733512266</v>
      </c>
      <c r="AZ46" s="431">
        <v>-86.497361497288793</v>
      </c>
      <c r="BA46" s="431">
        <v>5.0674256560626958</v>
      </c>
      <c r="BB46" s="431">
        <v>5.8081514556183542</v>
      </c>
      <c r="BC46" s="431">
        <v>4.9497703029320155</v>
      </c>
      <c r="BD46" s="431">
        <v>19.593995332440805</v>
      </c>
      <c r="BE46" s="431"/>
      <c r="BF46" s="431">
        <v>8064.0560546332463</v>
      </c>
      <c r="BG46" s="431">
        <v>1717.059264382696</v>
      </c>
      <c r="BH46" s="431">
        <v>382919.58170831372</v>
      </c>
      <c r="BI46" s="431">
        <v>370220.85757478961</v>
      </c>
      <c r="BJ46" s="431">
        <v>43248.386621680169</v>
      </c>
      <c r="BK46" s="431">
        <v>343009.57756284473</v>
      </c>
      <c r="BL46" s="431">
        <v>532369.98915043601</v>
      </c>
      <c r="BM46" s="431">
        <v>62190.291674494722</v>
      </c>
      <c r="BN46" s="431">
        <v>25729.614203990935</v>
      </c>
      <c r="BO46" s="431">
        <v>527176.13559774891</v>
      </c>
      <c r="BP46" s="431">
        <v>61583.557121572812</v>
      </c>
      <c r="BQ46" s="431">
        <v>355262.20478076226</v>
      </c>
      <c r="BR46" s="431">
        <v>831.13803759415543</v>
      </c>
      <c r="BS46" s="431">
        <v>0</v>
      </c>
      <c r="BT46" s="431">
        <v>0</v>
      </c>
      <c r="BU46" s="431">
        <v>0</v>
      </c>
      <c r="BV46" s="431">
        <v>771.96910772160402</v>
      </c>
      <c r="BW46" s="431">
        <v>1274.4994598590949</v>
      </c>
      <c r="BX46" s="431">
        <v>1179.9066311503391</v>
      </c>
      <c r="BY46" s="431">
        <v>980.38419989161173</v>
      </c>
      <c r="BZ46" s="431">
        <v>0</v>
      </c>
      <c r="CA46" s="431">
        <v>0</v>
      </c>
      <c r="CB46" s="431">
        <v>0</v>
      </c>
      <c r="CC46" s="432"/>
      <c r="CD46" s="428">
        <v>41765.930322569446</v>
      </c>
      <c r="CE46" s="433">
        <v>0.30759941944884495</v>
      </c>
      <c r="CF46" s="433">
        <v>0.21368653957671949</v>
      </c>
      <c r="CG46" s="433">
        <v>0.16794913607715128</v>
      </c>
      <c r="CH46" s="433"/>
      <c r="CI46" s="433">
        <v>0.15098113338820573</v>
      </c>
      <c r="CJ46" s="433"/>
      <c r="CK46" s="433">
        <v>0.25899628896575483</v>
      </c>
      <c r="CL46" s="433">
        <v>0.27649961398917294</v>
      </c>
      <c r="CM46" s="433">
        <v>0.20129058533430333</v>
      </c>
      <c r="CN46" s="433">
        <v>0.20203138400313336</v>
      </c>
      <c r="CO46" s="433">
        <v>0.14170471559769959</v>
      </c>
      <c r="CP46" s="433">
        <v>0.6472517576995086</v>
      </c>
      <c r="CQ46" s="433">
        <v>0.67663897658204775</v>
      </c>
      <c r="CR46" s="433">
        <v>0.47764154429191003</v>
      </c>
      <c r="CS46" s="433"/>
      <c r="CT46" s="433">
        <v>0.44773699730205768</v>
      </c>
      <c r="CU46" s="433">
        <v>0.36269681480068267</v>
      </c>
      <c r="CV46" s="433">
        <v>0.47651872850367988</v>
      </c>
      <c r="CW46" s="433">
        <v>0.47402386605078112</v>
      </c>
      <c r="CX46" s="433">
        <v>0.39912436248524713</v>
      </c>
      <c r="CY46" s="433">
        <v>0.40410385706493002</v>
      </c>
      <c r="CZ46" s="433">
        <v>0.29692854969420929</v>
      </c>
      <c r="DA46" s="433">
        <v>0.25001150066075878</v>
      </c>
      <c r="DB46" s="433">
        <v>0.80602184361489149</v>
      </c>
      <c r="DC46" s="433">
        <v>0.29692854969420929</v>
      </c>
      <c r="DD46" s="433">
        <v>0.25001150066075878</v>
      </c>
      <c r="DE46" s="433">
        <v>0.34337347757319564</v>
      </c>
      <c r="DF46" s="433">
        <v>0.40827675582953776</v>
      </c>
      <c r="DG46" s="433">
        <v>0</v>
      </c>
      <c r="DH46" s="433">
        <v>0</v>
      </c>
      <c r="DI46" s="433">
        <v>0</v>
      </c>
      <c r="DJ46" s="433">
        <v>0.34684189653858144</v>
      </c>
      <c r="DK46" s="433">
        <v>0.33404461840598543</v>
      </c>
      <c r="DL46" s="433">
        <v>0.2837797335315666</v>
      </c>
      <c r="DM46" s="433">
        <v>0.40827675582953776</v>
      </c>
      <c r="DN46" s="433">
        <v>0</v>
      </c>
      <c r="DO46" s="433">
        <v>0</v>
      </c>
      <c r="DP46" s="433">
        <v>0</v>
      </c>
      <c r="DR46" s="409" t="s">
        <v>855</v>
      </c>
      <c r="DS46" s="409" t="s">
        <v>2081</v>
      </c>
    </row>
    <row r="47" spans="2:123" s="1471" customFormat="1">
      <c r="B47" s="428">
        <v>41766.594944328703</v>
      </c>
      <c r="C47" s="429">
        <v>1.4180614173249078</v>
      </c>
      <c r="D47" s="429">
        <v>1.4164193317069305</v>
      </c>
      <c r="E47" s="429">
        <v>1.4527739586906496</v>
      </c>
      <c r="F47" s="429">
        <v>1.3945267039959455</v>
      </c>
      <c r="G47" s="429">
        <v>1.3925857797901418</v>
      </c>
      <c r="H47" s="429"/>
      <c r="I47" s="429">
        <v>1.3835910986287359</v>
      </c>
      <c r="J47" s="429">
        <v>1.4807296125090006</v>
      </c>
      <c r="K47" s="429">
        <v>1.3878077131725413</v>
      </c>
      <c r="L47" s="429">
        <v>1.4652367516219633</v>
      </c>
      <c r="M47" s="429">
        <v>1.1392935699491231</v>
      </c>
      <c r="N47" s="429">
        <v>1.2426507763846775</v>
      </c>
      <c r="O47" s="429">
        <v>1.052962472237174</v>
      </c>
      <c r="P47" s="429">
        <v>1.1088222482708074</v>
      </c>
      <c r="Q47" s="429">
        <v>0</v>
      </c>
      <c r="R47" s="429">
        <v>11.673487001496168</v>
      </c>
      <c r="S47" s="429">
        <v>27.084015822062693</v>
      </c>
      <c r="T47" s="429">
        <v>3199.3791457191819</v>
      </c>
      <c r="U47" s="429">
        <v>3325.6545593319347</v>
      </c>
      <c r="V47" s="429">
        <v>3190.7123266660219</v>
      </c>
      <c r="W47" s="429">
        <v>994.47163553923042</v>
      </c>
      <c r="X47" s="429">
        <v>227.39997901793427</v>
      </c>
      <c r="Y47" s="429">
        <v>107.41030105154817</v>
      </c>
      <c r="Z47" s="429">
        <v>87.331447290993779</v>
      </c>
      <c r="AA47" s="429">
        <v>306.74850291162033</v>
      </c>
      <c r="AB47" s="429">
        <v>188.0015308643944</v>
      </c>
      <c r="AC47" s="429">
        <v>259.43956182319016</v>
      </c>
      <c r="AD47" s="429">
        <v>3.2934689479679067</v>
      </c>
      <c r="AE47" s="429">
        <v>0</v>
      </c>
      <c r="AF47" s="429">
        <v>0</v>
      </c>
      <c r="AG47" s="429">
        <v>0</v>
      </c>
      <c r="AH47" s="429">
        <v>3.1107778783594613</v>
      </c>
      <c r="AI47" s="429">
        <v>6.3774589253330092</v>
      </c>
      <c r="AJ47" s="429">
        <v>6.3827530015040397</v>
      </c>
      <c r="AK47" s="429">
        <v>7.0007984140961357</v>
      </c>
      <c r="AL47" s="429">
        <v>0</v>
      </c>
      <c r="AM47" s="429">
        <v>0</v>
      </c>
      <c r="AN47" s="429">
        <v>0</v>
      </c>
      <c r="AO47" s="432"/>
      <c r="AP47" s="428">
        <v>41766.594944328703</v>
      </c>
      <c r="AQ47" s="431">
        <v>94.244484550959783</v>
      </c>
      <c r="AR47" s="431">
        <v>124.99206695553173</v>
      </c>
      <c r="AS47" s="431">
        <v>188.65784000818462</v>
      </c>
      <c r="AT47" s="431">
        <v>106.50933409421776</v>
      </c>
      <c r="AU47" s="431">
        <v>17.402360942554186</v>
      </c>
      <c r="AV47" s="431"/>
      <c r="AW47" s="431">
        <v>12.868733589248569</v>
      </c>
      <c r="AX47" s="431">
        <v>31.918984165131459</v>
      </c>
      <c r="AY47" s="431">
        <v>117.18257733512266</v>
      </c>
      <c r="AZ47" s="431">
        <v>-86.497361497288793</v>
      </c>
      <c r="BA47" s="431">
        <v>5.0674256560626958</v>
      </c>
      <c r="BB47" s="431">
        <v>5.8081514556183542</v>
      </c>
      <c r="BC47" s="431">
        <v>4.9497703029320155</v>
      </c>
      <c r="BD47" s="431">
        <v>19.593995332440805</v>
      </c>
      <c r="BE47" s="431">
        <v>0</v>
      </c>
      <c r="BF47" s="431">
        <v>8064.0560546332463</v>
      </c>
      <c r="BG47" s="431">
        <v>1717.059264382696</v>
      </c>
      <c r="BH47" s="431">
        <v>382919.58170831372</v>
      </c>
      <c r="BI47" s="431">
        <v>370220.85757478961</v>
      </c>
      <c r="BJ47" s="431">
        <v>43248.386621680169</v>
      </c>
      <c r="BK47" s="431">
        <v>343009.57756284473</v>
      </c>
      <c r="BL47" s="431">
        <v>532369.98915043601</v>
      </c>
      <c r="BM47" s="431">
        <v>62190.291674494722</v>
      </c>
      <c r="BN47" s="431">
        <v>25729.614203990935</v>
      </c>
      <c r="BO47" s="431">
        <v>527176.13559774891</v>
      </c>
      <c r="BP47" s="431">
        <v>61583.557121572812</v>
      </c>
      <c r="BQ47" s="431">
        <v>355262.20478076226</v>
      </c>
      <c r="BR47" s="431">
        <v>831.13803759415543</v>
      </c>
      <c r="BS47" s="431">
        <v>0</v>
      </c>
      <c r="BT47" s="431">
        <v>0</v>
      </c>
      <c r="BU47" s="431">
        <v>0</v>
      </c>
      <c r="BV47" s="431">
        <v>771.96910772160402</v>
      </c>
      <c r="BW47" s="431">
        <v>1274.4994598590949</v>
      </c>
      <c r="BX47" s="431">
        <v>1179.9066311503391</v>
      </c>
      <c r="BY47" s="431">
        <v>980.38419989161173</v>
      </c>
      <c r="BZ47" s="431">
        <v>0</v>
      </c>
      <c r="CA47" s="431">
        <v>0</v>
      </c>
      <c r="CB47" s="431">
        <v>0</v>
      </c>
      <c r="CC47" s="432"/>
      <c r="CD47" s="428">
        <v>41766.594944328703</v>
      </c>
      <c r="CE47" s="433">
        <v>0.30759941944884495</v>
      </c>
      <c r="CF47" s="433">
        <v>0.21368653957671949</v>
      </c>
      <c r="CG47" s="433">
        <v>0.17755399081206061</v>
      </c>
      <c r="CH47" s="433">
        <v>0.17976551824741191</v>
      </c>
      <c r="CI47" s="433">
        <v>0.11927509537668253</v>
      </c>
      <c r="CJ47" s="433"/>
      <c r="CK47" s="433">
        <v>0.25899628896575483</v>
      </c>
      <c r="CL47" s="433">
        <v>0.27649961398917294</v>
      </c>
      <c r="CM47" s="433">
        <v>0.20129058533430333</v>
      </c>
      <c r="CN47" s="433">
        <v>0.20203138400313336</v>
      </c>
      <c r="CO47" s="433">
        <v>0.14170471559769959</v>
      </c>
      <c r="CP47" s="433">
        <v>0.6472517576995086</v>
      </c>
      <c r="CQ47" s="433">
        <v>0.67663897658204775</v>
      </c>
      <c r="CR47" s="433">
        <v>0.47764154429191003</v>
      </c>
      <c r="CS47" s="433">
        <v>0</v>
      </c>
      <c r="CT47" s="433">
        <v>0.44773699730205768</v>
      </c>
      <c r="CU47" s="433">
        <v>0.36269681480068267</v>
      </c>
      <c r="CV47" s="433">
        <v>0.47651872850367988</v>
      </c>
      <c r="CW47" s="433">
        <v>0.47402386605078112</v>
      </c>
      <c r="CX47" s="433">
        <v>0.39912436248524713</v>
      </c>
      <c r="CY47" s="433">
        <v>0.40410385706493002</v>
      </c>
      <c r="CZ47" s="433">
        <v>0.29692854969420929</v>
      </c>
      <c r="DA47" s="433">
        <v>0.25001150066075878</v>
      </c>
      <c r="DB47" s="433">
        <v>0.80602184361489149</v>
      </c>
      <c r="DC47" s="433">
        <v>0.29692854969420929</v>
      </c>
      <c r="DD47" s="433">
        <v>0.25001150066075878</v>
      </c>
      <c r="DE47" s="433">
        <v>0.34337347757319564</v>
      </c>
      <c r="DF47" s="433">
        <v>0.40827675582953776</v>
      </c>
      <c r="DG47" s="433">
        <v>0</v>
      </c>
      <c r="DH47" s="433">
        <v>0</v>
      </c>
      <c r="DI47" s="433">
        <v>0</v>
      </c>
      <c r="DJ47" s="433">
        <v>0.34684189653858144</v>
      </c>
      <c r="DK47" s="433">
        <v>0.33404461840598543</v>
      </c>
      <c r="DL47" s="433">
        <v>0.2837797335315666</v>
      </c>
      <c r="DM47" s="433">
        <v>0.40827675582953776</v>
      </c>
      <c r="DN47" s="433">
        <v>0</v>
      </c>
      <c r="DO47" s="433">
        <v>0</v>
      </c>
      <c r="DP47" s="433">
        <v>0</v>
      </c>
      <c r="DR47" s="409" t="s">
        <v>855</v>
      </c>
      <c r="DS47" s="409" t="s">
        <v>2085</v>
      </c>
    </row>
    <row r="48" spans="2:123" s="1471" customFormat="1">
      <c r="B48" s="428">
        <v>41766.601242708333</v>
      </c>
      <c r="C48" s="429">
        <v>1.4180614173249078</v>
      </c>
      <c r="D48" s="429">
        <v>1.4164193317069305</v>
      </c>
      <c r="E48" s="429">
        <v>1.4527739586906496</v>
      </c>
      <c r="F48" s="429">
        <v>1.3945267039959455</v>
      </c>
      <c r="G48" s="429">
        <v>1.3925857797901418</v>
      </c>
      <c r="H48" s="429">
        <v>1.4297218758396797</v>
      </c>
      <c r="I48" s="429">
        <v>1.3835910986287359</v>
      </c>
      <c r="J48" s="429">
        <v>1.4807296125090006</v>
      </c>
      <c r="K48" s="429">
        <v>1.3878077131725413</v>
      </c>
      <c r="L48" s="429">
        <v>1.4652367516219633</v>
      </c>
      <c r="M48" s="429">
        <v>1.1392935699491231</v>
      </c>
      <c r="N48" s="429">
        <v>1.2426507763846775</v>
      </c>
      <c r="O48" s="429">
        <v>1.052962472237174</v>
      </c>
      <c r="P48" s="429">
        <v>1.1088222482708074</v>
      </c>
      <c r="Q48" s="429">
        <v>0</v>
      </c>
      <c r="R48" s="429">
        <v>11.673487001496168</v>
      </c>
      <c r="S48" s="429">
        <v>27.084015822062693</v>
      </c>
      <c r="T48" s="429">
        <v>3199.3791457191819</v>
      </c>
      <c r="U48" s="429">
        <v>3325.6545593319347</v>
      </c>
      <c r="V48" s="429">
        <v>3190.7123266660219</v>
      </c>
      <c r="W48" s="429">
        <v>994.47163553923042</v>
      </c>
      <c r="X48" s="429">
        <v>227.39997901793427</v>
      </c>
      <c r="Y48" s="429">
        <v>107.41030105154817</v>
      </c>
      <c r="Z48" s="429">
        <v>87.331447290993779</v>
      </c>
      <c r="AA48" s="429">
        <v>306.74850291162033</v>
      </c>
      <c r="AB48" s="429">
        <v>188.0015308643944</v>
      </c>
      <c r="AC48" s="429">
        <v>259.43956182319016</v>
      </c>
      <c r="AD48" s="429">
        <v>3.2934689479679067</v>
      </c>
      <c r="AE48" s="429">
        <v>0</v>
      </c>
      <c r="AF48" s="429">
        <v>0</v>
      </c>
      <c r="AG48" s="429">
        <v>0</v>
      </c>
      <c r="AH48" s="429">
        <v>3.1107778783594613</v>
      </c>
      <c r="AI48" s="429">
        <v>6.3774589253330092</v>
      </c>
      <c r="AJ48" s="429">
        <v>6.3827530015040397</v>
      </c>
      <c r="AK48" s="429">
        <v>7.0007984140961357</v>
      </c>
      <c r="AL48" s="429">
        <v>0</v>
      </c>
      <c r="AM48" s="429">
        <v>0</v>
      </c>
      <c r="AN48" s="429">
        <v>0</v>
      </c>
      <c r="AO48" s="432"/>
      <c r="AP48" s="428">
        <v>41766.601242708333</v>
      </c>
      <c r="AQ48" s="431">
        <v>94.244484550959783</v>
      </c>
      <c r="AR48" s="431">
        <v>124.99206695553173</v>
      </c>
      <c r="AS48" s="431">
        <v>188.65784000818462</v>
      </c>
      <c r="AT48" s="431">
        <v>106.50933409421776</v>
      </c>
      <c r="AU48" s="431">
        <v>17.402360942554186</v>
      </c>
      <c r="AV48" s="431">
        <v>191.80403841464874</v>
      </c>
      <c r="AW48" s="431">
        <v>12.868733589248569</v>
      </c>
      <c r="AX48" s="431">
        <v>31.918984165131459</v>
      </c>
      <c r="AY48" s="431">
        <v>117.18257733512266</v>
      </c>
      <c r="AZ48" s="431">
        <v>-86.497361497288793</v>
      </c>
      <c r="BA48" s="431">
        <v>5.0674256560626958</v>
      </c>
      <c r="BB48" s="431">
        <v>5.8081514556183542</v>
      </c>
      <c r="BC48" s="431">
        <v>4.9497703029320155</v>
      </c>
      <c r="BD48" s="431">
        <v>19.593995332440805</v>
      </c>
      <c r="BE48" s="431">
        <v>0</v>
      </c>
      <c r="BF48" s="431">
        <v>8064.0560546332463</v>
      </c>
      <c r="BG48" s="431">
        <v>1717.059264382696</v>
      </c>
      <c r="BH48" s="431">
        <v>382919.58170831372</v>
      </c>
      <c r="BI48" s="431">
        <v>370220.85757478961</v>
      </c>
      <c r="BJ48" s="431">
        <v>43248.386621680169</v>
      </c>
      <c r="BK48" s="431">
        <v>343009.57756284473</v>
      </c>
      <c r="BL48" s="431">
        <v>532369.98915043601</v>
      </c>
      <c r="BM48" s="431">
        <v>62190.291674494722</v>
      </c>
      <c r="BN48" s="431">
        <v>25729.614203990935</v>
      </c>
      <c r="BO48" s="431">
        <v>527176.13559774891</v>
      </c>
      <c r="BP48" s="431">
        <v>61583.557121572812</v>
      </c>
      <c r="BQ48" s="431">
        <v>355262.20478076226</v>
      </c>
      <c r="BR48" s="431">
        <v>831.13803759415543</v>
      </c>
      <c r="BS48" s="431">
        <v>0</v>
      </c>
      <c r="BT48" s="431">
        <v>0</v>
      </c>
      <c r="BU48" s="431">
        <v>0</v>
      </c>
      <c r="BV48" s="431">
        <v>771.96910772160402</v>
      </c>
      <c r="BW48" s="431">
        <v>1274.4994598590949</v>
      </c>
      <c r="BX48" s="431">
        <v>1179.9066311503391</v>
      </c>
      <c r="BY48" s="431">
        <v>980.38419989161173</v>
      </c>
      <c r="BZ48" s="431">
        <v>0</v>
      </c>
      <c r="CA48" s="431">
        <v>0</v>
      </c>
      <c r="CB48" s="431">
        <v>0</v>
      </c>
      <c r="CC48" s="432"/>
      <c r="CD48" s="428">
        <v>41766.601242708333</v>
      </c>
      <c r="CE48" s="433">
        <v>0.30759941944884495</v>
      </c>
      <c r="CF48" s="433">
        <v>0.21368653957671949</v>
      </c>
      <c r="CG48" s="433">
        <v>0.17755399081206061</v>
      </c>
      <c r="CH48" s="433">
        <v>0.17976551824741191</v>
      </c>
      <c r="CI48" s="433">
        <v>0.11927509537668253</v>
      </c>
      <c r="CJ48" s="433">
        <v>0.26105311102355799</v>
      </c>
      <c r="CK48" s="433">
        <v>0.25899628896575483</v>
      </c>
      <c r="CL48" s="433">
        <v>0.27649961398917294</v>
      </c>
      <c r="CM48" s="433">
        <v>0.20129058533430333</v>
      </c>
      <c r="CN48" s="433">
        <v>0.20203138400313336</v>
      </c>
      <c r="CO48" s="433">
        <v>0.14170471559769959</v>
      </c>
      <c r="CP48" s="433">
        <v>0.6472517576995086</v>
      </c>
      <c r="CQ48" s="433">
        <v>0.67663897658204775</v>
      </c>
      <c r="CR48" s="433">
        <v>0.47764154429191003</v>
      </c>
      <c r="CS48" s="433">
        <v>0</v>
      </c>
      <c r="CT48" s="433">
        <v>0.44773699730205768</v>
      </c>
      <c r="CU48" s="433">
        <v>0.36269681480068267</v>
      </c>
      <c r="CV48" s="433">
        <v>0.47651872850367988</v>
      </c>
      <c r="CW48" s="433">
        <v>0.47402386605078112</v>
      </c>
      <c r="CX48" s="433">
        <v>0.39912436248524713</v>
      </c>
      <c r="CY48" s="433">
        <v>0.40410385706493002</v>
      </c>
      <c r="CZ48" s="433">
        <v>0.29692854969420929</v>
      </c>
      <c r="DA48" s="433">
        <v>0.25001150066075878</v>
      </c>
      <c r="DB48" s="433">
        <v>0.80602184361489149</v>
      </c>
      <c r="DC48" s="433">
        <v>0.29692854969420929</v>
      </c>
      <c r="DD48" s="433">
        <v>0.25001150066075878</v>
      </c>
      <c r="DE48" s="433">
        <v>0.34337347757319564</v>
      </c>
      <c r="DF48" s="433">
        <v>0.40827675582953776</v>
      </c>
      <c r="DG48" s="433">
        <v>0</v>
      </c>
      <c r="DH48" s="433">
        <v>0</v>
      </c>
      <c r="DI48" s="433">
        <v>0</v>
      </c>
      <c r="DJ48" s="433">
        <v>0.34684189653858144</v>
      </c>
      <c r="DK48" s="433">
        <v>0.33404461840598543</v>
      </c>
      <c r="DL48" s="433">
        <v>0.2837797335315666</v>
      </c>
      <c r="DM48" s="433">
        <v>0.40827675582953776</v>
      </c>
      <c r="DN48" s="433">
        <v>0</v>
      </c>
      <c r="DO48" s="433">
        <v>0</v>
      </c>
      <c r="DP48" s="433">
        <v>0</v>
      </c>
      <c r="DR48" s="409" t="s">
        <v>855</v>
      </c>
      <c r="DS48" s="409" t="s">
        <v>2089</v>
      </c>
    </row>
    <row r="49" spans="2:123" s="1471" customFormat="1">
      <c r="B49" s="428">
        <v>41766.684394791664</v>
      </c>
      <c r="C49" s="429">
        <v>1.4180614173249078</v>
      </c>
      <c r="D49" s="429">
        <v>1.4164193317069305</v>
      </c>
      <c r="E49" s="429">
        <v>1.4527739586906496</v>
      </c>
      <c r="F49" s="429">
        <v>1.3945267039959455</v>
      </c>
      <c r="G49" s="429">
        <v>1.3925857797901418</v>
      </c>
      <c r="H49" s="429">
        <v>1.4324586333396796</v>
      </c>
      <c r="I49" s="429">
        <v>1.4541125996740862</v>
      </c>
      <c r="J49" s="429">
        <v>1.5092364099493805</v>
      </c>
      <c r="K49" s="429">
        <v>1.3878077131725413</v>
      </c>
      <c r="L49" s="429">
        <v>1.4652367516219633</v>
      </c>
      <c r="M49" s="429">
        <v>1.142550227864942</v>
      </c>
      <c r="N49" s="429">
        <v>1.2426507763846775</v>
      </c>
      <c r="O49" s="429">
        <v>1.052962472237174</v>
      </c>
      <c r="P49" s="429">
        <v>1.1088222482708074</v>
      </c>
      <c r="Q49" s="429">
        <v>2966.9659260463641</v>
      </c>
      <c r="R49" s="429">
        <v>11.673487001496168</v>
      </c>
      <c r="S49" s="429">
        <v>13.646875134883464</v>
      </c>
      <c r="T49" s="429">
        <v>3199.3791457191819</v>
      </c>
      <c r="U49" s="429">
        <v>3325.6545593319347</v>
      </c>
      <c r="V49" s="429">
        <v>3456.0636426533501</v>
      </c>
      <c r="W49" s="429">
        <v>994.47163553923042</v>
      </c>
      <c r="X49" s="429">
        <v>227.39997901793427</v>
      </c>
      <c r="Y49" s="429">
        <v>114.53550985210512</v>
      </c>
      <c r="Z49" s="429" t="e">
        <v>#N/A</v>
      </c>
      <c r="AA49" s="429">
        <v>306.74850291162033</v>
      </c>
      <c r="AB49" s="429">
        <v>194.6927902572925</v>
      </c>
      <c r="AC49" s="429">
        <v>259.43956182319016</v>
      </c>
      <c r="AD49" s="429">
        <v>3.2934689479679067</v>
      </c>
      <c r="AE49" s="429">
        <v>0</v>
      </c>
      <c r="AF49" s="429">
        <v>0</v>
      </c>
      <c r="AG49" s="429">
        <v>0</v>
      </c>
      <c r="AH49" s="429">
        <v>3.1107778783594613</v>
      </c>
      <c r="AI49" s="429">
        <v>6.3774589253330092</v>
      </c>
      <c r="AJ49" s="429">
        <v>6.3827530015040397</v>
      </c>
      <c r="AK49" s="429">
        <v>7.0007984140961357</v>
      </c>
      <c r="AL49" s="429">
        <v>0</v>
      </c>
      <c r="AM49" s="429">
        <v>0</v>
      </c>
      <c r="AN49" s="429">
        <v>0</v>
      </c>
      <c r="AO49" s="432"/>
      <c r="AP49" s="428">
        <v>41766.684394791664</v>
      </c>
      <c r="AQ49" s="431">
        <v>94.244484550959783</v>
      </c>
      <c r="AR49" s="431">
        <v>124.99206695553173</v>
      </c>
      <c r="AS49" s="431">
        <v>188.65784000818462</v>
      </c>
      <c r="AT49" s="431">
        <v>106.50933409421776</v>
      </c>
      <c r="AU49" s="431">
        <v>17.402360942554186</v>
      </c>
      <c r="AV49" s="431">
        <v>191.80403841464874</v>
      </c>
      <c r="AW49" s="431">
        <v>14.895791083549907</v>
      </c>
      <c r="AX49" s="431">
        <v>33.634622307444218</v>
      </c>
      <c r="AY49" s="431">
        <v>117.18257733512266</v>
      </c>
      <c r="AZ49" s="431">
        <v>-86.497361497288793</v>
      </c>
      <c r="BA49" s="431">
        <v>5.3324331454911755</v>
      </c>
      <c r="BB49" s="431">
        <v>5.8081514556183542</v>
      </c>
      <c r="BC49" s="431">
        <v>4.9497703029320155</v>
      </c>
      <c r="BD49" s="431">
        <v>19.593995332440805</v>
      </c>
      <c r="BE49" s="431">
        <v>363764.78399354819</v>
      </c>
      <c r="BF49" s="431">
        <v>8064.0560546332463</v>
      </c>
      <c r="BG49" s="431">
        <v>1179.5874788817077</v>
      </c>
      <c r="BH49" s="431">
        <v>382919.58170831372</v>
      </c>
      <c r="BI49" s="431">
        <v>370220.85757478961</v>
      </c>
      <c r="BJ49" s="431">
        <v>51393.220799463459</v>
      </c>
      <c r="BK49" s="431">
        <v>343009.57756284473</v>
      </c>
      <c r="BL49" s="431">
        <v>532369.98915043601</v>
      </c>
      <c r="BM49" s="431">
        <v>73902.395933727734</v>
      </c>
      <c r="BN49" s="431">
        <v>25729.614203990935</v>
      </c>
      <c r="BO49" s="431">
        <v>527176.13559774891</v>
      </c>
      <c r="BP49" s="431">
        <v>73181.396949008442</v>
      </c>
      <c r="BQ49" s="431">
        <v>355262.20478076226</v>
      </c>
      <c r="BR49" s="431">
        <v>831.13803759415543</v>
      </c>
      <c r="BS49" s="431">
        <v>0</v>
      </c>
      <c r="BT49" s="431">
        <v>0</v>
      </c>
      <c r="BU49" s="431">
        <v>0</v>
      </c>
      <c r="BV49" s="431">
        <v>771.96910772160402</v>
      </c>
      <c r="BW49" s="431">
        <v>1274.4994598590949</v>
      </c>
      <c r="BX49" s="431">
        <v>1179.9066311503391</v>
      </c>
      <c r="BY49" s="431">
        <v>980.38419989161173</v>
      </c>
      <c r="BZ49" s="431">
        <v>0</v>
      </c>
      <c r="CA49" s="431">
        <v>0</v>
      </c>
      <c r="CB49" s="431">
        <v>0</v>
      </c>
      <c r="CC49" s="432"/>
      <c r="CD49" s="428">
        <v>41766.684394791664</v>
      </c>
      <c r="CE49" s="433">
        <v>0.30759941944884495</v>
      </c>
      <c r="CF49" s="433">
        <v>0.21368653957671949</v>
      </c>
      <c r="CG49" s="433">
        <v>0.17755399081206061</v>
      </c>
      <c r="CH49" s="433">
        <v>0.17976551824741191</v>
      </c>
      <c r="CI49" s="433">
        <v>0.11927509537668253</v>
      </c>
      <c r="CJ49" s="433">
        <v>0.26105311102355799</v>
      </c>
      <c r="CK49" s="433">
        <v>0.25899628896575483</v>
      </c>
      <c r="CL49" s="433">
        <v>0.27649961398917294</v>
      </c>
      <c r="CM49" s="433">
        <v>0.20129058533430333</v>
      </c>
      <c r="CN49" s="433">
        <v>0.20203138400313336</v>
      </c>
      <c r="CO49" s="433">
        <v>0.14170471559769959</v>
      </c>
      <c r="CP49" s="433">
        <v>0.6472517576995086</v>
      </c>
      <c r="CQ49" s="433">
        <v>0.67663897658204775</v>
      </c>
      <c r="CR49" s="433">
        <v>0.47764154429191003</v>
      </c>
      <c r="CS49" s="433">
        <v>0.39482980361733477</v>
      </c>
      <c r="CT49" s="433">
        <v>0.44773699730205768</v>
      </c>
      <c r="CU49" s="433">
        <v>0.36269681480068267</v>
      </c>
      <c r="CV49" s="433">
        <v>0.47651872850367988</v>
      </c>
      <c r="CW49" s="433">
        <v>0.47402386605078112</v>
      </c>
      <c r="CX49" s="433">
        <v>0.39912436248524713</v>
      </c>
      <c r="CY49" s="433">
        <v>0.40410385706493002</v>
      </c>
      <c r="CZ49" s="433">
        <v>0.29692854969420929</v>
      </c>
      <c r="DA49" s="433">
        <v>0.25001150066075878</v>
      </c>
      <c r="DB49" s="433">
        <v>0.80602184361489149</v>
      </c>
      <c r="DC49" s="433">
        <v>0.29692854969420929</v>
      </c>
      <c r="DD49" s="433">
        <v>0.25001150066075878</v>
      </c>
      <c r="DE49" s="433">
        <v>0.34337347757319564</v>
      </c>
      <c r="DF49" s="433">
        <v>0.40827675582953776</v>
      </c>
      <c r="DG49" s="433">
        <v>0</v>
      </c>
      <c r="DH49" s="433">
        <v>0</v>
      </c>
      <c r="DI49" s="433">
        <v>0</v>
      </c>
      <c r="DJ49" s="433">
        <v>0.34684189653858144</v>
      </c>
      <c r="DK49" s="433">
        <v>0.33404461840598543</v>
      </c>
      <c r="DL49" s="433">
        <v>0.2837797335315666</v>
      </c>
      <c r="DM49" s="433">
        <v>0.40827675582953776</v>
      </c>
      <c r="DN49" s="433">
        <v>0</v>
      </c>
      <c r="DO49" s="433">
        <v>0</v>
      </c>
      <c r="DP49" s="433">
        <v>0</v>
      </c>
      <c r="DR49" s="409" t="s">
        <v>855</v>
      </c>
      <c r="DS49" s="409" t="s">
        <v>2098</v>
      </c>
    </row>
    <row r="50" spans="2:123" s="1471" customFormat="1">
      <c r="B50" s="428">
        <v>41766.688692939817</v>
      </c>
      <c r="C50" s="429">
        <v>1.4180614173249078</v>
      </c>
      <c r="D50" s="429">
        <v>1.4164193317069305</v>
      </c>
      <c r="E50" s="429">
        <v>1.4527739586906496</v>
      </c>
      <c r="F50" s="429">
        <v>1.3945267039959455</v>
      </c>
      <c r="G50" s="429">
        <v>1.3925857797901418</v>
      </c>
      <c r="H50" s="429">
        <v>1.4324586333396796</v>
      </c>
      <c r="I50" s="429">
        <v>1.4541125996740862</v>
      </c>
      <c r="J50" s="429">
        <v>1.5092364099493805</v>
      </c>
      <c r="K50" s="429">
        <v>1.3878077131725413</v>
      </c>
      <c r="L50" s="429">
        <v>1.4652367516219633</v>
      </c>
      <c r="M50" s="429">
        <v>1.142550227864942</v>
      </c>
      <c r="N50" s="429">
        <v>1.2426507763846775</v>
      </c>
      <c r="O50" s="429">
        <v>1.052962472237174</v>
      </c>
      <c r="P50" s="429">
        <v>1.1088222482708074</v>
      </c>
      <c r="Q50" s="429">
        <v>2966.9659260463641</v>
      </c>
      <c r="R50" s="429">
        <v>11.673487001496168</v>
      </c>
      <c r="S50" s="429">
        <v>13.646875134883464</v>
      </c>
      <c r="T50" s="429">
        <v>3199.3791457191819</v>
      </c>
      <c r="U50" s="429">
        <v>3325.6545593319347</v>
      </c>
      <c r="V50" s="429">
        <v>3456.0636426533501</v>
      </c>
      <c r="W50" s="429">
        <v>994.47163553923042</v>
      </c>
      <c r="X50" s="429">
        <v>227.39997901793427</v>
      </c>
      <c r="Y50" s="429">
        <v>114.53550985210512</v>
      </c>
      <c r="Z50" s="429">
        <v>87.331447290993779</v>
      </c>
      <c r="AA50" s="429">
        <v>306.74850291162033</v>
      </c>
      <c r="AB50" s="429">
        <v>194.6927902572925</v>
      </c>
      <c r="AC50" s="429">
        <v>259.43956182319016</v>
      </c>
      <c r="AD50" s="429">
        <v>3.2934689479679067</v>
      </c>
      <c r="AE50" s="429">
        <v>0</v>
      </c>
      <c r="AF50" s="429">
        <v>0</v>
      </c>
      <c r="AG50" s="429">
        <v>0</v>
      </c>
      <c r="AH50" s="429">
        <v>3.1107778783594613</v>
      </c>
      <c r="AI50" s="429">
        <v>6.3774589253330092</v>
      </c>
      <c r="AJ50" s="429">
        <v>6.3827530015040397</v>
      </c>
      <c r="AK50" s="429">
        <v>7.0007984140961357</v>
      </c>
      <c r="AL50" s="429">
        <v>0</v>
      </c>
      <c r="AM50" s="429">
        <v>0</v>
      </c>
      <c r="AN50" s="429">
        <v>0</v>
      </c>
      <c r="AO50" s="432"/>
      <c r="AP50" s="428">
        <v>41766.688692939817</v>
      </c>
      <c r="AQ50" s="431">
        <v>94.244484550959783</v>
      </c>
      <c r="AR50" s="431">
        <v>124.99206695553173</v>
      </c>
      <c r="AS50" s="431">
        <v>188.65784000818462</v>
      </c>
      <c r="AT50" s="431">
        <v>106.50933409421776</v>
      </c>
      <c r="AU50" s="431">
        <v>17.402360942554186</v>
      </c>
      <c r="AV50" s="431">
        <v>191.80403841464874</v>
      </c>
      <c r="AW50" s="431">
        <v>14.895791083549907</v>
      </c>
      <c r="AX50" s="431">
        <v>33.634622307444218</v>
      </c>
      <c r="AY50" s="431">
        <v>117.18257733512266</v>
      </c>
      <c r="AZ50" s="431">
        <v>-86.497361497288793</v>
      </c>
      <c r="BA50" s="431">
        <v>5.3324331454911755</v>
      </c>
      <c r="BB50" s="431">
        <v>5.8081514556183542</v>
      </c>
      <c r="BC50" s="431">
        <v>4.9497703029320155</v>
      </c>
      <c r="BD50" s="431">
        <v>19.593995332440805</v>
      </c>
      <c r="BE50" s="431">
        <v>363764.78399354819</v>
      </c>
      <c r="BF50" s="431">
        <v>8064.0560546332463</v>
      </c>
      <c r="BG50" s="431">
        <v>1179.5874788817077</v>
      </c>
      <c r="BH50" s="431">
        <v>382919.58170831372</v>
      </c>
      <c r="BI50" s="431">
        <v>370220.85757478961</v>
      </c>
      <c r="BJ50" s="431">
        <v>51393.220799463459</v>
      </c>
      <c r="BK50" s="431">
        <v>343009.57756284473</v>
      </c>
      <c r="BL50" s="431">
        <v>532369.98915043601</v>
      </c>
      <c r="BM50" s="431">
        <v>73902.395933727734</v>
      </c>
      <c r="BN50" s="431">
        <v>25729.614203990935</v>
      </c>
      <c r="BO50" s="431">
        <v>527176.13559774891</v>
      </c>
      <c r="BP50" s="431">
        <v>73181.396949008442</v>
      </c>
      <c r="BQ50" s="431">
        <v>355262.20478076226</v>
      </c>
      <c r="BR50" s="431">
        <v>831.13803759415543</v>
      </c>
      <c r="BS50" s="431">
        <v>0</v>
      </c>
      <c r="BT50" s="431">
        <v>0</v>
      </c>
      <c r="BU50" s="431">
        <v>0</v>
      </c>
      <c r="BV50" s="431">
        <v>771.96910772160402</v>
      </c>
      <c r="BW50" s="431">
        <v>1274.4994598590949</v>
      </c>
      <c r="BX50" s="431">
        <v>1179.9066311503391</v>
      </c>
      <c r="BY50" s="431">
        <v>980.38419989161173</v>
      </c>
      <c r="BZ50" s="431">
        <v>0</v>
      </c>
      <c r="CA50" s="431">
        <v>0</v>
      </c>
      <c r="CB50" s="431">
        <v>0</v>
      </c>
      <c r="CC50" s="432"/>
      <c r="CD50" s="428">
        <v>41766.688692939817</v>
      </c>
      <c r="CE50" s="433">
        <v>0.30759941944884495</v>
      </c>
      <c r="CF50" s="433">
        <v>0.21368653957671949</v>
      </c>
      <c r="CG50" s="433">
        <v>0.17755399081206061</v>
      </c>
      <c r="CH50" s="433">
        <v>0.17976551824741191</v>
      </c>
      <c r="CI50" s="433">
        <v>0.11927509537668253</v>
      </c>
      <c r="CJ50" s="433">
        <v>0.26105311102355799</v>
      </c>
      <c r="CK50" s="433">
        <v>0.25899628896575483</v>
      </c>
      <c r="CL50" s="433">
        <v>0.27649961398917294</v>
      </c>
      <c r="CM50" s="433">
        <v>0.20129058533430333</v>
      </c>
      <c r="CN50" s="433">
        <v>0.20203138400313336</v>
      </c>
      <c r="CO50" s="433">
        <v>0.14170471559769959</v>
      </c>
      <c r="CP50" s="433">
        <v>0.6472517576995086</v>
      </c>
      <c r="CQ50" s="433">
        <v>0.67663897658204775</v>
      </c>
      <c r="CR50" s="433">
        <v>0.47764154429191003</v>
      </c>
      <c r="CS50" s="433">
        <v>0.39482980361733477</v>
      </c>
      <c r="CT50" s="433">
        <v>0.44773699730205768</v>
      </c>
      <c r="CU50" s="433">
        <v>0.36269681480068267</v>
      </c>
      <c r="CV50" s="433">
        <v>0.47651872850367988</v>
      </c>
      <c r="CW50" s="433">
        <v>0.47402386605078112</v>
      </c>
      <c r="CX50" s="433">
        <v>0.39912436248524713</v>
      </c>
      <c r="CY50" s="433">
        <v>0.40410385706493002</v>
      </c>
      <c r="CZ50" s="433">
        <v>0.29692854969420929</v>
      </c>
      <c r="DA50" s="433">
        <v>0.25001150066075878</v>
      </c>
      <c r="DB50" s="433">
        <v>0.80602184361489149</v>
      </c>
      <c r="DC50" s="433">
        <v>0.29692854969420929</v>
      </c>
      <c r="DD50" s="433">
        <v>0.25001150066075878</v>
      </c>
      <c r="DE50" s="433">
        <v>0.34337347757319564</v>
      </c>
      <c r="DF50" s="433">
        <v>0.40827675582953776</v>
      </c>
      <c r="DG50" s="433">
        <v>0</v>
      </c>
      <c r="DH50" s="433">
        <v>0</v>
      </c>
      <c r="DI50" s="433">
        <v>0</v>
      </c>
      <c r="DJ50" s="433">
        <v>0.34684189653858144</v>
      </c>
      <c r="DK50" s="433">
        <v>0.33404461840598543</v>
      </c>
      <c r="DL50" s="433">
        <v>0.2837797335315666</v>
      </c>
      <c r="DM50" s="433">
        <v>0.40827675582953776</v>
      </c>
      <c r="DN50" s="433">
        <v>0</v>
      </c>
      <c r="DO50" s="433">
        <v>0</v>
      </c>
      <c r="DP50" s="433">
        <v>0</v>
      </c>
      <c r="DR50" s="409" t="s">
        <v>855</v>
      </c>
      <c r="DS50" s="409" t="s">
        <v>2099</v>
      </c>
    </row>
    <row r="51" spans="2:123" s="1471" customFormat="1">
      <c r="B51" s="428">
        <v>41767.683654166663</v>
      </c>
      <c r="C51" s="429">
        <v>1.4180635752816066</v>
      </c>
      <c r="D51" s="429">
        <v>1.4164211119113557</v>
      </c>
      <c r="E51" s="429">
        <v>1.4527997034338973</v>
      </c>
      <c r="F51" s="429">
        <v>1.3945236284914961</v>
      </c>
      <c r="G51" s="429">
        <v>1.3925857797901418</v>
      </c>
      <c r="H51" s="429">
        <v>1.4324608845869597</v>
      </c>
      <c r="I51" s="429">
        <v>1.4541125996740862</v>
      </c>
      <c r="J51" s="429">
        <v>1.5092364099493805</v>
      </c>
      <c r="K51" s="429">
        <v>1.387388628819672</v>
      </c>
      <c r="L51" s="429">
        <v>1.4651867112842414</v>
      </c>
      <c r="M51" s="429">
        <v>1.142550227864942</v>
      </c>
      <c r="N51" s="429">
        <v>1.2425631367390759</v>
      </c>
      <c r="O51" s="429">
        <v>1.0528878057285196</v>
      </c>
      <c r="P51" s="429">
        <v>1.1087037089118525</v>
      </c>
      <c r="Q51" s="429">
        <v>2966.9581660908016</v>
      </c>
      <c r="R51" s="429">
        <v>11.662797483703887</v>
      </c>
      <c r="S51" s="429">
        <v>13.646875134883464</v>
      </c>
      <c r="T51" s="429">
        <v>3199.3709771468839</v>
      </c>
      <c r="U51" s="429">
        <v>3325.6632340069646</v>
      </c>
      <c r="V51" s="429">
        <v>3456.0636426533501</v>
      </c>
      <c r="W51" s="429">
        <v>993.34665723788623</v>
      </c>
      <c r="X51" s="429">
        <v>227.41253370539437</v>
      </c>
      <c r="Y51" s="429">
        <v>114.53550985210512</v>
      </c>
      <c r="Z51" s="429">
        <v>86.945245732092587</v>
      </c>
      <c r="AA51" s="429">
        <v>306.76093519285087</v>
      </c>
      <c r="AB51" s="429">
        <v>194.6927902572925</v>
      </c>
      <c r="AC51" s="429">
        <v>258.14311350525361</v>
      </c>
      <c r="AD51" s="429">
        <v>3.2934881878563886</v>
      </c>
      <c r="AE51" s="429">
        <v>0</v>
      </c>
      <c r="AF51" s="429">
        <v>0</v>
      </c>
      <c r="AG51" s="429">
        <v>0</v>
      </c>
      <c r="AH51" s="429">
        <v>3.1080556289891903</v>
      </c>
      <c r="AI51" s="429">
        <v>6.3774883838222625</v>
      </c>
      <c r="AJ51" s="429">
        <v>6.3785849236124577</v>
      </c>
      <c r="AK51" s="429">
        <v>7.0008210744724835</v>
      </c>
      <c r="AL51" s="429">
        <v>0</v>
      </c>
      <c r="AM51" s="429">
        <v>0</v>
      </c>
      <c r="AN51" s="429">
        <v>0</v>
      </c>
      <c r="AO51" s="432"/>
      <c r="AP51" s="428">
        <v>41767.683654166663</v>
      </c>
      <c r="AQ51" s="431">
        <v>94.246630238170766</v>
      </c>
      <c r="AR51" s="431">
        <v>124.99504731338388</v>
      </c>
      <c r="AS51" s="431">
        <v>188.65856912316625</v>
      </c>
      <c r="AT51" s="431">
        <v>106.51003148818911</v>
      </c>
      <c r="AU51" s="431">
        <v>17.402360942554186</v>
      </c>
      <c r="AV51" s="431">
        <v>191.80406260563512</v>
      </c>
      <c r="AW51" s="431">
        <v>14.895791083549907</v>
      </c>
      <c r="AX51" s="431">
        <v>33.634622307444218</v>
      </c>
      <c r="AY51" s="431">
        <v>117.25033020390107</v>
      </c>
      <c r="AZ51" s="431">
        <v>-86.496085512856425</v>
      </c>
      <c r="BA51" s="431">
        <v>5.3324331454911755</v>
      </c>
      <c r="BB51" s="431">
        <v>5.8099585527008744</v>
      </c>
      <c r="BC51" s="431">
        <v>4.9513106665683777</v>
      </c>
      <c r="BD51" s="431">
        <v>19.596729568222916</v>
      </c>
      <c r="BE51" s="431">
        <v>363771.58942344692</v>
      </c>
      <c r="BF51" s="431">
        <v>8064.0576778388522</v>
      </c>
      <c r="BG51" s="431">
        <v>1179.5874788817077</v>
      </c>
      <c r="BH51" s="431">
        <v>382926.74549239845</v>
      </c>
      <c r="BI51" s="431">
        <v>370229.47907002596</v>
      </c>
      <c r="BJ51" s="431">
        <v>51393.220799463459</v>
      </c>
      <c r="BK51" s="431">
        <v>343198.76068674069</v>
      </c>
      <c r="BL51" s="431">
        <v>532382.38668350712</v>
      </c>
      <c r="BM51" s="431">
        <v>73902.395933727734</v>
      </c>
      <c r="BN51" s="431">
        <v>25737.621234554354</v>
      </c>
      <c r="BO51" s="431">
        <v>527188.41217927786</v>
      </c>
      <c r="BP51" s="431">
        <v>73181.396949008442</v>
      </c>
      <c r="BQ51" s="431">
        <v>355471.81681014696</v>
      </c>
      <c r="BR51" s="431">
        <v>831.15715953317067</v>
      </c>
      <c r="BS51" s="431">
        <v>0</v>
      </c>
      <c r="BT51" s="431">
        <v>0</v>
      </c>
      <c r="BU51" s="431">
        <v>0</v>
      </c>
      <c r="BV51" s="431">
        <v>772.40920709350462</v>
      </c>
      <c r="BW51" s="431">
        <v>1274.5287377541049</v>
      </c>
      <c r="BX51" s="431">
        <v>1180.5804740694159</v>
      </c>
      <c r="BY51" s="431">
        <v>980.40672134931174</v>
      </c>
      <c r="BZ51" s="431">
        <v>0</v>
      </c>
      <c r="CA51" s="431">
        <v>0</v>
      </c>
      <c r="CB51" s="431">
        <v>0</v>
      </c>
      <c r="CC51" s="432"/>
      <c r="CD51" s="428">
        <v>41767.683654166663</v>
      </c>
      <c r="CE51" s="433">
        <v>0.30759941944884495</v>
      </c>
      <c r="CF51" s="433">
        <v>0.21368653957671949</v>
      </c>
      <c r="CG51" s="433">
        <v>0.17755399081206061</v>
      </c>
      <c r="CH51" s="433">
        <v>0.17976551824741191</v>
      </c>
      <c r="CI51" s="433">
        <v>0.11927509537668253</v>
      </c>
      <c r="CJ51" s="433">
        <v>0.26105311102355799</v>
      </c>
      <c r="CK51" s="433">
        <v>0.25899628896575483</v>
      </c>
      <c r="CL51" s="433">
        <v>0.27649961398917294</v>
      </c>
      <c r="CM51" s="433">
        <v>0.20129058533430333</v>
      </c>
      <c r="CN51" s="433">
        <v>0.20203138400313336</v>
      </c>
      <c r="CO51" s="433">
        <v>0.14170471559769959</v>
      </c>
      <c r="CP51" s="433">
        <v>0.6472517576995086</v>
      </c>
      <c r="CQ51" s="433">
        <v>0.67663897658204775</v>
      </c>
      <c r="CR51" s="433">
        <v>0.47764154429191003</v>
      </c>
      <c r="CS51" s="433">
        <v>0.39482980361733477</v>
      </c>
      <c r="CT51" s="433">
        <v>0.44773699730205768</v>
      </c>
      <c r="CU51" s="433">
        <v>0.36269681480068267</v>
      </c>
      <c r="CV51" s="433">
        <v>0.47651872850367988</v>
      </c>
      <c r="CW51" s="433">
        <v>0.47402386605078112</v>
      </c>
      <c r="CX51" s="433">
        <v>0.39912436248524713</v>
      </c>
      <c r="CY51" s="433">
        <v>0.40410385706493002</v>
      </c>
      <c r="CZ51" s="433">
        <v>0.29692854969420929</v>
      </c>
      <c r="DA51" s="433">
        <v>0.25001150066075878</v>
      </c>
      <c r="DB51" s="433">
        <v>0.80602184361489149</v>
      </c>
      <c r="DC51" s="433">
        <v>0.29692854969420929</v>
      </c>
      <c r="DD51" s="433">
        <v>0.25001150066075878</v>
      </c>
      <c r="DE51" s="433">
        <v>0.34337347757319564</v>
      </c>
      <c r="DF51" s="433">
        <v>0.40827675582953776</v>
      </c>
      <c r="DG51" s="433">
        <v>0</v>
      </c>
      <c r="DH51" s="433">
        <v>0</v>
      </c>
      <c r="DI51" s="433">
        <v>0</v>
      </c>
      <c r="DJ51" s="433">
        <v>0.34684189653858144</v>
      </c>
      <c r="DK51" s="433">
        <v>0.33404461840598543</v>
      </c>
      <c r="DL51" s="433">
        <v>0.2837797335315666</v>
      </c>
      <c r="DM51" s="433">
        <v>0.40827675582953776</v>
      </c>
      <c r="DN51" s="433">
        <v>0</v>
      </c>
      <c r="DO51" s="433">
        <v>0</v>
      </c>
      <c r="DP51" s="433">
        <v>0</v>
      </c>
      <c r="DR51" s="409" t="s">
        <v>711</v>
      </c>
      <c r="DS51" s="409" t="s">
        <v>2192</v>
      </c>
    </row>
    <row r="52" spans="2:123" s="1471" customFormat="1">
      <c r="B52" s="428">
        <v>41767.689389236111</v>
      </c>
      <c r="C52" s="429">
        <v>1.417831395487779</v>
      </c>
      <c r="D52" s="429">
        <v>1.4160752731507193</v>
      </c>
      <c r="E52" s="429">
        <v>1.4525145369880545</v>
      </c>
      <c r="F52" s="429">
        <v>1.3942384620456536</v>
      </c>
      <c r="G52" s="429">
        <v>1.3923732394840327</v>
      </c>
      <c r="H52" s="429">
        <v>1.4322174257441747</v>
      </c>
      <c r="I52" s="429">
        <v>1.4538804198802586</v>
      </c>
      <c r="J52" s="429">
        <v>1.5085924419453642</v>
      </c>
      <c r="K52" s="429">
        <v>1.387388628819672</v>
      </c>
      <c r="L52" s="429">
        <v>1.4651867112842414</v>
      </c>
      <c r="M52" s="429">
        <v>1.1424542605749159</v>
      </c>
      <c r="N52" s="429">
        <v>1.2425631367390759</v>
      </c>
      <c r="O52" s="429">
        <v>1.0528878057285196</v>
      </c>
      <c r="P52" s="429">
        <v>1.1086710973322031</v>
      </c>
      <c r="Q52" s="429">
        <v>2967.1717012857198</v>
      </c>
      <c r="R52" s="429">
        <v>11.668629020409043</v>
      </c>
      <c r="S52" s="429">
        <v>13.652706671588618</v>
      </c>
      <c r="T52" s="429">
        <v>3199.5957564853898</v>
      </c>
      <c r="U52" s="429">
        <v>3324.7303221751718</v>
      </c>
      <c r="V52" s="429">
        <v>3455.1307308215573</v>
      </c>
      <c r="W52" s="429">
        <v>993.28830122077306</v>
      </c>
      <c r="X52" s="429">
        <v>226.07102565254363</v>
      </c>
      <c r="Y52" s="429">
        <v>113.19400179925437</v>
      </c>
      <c r="Z52" s="429">
        <v>86.945245732092587</v>
      </c>
      <c r="AA52" s="429">
        <v>305.43251502344259</v>
      </c>
      <c r="AB52" s="429">
        <v>193.3643700878842</v>
      </c>
      <c r="AC52" s="429">
        <v>258.14311350525361</v>
      </c>
      <c r="AD52" s="429">
        <v>3.2914190475663005</v>
      </c>
      <c r="AE52" s="429">
        <v>0</v>
      </c>
      <c r="AF52" s="429">
        <v>0</v>
      </c>
      <c r="AG52" s="429">
        <v>0</v>
      </c>
      <c r="AH52" s="429">
        <v>3.1080556289891903</v>
      </c>
      <c r="AI52" s="429">
        <v>6.3743202912911814</v>
      </c>
      <c r="AJ52" s="429">
        <v>6.3785849236124577</v>
      </c>
      <c r="AK52" s="429">
        <v>6.9983840802178063</v>
      </c>
      <c r="AL52" s="429">
        <v>0</v>
      </c>
      <c r="AM52" s="429">
        <v>0</v>
      </c>
      <c r="AN52" s="429">
        <v>0</v>
      </c>
      <c r="AO52" s="432"/>
      <c r="AP52" s="428">
        <v>41767.689389236111</v>
      </c>
      <c r="AQ52" s="431">
        <v>93.901112821567722</v>
      </c>
      <c r="AR52" s="431">
        <v>124.48038876723598</v>
      </c>
      <c r="AS52" s="431">
        <v>188.23419983570545</v>
      </c>
      <c r="AT52" s="431">
        <v>106.08566220072828</v>
      </c>
      <c r="AU52" s="431">
        <v>17.086069949784388</v>
      </c>
      <c r="AV52" s="431">
        <v>191.44176031816434</v>
      </c>
      <c r="AW52" s="431">
        <v>14.550273666946849</v>
      </c>
      <c r="AX52" s="431">
        <v>32.676303939361652</v>
      </c>
      <c r="AY52" s="431">
        <v>117.25033020390107</v>
      </c>
      <c r="AZ52" s="431">
        <v>-86.496085512856425</v>
      </c>
      <c r="BA52" s="431">
        <v>5.1896198128511859</v>
      </c>
      <c r="BB52" s="431">
        <v>5.8099585527008744</v>
      </c>
      <c r="BC52" s="431">
        <v>4.9513106665683777</v>
      </c>
      <c r="BD52" s="431">
        <v>19.548198778501508</v>
      </c>
      <c r="BE52" s="431">
        <v>364089.36095595371</v>
      </c>
      <c r="BF52" s="431">
        <v>8072.7358554871907</v>
      </c>
      <c r="BG52" s="431">
        <v>1188.2656565300465</v>
      </c>
      <c r="BH52" s="431">
        <v>383261.24995149003</v>
      </c>
      <c r="BI52" s="431">
        <v>368841.17011890863</v>
      </c>
      <c r="BJ52" s="431">
        <v>50004.911848346157</v>
      </c>
      <c r="BK52" s="431">
        <v>343111.91841703339</v>
      </c>
      <c r="BL52" s="431">
        <v>530386.02692656289</v>
      </c>
      <c r="BM52" s="431">
        <v>71906.03617678328</v>
      </c>
      <c r="BN52" s="431">
        <v>25737.621234554354</v>
      </c>
      <c r="BO52" s="431">
        <v>525211.52910288901</v>
      </c>
      <c r="BP52" s="431">
        <v>71204.513872619544</v>
      </c>
      <c r="BQ52" s="431">
        <v>355471.81681014696</v>
      </c>
      <c r="BR52" s="431">
        <v>828.07797681948841</v>
      </c>
      <c r="BS52" s="431">
        <v>0</v>
      </c>
      <c r="BT52" s="431">
        <v>0</v>
      </c>
      <c r="BU52" s="431">
        <v>0</v>
      </c>
      <c r="BV52" s="431">
        <v>772.40920709350462</v>
      </c>
      <c r="BW52" s="431">
        <v>1269.8141537291444</v>
      </c>
      <c r="BX52" s="431">
        <v>1180.5804740694159</v>
      </c>
      <c r="BY52" s="431">
        <v>976.78011825318788</v>
      </c>
      <c r="BZ52" s="431">
        <v>0</v>
      </c>
      <c r="CA52" s="431">
        <v>0</v>
      </c>
      <c r="CB52" s="431">
        <v>0</v>
      </c>
      <c r="CC52" s="432"/>
      <c r="CD52" s="428">
        <v>41767.689389236111</v>
      </c>
      <c r="CE52" s="433">
        <v>0.30759941944884495</v>
      </c>
      <c r="CF52" s="433">
        <v>0.21368653957671949</v>
      </c>
      <c r="CG52" s="433">
        <v>0.17755399081206061</v>
      </c>
      <c r="CH52" s="433">
        <v>0.17976551824741191</v>
      </c>
      <c r="CI52" s="433">
        <v>0.11927509537668253</v>
      </c>
      <c r="CJ52" s="433">
        <v>0.26105311102355799</v>
      </c>
      <c r="CK52" s="433">
        <v>0.25899628896575483</v>
      </c>
      <c r="CL52" s="433">
        <v>0.27649961398917294</v>
      </c>
      <c r="CM52" s="433">
        <v>0.20129058533430333</v>
      </c>
      <c r="CN52" s="433">
        <v>0.20203138400313336</v>
      </c>
      <c r="CO52" s="433">
        <v>0.14170471559769959</v>
      </c>
      <c r="CP52" s="433">
        <v>0.6472517576995086</v>
      </c>
      <c r="CQ52" s="433">
        <v>0.67663897658204775</v>
      </c>
      <c r="CR52" s="433">
        <v>0.47764154429191003</v>
      </c>
      <c r="CS52" s="433">
        <v>0.39482980361733477</v>
      </c>
      <c r="CT52" s="433">
        <v>0.44773699730205768</v>
      </c>
      <c r="CU52" s="433">
        <v>0.36269681480068267</v>
      </c>
      <c r="CV52" s="433">
        <v>0.47651872850367988</v>
      </c>
      <c r="CW52" s="433">
        <v>0.47402386605078112</v>
      </c>
      <c r="CX52" s="433">
        <v>0.39912436248524713</v>
      </c>
      <c r="CY52" s="433">
        <v>0.40410385706493002</v>
      </c>
      <c r="CZ52" s="433">
        <v>0.29692854969420929</v>
      </c>
      <c r="DA52" s="433">
        <v>0.25001150066075878</v>
      </c>
      <c r="DB52" s="433">
        <v>0.80602184361489149</v>
      </c>
      <c r="DC52" s="433">
        <v>0.29692854969420929</v>
      </c>
      <c r="DD52" s="433">
        <v>0.25001150066075878</v>
      </c>
      <c r="DE52" s="433">
        <v>0.34337347757319564</v>
      </c>
      <c r="DF52" s="433">
        <v>0.40827675582953776</v>
      </c>
      <c r="DG52" s="433">
        <v>0</v>
      </c>
      <c r="DH52" s="433">
        <v>0</v>
      </c>
      <c r="DI52" s="433">
        <v>0</v>
      </c>
      <c r="DJ52" s="433">
        <v>0.34684189653858144</v>
      </c>
      <c r="DK52" s="433">
        <v>0.33404461840598543</v>
      </c>
      <c r="DL52" s="433">
        <v>0.2837797335315666</v>
      </c>
      <c r="DM52" s="433">
        <v>0.40827675582953776</v>
      </c>
      <c r="DN52" s="433">
        <v>0</v>
      </c>
      <c r="DO52" s="433">
        <v>0</v>
      </c>
      <c r="DP52" s="433">
        <v>0</v>
      </c>
      <c r="DR52" s="409" t="s">
        <v>711</v>
      </c>
      <c r="DS52" s="409" t="s">
        <v>2193</v>
      </c>
    </row>
    <row r="53" spans="2:123" s="1471" customFormat="1">
      <c r="B53" s="428">
        <v>41768.353265740741</v>
      </c>
      <c r="C53" s="429">
        <v>1.4178429348105785</v>
      </c>
      <c r="D53" s="429">
        <v>1.4161186459136268</v>
      </c>
      <c r="E53" s="429">
        <v>1.4533249901007597</v>
      </c>
      <c r="F53" s="429">
        <v>1.3950489151583585</v>
      </c>
      <c r="G53" s="429">
        <v>1.3931745843165271</v>
      </c>
      <c r="H53" s="429">
        <v>1.43577038972005</v>
      </c>
      <c r="I53" s="429">
        <v>1.4538919592030586</v>
      </c>
      <c r="J53" s="429">
        <v>1.5022033664062329</v>
      </c>
      <c r="K53" s="429">
        <v>1.3678148439083819</v>
      </c>
      <c r="L53" s="429">
        <v>1.4456129263729511</v>
      </c>
      <c r="M53" s="429">
        <v>1.1425976224689403</v>
      </c>
      <c r="N53" s="429">
        <v>1.214669127036653</v>
      </c>
      <c r="O53" s="429">
        <v>1.0294529200631528</v>
      </c>
      <c r="P53" s="429">
        <v>1.0844028988378271</v>
      </c>
      <c r="Q53" s="429">
        <v>2974.7896278515946</v>
      </c>
      <c r="R53" s="429">
        <v>11.668629020409043</v>
      </c>
      <c r="S53" s="429">
        <v>13.652706671588618</v>
      </c>
      <c r="T53" s="429">
        <v>3207.6148209535463</v>
      </c>
      <c r="U53" s="429">
        <v>3324.77370453497</v>
      </c>
      <c r="V53" s="429">
        <v>3455.1741131813551</v>
      </c>
      <c r="W53" s="429">
        <v>933.35798939100391</v>
      </c>
      <c r="X53" s="429">
        <v>226.07137653673766</v>
      </c>
      <c r="Y53" s="429">
        <v>113.1943526834484</v>
      </c>
      <c r="Z53" s="429">
        <v>85.656631060189554</v>
      </c>
      <c r="AA53" s="429">
        <v>305.43280211051041</v>
      </c>
      <c r="AB53" s="429">
        <v>193.36465717495204</v>
      </c>
      <c r="AC53" s="429">
        <v>257.7703009039476</v>
      </c>
      <c r="AD53" s="429">
        <v>3.2915152669361047</v>
      </c>
      <c r="AE53" s="429">
        <v>0</v>
      </c>
      <c r="AF53" s="429">
        <v>0</v>
      </c>
      <c r="AG53" s="429">
        <v>0</v>
      </c>
      <c r="AH53" s="429">
        <v>2.9685479256214493</v>
      </c>
      <c r="AI53" s="429">
        <v>6.3744676142485863</v>
      </c>
      <c r="AJ53" s="429">
        <v>6.1649825327137497</v>
      </c>
      <c r="AK53" s="429">
        <v>6.9984974055696565</v>
      </c>
      <c r="AL53" s="429">
        <v>0</v>
      </c>
      <c r="AM53" s="429">
        <v>0</v>
      </c>
      <c r="AN53" s="429">
        <v>0</v>
      </c>
      <c r="AO53" s="432"/>
      <c r="AP53" s="428">
        <v>41768.353265740741</v>
      </c>
      <c r="AQ53" s="431">
        <v>93.901112821567722</v>
      </c>
      <c r="AR53" s="431">
        <v>124.48038876723598</v>
      </c>
      <c r="AS53" s="431">
        <v>188.23419983570545</v>
      </c>
      <c r="AT53" s="431">
        <v>106.08566220072828</v>
      </c>
      <c r="AU53" s="431">
        <v>17.086069949784388</v>
      </c>
      <c r="AV53" s="431">
        <v>191.44176031816434</v>
      </c>
      <c r="AW53" s="431">
        <v>14.550273666946849</v>
      </c>
      <c r="AX53" s="431">
        <v>32.676303939361652</v>
      </c>
      <c r="AY53" s="431">
        <v>117.25033020390107</v>
      </c>
      <c r="AZ53" s="431">
        <v>-86.496085512856425</v>
      </c>
      <c r="BA53" s="431">
        <v>5.1896198128511859</v>
      </c>
      <c r="BB53" s="431">
        <v>5.783988615092321</v>
      </c>
      <c r="BC53" s="431">
        <v>4.9513106665683777</v>
      </c>
      <c r="BD53" s="431">
        <v>19.548198778501508</v>
      </c>
      <c r="BE53" s="431">
        <v>364089.36095595371</v>
      </c>
      <c r="BF53" s="431">
        <v>8072.7358554871907</v>
      </c>
      <c r="BG53" s="431">
        <v>1188.2656565300465</v>
      </c>
      <c r="BH53" s="431">
        <v>383261.24995149003</v>
      </c>
      <c r="BI53" s="431">
        <v>368841.17011890863</v>
      </c>
      <c r="BJ53" s="431">
        <v>50004.911848346157</v>
      </c>
      <c r="BK53" s="431">
        <v>343111.91841703339</v>
      </c>
      <c r="BL53" s="431">
        <v>530386.02692656289</v>
      </c>
      <c r="BM53" s="431">
        <v>71906.03617678328</v>
      </c>
      <c r="BN53" s="431">
        <v>25737.621234554354</v>
      </c>
      <c r="BO53" s="431">
        <v>525211.52910288901</v>
      </c>
      <c r="BP53" s="431">
        <v>71204.513872619544</v>
      </c>
      <c r="BQ53" s="431">
        <v>355471.81681014696</v>
      </c>
      <c r="BR53" s="431">
        <v>828.07797681948841</v>
      </c>
      <c r="BS53" s="431">
        <v>0</v>
      </c>
      <c r="BT53" s="431">
        <v>0</v>
      </c>
      <c r="BU53" s="431">
        <v>0</v>
      </c>
      <c r="BV53" s="431">
        <v>772.40920709350462</v>
      </c>
      <c r="BW53" s="431">
        <v>1269.8141537291444</v>
      </c>
      <c r="BX53" s="431">
        <v>1180.5804740694159</v>
      </c>
      <c r="BY53" s="431">
        <v>976.78011825318788</v>
      </c>
      <c r="BZ53" s="431">
        <v>0</v>
      </c>
      <c r="CA53" s="431">
        <v>0</v>
      </c>
      <c r="CB53" s="431">
        <v>0</v>
      </c>
      <c r="CC53" s="432"/>
      <c r="CD53" s="428">
        <v>41768.353265740741</v>
      </c>
      <c r="CE53" s="433">
        <v>0.30759941944884495</v>
      </c>
      <c r="CF53" s="433">
        <v>0.21368653957671949</v>
      </c>
      <c r="CG53" s="433">
        <v>0.17755399081206061</v>
      </c>
      <c r="CH53" s="433">
        <v>0.17976551824741191</v>
      </c>
      <c r="CI53" s="433">
        <v>0.11927509537668253</v>
      </c>
      <c r="CJ53" s="433">
        <v>0.26105311102355799</v>
      </c>
      <c r="CK53" s="433">
        <v>0.25899628896575483</v>
      </c>
      <c r="CL53" s="433">
        <v>0.27649961398917294</v>
      </c>
      <c r="CM53" s="433">
        <v>0.20129058533430333</v>
      </c>
      <c r="CN53" s="433">
        <v>0.20203138400313336</v>
      </c>
      <c r="CO53" s="433">
        <v>0.14170471559769959</v>
      </c>
      <c r="CP53" s="433">
        <v>0.6472517576995086</v>
      </c>
      <c r="CQ53" s="433">
        <v>0.67663897658204775</v>
      </c>
      <c r="CR53" s="433">
        <v>0.47764154429191003</v>
      </c>
      <c r="CS53" s="433">
        <v>0.39482980361733477</v>
      </c>
      <c r="CT53" s="433">
        <v>0.44773699730205768</v>
      </c>
      <c r="CU53" s="433">
        <v>0.36269681480068267</v>
      </c>
      <c r="CV53" s="433">
        <v>0.47651872850367988</v>
      </c>
      <c r="CW53" s="433">
        <v>0.47402386605078112</v>
      </c>
      <c r="CX53" s="433">
        <v>0.39912436248524713</v>
      </c>
      <c r="CY53" s="433">
        <v>0.40410385706493002</v>
      </c>
      <c r="CZ53" s="433">
        <v>0.29692854969420929</v>
      </c>
      <c r="DA53" s="433">
        <v>0.25001150066075878</v>
      </c>
      <c r="DB53" s="433">
        <v>0.80602184361489149</v>
      </c>
      <c r="DC53" s="433">
        <v>0.29692854969420929</v>
      </c>
      <c r="DD53" s="433">
        <v>0.25001150066075878</v>
      </c>
      <c r="DE53" s="433">
        <v>0.34337347757319564</v>
      </c>
      <c r="DF53" s="433">
        <v>0.40827675582953776</v>
      </c>
      <c r="DG53" s="433">
        <v>0</v>
      </c>
      <c r="DH53" s="433">
        <v>0</v>
      </c>
      <c r="DI53" s="433">
        <v>0</v>
      </c>
      <c r="DJ53" s="433">
        <v>0.34684189653858144</v>
      </c>
      <c r="DK53" s="433">
        <v>0.33404461840598543</v>
      </c>
      <c r="DL53" s="433">
        <v>0.2837797335315666</v>
      </c>
      <c r="DM53" s="433">
        <v>0.40827675582953776</v>
      </c>
      <c r="DN53" s="433">
        <v>0</v>
      </c>
      <c r="DO53" s="433">
        <v>0</v>
      </c>
      <c r="DP53" s="433">
        <v>0</v>
      </c>
      <c r="DR53" s="409" t="s">
        <v>711</v>
      </c>
      <c r="DS53" s="409" t="s">
        <v>2198</v>
      </c>
    </row>
    <row r="54" spans="2:123" s="1471" customFormat="1">
      <c r="B54" s="428">
        <v>41768.664649074075</v>
      </c>
      <c r="C54" s="429">
        <v>1.4178429348105785</v>
      </c>
      <c r="D54" s="429">
        <v>1.4161186459136268</v>
      </c>
      <c r="E54" s="429">
        <v>1.4533249901007597</v>
      </c>
      <c r="F54" s="429">
        <v>1.3950489151583585</v>
      </c>
      <c r="G54" s="429">
        <v>1.3931745843165271</v>
      </c>
      <c r="H54" s="429">
        <v>1.43577038972005</v>
      </c>
      <c r="I54" s="429">
        <v>1.4538919592030586</v>
      </c>
      <c r="J54" s="429">
        <v>1.5022033664062329</v>
      </c>
      <c r="K54" s="429">
        <v>1.3678148439083819</v>
      </c>
      <c r="L54" s="429">
        <v>1.4456129263729511</v>
      </c>
      <c r="M54" s="429">
        <v>1.2591846091847565</v>
      </c>
      <c r="N54" s="429">
        <v>1.214669127036653</v>
      </c>
      <c r="O54" s="429">
        <v>1.0294529200631528</v>
      </c>
      <c r="P54" s="429">
        <v>1.0844028988378271</v>
      </c>
      <c r="Q54" s="429">
        <v>2974.7896278515946</v>
      </c>
      <c r="R54" s="429">
        <v>11.668629020409043</v>
      </c>
      <c r="S54" s="429">
        <v>13.652706671588618</v>
      </c>
      <c r="T54" s="429">
        <v>3207.6148209535463</v>
      </c>
      <c r="U54" s="429">
        <v>3324.77370453497</v>
      </c>
      <c r="V54" s="429">
        <v>3455.1741131813551</v>
      </c>
      <c r="W54" s="429">
        <v>933.35798939100391</v>
      </c>
      <c r="X54" s="429">
        <v>226.07137653673766</v>
      </c>
      <c r="Y54" s="429">
        <v>113.1943526834484</v>
      </c>
      <c r="Z54" s="429">
        <v>85.656631060189554</v>
      </c>
      <c r="AA54" s="429">
        <v>305.43280211051041</v>
      </c>
      <c r="AB54" s="429">
        <v>193.36465717495204</v>
      </c>
      <c r="AC54" s="429">
        <v>257.7703009039476</v>
      </c>
      <c r="AD54" s="429">
        <v>3.2915152669361047</v>
      </c>
      <c r="AE54" s="429">
        <v>0</v>
      </c>
      <c r="AF54" s="429">
        <v>0</v>
      </c>
      <c r="AG54" s="429">
        <v>0</v>
      </c>
      <c r="AH54" s="429">
        <v>2.9685479256214493</v>
      </c>
      <c r="AI54" s="429">
        <v>6.3744676142485863</v>
      </c>
      <c r="AJ54" s="429">
        <v>6.1649825327137497</v>
      </c>
      <c r="AK54" s="429">
        <v>6.9984974055696565</v>
      </c>
      <c r="AL54" s="429">
        <v>0</v>
      </c>
      <c r="AM54" s="429">
        <v>0</v>
      </c>
      <c r="AN54" s="429">
        <v>0</v>
      </c>
      <c r="AO54" s="432"/>
      <c r="AP54" s="428">
        <v>41768.664649074075</v>
      </c>
      <c r="AQ54" s="431">
        <v>93.901112821567722</v>
      </c>
      <c r="AR54" s="431">
        <v>124.48038876723598</v>
      </c>
      <c r="AS54" s="431">
        <v>188.23419983570545</v>
      </c>
      <c r="AT54" s="431">
        <v>106.08566220072828</v>
      </c>
      <c r="AU54" s="431">
        <v>17.086069949784388</v>
      </c>
      <c r="AV54" s="431">
        <v>191.44176031816434</v>
      </c>
      <c r="AW54" s="431">
        <v>14.550273666946849</v>
      </c>
      <c r="AX54" s="431">
        <v>32.676303939361652</v>
      </c>
      <c r="AY54" s="431">
        <v>117.25033020390107</v>
      </c>
      <c r="AZ54" s="431">
        <v>-86.496085512856425</v>
      </c>
      <c r="BA54" s="431">
        <v>8.9148783460153371</v>
      </c>
      <c r="BB54" s="431">
        <v>5.783988615092321</v>
      </c>
      <c r="BC54" s="431">
        <v>4.9513106665683777</v>
      </c>
      <c r="BD54" s="431">
        <v>19.548198778501508</v>
      </c>
      <c r="BE54" s="431">
        <v>364089.36095595371</v>
      </c>
      <c r="BF54" s="431">
        <v>8072.7358554871907</v>
      </c>
      <c r="BG54" s="431">
        <v>1188.2656565300465</v>
      </c>
      <c r="BH54" s="431">
        <v>383261.24995149003</v>
      </c>
      <c r="BI54" s="431">
        <v>368841.17011890863</v>
      </c>
      <c r="BJ54" s="431">
        <v>50004.911848346157</v>
      </c>
      <c r="BK54" s="431">
        <v>343111.91841703339</v>
      </c>
      <c r="BL54" s="431">
        <v>530386.02692656289</v>
      </c>
      <c r="BM54" s="431">
        <v>71906.03617678328</v>
      </c>
      <c r="BN54" s="431">
        <v>25737.621234554354</v>
      </c>
      <c r="BO54" s="431">
        <v>525211.52910288901</v>
      </c>
      <c r="BP54" s="431">
        <v>71204.513872619544</v>
      </c>
      <c r="BQ54" s="431">
        <v>355471.81681014696</v>
      </c>
      <c r="BR54" s="431">
        <v>828.07797681948841</v>
      </c>
      <c r="BS54" s="431">
        <v>0</v>
      </c>
      <c r="BT54" s="431">
        <v>0</v>
      </c>
      <c r="BU54" s="431">
        <v>0</v>
      </c>
      <c r="BV54" s="431">
        <v>772.40920709350462</v>
      </c>
      <c r="BW54" s="431">
        <v>1269.8141537291444</v>
      </c>
      <c r="BX54" s="431">
        <v>1180.5804740694159</v>
      </c>
      <c r="BY54" s="431">
        <v>976.78011825318788</v>
      </c>
      <c r="BZ54" s="431">
        <v>0</v>
      </c>
      <c r="CA54" s="431">
        <v>0</v>
      </c>
      <c r="CB54" s="431">
        <v>0</v>
      </c>
      <c r="CC54" s="432"/>
      <c r="CD54" s="428">
        <v>41768.664649074075</v>
      </c>
      <c r="CE54" s="433">
        <v>0.30887516912936769</v>
      </c>
      <c r="CF54" s="433">
        <v>0.21465334314226731</v>
      </c>
      <c r="CG54" s="433">
        <v>0.17822376316137725</v>
      </c>
      <c r="CH54" s="433">
        <v>0.1804430703502535</v>
      </c>
      <c r="CI54" s="433">
        <v>0.11969468358927447</v>
      </c>
      <c r="CJ54" s="433">
        <v>0.26218817202595668</v>
      </c>
      <c r="CK54" s="433">
        <v>0.26007046015078716</v>
      </c>
      <c r="CL54" s="433">
        <v>0.2795059670458605</v>
      </c>
      <c r="CM54" s="433">
        <v>0.20330349118764637</v>
      </c>
      <c r="CN54" s="433">
        <v>0.20405169784316468</v>
      </c>
      <c r="CO54" s="433">
        <v>0.6098978484120201</v>
      </c>
      <c r="CP54" s="433">
        <v>0.6472517576995086</v>
      </c>
      <c r="CQ54" s="433">
        <v>0.67663897658204775</v>
      </c>
      <c r="CR54" s="433">
        <v>0.47888048937537914</v>
      </c>
      <c r="CS54" s="433">
        <v>0.39443520669059223</v>
      </c>
      <c r="CT54" s="433">
        <v>0.447221292916757</v>
      </c>
      <c r="CU54" s="433">
        <v>0.3622790598707698</v>
      </c>
      <c r="CV54" s="433">
        <v>0.47604249083347333</v>
      </c>
      <c r="CW54" s="433">
        <v>0.4759898508915783</v>
      </c>
      <c r="CX54" s="433">
        <v>0.4007797062399322</v>
      </c>
      <c r="CY54" s="433">
        <v>0.40798711211863076</v>
      </c>
      <c r="CZ54" s="433">
        <v>0.29816004259848461</v>
      </c>
      <c r="DA54" s="433">
        <v>0.25104840798869349</v>
      </c>
      <c r="DB54" s="433">
        <v>0.80602184361489149</v>
      </c>
      <c r="DC54" s="433">
        <v>0.29816004259848461</v>
      </c>
      <c r="DD54" s="433">
        <v>0.25104840798869349</v>
      </c>
      <c r="DE54" s="433">
        <v>0.34680721234892764</v>
      </c>
      <c r="DF54" s="433">
        <v>0.40997005857291635</v>
      </c>
      <c r="DG54" s="433">
        <v>0</v>
      </c>
      <c r="DH54" s="433">
        <v>0</v>
      </c>
      <c r="DI54" s="433">
        <v>0</v>
      </c>
      <c r="DJ54" s="433">
        <v>0.35031031550396724</v>
      </c>
      <c r="DK54" s="433">
        <v>0.33543004792329517</v>
      </c>
      <c r="DL54" s="433">
        <v>0.2866175308668823</v>
      </c>
      <c r="DM54" s="433">
        <v>0.40997005857291635</v>
      </c>
      <c r="DN54" s="433">
        <v>0</v>
      </c>
      <c r="DO54" s="433">
        <v>0</v>
      </c>
      <c r="DP54" s="433">
        <v>0</v>
      </c>
      <c r="DR54" s="409" t="s">
        <v>711</v>
      </c>
      <c r="DS54" s="409" t="s">
        <v>2209</v>
      </c>
    </row>
    <row r="55" spans="2:123" s="1471" customFormat="1">
      <c r="B55" s="428">
        <v>41768.683733912039</v>
      </c>
      <c r="C55" s="429">
        <v>1.4178429348105785</v>
      </c>
      <c r="D55" s="429">
        <v>1.4161186459136268</v>
      </c>
      <c r="E55" s="429">
        <v>1.4533249901007597</v>
      </c>
      <c r="F55" s="429">
        <v>1.3950489151583585</v>
      </c>
      <c r="G55" s="429">
        <v>1.3931745843165271</v>
      </c>
      <c r="H55" s="429">
        <v>1.43577038972005</v>
      </c>
      <c r="I55" s="429">
        <v>1.4538919592030586</v>
      </c>
      <c r="J55" s="429">
        <v>1.5022033664062329</v>
      </c>
      <c r="K55" s="429">
        <v>1.3678148439083819</v>
      </c>
      <c r="L55" s="429">
        <v>1.4456129263729511</v>
      </c>
      <c r="M55" s="429">
        <v>1.2591846091847565</v>
      </c>
      <c r="N55" s="429">
        <v>1.214669127036653</v>
      </c>
      <c r="O55" s="429">
        <v>1.0294529200631528</v>
      </c>
      <c r="P55" s="429">
        <v>1.0844028988378271</v>
      </c>
      <c r="Q55" s="429">
        <v>2974.7896278515946</v>
      </c>
      <c r="R55" s="429">
        <v>16.21701177304195</v>
      </c>
      <c r="S55" s="429">
        <v>13.652706671588618</v>
      </c>
      <c r="T55" s="429">
        <v>3207.6148209535463</v>
      </c>
      <c r="U55" s="429">
        <v>3324.77370453497</v>
      </c>
      <c r="V55" s="429">
        <v>3455.1741131813551</v>
      </c>
      <c r="W55" s="429">
        <v>933.35798939100391</v>
      </c>
      <c r="X55" s="429">
        <v>226.07137653673766</v>
      </c>
      <c r="Y55" s="429">
        <v>113.1943526834484</v>
      </c>
      <c r="Z55" s="429">
        <v>85.656631060189554</v>
      </c>
      <c r="AA55" s="429">
        <v>305.43280211051041</v>
      </c>
      <c r="AB55" s="429">
        <v>193.36465717495204</v>
      </c>
      <c r="AC55" s="429">
        <v>257.7703009039476</v>
      </c>
      <c r="AD55" s="429">
        <v>3.2915152669361047</v>
      </c>
      <c r="AE55" s="429">
        <v>0</v>
      </c>
      <c r="AF55" s="429">
        <v>0</v>
      </c>
      <c r="AG55" s="429">
        <v>0</v>
      </c>
      <c r="AH55" s="429">
        <v>2.9685479256214493</v>
      </c>
      <c r="AI55" s="429">
        <v>6.3744676142485863</v>
      </c>
      <c r="AJ55" s="429">
        <v>6.1649825327137497</v>
      </c>
      <c r="AK55" s="429">
        <v>6.9984974055696565</v>
      </c>
      <c r="AL55" s="429">
        <v>0</v>
      </c>
      <c r="AM55" s="429">
        <v>0</v>
      </c>
      <c r="AN55" s="429">
        <v>0</v>
      </c>
      <c r="AO55" s="432"/>
      <c r="AP55" s="428">
        <v>41768.683733912039</v>
      </c>
      <c r="AQ55" s="431">
        <v>93.901112821567722</v>
      </c>
      <c r="AR55" s="431">
        <v>124.48038876723598</v>
      </c>
      <c r="AS55" s="431">
        <v>188.23419983570545</v>
      </c>
      <c r="AT55" s="431">
        <v>106.08566220072828</v>
      </c>
      <c r="AU55" s="431">
        <v>17.086069949784388</v>
      </c>
      <c r="AV55" s="431">
        <v>191.44176031816434</v>
      </c>
      <c r="AW55" s="431">
        <v>14.550273666946849</v>
      </c>
      <c r="AX55" s="431">
        <v>32.676303939361652</v>
      </c>
      <c r="AY55" s="431">
        <v>117.25033020390107</v>
      </c>
      <c r="AZ55" s="431">
        <v>-86.496085512856425</v>
      </c>
      <c r="BA55" s="431">
        <v>8.9148783460153371</v>
      </c>
      <c r="BB55" s="431">
        <v>5.783988615092321</v>
      </c>
      <c r="BC55" s="431">
        <v>4.9513106665683777</v>
      </c>
      <c r="BD55" s="431">
        <v>19.548198778501508</v>
      </c>
      <c r="BE55" s="431">
        <v>364089.36095595371</v>
      </c>
      <c r="BF55" s="431">
        <v>8150.70926730271</v>
      </c>
      <c r="BG55" s="431">
        <v>1188.2656565300465</v>
      </c>
      <c r="BH55" s="431">
        <v>383261.24995149003</v>
      </c>
      <c r="BI55" s="431">
        <v>368841.17011890863</v>
      </c>
      <c r="BJ55" s="431">
        <v>50004.911848346157</v>
      </c>
      <c r="BK55" s="431">
        <v>343111.91841703339</v>
      </c>
      <c r="BL55" s="431">
        <v>530386.02692656289</v>
      </c>
      <c r="BM55" s="431">
        <v>71906.03617678328</v>
      </c>
      <c r="BN55" s="431">
        <v>25737.621234554354</v>
      </c>
      <c r="BO55" s="431">
        <v>525211.52910288901</v>
      </c>
      <c r="BP55" s="431">
        <v>71204.513872619544</v>
      </c>
      <c r="BQ55" s="431">
        <v>355471.81681014696</v>
      </c>
      <c r="BR55" s="431">
        <v>828.07797681948841</v>
      </c>
      <c r="BS55" s="431">
        <v>0</v>
      </c>
      <c r="BT55" s="431">
        <v>0</v>
      </c>
      <c r="BU55" s="431">
        <v>0</v>
      </c>
      <c r="BV55" s="431">
        <v>772.40920709350462</v>
      </c>
      <c r="BW55" s="431">
        <v>1269.8141537291444</v>
      </c>
      <c r="BX55" s="431">
        <v>1180.5804740694159</v>
      </c>
      <c r="BY55" s="431">
        <v>976.78011825318788</v>
      </c>
      <c r="BZ55" s="431">
        <v>0</v>
      </c>
      <c r="CA55" s="431">
        <v>0</v>
      </c>
      <c r="CB55" s="431">
        <v>0</v>
      </c>
      <c r="CC55" s="432"/>
      <c r="CD55" s="428">
        <v>41768.683733912039</v>
      </c>
      <c r="CE55" s="433">
        <v>0.30887516912936769</v>
      </c>
      <c r="CF55" s="433">
        <v>0.21465334314226731</v>
      </c>
      <c r="CG55" s="433">
        <v>0.17822376316137725</v>
      </c>
      <c r="CH55" s="433">
        <v>0.1804430703502535</v>
      </c>
      <c r="CI55" s="433">
        <v>0.11969468358927447</v>
      </c>
      <c r="CJ55" s="433">
        <v>0.26218817202595668</v>
      </c>
      <c r="CK55" s="433">
        <v>0.26007046015078716</v>
      </c>
      <c r="CL55" s="433">
        <v>0.2795059670458605</v>
      </c>
      <c r="CM55" s="433">
        <v>0.20330349118764637</v>
      </c>
      <c r="CN55" s="433">
        <v>0.20405169784316468</v>
      </c>
      <c r="CO55" s="433">
        <v>0.6098978484120201</v>
      </c>
      <c r="CP55" s="433">
        <v>0.6472517576995086</v>
      </c>
      <c r="CQ55" s="433">
        <v>0.67663897658204775</v>
      </c>
      <c r="CR55" s="433">
        <v>0.47888048937537914</v>
      </c>
      <c r="CS55" s="433">
        <v>0.39443520669059223</v>
      </c>
      <c r="CT55" s="433">
        <v>0.447221292916757</v>
      </c>
      <c r="CU55" s="433">
        <v>0.3622790598707698</v>
      </c>
      <c r="CV55" s="433">
        <v>0.47604249083347333</v>
      </c>
      <c r="CW55" s="433">
        <v>0.4759898508915783</v>
      </c>
      <c r="CX55" s="433">
        <v>0.4007797062399322</v>
      </c>
      <c r="CY55" s="433">
        <v>0.40798711211863076</v>
      </c>
      <c r="CZ55" s="433">
        <v>0.29816004259848461</v>
      </c>
      <c r="DA55" s="433">
        <v>0.25104840798869349</v>
      </c>
      <c r="DB55" s="433">
        <v>0.80602184361489149</v>
      </c>
      <c r="DC55" s="433">
        <v>0.29816004259848461</v>
      </c>
      <c r="DD55" s="433">
        <v>0.25104840798869349</v>
      </c>
      <c r="DE55" s="433">
        <v>0.34680721234892764</v>
      </c>
      <c r="DF55" s="433">
        <v>0.40997005857291635</v>
      </c>
      <c r="DG55" s="433">
        <v>0</v>
      </c>
      <c r="DH55" s="433">
        <v>0</v>
      </c>
      <c r="DI55" s="433">
        <v>0</v>
      </c>
      <c r="DJ55" s="433">
        <v>0.35031031550396724</v>
      </c>
      <c r="DK55" s="433">
        <v>0.33543004792329517</v>
      </c>
      <c r="DL55" s="433">
        <v>0.2866175308668823</v>
      </c>
      <c r="DM55" s="433">
        <v>0.40997005857291635</v>
      </c>
      <c r="DN55" s="433">
        <v>0</v>
      </c>
      <c r="DO55" s="433">
        <v>0</v>
      </c>
      <c r="DP55" s="433">
        <v>0</v>
      </c>
      <c r="DR55" s="409" t="s">
        <v>855</v>
      </c>
      <c r="DS55" s="409" t="s">
        <v>2210</v>
      </c>
    </row>
    <row r="56" spans="2:123" s="1471" customFormat="1">
      <c r="B56" s="428">
        <v>41768.698940972223</v>
      </c>
      <c r="C56" s="429">
        <v>1.4178429348105785</v>
      </c>
      <c r="D56" s="429">
        <v>1.4161186459136268</v>
      </c>
      <c r="E56" s="429">
        <v>1.4533249901007597</v>
      </c>
      <c r="F56" s="429">
        <v>1.3950489151583585</v>
      </c>
      <c r="G56" s="429">
        <v>1.3931745843165271</v>
      </c>
      <c r="H56" s="429">
        <v>1.43577038972005</v>
      </c>
      <c r="I56" s="429">
        <v>1.4538919592030586</v>
      </c>
      <c r="J56" s="429">
        <v>1.5022033664062329</v>
      </c>
      <c r="K56" s="429">
        <v>1.3678148439083819</v>
      </c>
      <c r="L56" s="429">
        <v>1.4456129263729511</v>
      </c>
      <c r="M56" s="429">
        <v>1.2591846091847565</v>
      </c>
      <c r="N56" s="429">
        <v>1.214669127036653</v>
      </c>
      <c r="O56" s="429">
        <v>1.0294529200631528</v>
      </c>
      <c r="P56" s="429">
        <v>1.0844028988378271</v>
      </c>
      <c r="Q56" s="429">
        <v>2974.7896278515946</v>
      </c>
      <c r="R56" s="429">
        <v>16.21701177304195</v>
      </c>
      <c r="S56" s="429">
        <v>13.652706671588618</v>
      </c>
      <c r="T56" s="429">
        <v>3207.6148209535463</v>
      </c>
      <c r="U56" s="429">
        <v>3324.77370453497</v>
      </c>
      <c r="V56" s="429">
        <v>3455.1741131813551</v>
      </c>
      <c r="W56" s="429">
        <v>933.35798939100391</v>
      </c>
      <c r="X56" s="429">
        <v>620.40785544662003</v>
      </c>
      <c r="Y56" s="429">
        <v>507.53083159333073</v>
      </c>
      <c r="Z56" s="429">
        <v>85.656631060189554</v>
      </c>
      <c r="AA56" s="429">
        <v>667.53736195612885</v>
      </c>
      <c r="AB56" s="429">
        <v>555.46921702057045</v>
      </c>
      <c r="AC56" s="429">
        <v>346.89069400925257</v>
      </c>
      <c r="AD56" s="429">
        <v>3.2915152669361047</v>
      </c>
      <c r="AE56" s="429">
        <v>0</v>
      </c>
      <c r="AF56" s="429">
        <v>0</v>
      </c>
      <c r="AG56" s="429">
        <v>0</v>
      </c>
      <c r="AH56" s="429">
        <v>2.9685479256214493</v>
      </c>
      <c r="AI56" s="429">
        <v>6.3744676142485863</v>
      </c>
      <c r="AJ56" s="429">
        <v>6.1649825327137497</v>
      </c>
      <c r="AK56" s="429">
        <v>6.9984974055696565</v>
      </c>
      <c r="AL56" s="429">
        <v>0</v>
      </c>
      <c r="AM56" s="429">
        <v>0</v>
      </c>
      <c r="AN56" s="429">
        <v>0</v>
      </c>
      <c r="AO56" s="432"/>
      <c r="AP56" s="428">
        <v>41768.698940972223</v>
      </c>
      <c r="AQ56" s="431">
        <v>93.901112821567722</v>
      </c>
      <c r="AR56" s="431">
        <v>124.48038876723598</v>
      </c>
      <c r="AS56" s="431">
        <v>188.23419983570545</v>
      </c>
      <c r="AT56" s="431">
        <v>106.08566220072828</v>
      </c>
      <c r="AU56" s="431">
        <v>17.086069949784388</v>
      </c>
      <c r="AV56" s="431">
        <v>191.44176031816434</v>
      </c>
      <c r="AW56" s="431">
        <v>14.550273666946849</v>
      </c>
      <c r="AX56" s="431">
        <v>32.676303939361652</v>
      </c>
      <c r="AY56" s="431">
        <v>117.25033020390107</v>
      </c>
      <c r="AZ56" s="431">
        <v>-86.496085512856425</v>
      </c>
      <c r="BA56" s="431">
        <v>8.9148783460153371</v>
      </c>
      <c r="BB56" s="431">
        <v>5.783988615092321</v>
      </c>
      <c r="BC56" s="431">
        <v>4.9513106665683777</v>
      </c>
      <c r="BD56" s="431">
        <v>19.548198778501508</v>
      </c>
      <c r="BE56" s="431">
        <v>364089.36095595371</v>
      </c>
      <c r="BF56" s="431">
        <v>8150.70926730271</v>
      </c>
      <c r="BG56" s="431">
        <v>1188.2656565300465</v>
      </c>
      <c r="BH56" s="431">
        <v>383261.24995149003</v>
      </c>
      <c r="BI56" s="431">
        <v>368841.17011890863</v>
      </c>
      <c r="BJ56" s="431">
        <v>50004.911848346157</v>
      </c>
      <c r="BK56" s="431">
        <v>343111.91841703339</v>
      </c>
      <c r="BL56" s="431">
        <v>530386.02692656289</v>
      </c>
      <c r="BM56" s="431">
        <v>71906.03617678328</v>
      </c>
      <c r="BN56" s="431">
        <v>25737.621234554354</v>
      </c>
      <c r="BO56" s="431">
        <v>525211.52910288901</v>
      </c>
      <c r="BP56" s="431">
        <v>71204.513872619544</v>
      </c>
      <c r="BQ56" s="431">
        <v>355471.81681014696</v>
      </c>
      <c r="BR56" s="431">
        <v>828.07797681948841</v>
      </c>
      <c r="BS56" s="431">
        <v>0</v>
      </c>
      <c r="BT56" s="431">
        <v>0</v>
      </c>
      <c r="BU56" s="431">
        <v>0</v>
      </c>
      <c r="BV56" s="431">
        <v>772.40920709350462</v>
      </c>
      <c r="BW56" s="431">
        <v>1269.8141537291444</v>
      </c>
      <c r="BX56" s="431">
        <v>1180.5804740694159</v>
      </c>
      <c r="BY56" s="431">
        <v>976.78011825318788</v>
      </c>
      <c r="BZ56" s="431">
        <v>0</v>
      </c>
      <c r="CA56" s="431">
        <v>0</v>
      </c>
      <c r="CB56" s="431">
        <v>0</v>
      </c>
      <c r="CC56" s="432"/>
      <c r="CD56" s="428">
        <v>41768.698940972223</v>
      </c>
      <c r="CE56" s="433">
        <v>0.30887516912936769</v>
      </c>
      <c r="CF56" s="433">
        <v>0.21465334314226731</v>
      </c>
      <c r="CG56" s="433">
        <v>0.17822376316137725</v>
      </c>
      <c r="CH56" s="433">
        <v>0.1804430703502535</v>
      </c>
      <c r="CI56" s="433">
        <v>0.11969468358927447</v>
      </c>
      <c r="CJ56" s="433">
        <v>0.26218817202595668</v>
      </c>
      <c r="CK56" s="433">
        <v>0.26007046015078716</v>
      </c>
      <c r="CL56" s="433">
        <v>0.2795059670458605</v>
      </c>
      <c r="CM56" s="433">
        <v>0.20330349118764637</v>
      </c>
      <c r="CN56" s="433">
        <v>0.20405169784316468</v>
      </c>
      <c r="CO56" s="433">
        <v>0.6098978484120201</v>
      </c>
      <c r="CP56" s="433">
        <v>0.6472517576995086</v>
      </c>
      <c r="CQ56" s="433">
        <v>0.67663897658204775</v>
      </c>
      <c r="CR56" s="433">
        <v>0.47888048937537914</v>
      </c>
      <c r="CS56" s="433">
        <v>0.39443520669059223</v>
      </c>
      <c r="CT56" s="433">
        <v>0.447221292916757</v>
      </c>
      <c r="CU56" s="433">
        <v>0.3622790598707698</v>
      </c>
      <c r="CV56" s="433">
        <v>0.47604249083347333</v>
      </c>
      <c r="CW56" s="433">
        <v>0.4759898508915783</v>
      </c>
      <c r="CX56" s="433">
        <v>0.4007797062399322</v>
      </c>
      <c r="CY56" s="433">
        <v>0.40798711211863076</v>
      </c>
      <c r="CZ56" s="433">
        <v>0.29816004259848461</v>
      </c>
      <c r="DA56" s="433">
        <v>0.25104840798869349</v>
      </c>
      <c r="DB56" s="433">
        <v>0.80602184361489149</v>
      </c>
      <c r="DC56" s="433">
        <v>0.29816004259848461</v>
      </c>
      <c r="DD56" s="433">
        <v>0.25104840798869349</v>
      </c>
      <c r="DE56" s="433">
        <v>0.34680721234892764</v>
      </c>
      <c r="DF56" s="433">
        <v>0.40997005857291635</v>
      </c>
      <c r="DG56" s="433">
        <v>0</v>
      </c>
      <c r="DH56" s="433">
        <v>0</v>
      </c>
      <c r="DI56" s="433">
        <v>0</v>
      </c>
      <c r="DJ56" s="433">
        <v>0.35031031550396724</v>
      </c>
      <c r="DK56" s="433">
        <v>0.33543004792329517</v>
      </c>
      <c r="DL56" s="433">
        <v>0.2866175308668823</v>
      </c>
      <c r="DM56" s="433">
        <v>0.40997005857291635</v>
      </c>
      <c r="DN56" s="433">
        <v>0</v>
      </c>
      <c r="DO56" s="433">
        <v>0</v>
      </c>
      <c r="DP56" s="433">
        <v>0</v>
      </c>
      <c r="DR56" s="409" t="s">
        <v>855</v>
      </c>
      <c r="DS56" s="409" t="s">
        <v>2211</v>
      </c>
    </row>
    <row r="57" spans="2:123" s="1471" customFormat="1">
      <c r="B57" s="428">
        <v>41770.638002430554</v>
      </c>
      <c r="C57" s="429">
        <v>1.4178429348105785</v>
      </c>
      <c r="D57" s="429">
        <v>1.4161186459136268</v>
      </c>
      <c r="E57" s="429">
        <v>1.4490155260037312</v>
      </c>
      <c r="F57" s="429">
        <v>1.3938071295693681</v>
      </c>
      <c r="G57" s="429">
        <v>1.3866581486917755</v>
      </c>
      <c r="H57" s="429">
        <v>1.43577038972005</v>
      </c>
      <c r="I57" s="429">
        <v>1.447154039079269</v>
      </c>
      <c r="J57" s="429">
        <v>1.4976421879788766</v>
      </c>
      <c r="K57" s="429">
        <v>1.3675011651298783</v>
      </c>
      <c r="L57" s="429">
        <v>1.4490374137879236</v>
      </c>
      <c r="M57" s="429">
        <v>1.2585464521427296</v>
      </c>
      <c r="N57" s="429">
        <v>1.214669127036653</v>
      </c>
      <c r="O57" s="429">
        <v>1.0294529200631528</v>
      </c>
      <c r="P57" s="429">
        <v>1.0844028988378271</v>
      </c>
      <c r="Q57" s="429">
        <v>2974.7896278515946</v>
      </c>
      <c r="R57" s="429">
        <v>16.21701177304195</v>
      </c>
      <c r="S57" s="429">
        <v>12.680627129834875</v>
      </c>
      <c r="T57" s="429">
        <v>3207.6148209535463</v>
      </c>
      <c r="U57" s="429">
        <v>3324.77370453497</v>
      </c>
      <c r="V57" s="429">
        <v>3429.8253736606594</v>
      </c>
      <c r="W57" s="429">
        <v>932.4826505272224</v>
      </c>
      <c r="X57" s="429">
        <v>620.40785544662003</v>
      </c>
      <c r="Y57" s="429">
        <v>506.93984249846409</v>
      </c>
      <c r="Z57" s="429">
        <v>85.656631060189554</v>
      </c>
      <c r="AA57" s="429">
        <v>667.53736195612885</v>
      </c>
      <c r="AB57" s="429">
        <v>554.91889506982352</v>
      </c>
      <c r="AC57" s="429">
        <v>345.92024291954141</v>
      </c>
      <c r="AD57" s="429">
        <v>3.2915152669361047</v>
      </c>
      <c r="AE57" s="429">
        <v>0</v>
      </c>
      <c r="AF57" s="429">
        <v>0</v>
      </c>
      <c r="AG57" s="429">
        <v>0</v>
      </c>
      <c r="AH57" s="429">
        <v>2.966510375981307</v>
      </c>
      <c r="AI57" s="429">
        <v>6.3744676142485863</v>
      </c>
      <c r="AJ57" s="429">
        <v>6.1618628091128107</v>
      </c>
      <c r="AK57" s="429">
        <v>6.9984974055696565</v>
      </c>
      <c r="AL57" s="429">
        <v>0</v>
      </c>
      <c r="AM57" s="429">
        <v>0</v>
      </c>
      <c r="AN57" s="429">
        <v>0</v>
      </c>
      <c r="AO57" s="432"/>
      <c r="AP57" s="428">
        <v>41770.638002430554</v>
      </c>
      <c r="AQ57" s="431">
        <v>93.901112821567722</v>
      </c>
      <c r="AR57" s="431">
        <v>124.48038876723598</v>
      </c>
      <c r="AS57" s="431">
        <v>188.17861863529311</v>
      </c>
      <c r="AT57" s="431">
        <v>106.05849524287551</v>
      </c>
      <c r="AU57" s="431">
        <v>16.960343349926497</v>
      </c>
      <c r="AV57" s="431">
        <v>191.44176031816434</v>
      </c>
      <c r="AW57" s="431">
        <v>14.393139470168476</v>
      </c>
      <c r="AX57" s="431">
        <v>36.753321575986732</v>
      </c>
      <c r="AY57" s="431">
        <v>117.25033020390107</v>
      </c>
      <c r="AZ57" s="431">
        <v>-86.496782653344056</v>
      </c>
      <c r="BA57" s="431">
        <v>9.5959872460790638</v>
      </c>
      <c r="BB57" s="431">
        <v>5.783988615092321</v>
      </c>
      <c r="BC57" s="431">
        <v>4.9513106665683777</v>
      </c>
      <c r="BD57" s="431">
        <v>19.548198778501508</v>
      </c>
      <c r="BE57" s="431">
        <v>364089.36095595371</v>
      </c>
      <c r="BF57" s="431">
        <v>8150.70926730271</v>
      </c>
      <c r="BG57" s="431">
        <v>1132.6274502797733</v>
      </c>
      <c r="BH57" s="431">
        <v>383261.24995149003</v>
      </c>
      <c r="BI57" s="431">
        <v>368841.17011890863</v>
      </c>
      <c r="BJ57" s="431">
        <v>49373.537563197853</v>
      </c>
      <c r="BK57" s="431">
        <v>343111.91841703339</v>
      </c>
      <c r="BL57" s="431">
        <v>530386.02692656289</v>
      </c>
      <c r="BM57" s="431">
        <v>70998.132922665929</v>
      </c>
      <c r="BN57" s="431">
        <v>25737.621234554354</v>
      </c>
      <c r="BO57" s="431">
        <v>525211.52910288901</v>
      </c>
      <c r="BP57" s="431">
        <v>70305.468211225278</v>
      </c>
      <c r="BQ57" s="431">
        <v>355471.81681014696</v>
      </c>
      <c r="BR57" s="431">
        <v>828.07797681948841</v>
      </c>
      <c r="BS57" s="431">
        <v>0</v>
      </c>
      <c r="BT57" s="431">
        <v>0</v>
      </c>
      <c r="BU57" s="431">
        <v>0</v>
      </c>
      <c r="BV57" s="431">
        <v>772.40920709350462</v>
      </c>
      <c r="BW57" s="431">
        <v>1269.8141537291444</v>
      </c>
      <c r="BX57" s="431">
        <v>1180.5804740694159</v>
      </c>
      <c r="BY57" s="431">
        <v>976.78011825318788</v>
      </c>
      <c r="BZ57" s="431">
        <v>0</v>
      </c>
      <c r="CA57" s="431">
        <v>0</v>
      </c>
      <c r="CB57" s="431">
        <v>0</v>
      </c>
      <c r="CC57" s="432"/>
      <c r="CD57" s="428">
        <v>41770.638002430554</v>
      </c>
      <c r="CE57" s="433">
        <v>0.30887516912936769</v>
      </c>
      <c r="CF57" s="433">
        <v>0.21465334314226731</v>
      </c>
      <c r="CG57" s="433">
        <v>0.17822376316137725</v>
      </c>
      <c r="CH57" s="433">
        <v>0.1804430703502535</v>
      </c>
      <c r="CI57" s="433">
        <v>0.11969468358927447</v>
      </c>
      <c r="CJ57" s="433">
        <v>0.26218817202595668</v>
      </c>
      <c r="CK57" s="433">
        <v>0.26007046015078716</v>
      </c>
      <c r="CL57" s="433">
        <v>0.2795059670458605</v>
      </c>
      <c r="CM57" s="433">
        <v>0.20330349118764637</v>
      </c>
      <c r="CN57" s="433">
        <v>0.20405169784316468</v>
      </c>
      <c r="CO57" s="433">
        <v>0.6098978484120201</v>
      </c>
      <c r="CP57" s="433">
        <v>0.6472517576995086</v>
      </c>
      <c r="CQ57" s="433">
        <v>0.67663897658204775</v>
      </c>
      <c r="CR57" s="433">
        <v>0.47888048937537914</v>
      </c>
      <c r="CS57" s="433">
        <v>0.39443520669059223</v>
      </c>
      <c r="CT57" s="433">
        <v>0.447221292916757</v>
      </c>
      <c r="CU57" s="433">
        <v>0.3622790598707698</v>
      </c>
      <c r="CV57" s="433">
        <v>0.47604249083347333</v>
      </c>
      <c r="CW57" s="433">
        <v>0.4759898508915783</v>
      </c>
      <c r="CX57" s="433">
        <v>0.4007797062399322</v>
      </c>
      <c r="CY57" s="433">
        <v>0.40798711211863076</v>
      </c>
      <c r="CZ57" s="433">
        <v>0.29816004259848461</v>
      </c>
      <c r="DA57" s="433">
        <v>0.25104840798869349</v>
      </c>
      <c r="DB57" s="433">
        <v>0.80602184361489149</v>
      </c>
      <c r="DC57" s="433">
        <v>0.29816004259848461</v>
      </c>
      <c r="DD57" s="433">
        <v>0.25104840798869349</v>
      </c>
      <c r="DE57" s="433">
        <v>0.34680721234892764</v>
      </c>
      <c r="DF57" s="433">
        <v>0.40997005857291635</v>
      </c>
      <c r="DG57" s="433">
        <v>0</v>
      </c>
      <c r="DH57" s="433">
        <v>0</v>
      </c>
      <c r="DI57" s="433">
        <v>0</v>
      </c>
      <c r="DJ57" s="433">
        <v>0.35031031550396724</v>
      </c>
      <c r="DK57" s="433">
        <v>0.33543004792329517</v>
      </c>
      <c r="DL57" s="433">
        <v>0.2866175308668823</v>
      </c>
      <c r="DM57" s="433">
        <v>0.40997005857291635</v>
      </c>
      <c r="DN57" s="433">
        <v>0</v>
      </c>
      <c r="DO57" s="433">
        <v>0</v>
      </c>
      <c r="DP57" s="433">
        <v>0</v>
      </c>
      <c r="DR57" s="409" t="s">
        <v>711</v>
      </c>
      <c r="DS57" s="409" t="s">
        <v>2243</v>
      </c>
    </row>
    <row r="58" spans="2:123" s="1471" customFormat="1">
      <c r="B58" s="428">
        <v>41770.676483796298</v>
      </c>
      <c r="C58" s="429">
        <v>1.4178429348105785</v>
      </c>
      <c r="D58" s="429">
        <v>1.4161186459136268</v>
      </c>
      <c r="E58" s="429">
        <v>1.4150687521773622</v>
      </c>
      <c r="F58" s="429">
        <v>1.4269772779596925</v>
      </c>
      <c r="G58" s="429">
        <v>1.3866581486917755</v>
      </c>
      <c r="H58" s="429">
        <v>1.4156525770907002</v>
      </c>
      <c r="I58" s="429">
        <v>1.447154039079269</v>
      </c>
      <c r="J58" s="429">
        <v>1.4965761359499516</v>
      </c>
      <c r="K58" s="429">
        <v>1.3675011651298783</v>
      </c>
      <c r="L58" s="429">
        <v>1.4490374137879236</v>
      </c>
      <c r="M58" s="429">
        <v>1.2583657919525995</v>
      </c>
      <c r="N58" s="429">
        <v>1.214669127036653</v>
      </c>
      <c r="O58" s="429">
        <v>1.0294529200631528</v>
      </c>
      <c r="P58" s="429">
        <v>1.0844028988378271</v>
      </c>
      <c r="Q58" s="429">
        <v>2974.7896278515946</v>
      </c>
      <c r="R58" s="429">
        <v>16.21701177304195</v>
      </c>
      <c r="S58" s="429">
        <v>12.680627129834875</v>
      </c>
      <c r="T58" s="429">
        <v>3207.6148209535463</v>
      </c>
      <c r="U58" s="429">
        <v>3324.77370453497</v>
      </c>
      <c r="V58" s="429">
        <v>3429.8253736606594</v>
      </c>
      <c r="W58" s="429">
        <v>932.4826505272224</v>
      </c>
      <c r="X58" s="429">
        <v>620.40785544662003</v>
      </c>
      <c r="Y58" s="429">
        <v>506.93984249846409</v>
      </c>
      <c r="Z58" s="429">
        <v>85.656631060189554</v>
      </c>
      <c r="AA58" s="429">
        <v>667.53736195612885</v>
      </c>
      <c r="AB58" s="429">
        <v>554.91889506982352</v>
      </c>
      <c r="AC58" s="429">
        <v>345.92024291954141</v>
      </c>
      <c r="AD58" s="429">
        <v>3.2915152669361047</v>
      </c>
      <c r="AE58" s="429">
        <v>0</v>
      </c>
      <c r="AF58" s="429">
        <v>0</v>
      </c>
      <c r="AG58" s="429">
        <v>0</v>
      </c>
      <c r="AH58" s="429">
        <v>2.966510375981307</v>
      </c>
      <c r="AI58" s="429">
        <v>6.3744676142485863</v>
      </c>
      <c r="AJ58" s="429">
        <v>6.1618628091128107</v>
      </c>
      <c r="AK58" s="429">
        <v>6.9984974055696565</v>
      </c>
      <c r="AL58" s="429">
        <v>0</v>
      </c>
      <c r="AM58" s="429">
        <v>0</v>
      </c>
      <c r="AN58" s="429">
        <v>0</v>
      </c>
      <c r="AO58" s="432"/>
      <c r="AP58" s="428">
        <v>41770.676483796298</v>
      </c>
      <c r="AQ58" s="431">
        <v>93.901112821567722</v>
      </c>
      <c r="AR58" s="431">
        <v>124.48038876723598</v>
      </c>
      <c r="AS58" s="431">
        <v>48.695712176959631</v>
      </c>
      <c r="AT58" s="431">
        <v>242.35034815358617</v>
      </c>
      <c r="AU58" s="431">
        <v>16.960343349926497</v>
      </c>
      <c r="AV58" s="431">
        <v>108.78026819881083</v>
      </c>
      <c r="AW58" s="431">
        <v>14.393139470168476</v>
      </c>
      <c r="AX58" s="431">
        <v>32.373051562971533</v>
      </c>
      <c r="AY58" s="431">
        <v>117.25033020390107</v>
      </c>
      <c r="AZ58" s="431">
        <v>-86.496782653344056</v>
      </c>
      <c r="BA58" s="431">
        <v>8.853677872894874</v>
      </c>
      <c r="BB58" s="431">
        <v>5.783988615092321</v>
      </c>
      <c r="BC58" s="431">
        <v>4.9513106665683777</v>
      </c>
      <c r="BD58" s="431">
        <v>19.548198778501508</v>
      </c>
      <c r="BE58" s="431">
        <v>364089.36095595371</v>
      </c>
      <c r="BF58" s="431">
        <v>8150.70926730271</v>
      </c>
      <c r="BG58" s="431">
        <v>1132.6274502797733</v>
      </c>
      <c r="BH58" s="431">
        <v>383261.24995149003</v>
      </c>
      <c r="BI58" s="431">
        <v>368841.17011890863</v>
      </c>
      <c r="BJ58" s="431">
        <v>49373.537563197853</v>
      </c>
      <c r="BK58" s="431">
        <v>343111.91841703339</v>
      </c>
      <c r="BL58" s="431">
        <v>530386.02692656289</v>
      </c>
      <c r="BM58" s="431">
        <v>70998.132922665929</v>
      </c>
      <c r="BN58" s="431">
        <v>25737.621234554354</v>
      </c>
      <c r="BO58" s="431">
        <v>525211.52910288901</v>
      </c>
      <c r="BP58" s="431">
        <v>70305.468211225278</v>
      </c>
      <c r="BQ58" s="431">
        <v>355471.81681014696</v>
      </c>
      <c r="BR58" s="431">
        <v>828.07797681948841</v>
      </c>
      <c r="BS58" s="431">
        <v>0</v>
      </c>
      <c r="BT58" s="431">
        <v>0</v>
      </c>
      <c r="BU58" s="431">
        <v>0</v>
      </c>
      <c r="BV58" s="431">
        <v>772.40920709350462</v>
      </c>
      <c r="BW58" s="431">
        <v>1269.8141537291444</v>
      </c>
      <c r="BX58" s="431">
        <v>1180.5804740694159</v>
      </c>
      <c r="BY58" s="431">
        <v>976.78011825318788</v>
      </c>
      <c r="BZ58" s="431">
        <v>0</v>
      </c>
      <c r="CA58" s="431">
        <v>0</v>
      </c>
      <c r="CB58" s="431">
        <v>0</v>
      </c>
      <c r="CC58" s="432"/>
      <c r="CD58" s="428">
        <v>41770.676483796298</v>
      </c>
      <c r="CE58" s="433">
        <v>0.30887516912936769</v>
      </c>
      <c r="CF58" s="433">
        <v>0.21465334314226731</v>
      </c>
      <c r="CG58" s="433">
        <v>0.17822376316137725</v>
      </c>
      <c r="CH58" s="433">
        <v>0.1804430703502535</v>
      </c>
      <c r="CI58" s="433">
        <v>0.11969468358927447</v>
      </c>
      <c r="CJ58" s="433">
        <v>0.26218817202595668</v>
      </c>
      <c r="CK58" s="433">
        <v>0.26007046015078716</v>
      </c>
      <c r="CL58" s="433">
        <v>0.2795059670458605</v>
      </c>
      <c r="CM58" s="433">
        <v>0.20330349118764637</v>
      </c>
      <c r="CN58" s="433">
        <v>0.20405169784316468</v>
      </c>
      <c r="CO58" s="433">
        <v>0.6098978484120201</v>
      </c>
      <c r="CP58" s="433">
        <v>0.6472517576995086</v>
      </c>
      <c r="CQ58" s="433">
        <v>0.67663897658204775</v>
      </c>
      <c r="CR58" s="433">
        <v>0.47888048937537914</v>
      </c>
      <c r="CS58" s="433">
        <v>0.39443520669059223</v>
      </c>
      <c r="CT58" s="433">
        <v>0.447221292916757</v>
      </c>
      <c r="CU58" s="433">
        <v>0.3622790598707698</v>
      </c>
      <c r="CV58" s="433">
        <v>0.47604249083347333</v>
      </c>
      <c r="CW58" s="433">
        <v>0.4759898508915783</v>
      </c>
      <c r="CX58" s="433">
        <v>0.4007797062399322</v>
      </c>
      <c r="CY58" s="433">
        <v>0.40798711211863076</v>
      </c>
      <c r="CZ58" s="433">
        <v>0.29816004259848461</v>
      </c>
      <c r="DA58" s="433">
        <v>0.25104840798869349</v>
      </c>
      <c r="DB58" s="433">
        <v>0.80602184361489149</v>
      </c>
      <c r="DC58" s="433">
        <v>0.29816004259848461</v>
      </c>
      <c r="DD58" s="433">
        <v>0.25104840798869349</v>
      </c>
      <c r="DE58" s="433">
        <v>0.34680721234892764</v>
      </c>
      <c r="DF58" s="433">
        <v>0.40997005857291635</v>
      </c>
      <c r="DG58" s="433">
        <v>0</v>
      </c>
      <c r="DH58" s="433">
        <v>0</v>
      </c>
      <c r="DI58" s="433">
        <v>0</v>
      </c>
      <c r="DJ58" s="433">
        <v>0.35031031550396724</v>
      </c>
      <c r="DK58" s="433">
        <v>0.33543004792329517</v>
      </c>
      <c r="DL58" s="433">
        <v>0.2866175308668823</v>
      </c>
      <c r="DM58" s="433">
        <v>0.40997005857291635</v>
      </c>
      <c r="DN58" s="433">
        <v>0</v>
      </c>
      <c r="DO58" s="433">
        <v>0</v>
      </c>
      <c r="DP58" s="433">
        <v>0</v>
      </c>
      <c r="DR58" s="409" t="s">
        <v>711</v>
      </c>
      <c r="DS58" s="409" t="s">
        <v>2265</v>
      </c>
    </row>
    <row r="59" spans="2:123" s="1471" customFormat="1">
      <c r="B59" s="428">
        <v>41770.719523611115</v>
      </c>
      <c r="C59" s="429">
        <v>1.4178429348105785</v>
      </c>
      <c r="D59" s="429">
        <v>1.4161186459136268</v>
      </c>
      <c r="E59" s="429">
        <v>1.4341172552952755</v>
      </c>
      <c r="F59" s="429">
        <v>1.4044467067222139</v>
      </c>
      <c r="G59" s="429">
        <v>1.3888086928206906</v>
      </c>
      <c r="H59" s="429">
        <v>1.4095515008754977</v>
      </c>
      <c r="I59" s="429">
        <v>1.4487927830299483</v>
      </c>
      <c r="J59" s="429">
        <v>1.4965761359499516</v>
      </c>
      <c r="K59" s="429">
        <v>1.3675011651298783</v>
      </c>
      <c r="L59" s="429">
        <v>1.4490374137879236</v>
      </c>
      <c r="M59" s="429">
        <v>1.2578659309745064</v>
      </c>
      <c r="N59" s="429">
        <v>1.2138930224574191</v>
      </c>
      <c r="O59" s="429">
        <v>1.0287885455048233</v>
      </c>
      <c r="P59" s="429">
        <v>1.0833448100243031</v>
      </c>
      <c r="Q59" s="429">
        <v>2974.7896278515946</v>
      </c>
      <c r="R59" s="429">
        <v>16.21701177304195</v>
      </c>
      <c r="S59" s="429">
        <v>12.831648849844576</v>
      </c>
      <c r="T59" s="429">
        <v>3207.6148209535463</v>
      </c>
      <c r="U59" s="429">
        <v>3324.77370453497</v>
      </c>
      <c r="V59" s="429">
        <v>3436.4099415753108</v>
      </c>
      <c r="W59" s="429">
        <v>932.4826505272224</v>
      </c>
      <c r="X59" s="429">
        <v>620.40785544662003</v>
      </c>
      <c r="Y59" s="429">
        <v>516.40831591794176</v>
      </c>
      <c r="Z59" s="429">
        <v>82.203117053159104</v>
      </c>
      <c r="AA59" s="429">
        <v>667.53736195612885</v>
      </c>
      <c r="AB59" s="429">
        <v>564.29499313886731</v>
      </c>
      <c r="AC59" s="429">
        <v>345.92024291954141</v>
      </c>
      <c r="AD59" s="429">
        <v>3.2915152669361047</v>
      </c>
      <c r="AE59" s="429">
        <v>0</v>
      </c>
      <c r="AF59" s="429">
        <v>0</v>
      </c>
      <c r="AG59" s="429">
        <v>0</v>
      </c>
      <c r="AH59" s="429">
        <v>2.966510375981307</v>
      </c>
      <c r="AI59" s="429">
        <v>6.3744676142485863</v>
      </c>
      <c r="AJ59" s="429">
        <v>6.1618628091128107</v>
      </c>
      <c r="AK59" s="429">
        <v>6.9984974055696565</v>
      </c>
      <c r="AL59" s="429">
        <v>0</v>
      </c>
      <c r="AM59" s="429">
        <v>0</v>
      </c>
      <c r="AN59" s="429">
        <v>0</v>
      </c>
      <c r="AO59" s="432"/>
      <c r="AP59" s="428">
        <v>41770.719523611115</v>
      </c>
      <c r="AQ59" s="431">
        <v>93.901112821567722</v>
      </c>
      <c r="AR59" s="431">
        <v>124.48038876723598</v>
      </c>
      <c r="AS59" s="431">
        <v>121.00265930255961</v>
      </c>
      <c r="AT59" s="431">
        <v>149.77514273218242</v>
      </c>
      <c r="AU59" s="431">
        <v>25.79665124481636</v>
      </c>
      <c r="AV59" s="431">
        <v>83.332796202520115</v>
      </c>
      <c r="AW59" s="431">
        <v>21.126526576433982</v>
      </c>
      <c r="AX59" s="431">
        <v>32.373051562971533</v>
      </c>
      <c r="AY59" s="431">
        <v>117.25033020390107</v>
      </c>
      <c r="AZ59" s="431">
        <v>-86.496782653344056</v>
      </c>
      <c r="BA59" s="431">
        <v>6.7998137146648521</v>
      </c>
      <c r="BB59" s="431">
        <v>2.5950752007907312</v>
      </c>
      <c r="BC59" s="431">
        <v>2.2214814684619042</v>
      </c>
      <c r="BD59" s="431">
        <v>15.200648588423212</v>
      </c>
      <c r="BE59" s="431">
        <v>364089.36095595371</v>
      </c>
      <c r="BF59" s="431">
        <v>8150.70926730271</v>
      </c>
      <c r="BG59" s="431">
        <v>1753.1561801388455</v>
      </c>
      <c r="BH59" s="431">
        <v>383261.24995149003</v>
      </c>
      <c r="BI59" s="431">
        <v>368841.17011890863</v>
      </c>
      <c r="BJ59" s="431">
        <v>76428.676151784864</v>
      </c>
      <c r="BK59" s="431">
        <v>343111.91841703339</v>
      </c>
      <c r="BL59" s="431">
        <v>530386.02692656289</v>
      </c>
      <c r="BM59" s="431">
        <v>109902.86652201465</v>
      </c>
      <c r="BN59" s="431">
        <v>11547.578502982729</v>
      </c>
      <c r="BO59" s="431">
        <v>525211.52910288901</v>
      </c>
      <c r="BP59" s="431">
        <v>108830.64343399501</v>
      </c>
      <c r="BQ59" s="431">
        <v>355471.81681014696</v>
      </c>
      <c r="BR59" s="431">
        <v>828.07797681948841</v>
      </c>
      <c r="BS59" s="431">
        <v>0</v>
      </c>
      <c r="BT59" s="431">
        <v>0</v>
      </c>
      <c r="BU59" s="431">
        <v>0</v>
      </c>
      <c r="BV59" s="431">
        <v>772.40920709350462</v>
      </c>
      <c r="BW59" s="431">
        <v>1269.8141537291444</v>
      </c>
      <c r="BX59" s="431">
        <v>1180.5804740694159</v>
      </c>
      <c r="BY59" s="431">
        <v>976.78011825318788</v>
      </c>
      <c r="BZ59" s="431">
        <v>0</v>
      </c>
      <c r="CA59" s="431">
        <v>0</v>
      </c>
      <c r="CB59" s="431">
        <v>0</v>
      </c>
      <c r="CC59" s="432"/>
      <c r="CD59" s="428">
        <v>41770.719523611115</v>
      </c>
      <c r="CE59" s="433">
        <v>0.30887516912936769</v>
      </c>
      <c r="CF59" s="433">
        <v>0.21465334314226731</v>
      </c>
      <c r="CG59" s="433">
        <v>0.17822376316137725</v>
      </c>
      <c r="CH59" s="433">
        <v>0.1804430703502535</v>
      </c>
      <c r="CI59" s="433">
        <v>0.11969468358927447</v>
      </c>
      <c r="CJ59" s="433">
        <v>0.26218817202595668</v>
      </c>
      <c r="CK59" s="433">
        <v>0.26007046015078716</v>
      </c>
      <c r="CL59" s="433">
        <v>0.2795059670458605</v>
      </c>
      <c r="CM59" s="433">
        <v>0.20330349118764637</v>
      </c>
      <c r="CN59" s="433">
        <v>0.20405169784316468</v>
      </c>
      <c r="CO59" s="433">
        <v>0.6098978484120201</v>
      </c>
      <c r="CP59" s="433">
        <v>0.6472517576995086</v>
      </c>
      <c r="CQ59" s="433">
        <v>0.67663897658204775</v>
      </c>
      <c r="CR59" s="433">
        <v>0.47888048937537914</v>
      </c>
      <c r="CS59" s="433">
        <v>0.39443520669059223</v>
      </c>
      <c r="CT59" s="433">
        <v>0.447221292916757</v>
      </c>
      <c r="CU59" s="433">
        <v>0.3622790598707698</v>
      </c>
      <c r="CV59" s="433">
        <v>0.47604249083347333</v>
      </c>
      <c r="CW59" s="433">
        <v>0.4759898508915783</v>
      </c>
      <c r="CX59" s="433">
        <v>0.4007797062399322</v>
      </c>
      <c r="CY59" s="433">
        <v>0.40798711211863076</v>
      </c>
      <c r="CZ59" s="433">
        <v>0.29816004259848461</v>
      </c>
      <c r="DA59" s="433">
        <v>0.25104840798869349</v>
      </c>
      <c r="DB59" s="433">
        <v>0.80602184361489149</v>
      </c>
      <c r="DC59" s="433">
        <v>0.29816004259848461</v>
      </c>
      <c r="DD59" s="433">
        <v>0.25104840798869349</v>
      </c>
      <c r="DE59" s="433">
        <v>0.34680721234892764</v>
      </c>
      <c r="DF59" s="433">
        <v>0.40997005857291635</v>
      </c>
      <c r="DG59" s="433">
        <v>0</v>
      </c>
      <c r="DH59" s="433">
        <v>0</v>
      </c>
      <c r="DI59" s="433">
        <v>0</v>
      </c>
      <c r="DJ59" s="433">
        <v>0.35031031550396724</v>
      </c>
      <c r="DK59" s="433">
        <v>0.33543004792329517</v>
      </c>
      <c r="DL59" s="433">
        <v>0.2866175308668823</v>
      </c>
      <c r="DM59" s="433">
        <v>0.40997005857291635</v>
      </c>
      <c r="DN59" s="433">
        <v>0</v>
      </c>
      <c r="DO59" s="433">
        <v>0</v>
      </c>
      <c r="DP59" s="433">
        <v>0</v>
      </c>
      <c r="DR59" s="409" t="s">
        <v>711</v>
      </c>
      <c r="DS59" s="409" t="s">
        <v>2272</v>
      </c>
    </row>
    <row r="60" spans="2:123" s="1471" customFormat="1">
      <c r="B60" s="428">
        <v>41770.795200694447</v>
      </c>
      <c r="C60" s="429">
        <v>1.4178429348105785</v>
      </c>
      <c r="D60" s="429">
        <v>1.4161186459136268</v>
      </c>
      <c r="E60" s="429">
        <v>1.4341172552952755</v>
      </c>
      <c r="F60" s="429">
        <v>1.4044467067222139</v>
      </c>
      <c r="G60" s="429">
        <v>1.3888086928206906</v>
      </c>
      <c r="H60" s="429">
        <v>1.4095515008754977</v>
      </c>
      <c r="I60" s="429">
        <v>1.4487927830299483</v>
      </c>
      <c r="J60" s="429">
        <v>1.4965761359499516</v>
      </c>
      <c r="K60" s="429">
        <v>1.3675011651298783</v>
      </c>
      <c r="L60" s="429">
        <v>1.4456127567057777</v>
      </c>
      <c r="M60" s="429">
        <v>1.2578659309745064</v>
      </c>
      <c r="N60" s="429">
        <v>1.2138930224574191</v>
      </c>
      <c r="O60" s="429">
        <v>1.0287885455048233</v>
      </c>
      <c r="P60" s="429">
        <v>1.0833448100243031</v>
      </c>
      <c r="Q60" s="429">
        <v>2974.7896278515946</v>
      </c>
      <c r="R60" s="429">
        <v>16.21701177304195</v>
      </c>
      <c r="S60" s="429">
        <v>12.831648849844576</v>
      </c>
      <c r="T60" s="429">
        <v>3207.6148209535463</v>
      </c>
      <c r="U60" s="429">
        <v>3324.77370453497</v>
      </c>
      <c r="V60" s="429">
        <v>3436.4099415753108</v>
      </c>
      <c r="W60" s="429">
        <v>932.4826505272224</v>
      </c>
      <c r="X60" s="429">
        <v>620.40785544662003</v>
      </c>
      <c r="Y60" s="429">
        <v>516.40831591794176</v>
      </c>
      <c r="Z60" s="429">
        <v>82.203117053159104</v>
      </c>
      <c r="AA60" s="429">
        <v>667.53736195612885</v>
      </c>
      <c r="AB60" s="429">
        <v>564.29499313886731</v>
      </c>
      <c r="AC60" s="429">
        <v>345.92024291954141</v>
      </c>
      <c r="AD60" s="429">
        <v>3.2915152669361047</v>
      </c>
      <c r="AE60" s="429">
        <v>0</v>
      </c>
      <c r="AF60" s="429">
        <v>0</v>
      </c>
      <c r="AG60" s="429">
        <v>0</v>
      </c>
      <c r="AH60" s="429">
        <v>2.966510375981307</v>
      </c>
      <c r="AI60" s="429">
        <v>6.3744676142485863</v>
      </c>
      <c r="AJ60" s="429">
        <v>6.1618628091128107</v>
      </c>
      <c r="AK60" s="429">
        <v>6.9984974055696565</v>
      </c>
      <c r="AL60" s="429">
        <v>0</v>
      </c>
      <c r="AM60" s="429">
        <v>0</v>
      </c>
      <c r="AN60" s="429">
        <v>0</v>
      </c>
      <c r="AO60" s="432"/>
      <c r="AP60" s="428">
        <v>41770.795200694447</v>
      </c>
      <c r="AQ60" s="431">
        <v>93.901112821567722</v>
      </c>
      <c r="AR60" s="431">
        <v>124.48038876723598</v>
      </c>
      <c r="AS60" s="431">
        <v>121.00265930255961</v>
      </c>
      <c r="AT60" s="431">
        <v>149.77514273218242</v>
      </c>
      <c r="AU60" s="431">
        <v>25.79665124481636</v>
      </c>
      <c r="AV60" s="431">
        <v>83.332796202520115</v>
      </c>
      <c r="AW60" s="431">
        <v>21.126526576433982</v>
      </c>
      <c r="AX60" s="431">
        <v>32.373051562971533</v>
      </c>
      <c r="AY60" s="431">
        <v>117.25033020390107</v>
      </c>
      <c r="AZ60" s="431">
        <v>-86.496782653344056</v>
      </c>
      <c r="BA60" s="431">
        <v>6.7998137146648521</v>
      </c>
      <c r="BB60" s="431">
        <v>2.5950752007907312</v>
      </c>
      <c r="BC60" s="431">
        <v>2.2214814684619042</v>
      </c>
      <c r="BD60" s="431">
        <v>15.200648588423212</v>
      </c>
      <c r="BE60" s="431">
        <v>364089.36095595371</v>
      </c>
      <c r="BF60" s="431">
        <v>8150.70926730271</v>
      </c>
      <c r="BG60" s="431">
        <v>1753.1561801388455</v>
      </c>
      <c r="BH60" s="431">
        <v>383261.24995149003</v>
      </c>
      <c r="BI60" s="431">
        <v>368841.17011890863</v>
      </c>
      <c r="BJ60" s="431">
        <v>76428.676151784864</v>
      </c>
      <c r="BK60" s="431">
        <v>343111.91841703339</v>
      </c>
      <c r="BL60" s="431">
        <v>530386.02692656289</v>
      </c>
      <c r="BM60" s="431">
        <v>109902.86652201465</v>
      </c>
      <c r="BN60" s="431">
        <v>11547.578502982729</v>
      </c>
      <c r="BO60" s="431">
        <v>525211.52910288901</v>
      </c>
      <c r="BP60" s="431">
        <v>108830.64343399501</v>
      </c>
      <c r="BQ60" s="431">
        <v>355471.81681014696</v>
      </c>
      <c r="BR60" s="431">
        <v>828.07797681948841</v>
      </c>
      <c r="BS60" s="431">
        <v>0</v>
      </c>
      <c r="BT60" s="431">
        <v>0</v>
      </c>
      <c r="BU60" s="431">
        <v>0</v>
      </c>
      <c r="BV60" s="431">
        <v>772.40920709350462</v>
      </c>
      <c r="BW60" s="431">
        <v>1269.8141537291444</v>
      </c>
      <c r="BX60" s="431">
        <v>1180.5804740694159</v>
      </c>
      <c r="BY60" s="431">
        <v>976.78011825318788</v>
      </c>
      <c r="BZ60" s="431">
        <v>0</v>
      </c>
      <c r="CA60" s="431">
        <v>0</v>
      </c>
      <c r="CB60" s="431">
        <v>0</v>
      </c>
      <c r="CC60" s="432"/>
      <c r="CD60" s="428">
        <v>41770.795200694447</v>
      </c>
      <c r="CE60" s="433">
        <v>0.30887516912936769</v>
      </c>
      <c r="CF60" s="433">
        <v>0.21465334314226731</v>
      </c>
      <c r="CG60" s="433">
        <v>0.17822376316137725</v>
      </c>
      <c r="CH60" s="433">
        <v>0.1804430703502535</v>
      </c>
      <c r="CI60" s="433">
        <v>0.11969468358927447</v>
      </c>
      <c r="CJ60" s="433">
        <v>0.26218817202595668</v>
      </c>
      <c r="CK60" s="433">
        <v>0.26007046015078716</v>
      </c>
      <c r="CL60" s="433">
        <v>0.2795059670458605</v>
      </c>
      <c r="CM60" s="433">
        <v>0.20330349118764637</v>
      </c>
      <c r="CN60" s="433">
        <v>0.20405169784316468</v>
      </c>
      <c r="CO60" s="433">
        <v>0.6098978484120201</v>
      </c>
      <c r="CP60" s="433">
        <v>0.6472517576995086</v>
      </c>
      <c r="CQ60" s="433">
        <v>0.67663897658204775</v>
      </c>
      <c r="CR60" s="433">
        <v>0.47888048937537914</v>
      </c>
      <c r="CS60" s="433">
        <v>0.39443520669059223</v>
      </c>
      <c r="CT60" s="433">
        <v>0.447221292916757</v>
      </c>
      <c r="CU60" s="433">
        <v>0.3622790598707698</v>
      </c>
      <c r="CV60" s="433">
        <v>0.47604249083347333</v>
      </c>
      <c r="CW60" s="433">
        <v>0.4759898508915783</v>
      </c>
      <c r="CX60" s="433">
        <v>0.4007797062399322</v>
      </c>
      <c r="CY60" s="433">
        <v>0.40798711211863076</v>
      </c>
      <c r="CZ60" s="433">
        <v>0.29816004259848461</v>
      </c>
      <c r="DA60" s="433">
        <v>0.25104840798869349</v>
      </c>
      <c r="DB60" s="433">
        <v>0.80602184361489149</v>
      </c>
      <c r="DC60" s="433">
        <v>0.29816004259848461</v>
      </c>
      <c r="DD60" s="433">
        <v>0.25104840798869349</v>
      </c>
      <c r="DE60" s="433">
        <v>0.34680721234892764</v>
      </c>
      <c r="DF60" s="433">
        <v>0.40997005857291635</v>
      </c>
      <c r="DG60" s="433">
        <v>0</v>
      </c>
      <c r="DH60" s="433">
        <v>0</v>
      </c>
      <c r="DI60" s="433">
        <v>0</v>
      </c>
      <c r="DJ60" s="433">
        <v>0.35031031550396724</v>
      </c>
      <c r="DK60" s="433">
        <v>0.33543004792329517</v>
      </c>
      <c r="DL60" s="433">
        <v>0.2866175308668823</v>
      </c>
      <c r="DM60" s="433">
        <v>0.40997005857291635</v>
      </c>
      <c r="DN60" s="433">
        <v>0</v>
      </c>
      <c r="DO60" s="433">
        <v>0</v>
      </c>
      <c r="DP60" s="433">
        <v>0</v>
      </c>
      <c r="DR60" s="409" t="s">
        <v>711</v>
      </c>
      <c r="DS60" s="409" t="s">
        <v>2278</v>
      </c>
    </row>
    <row r="61" spans="2:123" s="1471" customFormat="1">
      <c r="B61" s="428">
        <v>41770.836598611109</v>
      </c>
      <c r="C61" s="429">
        <v>1.4178429348105785</v>
      </c>
      <c r="D61" s="429">
        <v>1.4161186459136268</v>
      </c>
      <c r="E61" s="429">
        <v>1.4341172552952755</v>
      </c>
      <c r="F61" s="429">
        <v>1.4044467067222139</v>
      </c>
      <c r="G61" s="429">
        <v>1.3888086928206906</v>
      </c>
      <c r="H61" s="429">
        <v>1.4095515008754977</v>
      </c>
      <c r="I61" s="429">
        <v>1.4487927830299483</v>
      </c>
      <c r="J61" s="429">
        <v>1.4965761359499516</v>
      </c>
      <c r="K61" s="429">
        <v>1.3675011651298783</v>
      </c>
      <c r="L61" s="429">
        <v>1.4456127567057777</v>
      </c>
      <c r="M61" s="429">
        <v>1.2578659309745064</v>
      </c>
      <c r="N61" s="429">
        <v>1.2138930224574191</v>
      </c>
      <c r="O61" s="429">
        <v>1.0287885455048233</v>
      </c>
      <c r="P61" s="429">
        <v>1.0833448100243031</v>
      </c>
      <c r="Q61" s="429">
        <v>2974.7896278515946</v>
      </c>
      <c r="R61" s="429">
        <v>16.21701177304195</v>
      </c>
      <c r="S61" s="429">
        <v>12.831648849844576</v>
      </c>
      <c r="T61" s="429">
        <v>3207.6148209535463</v>
      </c>
      <c r="U61" s="429">
        <v>3324.77370453497</v>
      </c>
      <c r="V61" s="429">
        <v>3436.4099415753108</v>
      </c>
      <c r="W61" s="429">
        <v>932.4826505272224</v>
      </c>
      <c r="X61" s="429">
        <v>8.8133566979104394</v>
      </c>
      <c r="Y61" s="429">
        <v>9.7162903151860593</v>
      </c>
      <c r="Z61" s="429">
        <v>15.219383092097599</v>
      </c>
      <c r="AA61" s="429">
        <v>7.462366069872342</v>
      </c>
      <c r="AB61" s="429">
        <v>8.2011299385523948</v>
      </c>
      <c r="AC61" s="429">
        <v>3.8791005526562583</v>
      </c>
      <c r="AD61" s="429">
        <v>3.2915152669361047</v>
      </c>
      <c r="AE61" s="429">
        <v>0</v>
      </c>
      <c r="AF61" s="429">
        <v>0</v>
      </c>
      <c r="AG61" s="429">
        <v>0</v>
      </c>
      <c r="AH61" s="429">
        <v>2.966510375981307</v>
      </c>
      <c r="AI61" s="429">
        <v>6.3744676142485863</v>
      </c>
      <c r="AJ61" s="429">
        <v>6.1618628091128107</v>
      </c>
      <c r="AK61" s="429">
        <v>6.9984974055696565</v>
      </c>
      <c r="AL61" s="429">
        <v>0</v>
      </c>
      <c r="AM61" s="429">
        <v>0</v>
      </c>
      <c r="AN61" s="429">
        <v>0</v>
      </c>
      <c r="AO61" s="432"/>
      <c r="AP61" s="428">
        <v>41770.836598611109</v>
      </c>
      <c r="AQ61" s="431">
        <v>93.901112821567722</v>
      </c>
      <c r="AR61" s="431">
        <v>124.48038876723598</v>
      </c>
      <c r="AS61" s="431">
        <v>121.00265930255961</v>
      </c>
      <c r="AT61" s="431">
        <v>149.77514273218242</v>
      </c>
      <c r="AU61" s="431">
        <v>25.79665124481636</v>
      </c>
      <c r="AV61" s="431">
        <v>83.332796202520115</v>
      </c>
      <c r="AW61" s="431">
        <v>21.126526576433982</v>
      </c>
      <c r="AX61" s="431">
        <v>32.373051562971533</v>
      </c>
      <c r="AY61" s="431">
        <v>117.25033020390107</v>
      </c>
      <c r="AZ61" s="431">
        <v>-86.496782653344056</v>
      </c>
      <c r="BA61" s="431">
        <v>6.7998137146648521</v>
      </c>
      <c r="BB61" s="431">
        <v>2.5950752007907312</v>
      </c>
      <c r="BC61" s="431">
        <v>2.2214814684619042</v>
      </c>
      <c r="BD61" s="431">
        <v>15.200648588423212</v>
      </c>
      <c r="BE61" s="431">
        <v>364089.36095595371</v>
      </c>
      <c r="BF61" s="431">
        <v>8150.70926730271</v>
      </c>
      <c r="BG61" s="431">
        <v>1753.1561801388455</v>
      </c>
      <c r="BH61" s="431">
        <v>383261.24995149003</v>
      </c>
      <c r="BI61" s="431">
        <v>368841.17011890863</v>
      </c>
      <c r="BJ61" s="431">
        <v>76428.676151784864</v>
      </c>
      <c r="BK61" s="431">
        <v>343111.91841703339</v>
      </c>
      <c r="BL61" s="431">
        <v>2983.2525778819609</v>
      </c>
      <c r="BM61" s="431">
        <v>618.16864175008493</v>
      </c>
      <c r="BN61" s="431">
        <v>136.77965912654955</v>
      </c>
      <c r="BO61" s="431">
        <v>2440.8430182670586</v>
      </c>
      <c r="BP61" s="431">
        <v>505.77434325006942</v>
      </c>
      <c r="BQ61" s="431">
        <v>1611.7100219973186</v>
      </c>
      <c r="BR61" s="431">
        <v>828.07797681948841</v>
      </c>
      <c r="BS61" s="431">
        <v>0</v>
      </c>
      <c r="BT61" s="431">
        <v>0</v>
      </c>
      <c r="BU61" s="431">
        <v>0</v>
      </c>
      <c r="BV61" s="431">
        <v>772.40920709350462</v>
      </c>
      <c r="BW61" s="431">
        <v>1269.8141537291444</v>
      </c>
      <c r="BX61" s="431">
        <v>1180.5804740694159</v>
      </c>
      <c r="BY61" s="431">
        <v>976.78011825318788</v>
      </c>
      <c r="BZ61" s="431">
        <v>0</v>
      </c>
      <c r="CA61" s="431">
        <v>0</v>
      </c>
      <c r="CB61" s="431">
        <v>0</v>
      </c>
      <c r="CC61" s="432"/>
      <c r="CD61" s="428">
        <v>41770.836598611109</v>
      </c>
      <c r="CE61" s="433">
        <v>0.30887516912936769</v>
      </c>
      <c r="CF61" s="433">
        <v>0.21465334314226731</v>
      </c>
      <c r="CG61" s="433">
        <v>0.17822376316137725</v>
      </c>
      <c r="CH61" s="433">
        <v>0.1804430703502535</v>
      </c>
      <c r="CI61" s="433">
        <v>0.11969468358927447</v>
      </c>
      <c r="CJ61" s="433">
        <v>0.26218817202595668</v>
      </c>
      <c r="CK61" s="433">
        <v>0.26007046015078716</v>
      </c>
      <c r="CL61" s="433">
        <v>0.2795059670458605</v>
      </c>
      <c r="CM61" s="433">
        <v>0.20330349118764637</v>
      </c>
      <c r="CN61" s="433">
        <v>0.20405169784316468</v>
      </c>
      <c r="CO61" s="433">
        <v>0.6098978484120201</v>
      </c>
      <c r="CP61" s="433">
        <v>0.6472517576995086</v>
      </c>
      <c r="CQ61" s="433">
        <v>0.67663897658204775</v>
      </c>
      <c r="CR61" s="433">
        <v>0.47888048937537914</v>
      </c>
      <c r="CS61" s="433">
        <v>0.39443520669059223</v>
      </c>
      <c r="CT61" s="433">
        <v>0.447221292916757</v>
      </c>
      <c r="CU61" s="433">
        <v>0.3622790598707698</v>
      </c>
      <c r="CV61" s="433">
        <v>0.47604249083347333</v>
      </c>
      <c r="CW61" s="433">
        <v>0.4759898508915783</v>
      </c>
      <c r="CX61" s="433">
        <v>0.4007797062399322</v>
      </c>
      <c r="CY61" s="433">
        <v>0.40798711211863076</v>
      </c>
      <c r="CZ61" s="433">
        <v>0.29816004259848461</v>
      </c>
      <c r="DA61" s="433">
        <v>0.25104840798869349</v>
      </c>
      <c r="DB61" s="433">
        <v>0.80602184361489149</v>
      </c>
      <c r="DC61" s="433">
        <v>0.29816004259848461</v>
      </c>
      <c r="DD61" s="433">
        <v>0.25104840798869349</v>
      </c>
      <c r="DE61" s="433">
        <v>0.34680721234892764</v>
      </c>
      <c r="DF61" s="433">
        <v>0.40997005857291635</v>
      </c>
      <c r="DG61" s="433">
        <v>0</v>
      </c>
      <c r="DH61" s="433">
        <v>0</v>
      </c>
      <c r="DI61" s="433">
        <v>0</v>
      </c>
      <c r="DJ61" s="433">
        <v>0.35031031550396724</v>
      </c>
      <c r="DK61" s="433">
        <v>0.33543004792329517</v>
      </c>
      <c r="DL61" s="433">
        <v>0.2866175308668823</v>
      </c>
      <c r="DM61" s="433">
        <v>0.40997005857291635</v>
      </c>
      <c r="DN61" s="433">
        <v>0</v>
      </c>
      <c r="DO61" s="433">
        <v>0</v>
      </c>
      <c r="DP61" s="433">
        <v>0</v>
      </c>
      <c r="DR61" s="409" t="s">
        <v>711</v>
      </c>
      <c r="DS61" s="409" t="s">
        <v>2281</v>
      </c>
    </row>
    <row r="62" spans="2:123" s="1471" customFormat="1">
      <c r="B62" s="428">
        <v>41793.864109606482</v>
      </c>
      <c r="C62" s="429">
        <v>1.4178429348105785</v>
      </c>
      <c r="D62" s="429">
        <v>1.4161186459136268</v>
      </c>
      <c r="E62" s="429">
        <v>1.4341172552952755</v>
      </c>
      <c r="F62" s="429">
        <v>1.4044467067222139</v>
      </c>
      <c r="G62" s="429">
        <v>1.3888086928206906</v>
      </c>
      <c r="H62" s="429">
        <v>1.4095515008754977</v>
      </c>
      <c r="I62" s="429">
        <v>1.4487927830299483</v>
      </c>
      <c r="J62" s="429">
        <v>1.4965761359499516</v>
      </c>
      <c r="K62" s="429">
        <v>1.3675011651298783</v>
      </c>
      <c r="L62" s="429">
        <v>1.4456127567057777</v>
      </c>
      <c r="M62" s="429">
        <v>1.2578659309745064</v>
      </c>
      <c r="N62" s="429">
        <v>1.2138930224574191</v>
      </c>
      <c r="O62" s="429">
        <v>1.0287885455048233</v>
      </c>
      <c r="P62" s="429">
        <v>1.0778420900182555</v>
      </c>
      <c r="Q62" s="429">
        <v>2974.7896278515946</v>
      </c>
      <c r="R62" s="429">
        <v>16.21701177304195</v>
      </c>
      <c r="S62" s="429">
        <v>12.831648849844576</v>
      </c>
      <c r="T62" s="429">
        <v>3207.6148209535463</v>
      </c>
      <c r="U62" s="429">
        <v>3324.77370453497</v>
      </c>
      <c r="V62" s="429">
        <v>3436.4099415753108</v>
      </c>
      <c r="W62" s="429">
        <v>932.4826505272224</v>
      </c>
      <c r="X62" s="429">
        <v>8.8133566979104394</v>
      </c>
      <c r="Y62" s="429">
        <v>9.7162903151860593</v>
      </c>
      <c r="Z62" s="429">
        <v>15.219383092097599</v>
      </c>
      <c r="AA62" s="429">
        <v>7.462366069872342</v>
      </c>
      <c r="AB62" s="429">
        <v>8.2011299385523948</v>
      </c>
      <c r="AC62" s="429">
        <v>3.8791005526562583</v>
      </c>
      <c r="AD62" s="429">
        <v>3.2915152669361047</v>
      </c>
      <c r="AE62" s="429">
        <v>0</v>
      </c>
      <c r="AF62" s="429">
        <v>0</v>
      </c>
      <c r="AG62" s="429">
        <v>0</v>
      </c>
      <c r="AH62" s="429">
        <v>2.966510375981307</v>
      </c>
      <c r="AI62" s="429">
        <v>6.3744676142485863</v>
      </c>
      <c r="AJ62" s="429">
        <v>6.1618628091128107</v>
      </c>
      <c r="AK62" s="429">
        <v>6.9984974055696565</v>
      </c>
      <c r="AL62" s="429">
        <v>0</v>
      </c>
      <c r="AM62" s="429">
        <v>0</v>
      </c>
      <c r="AN62" s="429">
        <v>0</v>
      </c>
      <c r="AO62" s="432"/>
      <c r="AP62" s="428">
        <v>41793.864109606482</v>
      </c>
      <c r="AQ62" s="431">
        <v>93.901112821567722</v>
      </c>
      <c r="AR62" s="431">
        <v>124.48038876723598</v>
      </c>
      <c r="AS62" s="431">
        <v>121.00265930255961</v>
      </c>
      <c r="AT62" s="431">
        <v>149.77514273218242</v>
      </c>
      <c r="AU62" s="431">
        <v>25.79665124481636</v>
      </c>
      <c r="AV62" s="431">
        <v>83.332796202520115</v>
      </c>
      <c r="AW62" s="431">
        <v>21.126526576433982</v>
      </c>
      <c r="AX62" s="431">
        <v>32.373051562971533</v>
      </c>
      <c r="AY62" s="431">
        <v>117.25033020390107</v>
      </c>
      <c r="AZ62" s="431">
        <v>-86.496782653344056</v>
      </c>
      <c r="BA62" s="431">
        <v>6.7998137146648521</v>
      </c>
      <c r="BB62" s="431">
        <v>2.5950752007907312</v>
      </c>
      <c r="BC62" s="431">
        <v>2.2214814684619042</v>
      </c>
      <c r="BD62" s="431">
        <v>67.625838268347948</v>
      </c>
      <c r="BE62" s="431">
        <v>364089.36095595371</v>
      </c>
      <c r="BF62" s="431">
        <v>8150.70926730271</v>
      </c>
      <c r="BG62" s="431">
        <v>1753.1561801388455</v>
      </c>
      <c r="BH62" s="431">
        <v>383261.24995149003</v>
      </c>
      <c r="BI62" s="431">
        <v>368841.17011890863</v>
      </c>
      <c r="BJ62" s="431">
        <v>76428.676151784864</v>
      </c>
      <c r="BK62" s="431">
        <v>343111.91841703339</v>
      </c>
      <c r="BL62" s="431">
        <v>2983.2525778819609</v>
      </c>
      <c r="BM62" s="431">
        <v>618.16864175008493</v>
      </c>
      <c r="BN62" s="431">
        <v>136.77965912654955</v>
      </c>
      <c r="BO62" s="431">
        <v>2440.8430182670586</v>
      </c>
      <c r="BP62" s="431">
        <v>505.77434325006942</v>
      </c>
      <c r="BQ62" s="431">
        <v>1611.7100219973186</v>
      </c>
      <c r="BR62" s="431">
        <v>828.07797681948841</v>
      </c>
      <c r="BS62" s="431">
        <v>0</v>
      </c>
      <c r="BT62" s="431">
        <v>0</v>
      </c>
      <c r="BU62" s="431">
        <v>0</v>
      </c>
      <c r="BV62" s="431">
        <v>772.40920709350462</v>
      </c>
      <c r="BW62" s="431">
        <v>1269.8141537291444</v>
      </c>
      <c r="BX62" s="431">
        <v>1180.5804740694159</v>
      </c>
      <c r="BY62" s="431">
        <v>976.78011825318788</v>
      </c>
      <c r="BZ62" s="431">
        <v>0</v>
      </c>
      <c r="CA62" s="431">
        <v>0</v>
      </c>
      <c r="CB62" s="431">
        <v>0</v>
      </c>
      <c r="CC62" s="432"/>
      <c r="CD62" s="428">
        <v>41793.864109606482</v>
      </c>
      <c r="CE62" s="433">
        <v>0.30887516912936769</v>
      </c>
      <c r="CF62" s="433">
        <v>0.21465334314226731</v>
      </c>
      <c r="CG62" s="433">
        <v>0.17822376316137725</v>
      </c>
      <c r="CH62" s="433">
        <v>0.1804430703502535</v>
      </c>
      <c r="CI62" s="433">
        <v>0.11969468358927447</v>
      </c>
      <c r="CJ62" s="433">
        <v>0.26218817202595668</v>
      </c>
      <c r="CK62" s="433">
        <v>0.26007046015078716</v>
      </c>
      <c r="CL62" s="433">
        <v>0.2795059670458605</v>
      </c>
      <c r="CM62" s="433">
        <v>0.20330349118764637</v>
      </c>
      <c r="CN62" s="433">
        <v>0.20405169784316468</v>
      </c>
      <c r="CO62" s="433">
        <v>0.6098978484120201</v>
      </c>
      <c r="CP62" s="433">
        <v>0.6472517576995086</v>
      </c>
      <c r="CQ62" s="433">
        <v>0.67663897658204775</v>
      </c>
      <c r="CR62" s="433">
        <v>0.41104225845250458</v>
      </c>
      <c r="CS62" s="433">
        <v>0.39443520669059223</v>
      </c>
      <c r="CT62" s="433">
        <v>0.447221292916757</v>
      </c>
      <c r="CU62" s="433">
        <v>0.3622790598707698</v>
      </c>
      <c r="CV62" s="433">
        <v>0.47604249083347333</v>
      </c>
      <c r="CW62" s="433">
        <v>0.4759898508915783</v>
      </c>
      <c r="CX62" s="433">
        <v>0.4007797062399322</v>
      </c>
      <c r="CY62" s="433">
        <v>0.40798711211863076</v>
      </c>
      <c r="CZ62" s="433">
        <v>0.29816004259848461</v>
      </c>
      <c r="DA62" s="433">
        <v>0.25104840798869349</v>
      </c>
      <c r="DB62" s="433">
        <v>0.80602184361489149</v>
      </c>
      <c r="DC62" s="433">
        <v>0.29816004259848461</v>
      </c>
      <c r="DD62" s="433">
        <v>0.25104840798869349</v>
      </c>
      <c r="DE62" s="433">
        <v>0.34680721234892764</v>
      </c>
      <c r="DF62" s="433">
        <v>0.40997005857291635</v>
      </c>
      <c r="DG62" s="433">
        <v>0</v>
      </c>
      <c r="DH62" s="433">
        <v>0</v>
      </c>
      <c r="DI62" s="433">
        <v>0</v>
      </c>
      <c r="DJ62" s="433">
        <v>0.35031031550396724</v>
      </c>
      <c r="DK62" s="433">
        <v>0.33543004792329517</v>
      </c>
      <c r="DL62" s="433">
        <v>0.2866175308668823</v>
      </c>
      <c r="DM62" s="433">
        <v>0.40997005857291635</v>
      </c>
      <c r="DN62" s="433">
        <v>0</v>
      </c>
      <c r="DO62" s="433">
        <v>0</v>
      </c>
      <c r="DP62" s="433">
        <v>0</v>
      </c>
      <c r="DR62" s="409" t="s">
        <v>855</v>
      </c>
      <c r="DS62" s="409" t="s">
        <v>2298</v>
      </c>
    </row>
    <row r="63" spans="2:123" s="1471" customFormat="1">
      <c r="B63" s="428">
        <v>41793.866096759259</v>
      </c>
      <c r="C63" s="429">
        <v>1.4178429348105785</v>
      </c>
      <c r="D63" s="429">
        <v>1.4161186459136268</v>
      </c>
      <c r="E63" s="429">
        <v>1.4341172552952755</v>
      </c>
      <c r="F63" s="429">
        <v>1.4044467067222139</v>
      </c>
      <c r="G63" s="429">
        <v>1.3888086928206906</v>
      </c>
      <c r="H63" s="429">
        <v>1.4095515008754977</v>
      </c>
      <c r="I63" s="429">
        <v>1.4487927830299483</v>
      </c>
      <c r="J63" s="429">
        <v>1.4965761359499516</v>
      </c>
      <c r="K63" s="429">
        <v>1.3675011651298783</v>
      </c>
      <c r="L63" s="429">
        <v>1.4456127567057777</v>
      </c>
      <c r="M63" s="429">
        <v>1.2438783781518425</v>
      </c>
      <c r="N63" s="429">
        <v>1.2032875047962963</v>
      </c>
      <c r="O63" s="429">
        <v>1.0287885455048233</v>
      </c>
      <c r="P63" s="429">
        <v>1.0778420900182555</v>
      </c>
      <c r="Q63" s="429">
        <v>2974.7896278515946</v>
      </c>
      <c r="R63" s="429">
        <v>16.21701177304195</v>
      </c>
      <c r="S63" s="429">
        <v>12.831648849844576</v>
      </c>
      <c r="T63" s="429">
        <v>3207.6148209535463</v>
      </c>
      <c r="U63" s="429">
        <v>3324.77370453497</v>
      </c>
      <c r="V63" s="429">
        <v>3436.4099415753108</v>
      </c>
      <c r="W63" s="429">
        <v>932.4826505272224</v>
      </c>
      <c r="X63" s="429">
        <v>8.8133566979104394</v>
      </c>
      <c r="Y63" s="429">
        <v>9.7162903151860593</v>
      </c>
      <c r="Z63" s="429">
        <v>15.219383092097599</v>
      </c>
      <c r="AA63" s="429">
        <v>7.462366069872342</v>
      </c>
      <c r="AB63" s="429">
        <v>8.2011299385523948</v>
      </c>
      <c r="AC63" s="429">
        <v>3.8791005526562583</v>
      </c>
      <c r="AD63" s="429">
        <v>3.2915152669361047</v>
      </c>
      <c r="AE63" s="429">
        <v>0</v>
      </c>
      <c r="AF63" s="429">
        <v>0</v>
      </c>
      <c r="AG63" s="429">
        <v>0</v>
      </c>
      <c r="AH63" s="429">
        <v>2.966510375981307</v>
      </c>
      <c r="AI63" s="429">
        <v>6.3744676142485863</v>
      </c>
      <c r="AJ63" s="429">
        <v>6.1618628091128107</v>
      </c>
      <c r="AK63" s="429">
        <v>6.9984974055696565</v>
      </c>
      <c r="AL63" s="429">
        <v>0</v>
      </c>
      <c r="AM63" s="429">
        <v>0</v>
      </c>
      <c r="AN63" s="429">
        <v>0</v>
      </c>
      <c r="AO63" s="432"/>
      <c r="AP63" s="428">
        <v>41793.866096759259</v>
      </c>
      <c r="AQ63" s="431">
        <v>93.901112821567722</v>
      </c>
      <c r="AR63" s="431">
        <v>124.48038876723598</v>
      </c>
      <c r="AS63" s="431">
        <v>121.00265930255961</v>
      </c>
      <c r="AT63" s="431">
        <v>149.77514273218242</v>
      </c>
      <c r="AU63" s="431">
        <v>25.79665124481636</v>
      </c>
      <c r="AV63" s="431">
        <v>83.332796202520115</v>
      </c>
      <c r="AW63" s="431">
        <v>21.126526576433982</v>
      </c>
      <c r="AX63" s="431">
        <v>32.373051562971533</v>
      </c>
      <c r="AY63" s="431">
        <v>117.25033020390107</v>
      </c>
      <c r="AZ63" s="431">
        <v>-86.496782653344056</v>
      </c>
      <c r="BA63" s="431">
        <v>6.7998137146648521</v>
      </c>
      <c r="BB63" s="431">
        <v>2.5950752007907312</v>
      </c>
      <c r="BC63" s="431">
        <v>2.2214814684619042</v>
      </c>
      <c r="BD63" s="431">
        <v>67.625838268347948</v>
      </c>
      <c r="BE63" s="431">
        <v>364089.36095595371</v>
      </c>
      <c r="BF63" s="431">
        <v>8150.70926730271</v>
      </c>
      <c r="BG63" s="431">
        <v>1753.1561801388455</v>
      </c>
      <c r="BH63" s="431">
        <v>383261.24995149003</v>
      </c>
      <c r="BI63" s="431">
        <v>368841.17011890863</v>
      </c>
      <c r="BJ63" s="431">
        <v>76428.676151784864</v>
      </c>
      <c r="BK63" s="431">
        <v>343111.91841703339</v>
      </c>
      <c r="BL63" s="431">
        <v>2983.2525778819609</v>
      </c>
      <c r="BM63" s="431">
        <v>618.16864175008493</v>
      </c>
      <c r="BN63" s="431">
        <v>136.77965912654955</v>
      </c>
      <c r="BO63" s="431">
        <v>2440.8430182670586</v>
      </c>
      <c r="BP63" s="431">
        <v>505.77434325006942</v>
      </c>
      <c r="BQ63" s="431">
        <v>1611.7100219973186</v>
      </c>
      <c r="BR63" s="431">
        <v>828.07797681948841</v>
      </c>
      <c r="BS63" s="431">
        <v>0</v>
      </c>
      <c r="BT63" s="431">
        <v>0</v>
      </c>
      <c r="BU63" s="431">
        <v>0</v>
      </c>
      <c r="BV63" s="431">
        <v>772.40920709350462</v>
      </c>
      <c r="BW63" s="431">
        <v>1269.8141537291444</v>
      </c>
      <c r="BX63" s="431">
        <v>1180.5804740694159</v>
      </c>
      <c r="BY63" s="431">
        <v>976.78011825318788</v>
      </c>
      <c r="BZ63" s="431">
        <v>0</v>
      </c>
      <c r="CA63" s="431">
        <v>0</v>
      </c>
      <c r="CB63" s="431">
        <v>0</v>
      </c>
      <c r="CC63" s="432"/>
      <c r="CD63" s="428">
        <v>41793.866096759259</v>
      </c>
      <c r="CE63" s="433">
        <v>0.30887516912936769</v>
      </c>
      <c r="CF63" s="433">
        <v>0.21465334314226731</v>
      </c>
      <c r="CG63" s="433">
        <v>0.17822376316137725</v>
      </c>
      <c r="CH63" s="433">
        <v>0.1804430703502535</v>
      </c>
      <c r="CI63" s="433">
        <v>0.11969468358927447</v>
      </c>
      <c r="CJ63" s="433">
        <v>0.26218817202595668</v>
      </c>
      <c r="CK63" s="433">
        <v>0.26007046015078716</v>
      </c>
      <c r="CL63" s="433">
        <v>0.2795059670458605</v>
      </c>
      <c r="CM63" s="433">
        <v>0.20330349118764637</v>
      </c>
      <c r="CN63" s="433">
        <v>0.20405169784316468</v>
      </c>
      <c r="CO63" s="433">
        <v>0.6098978484120201</v>
      </c>
      <c r="CP63" s="433">
        <v>0.6472517576995086</v>
      </c>
      <c r="CQ63" s="433">
        <v>0.67663897658204775</v>
      </c>
      <c r="CR63" s="433">
        <v>0.41104225845250458</v>
      </c>
      <c r="CS63" s="433">
        <v>0.39443520669059223</v>
      </c>
      <c r="CT63" s="433">
        <v>0.447221292916757</v>
      </c>
      <c r="CU63" s="433">
        <v>0.3622790598707698</v>
      </c>
      <c r="CV63" s="433">
        <v>0.47604249083347333</v>
      </c>
      <c r="CW63" s="433">
        <v>0.4759898508915783</v>
      </c>
      <c r="CX63" s="433">
        <v>0.4007797062399322</v>
      </c>
      <c r="CY63" s="433">
        <v>0.40798711211863076</v>
      </c>
      <c r="CZ63" s="433">
        <v>0.29816004259848461</v>
      </c>
      <c r="DA63" s="433">
        <v>0.25104840798869349</v>
      </c>
      <c r="DB63" s="433">
        <v>0.80602184361489149</v>
      </c>
      <c r="DC63" s="433">
        <v>0.29816004259848461</v>
      </c>
      <c r="DD63" s="433">
        <v>0.25104840798869349</v>
      </c>
      <c r="DE63" s="433">
        <v>0.34680721234892764</v>
      </c>
      <c r="DF63" s="433">
        <v>0.40997005857291635</v>
      </c>
      <c r="DG63" s="433">
        <v>0</v>
      </c>
      <c r="DH63" s="433">
        <v>0</v>
      </c>
      <c r="DI63" s="433">
        <v>0</v>
      </c>
      <c r="DJ63" s="433">
        <v>0.35031031550396724</v>
      </c>
      <c r="DK63" s="433">
        <v>0.33543004792329517</v>
      </c>
      <c r="DL63" s="433">
        <v>0.2866175308668823</v>
      </c>
      <c r="DM63" s="433">
        <v>0.40997005857291635</v>
      </c>
      <c r="DN63" s="433">
        <v>0</v>
      </c>
      <c r="DO63" s="433">
        <v>0</v>
      </c>
      <c r="DP63" s="433">
        <v>0</v>
      </c>
      <c r="DR63" s="409" t="s">
        <v>855</v>
      </c>
      <c r="DS63" s="409" t="s">
        <v>2299</v>
      </c>
    </row>
    <row r="64" spans="2:123" s="1471" customFormat="1">
      <c r="B64" s="428">
        <v>41794.449594097219</v>
      </c>
      <c r="C64" s="429">
        <v>1.4178547314957801</v>
      </c>
      <c r="D64" s="429">
        <v>1.4161362314500576</v>
      </c>
      <c r="E64" s="429">
        <v>1.434140864531334</v>
      </c>
      <c r="F64" s="429">
        <v>1.4044703159582723</v>
      </c>
      <c r="G64" s="429">
        <v>1.3888286090940987</v>
      </c>
      <c r="H64" s="429">
        <v>1.4095655190144061</v>
      </c>
      <c r="I64" s="429">
        <v>1.4488045797151501</v>
      </c>
      <c r="J64" s="429">
        <v>1.4965996388797473</v>
      </c>
      <c r="K64" s="429">
        <v>1.3675011651298783</v>
      </c>
      <c r="L64" s="429">
        <v>1.4456127567057777</v>
      </c>
      <c r="M64" s="429">
        <v>1.2438833346836942</v>
      </c>
      <c r="N64" s="429">
        <v>1.2032875047962963</v>
      </c>
      <c r="O64" s="429">
        <v>1.0287885455048233</v>
      </c>
      <c r="P64" s="429">
        <v>1.0778515871551861</v>
      </c>
      <c r="Q64" s="429">
        <v>2974.8301702822546</v>
      </c>
      <c r="R64" s="429">
        <v>16.218118966039356</v>
      </c>
      <c r="S64" s="429">
        <v>12.83275604284198</v>
      </c>
      <c r="T64" s="429">
        <v>3207.6574982309326</v>
      </c>
      <c r="U64" s="429">
        <v>3324.8211042979688</v>
      </c>
      <c r="V64" s="429">
        <v>3436.4573413383096</v>
      </c>
      <c r="W64" s="429">
        <v>932.48561550342538</v>
      </c>
      <c r="X64" s="429">
        <v>8.8137400755716477</v>
      </c>
      <c r="Y64" s="429">
        <v>9.7166736928472659</v>
      </c>
      <c r="Z64" s="429">
        <v>15.219383092097599</v>
      </c>
      <c r="AA64" s="429">
        <v>7.462679742504239</v>
      </c>
      <c r="AB64" s="429">
        <v>8.2014436111842919</v>
      </c>
      <c r="AC64" s="429">
        <v>3.8791005526562583</v>
      </c>
      <c r="AD64" s="429">
        <v>3.2916203966557838</v>
      </c>
      <c r="AE64" s="429">
        <v>0</v>
      </c>
      <c r="AF64" s="429">
        <v>0</v>
      </c>
      <c r="AG64" s="429">
        <v>0</v>
      </c>
      <c r="AH64" s="429">
        <v>2.966510375981307</v>
      </c>
      <c r="AI64" s="429">
        <v>6.3746285799797668</v>
      </c>
      <c r="AJ64" s="429">
        <v>6.1618628091128107</v>
      </c>
      <c r="AK64" s="429">
        <v>6.9986212253628723</v>
      </c>
      <c r="AL64" s="429">
        <v>0</v>
      </c>
      <c r="AM64" s="429">
        <v>0</v>
      </c>
      <c r="AN64" s="429">
        <v>0</v>
      </c>
      <c r="AO64" s="432"/>
      <c r="AP64" s="428">
        <v>41794.449594097219</v>
      </c>
      <c r="AQ64" s="431">
        <v>93.901112821567722</v>
      </c>
      <c r="AR64" s="431">
        <v>124.48038876723598</v>
      </c>
      <c r="AS64" s="431">
        <v>121.00265930255961</v>
      </c>
      <c r="AT64" s="431">
        <v>149.77514273218242</v>
      </c>
      <c r="AU64" s="431">
        <v>25.79665124481636</v>
      </c>
      <c r="AV64" s="431">
        <v>83.332796202520115</v>
      </c>
      <c r="AW64" s="431">
        <v>21.126526576433982</v>
      </c>
      <c r="AX64" s="431">
        <v>32.373051562971533</v>
      </c>
      <c r="AY64" s="431">
        <v>117.25033020390107</v>
      </c>
      <c r="AZ64" s="431">
        <v>-86.496782653344056</v>
      </c>
      <c r="BA64" s="431">
        <v>6.7998137146648521</v>
      </c>
      <c r="BB64" s="431">
        <v>2.5950752007907312</v>
      </c>
      <c r="BC64" s="431">
        <v>2.2214814684619042</v>
      </c>
      <c r="BD64" s="431">
        <v>67.625838268347948</v>
      </c>
      <c r="BE64" s="431">
        <v>364089.36095595371</v>
      </c>
      <c r="BF64" s="431">
        <v>8150.70926730271</v>
      </c>
      <c r="BG64" s="431">
        <v>1753.1561801388455</v>
      </c>
      <c r="BH64" s="431">
        <v>383261.24995149003</v>
      </c>
      <c r="BI64" s="431">
        <v>368841.17011890863</v>
      </c>
      <c r="BJ64" s="431">
        <v>76428.676151784864</v>
      </c>
      <c r="BK64" s="431">
        <v>343111.91841703339</v>
      </c>
      <c r="BL64" s="431">
        <v>2983.2525778819609</v>
      </c>
      <c r="BM64" s="431">
        <v>618.16864175008493</v>
      </c>
      <c r="BN64" s="431">
        <v>136.77965912654955</v>
      </c>
      <c r="BO64" s="431">
        <v>2440.8430182670586</v>
      </c>
      <c r="BP64" s="431">
        <v>505.77434325006942</v>
      </c>
      <c r="BQ64" s="431">
        <v>1611.7100219973186</v>
      </c>
      <c r="BR64" s="431">
        <v>828.07797681948841</v>
      </c>
      <c r="BS64" s="431">
        <v>0</v>
      </c>
      <c r="BT64" s="431">
        <v>0</v>
      </c>
      <c r="BU64" s="431">
        <v>0</v>
      </c>
      <c r="BV64" s="431">
        <v>772.40920709350462</v>
      </c>
      <c r="BW64" s="431">
        <v>1269.8141537291444</v>
      </c>
      <c r="BX64" s="431">
        <v>1180.5804740694159</v>
      </c>
      <c r="BY64" s="431">
        <v>976.78011825318788</v>
      </c>
      <c r="BZ64" s="431">
        <v>0</v>
      </c>
      <c r="CA64" s="431">
        <v>0</v>
      </c>
      <c r="CB64" s="431">
        <v>0</v>
      </c>
      <c r="CC64" s="432"/>
      <c r="CD64" s="428">
        <v>41794.449594097219</v>
      </c>
      <c r="CE64" s="433">
        <v>0.30887516912936769</v>
      </c>
      <c r="CF64" s="433">
        <v>0.21465334314226731</v>
      </c>
      <c r="CG64" s="433">
        <v>0.17822376316137725</v>
      </c>
      <c r="CH64" s="433">
        <v>0.1804430703502535</v>
      </c>
      <c r="CI64" s="433">
        <v>0.11969468358927447</v>
      </c>
      <c r="CJ64" s="433">
        <v>0.26218817202595668</v>
      </c>
      <c r="CK64" s="433">
        <v>0.26007046015078716</v>
      </c>
      <c r="CL64" s="433">
        <v>0.2795059670458605</v>
      </c>
      <c r="CM64" s="433">
        <v>0.20330349118764637</v>
      </c>
      <c r="CN64" s="433">
        <v>0.20405169784316468</v>
      </c>
      <c r="CO64" s="433">
        <v>0.6098978484120201</v>
      </c>
      <c r="CP64" s="433">
        <v>0.6472517576995086</v>
      </c>
      <c r="CQ64" s="433">
        <v>0.67663897658204775</v>
      </c>
      <c r="CR64" s="433">
        <v>0.41104225845250458</v>
      </c>
      <c r="CS64" s="433">
        <v>0.39443520669059223</v>
      </c>
      <c r="CT64" s="433">
        <v>0.447221292916757</v>
      </c>
      <c r="CU64" s="433">
        <v>0.3622790598707698</v>
      </c>
      <c r="CV64" s="433">
        <v>0.47604249083347333</v>
      </c>
      <c r="CW64" s="433">
        <v>0.4759898508915783</v>
      </c>
      <c r="CX64" s="433">
        <v>0.4007797062399322</v>
      </c>
      <c r="CY64" s="433">
        <v>0.40798711211863076</v>
      </c>
      <c r="CZ64" s="433">
        <v>0.29816004259848461</v>
      </c>
      <c r="DA64" s="433">
        <v>0.25104840798869349</v>
      </c>
      <c r="DB64" s="433">
        <v>0.80602184361489149</v>
      </c>
      <c r="DC64" s="433">
        <v>0.29816004259848461</v>
      </c>
      <c r="DD64" s="433">
        <v>0.25104840798869349</v>
      </c>
      <c r="DE64" s="433">
        <v>0.34680721234892764</v>
      </c>
      <c r="DF64" s="433">
        <v>0.40997005857291635</v>
      </c>
      <c r="DG64" s="433">
        <v>0</v>
      </c>
      <c r="DH64" s="433">
        <v>0</v>
      </c>
      <c r="DI64" s="433">
        <v>0</v>
      </c>
      <c r="DJ64" s="433">
        <v>0.35031031550396724</v>
      </c>
      <c r="DK64" s="433">
        <v>0.33543004792329517</v>
      </c>
      <c r="DL64" s="433">
        <v>0.2866175308668823</v>
      </c>
      <c r="DM64" s="433">
        <v>0.40997005857291635</v>
      </c>
      <c r="DN64" s="433">
        <v>0</v>
      </c>
      <c r="DO64" s="433">
        <v>0</v>
      </c>
      <c r="DP64" s="433">
        <v>0</v>
      </c>
      <c r="DR64" s="409" t="s">
        <v>711</v>
      </c>
      <c r="DS64" s="409" t="s">
        <v>2341</v>
      </c>
    </row>
    <row r="65" spans="2:123" s="1471" customFormat="1">
      <c r="B65" s="428">
        <v>41794.499111805555</v>
      </c>
      <c r="C65" s="429">
        <v>1.4178547314957801</v>
      </c>
      <c r="D65" s="429">
        <v>1.4161362314500576</v>
      </c>
      <c r="E65" s="429">
        <v>1.4339362441874255</v>
      </c>
      <c r="F65" s="429">
        <v>1.404266008236984</v>
      </c>
      <c r="G65" s="429">
        <v>1.3875515595528995</v>
      </c>
      <c r="H65" s="429">
        <v>1.4095655190144061</v>
      </c>
      <c r="I65" s="429">
        <v>1.4479420820955879</v>
      </c>
      <c r="J65" s="429">
        <v>1.4953893588308944</v>
      </c>
      <c r="K65" s="429">
        <v>1.3675011651298783</v>
      </c>
      <c r="L65" s="429">
        <v>1.4456127567057777</v>
      </c>
      <c r="M65" s="429">
        <v>1.2436769179079308</v>
      </c>
      <c r="N65" s="429">
        <v>1.2032875047962963</v>
      </c>
      <c r="O65" s="429">
        <v>1.0287885455048233</v>
      </c>
      <c r="P65" s="429">
        <v>1.0778515871551861</v>
      </c>
      <c r="Q65" s="429">
        <v>2974.8301702822546</v>
      </c>
      <c r="R65" s="429">
        <v>16.218118966039356</v>
      </c>
      <c r="S65" s="429">
        <v>12.758912761701794</v>
      </c>
      <c r="T65" s="429">
        <v>3207.6574982309326</v>
      </c>
      <c r="U65" s="429">
        <v>3324.8211042979688</v>
      </c>
      <c r="V65" s="429">
        <v>3432.9917760497992</v>
      </c>
      <c r="W65" s="429">
        <v>932.48561550342538</v>
      </c>
      <c r="X65" s="429">
        <v>8.8137400755716477</v>
      </c>
      <c r="Y65" s="429">
        <v>9.688643588243071</v>
      </c>
      <c r="Z65" s="429">
        <v>15.219383092097599</v>
      </c>
      <c r="AA65" s="429">
        <v>7.462679742504239</v>
      </c>
      <c r="AB65" s="429">
        <v>8.1785098892354036</v>
      </c>
      <c r="AC65" s="429">
        <v>3.8791005526562583</v>
      </c>
      <c r="AD65" s="429">
        <v>3.2916203966557838</v>
      </c>
      <c r="AE65" s="429">
        <v>0</v>
      </c>
      <c r="AF65" s="429">
        <v>0</v>
      </c>
      <c r="AG65" s="429">
        <v>0</v>
      </c>
      <c r="AH65" s="429">
        <v>2.966510375981307</v>
      </c>
      <c r="AI65" s="429">
        <v>6.3746285799797668</v>
      </c>
      <c r="AJ65" s="429">
        <v>6.1618628091128107</v>
      </c>
      <c r="AK65" s="429">
        <v>6.9986212253628723</v>
      </c>
      <c r="AL65" s="429">
        <v>0</v>
      </c>
      <c r="AM65" s="429">
        <v>0</v>
      </c>
      <c r="AN65" s="429">
        <v>0</v>
      </c>
      <c r="AO65" s="432"/>
      <c r="AP65" s="428">
        <v>41794.499111805555</v>
      </c>
      <c r="AQ65" s="431">
        <v>93.901112821567722</v>
      </c>
      <c r="AR65" s="431">
        <v>124.48038876723598</v>
      </c>
      <c r="AS65" s="431">
        <v>120.99960023517585</v>
      </c>
      <c r="AT65" s="431">
        <v>149.7720883384965</v>
      </c>
      <c r="AU65" s="431">
        <v>25.777559396350547</v>
      </c>
      <c r="AV65" s="431">
        <v>83.332796202520115</v>
      </c>
      <c r="AW65" s="431">
        <v>20.80310510971389</v>
      </c>
      <c r="AX65" s="431">
        <v>32.354957916211212</v>
      </c>
      <c r="AY65" s="431">
        <v>117.25033020390107</v>
      </c>
      <c r="AZ65" s="431">
        <v>-86.496782653344056</v>
      </c>
      <c r="BA65" s="431">
        <v>6.7967277906841934</v>
      </c>
      <c r="BB65" s="431">
        <v>2.5950752007907312</v>
      </c>
      <c r="BC65" s="431">
        <v>2.2214814684619042</v>
      </c>
      <c r="BD65" s="431">
        <v>67.625838268347948</v>
      </c>
      <c r="BE65" s="431">
        <v>364089.36095595371</v>
      </c>
      <c r="BF65" s="431">
        <v>8150.70926730271</v>
      </c>
      <c r="BG65" s="431">
        <v>1744.4815244897372</v>
      </c>
      <c r="BH65" s="431">
        <v>383261.24995149003</v>
      </c>
      <c r="BI65" s="431">
        <v>368841.17011890863</v>
      </c>
      <c r="BJ65" s="431">
        <v>75129.150004462354</v>
      </c>
      <c r="BK65" s="431">
        <v>343111.91841703339</v>
      </c>
      <c r="BL65" s="431">
        <v>2983.2525778819609</v>
      </c>
      <c r="BM65" s="431">
        <v>607.65784457477196</v>
      </c>
      <c r="BN65" s="431">
        <v>136.77965912654955</v>
      </c>
      <c r="BO65" s="431">
        <v>2440.8430182670586</v>
      </c>
      <c r="BP65" s="431">
        <v>497.17460010663166</v>
      </c>
      <c r="BQ65" s="431">
        <v>1611.7100219973186</v>
      </c>
      <c r="BR65" s="431">
        <v>828.07797681948841</v>
      </c>
      <c r="BS65" s="431">
        <v>0</v>
      </c>
      <c r="BT65" s="431">
        <v>0</v>
      </c>
      <c r="BU65" s="431">
        <v>0</v>
      </c>
      <c r="BV65" s="431">
        <v>772.40920709350462</v>
      </c>
      <c r="BW65" s="431">
        <v>1269.8141537291444</v>
      </c>
      <c r="BX65" s="431">
        <v>1180.5804740694159</v>
      </c>
      <c r="BY65" s="431">
        <v>976.78011825318788</v>
      </c>
      <c r="BZ65" s="431">
        <v>0</v>
      </c>
      <c r="CA65" s="431">
        <v>0</v>
      </c>
      <c r="CB65" s="431">
        <v>0</v>
      </c>
      <c r="CC65" s="432"/>
      <c r="CD65" s="428">
        <v>41794.499111805555</v>
      </c>
      <c r="CE65" s="433">
        <v>0.30887516912936769</v>
      </c>
      <c r="CF65" s="433">
        <v>0.21465334314226731</v>
      </c>
      <c r="CG65" s="433">
        <v>0.17822376316137725</v>
      </c>
      <c r="CH65" s="433">
        <v>0.1804430703502535</v>
      </c>
      <c r="CI65" s="433">
        <v>0.11969468358927447</v>
      </c>
      <c r="CJ65" s="433">
        <v>0.26218817202595668</v>
      </c>
      <c r="CK65" s="433">
        <v>0.26007046015078716</v>
      </c>
      <c r="CL65" s="433">
        <v>0.2795059670458605</v>
      </c>
      <c r="CM65" s="433">
        <v>0.20330349118764637</v>
      </c>
      <c r="CN65" s="433">
        <v>0.20405169784316468</v>
      </c>
      <c r="CO65" s="433">
        <v>0.6098978484120201</v>
      </c>
      <c r="CP65" s="433">
        <v>0.6472517576995086</v>
      </c>
      <c r="CQ65" s="433">
        <v>0.67663897658204775</v>
      </c>
      <c r="CR65" s="433">
        <v>0.41104225845250458</v>
      </c>
      <c r="CS65" s="433">
        <v>0.39443520669059223</v>
      </c>
      <c r="CT65" s="433">
        <v>0.447221292916757</v>
      </c>
      <c r="CU65" s="433">
        <v>0.3622790598707698</v>
      </c>
      <c r="CV65" s="433">
        <v>0.47604249083347333</v>
      </c>
      <c r="CW65" s="433">
        <v>0.4759898508915783</v>
      </c>
      <c r="CX65" s="433">
        <v>0.4007797062399322</v>
      </c>
      <c r="CY65" s="433">
        <v>0.40798711211863076</v>
      </c>
      <c r="CZ65" s="433">
        <v>0.29816004259848461</v>
      </c>
      <c r="DA65" s="433">
        <v>0.25104840798869349</v>
      </c>
      <c r="DB65" s="433">
        <v>0.80602184361489149</v>
      </c>
      <c r="DC65" s="433">
        <v>0.29816004259848461</v>
      </c>
      <c r="DD65" s="433">
        <v>0.25104840798869349</v>
      </c>
      <c r="DE65" s="433">
        <v>0.34680721234892764</v>
      </c>
      <c r="DF65" s="433">
        <v>0.40997005857291635</v>
      </c>
      <c r="DG65" s="433">
        <v>0</v>
      </c>
      <c r="DH65" s="433">
        <v>0</v>
      </c>
      <c r="DI65" s="433">
        <v>0</v>
      </c>
      <c r="DJ65" s="433">
        <v>0.35031031550396724</v>
      </c>
      <c r="DK65" s="433">
        <v>0.33543004792329517</v>
      </c>
      <c r="DL65" s="433">
        <v>0.2866175308668823</v>
      </c>
      <c r="DM65" s="433">
        <v>0.40997005857291635</v>
      </c>
      <c r="DN65" s="433">
        <v>0</v>
      </c>
      <c r="DO65" s="433">
        <v>0</v>
      </c>
      <c r="DP65" s="433">
        <v>0</v>
      </c>
      <c r="DR65" s="409" t="s">
        <v>711</v>
      </c>
      <c r="DS65" s="409" t="s">
        <v>2344</v>
      </c>
    </row>
    <row r="66" spans="2:123" s="1471" customFormat="1">
      <c r="B66" s="428">
        <v>41794.551082754631</v>
      </c>
      <c r="C66" s="429">
        <v>1.4178547314957801</v>
      </c>
      <c r="D66" s="429">
        <v>1.4161362314500576</v>
      </c>
      <c r="E66" s="429">
        <v>1.4339362441874255</v>
      </c>
      <c r="F66" s="429">
        <v>1.404266008236984</v>
      </c>
      <c r="G66" s="429">
        <v>1.3875515595528995</v>
      </c>
      <c r="H66" s="429">
        <v>1.4095655190144061</v>
      </c>
      <c r="I66" s="429">
        <v>1.4479420820955879</v>
      </c>
      <c r="J66" s="429">
        <v>1.4932919275201357</v>
      </c>
      <c r="K66" s="429">
        <v>1.3675011651298783</v>
      </c>
      <c r="L66" s="429">
        <v>1.4456127567057777</v>
      </c>
      <c r="M66" s="429">
        <v>1.2433214733994964</v>
      </c>
      <c r="N66" s="429">
        <v>1.2032875047962963</v>
      </c>
      <c r="O66" s="429">
        <v>1.0287885455048233</v>
      </c>
      <c r="P66" s="429">
        <v>1.0778515871551861</v>
      </c>
      <c r="Q66" s="429">
        <v>2974.8301702822546</v>
      </c>
      <c r="R66" s="429">
        <v>16.218118966039356</v>
      </c>
      <c r="S66" s="429">
        <v>12.758912761701794</v>
      </c>
      <c r="T66" s="429">
        <v>3207.6574982309326</v>
      </c>
      <c r="U66" s="429">
        <v>3324.8211042979688</v>
      </c>
      <c r="V66" s="429">
        <v>3432.9917760497992</v>
      </c>
      <c r="W66" s="429">
        <v>932.48561550342538</v>
      </c>
      <c r="X66" s="429">
        <v>8.8137400755716477</v>
      </c>
      <c r="Y66" s="429">
        <v>9.688643588243071</v>
      </c>
      <c r="Z66" s="429">
        <v>15.219383092097599</v>
      </c>
      <c r="AA66" s="429">
        <v>7.462679742504239</v>
      </c>
      <c r="AB66" s="429">
        <v>8.1785098892354036</v>
      </c>
      <c r="AC66" s="429">
        <v>3.8791005526562583</v>
      </c>
      <c r="AD66" s="429">
        <v>3.2916203966557838</v>
      </c>
      <c r="AE66" s="429">
        <v>0</v>
      </c>
      <c r="AF66" s="429">
        <v>0</v>
      </c>
      <c r="AG66" s="429">
        <v>0</v>
      </c>
      <c r="AH66" s="429">
        <v>2.966510375981307</v>
      </c>
      <c r="AI66" s="429">
        <v>6.3746285799797668</v>
      </c>
      <c r="AJ66" s="429">
        <v>6.1618628091128107</v>
      </c>
      <c r="AK66" s="429">
        <v>6.9986212253628723</v>
      </c>
      <c r="AL66" s="429">
        <v>0</v>
      </c>
      <c r="AM66" s="429">
        <v>0</v>
      </c>
      <c r="AN66" s="429">
        <v>0</v>
      </c>
      <c r="AO66" s="432"/>
      <c r="AP66" s="428">
        <v>41794.551082754631</v>
      </c>
      <c r="AQ66" s="431">
        <v>93.901112821567722</v>
      </c>
      <c r="AR66" s="431">
        <v>124.48038876723598</v>
      </c>
      <c r="AS66" s="431">
        <v>120.99960023517585</v>
      </c>
      <c r="AT66" s="431">
        <v>149.7720883384965</v>
      </c>
      <c r="AU66" s="431">
        <v>25.777559396350547</v>
      </c>
      <c r="AV66" s="431">
        <v>83.332796202520115</v>
      </c>
      <c r="AW66" s="431">
        <v>20.80310510971389</v>
      </c>
      <c r="AX66" s="431">
        <v>23.736883726961892</v>
      </c>
      <c r="AY66" s="431">
        <v>117.25033020390107</v>
      </c>
      <c r="AZ66" s="431">
        <v>-86.496782653344056</v>
      </c>
      <c r="BA66" s="431">
        <v>5.3362522422663803</v>
      </c>
      <c r="BB66" s="431">
        <v>2.5950752007907312</v>
      </c>
      <c r="BC66" s="431">
        <v>2.2214814684619042</v>
      </c>
      <c r="BD66" s="431">
        <v>67.625838268347948</v>
      </c>
      <c r="BE66" s="431">
        <v>364089.36095595371</v>
      </c>
      <c r="BF66" s="431">
        <v>8150.70926730271</v>
      </c>
      <c r="BG66" s="431">
        <v>1744.4815244897372</v>
      </c>
      <c r="BH66" s="431">
        <v>383261.24995149003</v>
      </c>
      <c r="BI66" s="431">
        <v>368841.17011890863</v>
      </c>
      <c r="BJ66" s="431">
        <v>75129.150004462354</v>
      </c>
      <c r="BK66" s="431">
        <v>343111.91841703339</v>
      </c>
      <c r="BL66" s="431">
        <v>2983.2525778819609</v>
      </c>
      <c r="BM66" s="431">
        <v>607.65784457477196</v>
      </c>
      <c r="BN66" s="431">
        <v>136.77965912654955</v>
      </c>
      <c r="BO66" s="431">
        <v>2440.8430182670586</v>
      </c>
      <c r="BP66" s="431">
        <v>497.17460010663166</v>
      </c>
      <c r="BQ66" s="431">
        <v>1611.7100219973186</v>
      </c>
      <c r="BR66" s="431">
        <v>828.07797681948841</v>
      </c>
      <c r="BS66" s="431">
        <v>0</v>
      </c>
      <c r="BT66" s="431">
        <v>0</v>
      </c>
      <c r="BU66" s="431">
        <v>0</v>
      </c>
      <c r="BV66" s="431">
        <v>772.40920709350462</v>
      </c>
      <c r="BW66" s="431">
        <v>1269.8141537291444</v>
      </c>
      <c r="BX66" s="431">
        <v>1180.5804740694159</v>
      </c>
      <c r="BY66" s="431">
        <v>976.78011825318788</v>
      </c>
      <c r="BZ66" s="431">
        <v>0</v>
      </c>
      <c r="CA66" s="431">
        <v>0</v>
      </c>
      <c r="CB66" s="431">
        <v>0</v>
      </c>
      <c r="CC66" s="432"/>
      <c r="CD66" s="428">
        <v>41794.551082754631</v>
      </c>
      <c r="CE66" s="433">
        <v>0.30887516912936769</v>
      </c>
      <c r="CF66" s="433">
        <v>0.21465334314226731</v>
      </c>
      <c r="CG66" s="433">
        <v>0.17822376316137725</v>
      </c>
      <c r="CH66" s="433">
        <v>0.1804430703502535</v>
      </c>
      <c r="CI66" s="433">
        <v>0.11969468358927447</v>
      </c>
      <c r="CJ66" s="433">
        <v>0.26218817202595668</v>
      </c>
      <c r="CK66" s="433">
        <v>0.26007046015078716</v>
      </c>
      <c r="CL66" s="433">
        <v>0.2795059670458605</v>
      </c>
      <c r="CM66" s="433">
        <v>0.20330349118764637</v>
      </c>
      <c r="CN66" s="433">
        <v>0.20405169784316468</v>
      </c>
      <c r="CO66" s="433">
        <v>0.6098978484120201</v>
      </c>
      <c r="CP66" s="433">
        <v>0.6472517576995086</v>
      </c>
      <c r="CQ66" s="433">
        <v>0.67663897658204775</v>
      </c>
      <c r="CR66" s="433">
        <v>0.41104225845250458</v>
      </c>
      <c r="CS66" s="433">
        <v>0.39443520669059223</v>
      </c>
      <c r="CT66" s="433">
        <v>0.447221292916757</v>
      </c>
      <c r="CU66" s="433">
        <v>0.3622790598707698</v>
      </c>
      <c r="CV66" s="433">
        <v>0.47604249083347333</v>
      </c>
      <c r="CW66" s="433">
        <v>0.4759898508915783</v>
      </c>
      <c r="CX66" s="433">
        <v>0.4007797062399322</v>
      </c>
      <c r="CY66" s="433">
        <v>0.40798711211863076</v>
      </c>
      <c r="CZ66" s="433">
        <v>0.29816004259848461</v>
      </c>
      <c r="DA66" s="433">
        <v>0.25104840798869349</v>
      </c>
      <c r="DB66" s="433">
        <v>0.80602184361489149</v>
      </c>
      <c r="DC66" s="433">
        <v>0.29816004259848461</v>
      </c>
      <c r="DD66" s="433">
        <v>0.25104840798869349</v>
      </c>
      <c r="DE66" s="433">
        <v>0.34680721234892764</v>
      </c>
      <c r="DF66" s="433">
        <v>0.40997005857291635</v>
      </c>
      <c r="DG66" s="433">
        <v>0</v>
      </c>
      <c r="DH66" s="433">
        <v>0</v>
      </c>
      <c r="DI66" s="433">
        <v>0</v>
      </c>
      <c r="DJ66" s="433">
        <v>0.35031031550396724</v>
      </c>
      <c r="DK66" s="433">
        <v>0.33543004792329517</v>
      </c>
      <c r="DL66" s="433">
        <v>0.2866175308668823</v>
      </c>
      <c r="DM66" s="433">
        <v>0.40997005857291635</v>
      </c>
      <c r="DN66" s="433">
        <v>0</v>
      </c>
      <c r="DO66" s="433">
        <v>0</v>
      </c>
      <c r="DP66" s="433">
        <v>0</v>
      </c>
      <c r="DR66" s="409" t="s">
        <v>711</v>
      </c>
      <c r="DS66" s="409" t="s">
        <v>2347</v>
      </c>
    </row>
    <row r="67" spans="2:123" s="1471" customFormat="1">
      <c r="B67" s="428">
        <v>41794.642280324071</v>
      </c>
      <c r="C67" s="429">
        <v>1.41785436336649</v>
      </c>
      <c r="D67" s="429">
        <v>1.4161355416935255</v>
      </c>
      <c r="E67" s="429">
        <v>1.4339353285191609</v>
      </c>
      <c r="F67" s="429">
        <v>1.4042653294065162</v>
      </c>
      <c r="G67" s="429">
        <v>1.3875515595528995</v>
      </c>
      <c r="H67" s="429">
        <v>1.4095653383350275</v>
      </c>
      <c r="I67" s="429">
        <v>1.447943723365366</v>
      </c>
      <c r="J67" s="429">
        <v>1.4932919275201357</v>
      </c>
      <c r="K67" s="429">
        <v>1.3675000289882107</v>
      </c>
      <c r="L67" s="429">
        <v>1.4456082255648244</v>
      </c>
      <c r="M67" s="429">
        <v>1.2433128174540466</v>
      </c>
      <c r="N67" s="429">
        <v>1.2032740652217033</v>
      </c>
      <c r="O67" s="429">
        <v>1.0287770407261205</v>
      </c>
      <c r="P67" s="429">
        <v>1.0778469070348959</v>
      </c>
      <c r="Q67" s="429">
        <v>2974.8268928277421</v>
      </c>
      <c r="R67" s="429">
        <v>16.218100080940367</v>
      </c>
      <c r="S67" s="429">
        <v>12.758952776117846</v>
      </c>
      <c r="T67" s="429">
        <v>3207.6540481951783</v>
      </c>
      <c r="U67" s="429">
        <v>3324.8196251332029</v>
      </c>
      <c r="V67" s="429">
        <v>3432.9983707666343</v>
      </c>
      <c r="W67" s="429">
        <v>932.48552297789251</v>
      </c>
      <c r="X67" s="429">
        <v>8.8137281118255721</v>
      </c>
      <c r="Y67" s="429">
        <v>9.6886969274784747</v>
      </c>
      <c r="Z67" s="429">
        <v>15.2186747271026</v>
      </c>
      <c r="AA67" s="429">
        <v>7.4626699539847223</v>
      </c>
      <c r="AB67" s="429">
        <v>8.1785535304280081</v>
      </c>
      <c r="AC67" s="429">
        <v>3.8790846157971108</v>
      </c>
      <c r="AD67" s="429">
        <v>3.2916171159605359</v>
      </c>
      <c r="AE67" s="429">
        <v>0</v>
      </c>
      <c r="AF67" s="429">
        <v>0</v>
      </c>
      <c r="AG67" s="429">
        <v>0</v>
      </c>
      <c r="AH67" s="429">
        <v>2.9665029959951403</v>
      </c>
      <c r="AI67" s="429">
        <v>6.3746235568568004</v>
      </c>
      <c r="AJ67" s="429">
        <v>6.1618515095024531</v>
      </c>
      <c r="AK67" s="429">
        <v>6.998617361422129</v>
      </c>
      <c r="AL67" s="429">
        <v>0</v>
      </c>
      <c r="AM67" s="429">
        <v>0</v>
      </c>
      <c r="AN67" s="429">
        <v>0</v>
      </c>
      <c r="AO67" s="432"/>
      <c r="AP67" s="428">
        <v>41794.642280324071</v>
      </c>
      <c r="AQ67" s="431">
        <v>93.901492589250566</v>
      </c>
      <c r="AR67" s="431">
        <v>124.48110033039301</v>
      </c>
      <c r="AS67" s="431">
        <v>121.00054485225576</v>
      </c>
      <c r="AT67" s="431">
        <v>149.77278863016221</v>
      </c>
      <c r="AU67" s="431">
        <v>25.777559396350547</v>
      </c>
      <c r="AV67" s="431">
        <v>83.332982594069975</v>
      </c>
      <c r="AW67" s="431">
        <v>20.801411951257794</v>
      </c>
      <c r="AX67" s="431">
        <v>23.736883726961892</v>
      </c>
      <c r="AY67" s="431">
        <v>117.25150226464184</v>
      </c>
      <c r="AZ67" s="431">
        <v>-86.492108260551973</v>
      </c>
      <c r="BA67" s="431">
        <v>5.3451818450829807</v>
      </c>
      <c r="BB67" s="431">
        <v>2.6089396669932015</v>
      </c>
      <c r="BC67" s="431">
        <v>2.2333499702800856</v>
      </c>
      <c r="BD67" s="431">
        <v>67.630666350452842</v>
      </c>
      <c r="BE67" s="431">
        <v>364092.74202705867</v>
      </c>
      <c r="BF67" s="431">
        <v>8150.728749453343</v>
      </c>
      <c r="BG67" s="431">
        <v>1744.4402450195316</v>
      </c>
      <c r="BH67" s="431">
        <v>383264.80905998591</v>
      </c>
      <c r="BI67" s="431">
        <v>368842.6960474092</v>
      </c>
      <c r="BJ67" s="431">
        <v>75122.34679591973</v>
      </c>
      <c r="BK67" s="431">
        <v>343112.01386775728</v>
      </c>
      <c r="BL67" s="431">
        <v>2983.2649198613867</v>
      </c>
      <c r="BM67" s="431">
        <v>607.60281902158852</v>
      </c>
      <c r="BN67" s="431">
        <v>137.51041905233805</v>
      </c>
      <c r="BO67" s="431">
        <v>2440.8531162502254</v>
      </c>
      <c r="BP67" s="431">
        <v>497.1295791994815</v>
      </c>
      <c r="BQ67" s="431">
        <v>1611.7264626996259</v>
      </c>
      <c r="BR67" s="431">
        <v>828.08136123378438</v>
      </c>
      <c r="BS67" s="431">
        <v>0</v>
      </c>
      <c r="BT67" s="431">
        <v>0</v>
      </c>
      <c r="BU67" s="431">
        <v>0</v>
      </c>
      <c r="BV67" s="431">
        <v>772.41682039763691</v>
      </c>
      <c r="BW67" s="431">
        <v>1269.8193356579409</v>
      </c>
      <c r="BX67" s="431">
        <v>1180.5921309165005</v>
      </c>
      <c r="BY67" s="431">
        <v>976.78410435226215</v>
      </c>
      <c r="BZ67" s="431">
        <v>0</v>
      </c>
      <c r="CA67" s="431">
        <v>0</v>
      </c>
      <c r="CB67" s="431">
        <v>0</v>
      </c>
      <c r="CC67" s="432"/>
      <c r="CD67" s="428">
        <v>41794.642280324071</v>
      </c>
      <c r="CE67" s="433">
        <v>0.30887516912936769</v>
      </c>
      <c r="CF67" s="433">
        <v>0.21465334314226731</v>
      </c>
      <c r="CG67" s="433">
        <v>0.17822376316137725</v>
      </c>
      <c r="CH67" s="433">
        <v>0.1804430703502535</v>
      </c>
      <c r="CI67" s="433">
        <v>0.11969468358927447</v>
      </c>
      <c r="CJ67" s="433">
        <v>0.26218817202595668</v>
      </c>
      <c r="CK67" s="433">
        <v>0.26007046015078716</v>
      </c>
      <c r="CL67" s="433">
        <v>0.2795059670458605</v>
      </c>
      <c r="CM67" s="433">
        <v>0.20330349118764637</v>
      </c>
      <c r="CN67" s="433">
        <v>0.20405169784316468</v>
      </c>
      <c r="CO67" s="433">
        <v>0.6098978484120201</v>
      </c>
      <c r="CP67" s="433">
        <v>0.6472517576995086</v>
      </c>
      <c r="CQ67" s="433">
        <v>0.67663897658204775</v>
      </c>
      <c r="CR67" s="433">
        <v>0.41104225845250458</v>
      </c>
      <c r="CS67" s="433">
        <v>0.39443520669059223</v>
      </c>
      <c r="CT67" s="433">
        <v>0.447221292916757</v>
      </c>
      <c r="CU67" s="433">
        <v>0.3622790598707698</v>
      </c>
      <c r="CV67" s="433">
        <v>0.47604249083347333</v>
      </c>
      <c r="CW67" s="433">
        <v>0.4759898508915783</v>
      </c>
      <c r="CX67" s="433">
        <v>0.4007797062399322</v>
      </c>
      <c r="CY67" s="433">
        <v>0.40798711211863076</v>
      </c>
      <c r="CZ67" s="433">
        <v>0.29816004259848461</v>
      </c>
      <c r="DA67" s="433">
        <v>0.25104840798869349</v>
      </c>
      <c r="DB67" s="433">
        <v>0.80602184361489149</v>
      </c>
      <c r="DC67" s="433">
        <v>0.29816004259848461</v>
      </c>
      <c r="DD67" s="433">
        <v>0.25104840798869349</v>
      </c>
      <c r="DE67" s="433">
        <v>0.34680721234892764</v>
      </c>
      <c r="DF67" s="433">
        <v>0.40997005857291635</v>
      </c>
      <c r="DG67" s="433">
        <v>0</v>
      </c>
      <c r="DH67" s="433">
        <v>0</v>
      </c>
      <c r="DI67" s="433">
        <v>0</v>
      </c>
      <c r="DJ67" s="433">
        <v>0.35031031550396724</v>
      </c>
      <c r="DK67" s="433">
        <v>0.33543004792329517</v>
      </c>
      <c r="DL67" s="433">
        <v>0.2866175308668823</v>
      </c>
      <c r="DM67" s="433">
        <v>0.40997005857291635</v>
      </c>
      <c r="DN67" s="433">
        <v>0</v>
      </c>
      <c r="DO67" s="433">
        <v>0</v>
      </c>
      <c r="DP67" s="433">
        <v>0</v>
      </c>
      <c r="DR67" s="409" t="s">
        <v>711</v>
      </c>
      <c r="DS67" s="409" t="s">
        <v>2367</v>
      </c>
    </row>
    <row r="68" spans="2:123" s="1471" customFormat="1">
      <c r="B68" s="428">
        <v>41794.64798854167</v>
      </c>
      <c r="C68" s="429">
        <v>1.41785436336649</v>
      </c>
      <c r="D68" s="429">
        <v>1.4161355416935255</v>
      </c>
      <c r="E68" s="429">
        <v>1.4339353285191609</v>
      </c>
      <c r="F68" s="429">
        <v>1.4042653294065162</v>
      </c>
      <c r="G68" s="429">
        <v>1.3875515595528995</v>
      </c>
      <c r="H68" s="429">
        <v>1.4095653383350275</v>
      </c>
      <c r="I68" s="429">
        <v>1.447943723365366</v>
      </c>
      <c r="J68" s="429">
        <v>1.4932919275201357</v>
      </c>
      <c r="K68" s="429">
        <v>1.3675000289882107</v>
      </c>
      <c r="L68" s="429">
        <v>1.4456082255648244</v>
      </c>
      <c r="M68" s="429">
        <v>1.2433300687057975</v>
      </c>
      <c r="N68" s="429">
        <v>1.2033008502200693</v>
      </c>
      <c r="O68" s="429">
        <v>1.0287999696869017</v>
      </c>
      <c r="P68" s="429">
        <v>1.0778554920871577</v>
      </c>
      <c r="Q68" s="429">
        <v>2974.8268928277421</v>
      </c>
      <c r="R68" s="429">
        <v>16.218100080940367</v>
      </c>
      <c r="S68" s="429">
        <v>12.758952776117846</v>
      </c>
      <c r="T68" s="429">
        <v>3207.6540481951783</v>
      </c>
      <c r="U68" s="429">
        <v>3324.8196251332029</v>
      </c>
      <c r="V68" s="429">
        <v>3432.9983707666343</v>
      </c>
      <c r="W68" s="429">
        <v>932.48552297789251</v>
      </c>
      <c r="X68" s="429">
        <v>8.8137281118255721</v>
      </c>
      <c r="Y68" s="429">
        <v>9.6886969274784747</v>
      </c>
      <c r="Z68" s="429">
        <v>15.220086494647948</v>
      </c>
      <c r="AA68" s="429">
        <v>7.4626699539847223</v>
      </c>
      <c r="AB68" s="429">
        <v>8.1785535304280081</v>
      </c>
      <c r="AC68" s="429">
        <v>3.8790846157971108</v>
      </c>
      <c r="AD68" s="429">
        <v>3.2916171159605359</v>
      </c>
      <c r="AE68" s="429">
        <v>0</v>
      </c>
      <c r="AF68" s="429">
        <v>0</v>
      </c>
      <c r="AG68" s="429">
        <v>0</v>
      </c>
      <c r="AH68" s="429">
        <v>2.9665029959951403</v>
      </c>
      <c r="AI68" s="429">
        <v>6.3746235568568004</v>
      </c>
      <c r="AJ68" s="429">
        <v>6.1618515095024531</v>
      </c>
      <c r="AK68" s="429">
        <v>6.998617361422129</v>
      </c>
      <c r="AL68" s="429">
        <v>0</v>
      </c>
      <c r="AM68" s="429">
        <v>0</v>
      </c>
      <c r="AN68" s="429">
        <v>0</v>
      </c>
      <c r="AO68" s="432"/>
      <c r="AP68" s="428">
        <v>41794.64798854167</v>
      </c>
      <c r="AQ68" s="431">
        <v>93.901492589250566</v>
      </c>
      <c r="AR68" s="431">
        <v>124.48110033039301</v>
      </c>
      <c r="AS68" s="431">
        <v>121.00054485225576</v>
      </c>
      <c r="AT68" s="431">
        <v>149.77278863016221</v>
      </c>
      <c r="AU68" s="431">
        <v>25.777559396350547</v>
      </c>
      <c r="AV68" s="431">
        <v>83.332982594069975</v>
      </c>
      <c r="AW68" s="431">
        <v>20.801411951257794</v>
      </c>
      <c r="AX68" s="431">
        <v>23.736883726961892</v>
      </c>
      <c r="AY68" s="431">
        <v>117.25150226464184</v>
      </c>
      <c r="AZ68" s="431">
        <v>-86.492108260551973</v>
      </c>
      <c r="BA68" s="431">
        <v>5.4160650090202092</v>
      </c>
      <c r="BB68" s="431">
        <v>2.7189957636546107</v>
      </c>
      <c r="BC68" s="431">
        <v>2.3275621068494132</v>
      </c>
      <c r="BD68" s="431">
        <v>67.665941220687017</v>
      </c>
      <c r="BE68" s="431">
        <v>364092.74202705867</v>
      </c>
      <c r="BF68" s="431">
        <v>8150.728749453343</v>
      </c>
      <c r="BG68" s="431">
        <v>1744.4402450195316</v>
      </c>
      <c r="BH68" s="431">
        <v>383264.80905998591</v>
      </c>
      <c r="BI68" s="431">
        <v>368842.6960474092</v>
      </c>
      <c r="BJ68" s="431">
        <v>75122.34679591973</v>
      </c>
      <c r="BK68" s="431">
        <v>343112.01386775728</v>
      </c>
      <c r="BL68" s="431">
        <v>2983.2649198613867</v>
      </c>
      <c r="BM68" s="431">
        <v>607.60281902158852</v>
      </c>
      <c r="BN68" s="431">
        <v>143.31118944294533</v>
      </c>
      <c r="BO68" s="431">
        <v>2440.8531162502254</v>
      </c>
      <c r="BP68" s="431">
        <v>497.1295791994815</v>
      </c>
      <c r="BQ68" s="431">
        <v>1611.7264626996259</v>
      </c>
      <c r="BR68" s="431">
        <v>828.08136123378438</v>
      </c>
      <c r="BS68" s="431">
        <v>0</v>
      </c>
      <c r="BT68" s="431">
        <v>0</v>
      </c>
      <c r="BU68" s="431">
        <v>0</v>
      </c>
      <c r="BV68" s="431">
        <v>772.41682039763691</v>
      </c>
      <c r="BW68" s="431">
        <v>1269.8193356579409</v>
      </c>
      <c r="BX68" s="431">
        <v>1180.5921309165005</v>
      </c>
      <c r="BY68" s="431">
        <v>976.78410435226215</v>
      </c>
      <c r="BZ68" s="431">
        <v>0</v>
      </c>
      <c r="CA68" s="431">
        <v>0</v>
      </c>
      <c r="CB68" s="431">
        <v>0</v>
      </c>
      <c r="CC68" s="432"/>
      <c r="CD68" s="428">
        <v>41794.64798854167</v>
      </c>
      <c r="CE68" s="433">
        <v>0.30887516912936769</v>
      </c>
      <c r="CF68" s="433">
        <v>0.21465334314226731</v>
      </c>
      <c r="CG68" s="433">
        <v>0.17822376316137725</v>
      </c>
      <c r="CH68" s="433">
        <v>0.1804430703502535</v>
      </c>
      <c r="CI68" s="433">
        <v>0.11969468358927447</v>
      </c>
      <c r="CJ68" s="433">
        <v>0.26218817202595668</v>
      </c>
      <c r="CK68" s="433">
        <v>0.26007046015078716</v>
      </c>
      <c r="CL68" s="433">
        <v>0.2795059670458605</v>
      </c>
      <c r="CM68" s="433">
        <v>0.20330349118764637</v>
      </c>
      <c r="CN68" s="433">
        <v>0.20405169784316468</v>
      </c>
      <c r="CO68" s="433">
        <v>0.6098978484120201</v>
      </c>
      <c r="CP68" s="433">
        <v>0.6472517576995086</v>
      </c>
      <c r="CQ68" s="433">
        <v>0.67663897658204775</v>
      </c>
      <c r="CR68" s="433">
        <v>0.41104225845250458</v>
      </c>
      <c r="CS68" s="433">
        <v>0.39443520669059223</v>
      </c>
      <c r="CT68" s="433">
        <v>0.447221292916757</v>
      </c>
      <c r="CU68" s="433">
        <v>0.3622790598707698</v>
      </c>
      <c r="CV68" s="433">
        <v>0.47604249083347333</v>
      </c>
      <c r="CW68" s="433">
        <v>0.4759898508915783</v>
      </c>
      <c r="CX68" s="433">
        <v>0.4007797062399322</v>
      </c>
      <c r="CY68" s="433">
        <v>0.40798711211863076</v>
      </c>
      <c r="CZ68" s="433">
        <v>0.29816004259848461</v>
      </c>
      <c r="DA68" s="433">
        <v>0.25104840798869349</v>
      </c>
      <c r="DB68" s="433">
        <v>0.80602184361489149</v>
      </c>
      <c r="DC68" s="433">
        <v>0.29816004259848461</v>
      </c>
      <c r="DD68" s="433">
        <v>0.25104840798869349</v>
      </c>
      <c r="DE68" s="433">
        <v>0.34680721234892764</v>
      </c>
      <c r="DF68" s="433">
        <v>0.40997005857291635</v>
      </c>
      <c r="DG68" s="433">
        <v>0</v>
      </c>
      <c r="DH68" s="433">
        <v>0</v>
      </c>
      <c r="DI68" s="433">
        <v>0</v>
      </c>
      <c r="DJ68" s="433">
        <v>0.35031031550396724</v>
      </c>
      <c r="DK68" s="433">
        <v>0.33543004792329517</v>
      </c>
      <c r="DL68" s="433">
        <v>0.2866175308668823</v>
      </c>
      <c r="DM68" s="433">
        <v>0.40997005857291635</v>
      </c>
      <c r="DN68" s="433">
        <v>0</v>
      </c>
      <c r="DO68" s="433">
        <v>0</v>
      </c>
      <c r="DP68" s="433">
        <v>0</v>
      </c>
      <c r="DR68" s="409" t="s">
        <v>711</v>
      </c>
      <c r="DS68" s="409" t="s">
        <v>2371</v>
      </c>
    </row>
    <row r="69" spans="2:123" s="1471" customFormat="1">
      <c r="B69" s="428">
        <v>41794.651410069448</v>
      </c>
      <c r="C69" s="429">
        <v>1.41785436336649</v>
      </c>
      <c r="D69" s="429">
        <v>1.4161355416935255</v>
      </c>
      <c r="E69" s="429">
        <v>1.4332893998101179</v>
      </c>
      <c r="F69" s="429">
        <v>1.4044696371278047</v>
      </c>
      <c r="G69" s="429">
        <v>1.3888286090940987</v>
      </c>
      <c r="H69" s="429">
        <v>1.409469518084874</v>
      </c>
      <c r="I69" s="429">
        <v>1.4487150602414978</v>
      </c>
      <c r="J69" s="429">
        <v>1.4945022075689889</v>
      </c>
      <c r="K69" s="429">
        <v>1.3675000289882107</v>
      </c>
      <c r="L69" s="429">
        <v>1.4452820515783178</v>
      </c>
      <c r="M69" s="429">
        <v>1.2435364854815609</v>
      </c>
      <c r="N69" s="429">
        <v>1.2033008502200693</v>
      </c>
      <c r="O69" s="429">
        <v>1.0287999696869017</v>
      </c>
      <c r="P69" s="429">
        <v>1.0778554920871577</v>
      </c>
      <c r="Q69" s="429">
        <v>2974.8268928277421</v>
      </c>
      <c r="R69" s="429">
        <v>16.218100080940367</v>
      </c>
      <c r="S69" s="429">
        <v>12.830573543955264</v>
      </c>
      <c r="T69" s="429">
        <v>3207.6540481951783</v>
      </c>
      <c r="U69" s="429">
        <v>3324.8196251332029</v>
      </c>
      <c r="V69" s="429">
        <v>3436.0976469188718</v>
      </c>
      <c r="W69" s="429">
        <v>932.48552297789251</v>
      </c>
      <c r="X69" s="429">
        <v>8.8137281118255721</v>
      </c>
      <c r="Y69" s="429">
        <v>9.713764420805612</v>
      </c>
      <c r="Z69" s="429">
        <v>15.220086494647948</v>
      </c>
      <c r="AA69" s="429">
        <v>7.4626699539847223</v>
      </c>
      <c r="AB69" s="429">
        <v>8.1990632976956661</v>
      </c>
      <c r="AC69" s="429">
        <v>3.8790846157971108</v>
      </c>
      <c r="AD69" s="429">
        <v>3.2916171159605359</v>
      </c>
      <c r="AE69" s="429">
        <v>0</v>
      </c>
      <c r="AF69" s="429">
        <v>0</v>
      </c>
      <c r="AG69" s="429">
        <v>0</v>
      </c>
      <c r="AH69" s="429">
        <v>2.9665029959951403</v>
      </c>
      <c r="AI69" s="429">
        <v>6.3746235568568004</v>
      </c>
      <c r="AJ69" s="429">
        <v>6.1618515095024531</v>
      </c>
      <c r="AK69" s="429">
        <v>6.998617361422129</v>
      </c>
      <c r="AL69" s="429">
        <v>0</v>
      </c>
      <c r="AM69" s="429">
        <v>0</v>
      </c>
      <c r="AN69" s="429">
        <v>0</v>
      </c>
      <c r="AO69" s="432"/>
      <c r="AP69" s="428">
        <v>41794.651410069448</v>
      </c>
      <c r="AQ69" s="431">
        <v>93.901492589250566</v>
      </c>
      <c r="AR69" s="431">
        <v>124.48110033039301</v>
      </c>
      <c r="AS69" s="431">
        <v>120.99088823938764</v>
      </c>
      <c r="AT69" s="431">
        <v>149.77584302384813</v>
      </c>
      <c r="AU69" s="431">
        <v>25.79665124481636</v>
      </c>
      <c r="AV69" s="431">
        <v>83.33155008449468</v>
      </c>
      <c r="AW69" s="431">
        <v>20.812943412082227</v>
      </c>
      <c r="AX69" s="431">
        <v>23.754977373722223</v>
      </c>
      <c r="AY69" s="431">
        <v>117.25150226464184</v>
      </c>
      <c r="AZ69" s="431">
        <v>-86.496984550878196</v>
      </c>
      <c r="BA69" s="431">
        <v>5.4191509330008687</v>
      </c>
      <c r="BB69" s="431">
        <v>2.7189957636546107</v>
      </c>
      <c r="BC69" s="431">
        <v>2.3275621068494132</v>
      </c>
      <c r="BD69" s="431">
        <v>67.665941220687017</v>
      </c>
      <c r="BE69" s="431">
        <v>364092.74202705867</v>
      </c>
      <c r="BF69" s="431">
        <v>8150.728749453343</v>
      </c>
      <c r="BG69" s="431">
        <v>1745.5109731333941</v>
      </c>
      <c r="BH69" s="431">
        <v>383264.80905998591</v>
      </c>
      <c r="BI69" s="431">
        <v>368842.6960474092</v>
      </c>
      <c r="BJ69" s="431">
        <v>75168.680872040743</v>
      </c>
      <c r="BK69" s="431">
        <v>343112.01386775728</v>
      </c>
      <c r="BL69" s="431">
        <v>2983.2649198613867</v>
      </c>
      <c r="BM69" s="431">
        <v>607.97757721896437</v>
      </c>
      <c r="BN69" s="431">
        <v>143.31118944294533</v>
      </c>
      <c r="BO69" s="431">
        <v>2440.8531162502254</v>
      </c>
      <c r="BP69" s="431">
        <v>497.4361995427891</v>
      </c>
      <c r="BQ69" s="431">
        <v>1611.7264626996259</v>
      </c>
      <c r="BR69" s="431">
        <v>828.08136123378438</v>
      </c>
      <c r="BS69" s="431">
        <v>0</v>
      </c>
      <c r="BT69" s="431">
        <v>0</v>
      </c>
      <c r="BU69" s="431">
        <v>0</v>
      </c>
      <c r="BV69" s="431">
        <v>772.41682039763691</v>
      </c>
      <c r="BW69" s="431">
        <v>1269.8193356579409</v>
      </c>
      <c r="BX69" s="431">
        <v>1180.5921309165005</v>
      </c>
      <c r="BY69" s="431">
        <v>976.78410435226215</v>
      </c>
      <c r="BZ69" s="431">
        <v>0</v>
      </c>
      <c r="CA69" s="431">
        <v>0</v>
      </c>
      <c r="CB69" s="431">
        <v>0</v>
      </c>
      <c r="CC69" s="432"/>
      <c r="CD69" s="428">
        <v>41794.651410069448</v>
      </c>
      <c r="CE69" s="433">
        <v>0.30887516912936769</v>
      </c>
      <c r="CF69" s="433">
        <v>0.21465334314226731</v>
      </c>
      <c r="CG69" s="433">
        <v>0.17822376316137725</v>
      </c>
      <c r="CH69" s="433">
        <v>0.1804430703502535</v>
      </c>
      <c r="CI69" s="433">
        <v>0.11969468358927447</v>
      </c>
      <c r="CJ69" s="433">
        <v>0.26218817202595668</v>
      </c>
      <c r="CK69" s="433">
        <v>0.26007046015078716</v>
      </c>
      <c r="CL69" s="433">
        <v>0.2795059670458605</v>
      </c>
      <c r="CM69" s="433">
        <v>0.20330349118764637</v>
      </c>
      <c r="CN69" s="433">
        <v>0.20405169784316468</v>
      </c>
      <c r="CO69" s="433">
        <v>0.6098978484120201</v>
      </c>
      <c r="CP69" s="433">
        <v>0.6472517576995086</v>
      </c>
      <c r="CQ69" s="433">
        <v>0.67663897658204775</v>
      </c>
      <c r="CR69" s="433">
        <v>0.41104225845250458</v>
      </c>
      <c r="CS69" s="433">
        <v>0.39443520669059223</v>
      </c>
      <c r="CT69" s="433">
        <v>0.447221292916757</v>
      </c>
      <c r="CU69" s="433">
        <v>0.3622790598707698</v>
      </c>
      <c r="CV69" s="433">
        <v>0.47604249083347333</v>
      </c>
      <c r="CW69" s="433">
        <v>0.4759898508915783</v>
      </c>
      <c r="CX69" s="433">
        <v>0.4007797062399322</v>
      </c>
      <c r="CY69" s="433">
        <v>0.40798711211863076</v>
      </c>
      <c r="CZ69" s="433">
        <v>0.29816004259848461</v>
      </c>
      <c r="DA69" s="433">
        <v>0.25104840798869349</v>
      </c>
      <c r="DB69" s="433">
        <v>0.80602184361489149</v>
      </c>
      <c r="DC69" s="433">
        <v>0.29816004259848461</v>
      </c>
      <c r="DD69" s="433">
        <v>0.25104840798869349</v>
      </c>
      <c r="DE69" s="433">
        <v>0.34680721234892764</v>
      </c>
      <c r="DF69" s="433">
        <v>0.40997005857291635</v>
      </c>
      <c r="DG69" s="433">
        <v>0</v>
      </c>
      <c r="DH69" s="433">
        <v>0</v>
      </c>
      <c r="DI69" s="433">
        <v>0</v>
      </c>
      <c r="DJ69" s="433">
        <v>0.35031031550396724</v>
      </c>
      <c r="DK69" s="433">
        <v>0.33543004792329517</v>
      </c>
      <c r="DL69" s="433">
        <v>0.2866175308668823</v>
      </c>
      <c r="DM69" s="433">
        <v>0.40997005857291635</v>
      </c>
      <c r="DN69" s="433">
        <v>0</v>
      </c>
      <c r="DO69" s="433">
        <v>0</v>
      </c>
      <c r="DP69" s="433">
        <v>0</v>
      </c>
      <c r="DR69" s="409" t="s">
        <v>711</v>
      </c>
      <c r="DS69" s="409" t="s">
        <v>2375</v>
      </c>
    </row>
    <row r="70" spans="2:123" s="1471" customFormat="1">
      <c r="B70" s="428">
        <v>41794.662436226849</v>
      </c>
      <c r="C70" s="429">
        <v>1.41785436336649</v>
      </c>
      <c r="D70" s="429">
        <v>1.4161355416935255</v>
      </c>
      <c r="E70" s="429">
        <v>1.4243589057256494</v>
      </c>
      <c r="F70" s="429">
        <v>1.4044696371278047</v>
      </c>
      <c r="G70" s="429">
        <v>1.3888286090940987</v>
      </c>
      <c r="H70" s="429">
        <v>1.4084831308439796</v>
      </c>
      <c r="I70" s="429">
        <v>1.4487150602414978</v>
      </c>
      <c r="J70" s="429">
        <v>1.4945022075689889</v>
      </c>
      <c r="K70" s="429">
        <v>1.3675000289882107</v>
      </c>
      <c r="L70" s="429">
        <v>1.4452820515783178</v>
      </c>
      <c r="M70" s="429">
        <v>1.2435364854815609</v>
      </c>
      <c r="N70" s="429">
        <v>1.2033008502200693</v>
      </c>
      <c r="O70" s="429">
        <v>1.0287999696869017</v>
      </c>
      <c r="P70" s="429">
        <v>1.0778554920871577</v>
      </c>
      <c r="Q70" s="429">
        <v>2974.8268928277421</v>
      </c>
      <c r="R70" s="429">
        <v>16.218100080940367</v>
      </c>
      <c r="S70" s="429">
        <v>12.830573543955264</v>
      </c>
      <c r="T70" s="429">
        <v>3207.6540481951783</v>
      </c>
      <c r="U70" s="429">
        <v>3324.8196251332029</v>
      </c>
      <c r="V70" s="429">
        <v>3436.0976469188718</v>
      </c>
      <c r="W70" s="429">
        <v>932.48552297789251</v>
      </c>
      <c r="X70" s="429">
        <v>8.8137281118255721</v>
      </c>
      <c r="Y70" s="429">
        <v>9.713764420805612</v>
      </c>
      <c r="Z70" s="429">
        <v>15.220086494647948</v>
      </c>
      <c r="AA70" s="429">
        <v>7.4626699539847223</v>
      </c>
      <c r="AB70" s="429">
        <v>8.1990632976956661</v>
      </c>
      <c r="AC70" s="429">
        <v>3.8790846157971108</v>
      </c>
      <c r="AD70" s="429">
        <v>3.2916171159605359</v>
      </c>
      <c r="AE70" s="429">
        <v>0</v>
      </c>
      <c r="AF70" s="429">
        <v>0</v>
      </c>
      <c r="AG70" s="429">
        <v>0</v>
      </c>
      <c r="AH70" s="429">
        <v>2.9665029959951403</v>
      </c>
      <c r="AI70" s="429">
        <v>6.3746235568568004</v>
      </c>
      <c r="AJ70" s="429">
        <v>6.1618515095024531</v>
      </c>
      <c r="AK70" s="429">
        <v>6.998617361422129</v>
      </c>
      <c r="AL70" s="429">
        <v>0</v>
      </c>
      <c r="AM70" s="429">
        <v>0</v>
      </c>
      <c r="AN70" s="429">
        <v>0</v>
      </c>
      <c r="AO70" s="432"/>
      <c r="AP70" s="428">
        <v>41794.662436226849</v>
      </c>
      <c r="AQ70" s="431">
        <v>93.901492589250566</v>
      </c>
      <c r="AR70" s="431">
        <v>124.48110033039301</v>
      </c>
      <c r="AS70" s="431">
        <v>84.296642200518079</v>
      </c>
      <c r="AT70" s="431">
        <v>149.77584302384813</v>
      </c>
      <c r="AU70" s="431">
        <v>25.79665124481636</v>
      </c>
      <c r="AV70" s="431">
        <v>79.278612389823749</v>
      </c>
      <c r="AW70" s="431">
        <v>20.812943412082227</v>
      </c>
      <c r="AX70" s="431">
        <v>23.754977373722223</v>
      </c>
      <c r="AY70" s="431">
        <v>117.25150226464184</v>
      </c>
      <c r="AZ70" s="431">
        <v>-86.496984550878196</v>
      </c>
      <c r="BA70" s="431">
        <v>5.4191509330008687</v>
      </c>
      <c r="BB70" s="431">
        <v>2.7189957636546107</v>
      </c>
      <c r="BC70" s="431">
        <v>2.3275621068494132</v>
      </c>
      <c r="BD70" s="431">
        <v>67.665941220687017</v>
      </c>
      <c r="BE70" s="431">
        <v>364092.74202705867</v>
      </c>
      <c r="BF70" s="431">
        <v>8150.728749453343</v>
      </c>
      <c r="BG70" s="431">
        <v>1745.5109731333941</v>
      </c>
      <c r="BH70" s="431">
        <v>383264.80905998591</v>
      </c>
      <c r="BI70" s="431">
        <v>368842.6960474092</v>
      </c>
      <c r="BJ70" s="431">
        <v>75168.680872040743</v>
      </c>
      <c r="BK70" s="431">
        <v>343112.01386775728</v>
      </c>
      <c r="BL70" s="431">
        <v>2983.2649198613867</v>
      </c>
      <c r="BM70" s="431">
        <v>607.97757721896437</v>
      </c>
      <c r="BN70" s="431">
        <v>143.31118944294533</v>
      </c>
      <c r="BO70" s="431">
        <v>2440.8531162502254</v>
      </c>
      <c r="BP70" s="431">
        <v>497.4361995427891</v>
      </c>
      <c r="BQ70" s="431">
        <v>1611.7264626996259</v>
      </c>
      <c r="BR70" s="431">
        <v>828.08136123378438</v>
      </c>
      <c r="BS70" s="431">
        <v>0</v>
      </c>
      <c r="BT70" s="431">
        <v>0</v>
      </c>
      <c r="BU70" s="431">
        <v>0</v>
      </c>
      <c r="BV70" s="431">
        <v>772.41682039763691</v>
      </c>
      <c r="BW70" s="431">
        <v>1269.8193356579409</v>
      </c>
      <c r="BX70" s="431">
        <v>1180.5921309165005</v>
      </c>
      <c r="BY70" s="431">
        <v>976.78410435226215</v>
      </c>
      <c r="BZ70" s="431">
        <v>0</v>
      </c>
      <c r="CA70" s="431">
        <v>0</v>
      </c>
      <c r="CB70" s="431">
        <v>0</v>
      </c>
      <c r="CC70" s="432"/>
      <c r="CD70" s="428">
        <v>41794.662436226849</v>
      </c>
      <c r="CE70" s="433">
        <v>0.30887516912936769</v>
      </c>
      <c r="CF70" s="433">
        <v>0.21465334314226731</v>
      </c>
      <c r="CG70" s="433">
        <v>0.17822376316137725</v>
      </c>
      <c r="CH70" s="433">
        <v>0.1804430703502535</v>
      </c>
      <c r="CI70" s="433">
        <v>0.11969468358927447</v>
      </c>
      <c r="CJ70" s="433">
        <v>0.26218817202595668</v>
      </c>
      <c r="CK70" s="433">
        <v>0.26007046015078716</v>
      </c>
      <c r="CL70" s="433">
        <v>0.2795059670458605</v>
      </c>
      <c r="CM70" s="433">
        <v>0.20330349118764637</v>
      </c>
      <c r="CN70" s="433">
        <v>0.20405169784316468</v>
      </c>
      <c r="CO70" s="433">
        <v>0.6098978484120201</v>
      </c>
      <c r="CP70" s="433">
        <v>0.6472517576995086</v>
      </c>
      <c r="CQ70" s="433">
        <v>0.67663897658204775</v>
      </c>
      <c r="CR70" s="433">
        <v>0.41104225845250458</v>
      </c>
      <c r="CS70" s="433">
        <v>0.39443520669059223</v>
      </c>
      <c r="CT70" s="433">
        <v>0.447221292916757</v>
      </c>
      <c r="CU70" s="433">
        <v>0.3622790598707698</v>
      </c>
      <c r="CV70" s="433">
        <v>0.47604249083347333</v>
      </c>
      <c r="CW70" s="433">
        <v>0.4759898508915783</v>
      </c>
      <c r="CX70" s="433">
        <v>0.4007797062399322</v>
      </c>
      <c r="CY70" s="433">
        <v>0.40798711211863076</v>
      </c>
      <c r="CZ70" s="433">
        <v>0.29816004259848461</v>
      </c>
      <c r="DA70" s="433">
        <v>0.25104840798869349</v>
      </c>
      <c r="DB70" s="433">
        <v>0.80602184361489149</v>
      </c>
      <c r="DC70" s="433">
        <v>0.29816004259848461</v>
      </c>
      <c r="DD70" s="433">
        <v>0.25104840798869349</v>
      </c>
      <c r="DE70" s="433">
        <v>0.34680721234892764</v>
      </c>
      <c r="DF70" s="433">
        <v>0.40997005857291635</v>
      </c>
      <c r="DG70" s="433">
        <v>0</v>
      </c>
      <c r="DH70" s="433">
        <v>0</v>
      </c>
      <c r="DI70" s="433">
        <v>0</v>
      </c>
      <c r="DJ70" s="433">
        <v>0.35031031550396724</v>
      </c>
      <c r="DK70" s="433">
        <v>0.33543004792329517</v>
      </c>
      <c r="DL70" s="433">
        <v>0.2866175308668823</v>
      </c>
      <c r="DM70" s="433">
        <v>0.40997005857291635</v>
      </c>
      <c r="DN70" s="433">
        <v>0</v>
      </c>
      <c r="DO70" s="433">
        <v>0</v>
      </c>
      <c r="DP70" s="433">
        <v>0</v>
      </c>
      <c r="DR70" s="409" t="s">
        <v>711</v>
      </c>
      <c r="DS70" s="409" t="s">
        <v>2376</v>
      </c>
    </row>
    <row r="71" spans="2:123" s="1471" customFormat="1">
      <c r="B71" s="428">
        <v>41794.886464583331</v>
      </c>
      <c r="C71" s="429">
        <v>1.41785436336649</v>
      </c>
      <c r="D71" s="429">
        <v>1.4161355416935255</v>
      </c>
      <c r="E71" s="429">
        <v>1.4243589057256494</v>
      </c>
      <c r="F71" s="429">
        <v>1.4044696371278047</v>
      </c>
      <c r="G71" s="429">
        <v>1.3888286090940987</v>
      </c>
      <c r="H71" s="429">
        <v>1.4084831308439796</v>
      </c>
      <c r="I71" s="429">
        <v>1.4487150602414978</v>
      </c>
      <c r="J71" s="429">
        <v>1.4945022075689889</v>
      </c>
      <c r="K71" s="429">
        <v>1.3675000289882107</v>
      </c>
      <c r="L71" s="429">
        <v>1.4452820515783178</v>
      </c>
      <c r="M71" s="429">
        <v>1.2435364854815609</v>
      </c>
      <c r="N71" s="429">
        <v>1.2033008502200693</v>
      </c>
      <c r="O71" s="429">
        <v>1.0287999696869017</v>
      </c>
      <c r="P71" s="429">
        <v>1.0778554920871577</v>
      </c>
      <c r="Q71" s="429">
        <v>2974.8268928277421</v>
      </c>
      <c r="R71" s="429">
        <v>16.218100080940367</v>
      </c>
      <c r="S71" s="429">
        <v>26.354292278549014</v>
      </c>
      <c r="T71" s="429">
        <v>3207.6540481951783</v>
      </c>
      <c r="U71" s="429">
        <v>3324.8196251332029</v>
      </c>
      <c r="V71" s="429">
        <v>3436.0976469188718</v>
      </c>
      <c r="W71" s="429">
        <v>932.48552297789251</v>
      </c>
      <c r="X71" s="429">
        <v>8.8137281118255721</v>
      </c>
      <c r="Y71" s="429">
        <v>9.713764420805612</v>
      </c>
      <c r="Z71" s="429">
        <v>15.220086494647948</v>
      </c>
      <c r="AA71" s="429">
        <v>7.4626699539847223</v>
      </c>
      <c r="AB71" s="429">
        <v>8.1990632976956661</v>
      </c>
      <c r="AC71" s="429">
        <v>3.8790846157971108</v>
      </c>
      <c r="AD71" s="429">
        <v>3.2916171159605359</v>
      </c>
      <c r="AE71" s="429">
        <v>0</v>
      </c>
      <c r="AF71" s="429">
        <v>0</v>
      </c>
      <c r="AG71" s="429">
        <v>0</v>
      </c>
      <c r="AH71" s="429">
        <v>2.9665029959951403</v>
      </c>
      <c r="AI71" s="429">
        <v>6.3746235568568004</v>
      </c>
      <c r="AJ71" s="429">
        <v>6.1618515095024531</v>
      </c>
      <c r="AK71" s="429">
        <v>6.998617361422129</v>
      </c>
      <c r="AL71" s="429">
        <v>0</v>
      </c>
      <c r="AM71" s="429">
        <v>0</v>
      </c>
      <c r="AN71" s="429">
        <v>0</v>
      </c>
      <c r="AO71" s="432"/>
      <c r="AP71" s="428">
        <v>41794.886464583331</v>
      </c>
      <c r="AQ71" s="431">
        <v>93.901492589250566</v>
      </c>
      <c r="AR71" s="431">
        <v>124.48110033039301</v>
      </c>
      <c r="AS71" s="431">
        <v>84.296642200518079</v>
      </c>
      <c r="AT71" s="431">
        <v>149.77584302384813</v>
      </c>
      <c r="AU71" s="431">
        <v>25.79665124481636</v>
      </c>
      <c r="AV71" s="431">
        <v>79.278612389823749</v>
      </c>
      <c r="AW71" s="431">
        <v>20.812943412082227</v>
      </c>
      <c r="AX71" s="431">
        <v>23.754977373722223</v>
      </c>
      <c r="AY71" s="431">
        <v>117.25150226464184</v>
      </c>
      <c r="AZ71" s="431">
        <v>-86.496984550878196</v>
      </c>
      <c r="BA71" s="431">
        <v>5.4191509330008687</v>
      </c>
      <c r="BB71" s="431">
        <v>2.7189957636546107</v>
      </c>
      <c r="BC71" s="431">
        <v>2.3275621068494132</v>
      </c>
      <c r="BD71" s="431">
        <v>67.665941220687017</v>
      </c>
      <c r="BE71" s="431">
        <v>364092.74202705867</v>
      </c>
      <c r="BF71" s="431">
        <v>8150.728749453343</v>
      </c>
      <c r="BG71" s="431">
        <v>2618.5767147250363</v>
      </c>
      <c r="BH71" s="431">
        <v>383264.80905998591</v>
      </c>
      <c r="BI71" s="431">
        <v>368842.6960474092</v>
      </c>
      <c r="BJ71" s="431">
        <v>75168.680872040743</v>
      </c>
      <c r="BK71" s="431">
        <v>343112.01386775728</v>
      </c>
      <c r="BL71" s="431">
        <v>2983.2649198613867</v>
      </c>
      <c r="BM71" s="431">
        <v>607.97757721896437</v>
      </c>
      <c r="BN71" s="431">
        <v>143.31118944294533</v>
      </c>
      <c r="BO71" s="431">
        <v>2440.8531162502254</v>
      </c>
      <c r="BP71" s="431">
        <v>497.4361995427891</v>
      </c>
      <c r="BQ71" s="431">
        <v>1611.7264626996259</v>
      </c>
      <c r="BR71" s="431">
        <v>828.08136123378438</v>
      </c>
      <c r="BS71" s="431">
        <v>0</v>
      </c>
      <c r="BT71" s="431">
        <v>0</v>
      </c>
      <c r="BU71" s="431">
        <v>0</v>
      </c>
      <c r="BV71" s="431">
        <v>772.41682039763691</v>
      </c>
      <c r="BW71" s="431">
        <v>1269.8193356579409</v>
      </c>
      <c r="BX71" s="431">
        <v>1180.5921309165005</v>
      </c>
      <c r="BY71" s="431">
        <v>976.78410435226215</v>
      </c>
      <c r="BZ71" s="431">
        <v>0</v>
      </c>
      <c r="CA71" s="431">
        <v>0</v>
      </c>
      <c r="CB71" s="431">
        <v>0</v>
      </c>
      <c r="CC71" s="432"/>
      <c r="CD71" s="428">
        <v>41794.886464583331</v>
      </c>
      <c r="CE71" s="433">
        <v>0.30887516912936769</v>
      </c>
      <c r="CF71" s="433">
        <v>0.21465334314226731</v>
      </c>
      <c r="CG71" s="433">
        <v>0.17822376316137725</v>
      </c>
      <c r="CH71" s="433">
        <v>0.1804430703502535</v>
      </c>
      <c r="CI71" s="433">
        <v>0.11969468358927447</v>
      </c>
      <c r="CJ71" s="433">
        <v>0.26218817202595668</v>
      </c>
      <c r="CK71" s="433">
        <v>0.26007046015078716</v>
      </c>
      <c r="CL71" s="433">
        <v>0.2795059670458605</v>
      </c>
      <c r="CM71" s="433">
        <v>0.20330349118764637</v>
      </c>
      <c r="CN71" s="433">
        <v>0.20405169784316468</v>
      </c>
      <c r="CO71" s="433">
        <v>0.6098978484120201</v>
      </c>
      <c r="CP71" s="433">
        <v>0.6472517576995086</v>
      </c>
      <c r="CQ71" s="433">
        <v>0.67663897658204775</v>
      </c>
      <c r="CR71" s="433">
        <v>0.41104225845250458</v>
      </c>
      <c r="CS71" s="433">
        <v>0.39443520669059223</v>
      </c>
      <c r="CT71" s="433">
        <v>0.447221292916757</v>
      </c>
      <c r="CU71" s="433">
        <v>0.3622790598707698</v>
      </c>
      <c r="CV71" s="433">
        <v>0.47604249083347333</v>
      </c>
      <c r="CW71" s="433">
        <v>0.4759898508915783</v>
      </c>
      <c r="CX71" s="433">
        <v>0.4007797062399322</v>
      </c>
      <c r="CY71" s="433">
        <v>0.40798711211863076</v>
      </c>
      <c r="CZ71" s="433">
        <v>0.29816004259848461</v>
      </c>
      <c r="DA71" s="433">
        <v>0.25104840798869349</v>
      </c>
      <c r="DB71" s="433">
        <v>0.80602184361489149</v>
      </c>
      <c r="DC71" s="433">
        <v>0.29816004259848461</v>
      </c>
      <c r="DD71" s="433">
        <v>0.25104840798869349</v>
      </c>
      <c r="DE71" s="433">
        <v>0.34680721234892764</v>
      </c>
      <c r="DF71" s="433">
        <v>0.40997005857291635</v>
      </c>
      <c r="DG71" s="433">
        <v>0</v>
      </c>
      <c r="DH71" s="433">
        <v>0</v>
      </c>
      <c r="DI71" s="433">
        <v>0</v>
      </c>
      <c r="DJ71" s="433">
        <v>0.35031031550396724</v>
      </c>
      <c r="DK71" s="433">
        <v>0.33543004792329517</v>
      </c>
      <c r="DL71" s="433">
        <v>0.2866175308668823</v>
      </c>
      <c r="DM71" s="433">
        <v>0.40997005857291635</v>
      </c>
      <c r="DN71" s="433">
        <v>0</v>
      </c>
      <c r="DO71" s="433">
        <v>0</v>
      </c>
      <c r="DP71" s="433">
        <v>0</v>
      </c>
      <c r="DR71" s="409" t="s">
        <v>2011</v>
      </c>
      <c r="DS71" s="409" t="s">
        <v>2379</v>
      </c>
    </row>
    <row r="72" spans="2:123" s="1471" customFormat="1">
      <c r="B72" s="428">
        <v>41794.965702314817</v>
      </c>
      <c r="C72" s="429">
        <v>1.4149491759725235</v>
      </c>
      <c r="D72" s="429">
        <v>1.4161355416935255</v>
      </c>
      <c r="E72" s="429">
        <v>1.4243589057256494</v>
      </c>
      <c r="F72" s="429">
        <v>1.4044696371278047</v>
      </c>
      <c r="G72" s="429">
        <v>1.3888286090940987</v>
      </c>
      <c r="H72" s="429">
        <v>1.4055817304434925</v>
      </c>
      <c r="I72" s="429">
        <v>1.4459499317144531</v>
      </c>
      <c r="J72" s="429">
        <v>1.4915801447516839</v>
      </c>
      <c r="K72" s="429">
        <v>1.3675000289882104</v>
      </c>
      <c r="L72" s="429">
        <v>1.4452820515783178</v>
      </c>
      <c r="M72" s="429">
        <v>1.2227335043029672</v>
      </c>
      <c r="N72" s="429">
        <v>1.2058546114173931</v>
      </c>
      <c r="O72" s="429">
        <v>1.0157542256986647</v>
      </c>
      <c r="P72" s="429">
        <v>1.1037329374732487</v>
      </c>
      <c r="Q72" s="429">
        <v>2974.8268928277421</v>
      </c>
      <c r="R72" s="429">
        <v>16.218100080940367</v>
      </c>
      <c r="S72" s="429">
        <v>26.354292278549014</v>
      </c>
      <c r="T72" s="429">
        <v>3207.6540481951783</v>
      </c>
      <c r="U72" s="429">
        <v>3324.8196251332029</v>
      </c>
      <c r="V72" s="429">
        <v>3436.0976469188718</v>
      </c>
      <c r="W72" s="429">
        <v>932.48552297789251</v>
      </c>
      <c r="X72" s="429">
        <v>8.8137281118255721</v>
      </c>
      <c r="Y72" s="429">
        <v>9.713764420805612</v>
      </c>
      <c r="Z72" s="429">
        <v>15.220086494647948</v>
      </c>
      <c r="AA72" s="429">
        <v>7.4626699539847223</v>
      </c>
      <c r="AB72" s="429">
        <v>8.1990632976956661</v>
      </c>
      <c r="AC72" s="429">
        <v>3.8790846157971108</v>
      </c>
      <c r="AD72" s="429">
        <v>3.2916171159605359</v>
      </c>
      <c r="AE72" s="429">
        <v>0</v>
      </c>
      <c r="AF72" s="429">
        <v>0</v>
      </c>
      <c r="AG72" s="429">
        <v>0</v>
      </c>
      <c r="AH72" s="429">
        <v>2.9665029959951403</v>
      </c>
      <c r="AI72" s="429">
        <v>6.3746235568568004</v>
      </c>
      <c r="AJ72" s="429">
        <v>6.1618515095024531</v>
      </c>
      <c r="AK72" s="429">
        <v>6.998617361422129</v>
      </c>
      <c r="AL72" s="429">
        <v>0</v>
      </c>
      <c r="AM72" s="429">
        <v>0</v>
      </c>
      <c r="AN72" s="429">
        <v>0</v>
      </c>
      <c r="AO72" s="432"/>
      <c r="AP72" s="428">
        <v>41794.965702314817</v>
      </c>
      <c r="AQ72" s="431">
        <v>93.184687302309726</v>
      </c>
      <c r="AR72" s="431">
        <v>124.48110033039301</v>
      </c>
      <c r="AS72" s="431">
        <v>84.296642200518079</v>
      </c>
      <c r="AT72" s="431">
        <v>149.77584302384813</v>
      </c>
      <c r="AU72" s="431">
        <v>25.79665124481636</v>
      </c>
      <c r="AV72" s="431">
        <v>78.673432142573176</v>
      </c>
      <c r="AW72" s="431">
        <v>20.654065981455645</v>
      </c>
      <c r="AX72" s="431">
        <v>23.573641668579302</v>
      </c>
      <c r="AY72" s="431">
        <v>117.25150226464184</v>
      </c>
      <c r="AZ72" s="431">
        <v>-86.496984550878196</v>
      </c>
      <c r="BA72" s="431">
        <v>5.1519825805706692</v>
      </c>
      <c r="BB72" s="431">
        <v>2.4852772090748214</v>
      </c>
      <c r="BC72" s="431">
        <v>1.9539213531530961</v>
      </c>
      <c r="BD72" s="431">
        <v>155.18271206210764</v>
      </c>
      <c r="BE72" s="431">
        <v>364092.74202705867</v>
      </c>
      <c r="BF72" s="431">
        <v>8150.728749453343</v>
      </c>
      <c r="BG72" s="431">
        <v>2618.5767147250363</v>
      </c>
      <c r="BH72" s="431">
        <v>383264.80905998591</v>
      </c>
      <c r="BI72" s="431">
        <v>368842.6960474092</v>
      </c>
      <c r="BJ72" s="431">
        <v>75168.680872040743</v>
      </c>
      <c r="BK72" s="431">
        <v>343112.01386775728</v>
      </c>
      <c r="BL72" s="431">
        <v>2983.2649198613867</v>
      </c>
      <c r="BM72" s="431">
        <v>607.97757721896437</v>
      </c>
      <c r="BN72" s="431">
        <v>143.31118944294533</v>
      </c>
      <c r="BO72" s="431">
        <v>2440.8531162502254</v>
      </c>
      <c r="BP72" s="431">
        <v>497.4361995427891</v>
      </c>
      <c r="BQ72" s="431">
        <v>1611.7264626996259</v>
      </c>
      <c r="BR72" s="431">
        <v>828.08136123378438</v>
      </c>
      <c r="BS72" s="431">
        <v>0</v>
      </c>
      <c r="BT72" s="431">
        <v>0</v>
      </c>
      <c r="BU72" s="431">
        <v>0</v>
      </c>
      <c r="BV72" s="431">
        <v>772.41682039763691</v>
      </c>
      <c r="BW72" s="431">
        <v>1269.8193356579409</v>
      </c>
      <c r="BX72" s="431">
        <v>1180.5921309165005</v>
      </c>
      <c r="BY72" s="431">
        <v>976.78410435226215</v>
      </c>
      <c r="BZ72" s="431">
        <v>0</v>
      </c>
      <c r="CA72" s="431">
        <v>0</v>
      </c>
      <c r="CB72" s="431">
        <v>0</v>
      </c>
      <c r="CC72" s="432"/>
      <c r="CD72" s="428">
        <v>41794.965702314817</v>
      </c>
      <c r="CE72" s="433">
        <v>0.30887516912936769</v>
      </c>
      <c r="CF72" s="433">
        <v>0.21465334314226731</v>
      </c>
      <c r="CG72" s="433">
        <v>0.17822376316137725</v>
      </c>
      <c r="CH72" s="433">
        <v>0.1804430703502535</v>
      </c>
      <c r="CI72" s="433">
        <v>0.11969468358927447</v>
      </c>
      <c r="CJ72" s="433">
        <v>0.26218817202595668</v>
      </c>
      <c r="CK72" s="433">
        <v>0.26007046015078716</v>
      </c>
      <c r="CL72" s="433">
        <v>0.2795059670458605</v>
      </c>
      <c r="CM72" s="433">
        <v>0.2017515561404124</v>
      </c>
      <c r="CN72" s="433">
        <v>0.20249405129474354</v>
      </c>
      <c r="CO72" s="433">
        <v>0.67961967329017892</v>
      </c>
      <c r="CP72" s="433">
        <v>0.71559670575432477</v>
      </c>
      <c r="CQ72" s="433">
        <v>0.77768509959387233</v>
      </c>
      <c r="CR72" s="433">
        <v>0.34209534585351969</v>
      </c>
      <c r="CS72" s="433">
        <v>0.39443520669059223</v>
      </c>
      <c r="CT72" s="433">
        <v>0.447221292916757</v>
      </c>
      <c r="CU72" s="433">
        <v>0.3622790598707698</v>
      </c>
      <c r="CV72" s="433">
        <v>0.47604249083347333</v>
      </c>
      <c r="CW72" s="433">
        <v>0.4759898508915783</v>
      </c>
      <c r="CX72" s="433">
        <v>0.4007797062399322</v>
      </c>
      <c r="CY72" s="433">
        <v>0.40798711211863076</v>
      </c>
      <c r="CZ72" s="433">
        <v>0.29816004259848461</v>
      </c>
      <c r="DA72" s="433">
        <v>0.25104840798869349</v>
      </c>
      <c r="DB72" s="433">
        <v>0.80602184361489149</v>
      </c>
      <c r="DC72" s="433">
        <v>0.29816004259848461</v>
      </c>
      <c r="DD72" s="433">
        <v>0.25104840798869349</v>
      </c>
      <c r="DE72" s="433">
        <v>0.34680721234892764</v>
      </c>
      <c r="DF72" s="433">
        <v>0.40997005857291635</v>
      </c>
      <c r="DG72" s="433">
        <v>0</v>
      </c>
      <c r="DH72" s="433">
        <v>0</v>
      </c>
      <c r="DI72" s="433">
        <v>0</v>
      </c>
      <c r="DJ72" s="433">
        <v>0.35031031550396724</v>
      </c>
      <c r="DK72" s="433">
        <v>0.33543004792329517</v>
      </c>
      <c r="DL72" s="433">
        <v>0.2866175308668823</v>
      </c>
      <c r="DM72" s="433">
        <v>0.40997005857291635</v>
      </c>
      <c r="DN72" s="433">
        <v>0</v>
      </c>
      <c r="DO72" s="433">
        <v>0</v>
      </c>
      <c r="DP72" s="433">
        <v>0</v>
      </c>
      <c r="DR72" s="409" t="s">
        <v>855</v>
      </c>
      <c r="DS72" s="409" t="s">
        <v>2384</v>
      </c>
    </row>
    <row r="73" spans="2:123" s="1471" customFormat="1">
      <c r="B73" s="428">
        <v>41794.972005555559</v>
      </c>
      <c r="C73" s="429">
        <v>1.4149491759725235</v>
      </c>
      <c r="D73" s="429">
        <v>1.4161355416935255</v>
      </c>
      <c r="E73" s="429">
        <v>1.4243589057256494</v>
      </c>
      <c r="F73" s="429">
        <v>1.4044696371278047</v>
      </c>
      <c r="G73" s="429">
        <v>1.3888286090940987</v>
      </c>
      <c r="H73" s="429">
        <v>1.4055817304434925</v>
      </c>
      <c r="I73" s="429">
        <v>1.4459499317144531</v>
      </c>
      <c r="J73" s="429">
        <v>1.4915801447516839</v>
      </c>
      <c r="K73" s="429">
        <v>1.3675000289882104</v>
      </c>
      <c r="L73" s="429">
        <v>1.4452820515783178</v>
      </c>
      <c r="M73" s="429">
        <v>1.2327409490036449</v>
      </c>
      <c r="N73" s="429">
        <v>1.2059589076177535</v>
      </c>
      <c r="O73" s="429">
        <v>1.0157542256986645</v>
      </c>
      <c r="P73" s="429">
        <v>1.0830862181009844</v>
      </c>
      <c r="Q73" s="429">
        <v>2974.8268928277421</v>
      </c>
      <c r="R73" s="429">
        <v>16.218100080940367</v>
      </c>
      <c r="S73" s="429">
        <v>26.354292278549014</v>
      </c>
      <c r="T73" s="429">
        <v>3207.6540481951783</v>
      </c>
      <c r="U73" s="429">
        <v>3324.8196251332029</v>
      </c>
      <c r="V73" s="429">
        <v>3436.0976469188718</v>
      </c>
      <c r="W73" s="429">
        <v>932.48552297789251</v>
      </c>
      <c r="X73" s="429">
        <v>8.8137281118255721</v>
      </c>
      <c r="Y73" s="429">
        <v>9.713764420805612</v>
      </c>
      <c r="Z73" s="429">
        <v>15.220086494647948</v>
      </c>
      <c r="AA73" s="429">
        <v>7.4626699539847223</v>
      </c>
      <c r="AB73" s="429">
        <v>8.1990632976956661</v>
      </c>
      <c r="AC73" s="429">
        <v>3.8790846157971108</v>
      </c>
      <c r="AD73" s="429">
        <v>3.2916171159605359</v>
      </c>
      <c r="AE73" s="429">
        <v>0</v>
      </c>
      <c r="AF73" s="429">
        <v>0</v>
      </c>
      <c r="AG73" s="429">
        <v>0</v>
      </c>
      <c r="AH73" s="429">
        <v>2.9665029959951403</v>
      </c>
      <c r="AI73" s="429">
        <v>6.3746235568568004</v>
      </c>
      <c r="AJ73" s="429">
        <v>6.1618515095024531</v>
      </c>
      <c r="AK73" s="429">
        <v>6.998617361422129</v>
      </c>
      <c r="AL73" s="429">
        <v>0</v>
      </c>
      <c r="AM73" s="429">
        <v>0</v>
      </c>
      <c r="AN73" s="429">
        <v>0</v>
      </c>
      <c r="AO73" s="432"/>
      <c r="AP73" s="428">
        <v>41794.972005555559</v>
      </c>
      <c r="AQ73" s="431">
        <v>93.184687302309726</v>
      </c>
      <c r="AR73" s="431">
        <v>124.48110033039301</v>
      </c>
      <c r="AS73" s="431">
        <v>84.296642200518079</v>
      </c>
      <c r="AT73" s="431">
        <v>149.77584302384813</v>
      </c>
      <c r="AU73" s="431">
        <v>25.79665124481636</v>
      </c>
      <c r="AV73" s="431">
        <v>78.673432142573176</v>
      </c>
      <c r="AW73" s="431">
        <v>20.654065981455645</v>
      </c>
      <c r="AX73" s="431">
        <v>23.573641668579302</v>
      </c>
      <c r="AY73" s="431">
        <v>117.25150226464184</v>
      </c>
      <c r="AZ73" s="431">
        <v>-86.496984550878196</v>
      </c>
      <c r="BA73" s="431">
        <v>5.3179380103469418</v>
      </c>
      <c r="BB73" s="431">
        <v>2.6474508127033767</v>
      </c>
      <c r="BC73" s="431">
        <v>1.9539213531530961</v>
      </c>
      <c r="BD73" s="431">
        <v>80.025462213362303</v>
      </c>
      <c r="BE73" s="431">
        <v>364092.74202705867</v>
      </c>
      <c r="BF73" s="431">
        <v>8150.728749453343</v>
      </c>
      <c r="BG73" s="431">
        <v>2618.5767147250363</v>
      </c>
      <c r="BH73" s="431">
        <v>383264.80905998591</v>
      </c>
      <c r="BI73" s="431">
        <v>368842.6960474092</v>
      </c>
      <c r="BJ73" s="431">
        <v>75168.680872040743</v>
      </c>
      <c r="BK73" s="431">
        <v>343112.01386775728</v>
      </c>
      <c r="BL73" s="431">
        <v>2983.2649198613867</v>
      </c>
      <c r="BM73" s="431">
        <v>607.97757721896437</v>
      </c>
      <c r="BN73" s="431">
        <v>143.31118944294533</v>
      </c>
      <c r="BO73" s="431">
        <v>2440.8531162502254</v>
      </c>
      <c r="BP73" s="431">
        <v>497.4361995427891</v>
      </c>
      <c r="BQ73" s="431">
        <v>1611.7264626996259</v>
      </c>
      <c r="BR73" s="431">
        <v>828.08136123378438</v>
      </c>
      <c r="BS73" s="431">
        <v>0</v>
      </c>
      <c r="BT73" s="431">
        <v>0</v>
      </c>
      <c r="BU73" s="431">
        <v>0</v>
      </c>
      <c r="BV73" s="431">
        <v>772.41682039763691</v>
      </c>
      <c r="BW73" s="431">
        <v>1269.8193356579409</v>
      </c>
      <c r="BX73" s="431">
        <v>1180.5921309165005</v>
      </c>
      <c r="BY73" s="431">
        <v>976.78410435226215</v>
      </c>
      <c r="BZ73" s="431">
        <v>0</v>
      </c>
      <c r="CA73" s="431">
        <v>0</v>
      </c>
      <c r="CB73" s="431">
        <v>0</v>
      </c>
      <c r="CC73" s="432"/>
      <c r="CD73" s="428">
        <v>41794.972005555559</v>
      </c>
      <c r="CE73" s="433">
        <v>0.30887516912936769</v>
      </c>
      <c r="CF73" s="433">
        <v>0.21465334314226731</v>
      </c>
      <c r="CG73" s="433">
        <v>0.17822376316137725</v>
      </c>
      <c r="CH73" s="433">
        <v>0.1804430703502535</v>
      </c>
      <c r="CI73" s="433">
        <v>0.11969468358927447</v>
      </c>
      <c r="CJ73" s="433">
        <v>0.26218817202595668</v>
      </c>
      <c r="CK73" s="433">
        <v>0.26007046015078716</v>
      </c>
      <c r="CL73" s="433">
        <v>0.2795059670458605</v>
      </c>
      <c r="CM73" s="433">
        <v>0.2017515561404124</v>
      </c>
      <c r="CN73" s="433">
        <v>0.20249405129474354</v>
      </c>
      <c r="CO73" s="433">
        <v>0.62654907473547627</v>
      </c>
      <c r="CP73" s="433">
        <v>0.66252610719962202</v>
      </c>
      <c r="CQ73" s="433">
        <v>0.70077118864502774</v>
      </c>
      <c r="CR73" s="433">
        <v>0.38975168317710257</v>
      </c>
      <c r="CS73" s="433">
        <v>0.39443520669059223</v>
      </c>
      <c r="CT73" s="433">
        <v>0.447221292916757</v>
      </c>
      <c r="CU73" s="433">
        <v>0.3622790598707698</v>
      </c>
      <c r="CV73" s="433">
        <v>0.47604249083347333</v>
      </c>
      <c r="CW73" s="433">
        <v>0.4759898508915783</v>
      </c>
      <c r="CX73" s="433">
        <v>0.4007797062399322</v>
      </c>
      <c r="CY73" s="433">
        <v>0.40798711211863076</v>
      </c>
      <c r="CZ73" s="433">
        <v>0.29816004259848461</v>
      </c>
      <c r="DA73" s="433">
        <v>0.25104840798869349</v>
      </c>
      <c r="DB73" s="433">
        <v>0.80602184361489149</v>
      </c>
      <c r="DC73" s="433">
        <v>0.29816004259848461</v>
      </c>
      <c r="DD73" s="433">
        <v>0.25104840798869349</v>
      </c>
      <c r="DE73" s="433">
        <v>0.34680721234892764</v>
      </c>
      <c r="DF73" s="433">
        <v>0.40997005857291635</v>
      </c>
      <c r="DG73" s="433">
        <v>0</v>
      </c>
      <c r="DH73" s="433">
        <v>0</v>
      </c>
      <c r="DI73" s="433">
        <v>0</v>
      </c>
      <c r="DJ73" s="433">
        <v>0.35031031550396724</v>
      </c>
      <c r="DK73" s="433">
        <v>0.33543004792329517</v>
      </c>
      <c r="DL73" s="433">
        <v>0.2866175308668823</v>
      </c>
      <c r="DM73" s="433">
        <v>0.40997005857291635</v>
      </c>
      <c r="DN73" s="433">
        <v>0</v>
      </c>
      <c r="DO73" s="433">
        <v>0</v>
      </c>
      <c r="DP73" s="433">
        <v>0</v>
      </c>
      <c r="DR73" s="409" t="s">
        <v>855</v>
      </c>
      <c r="DS73" s="409" t="s">
        <v>2655</v>
      </c>
    </row>
    <row r="74" spans="2:123" s="1471" customFormat="1">
      <c r="B74" s="428">
        <v>41796.536756944442</v>
      </c>
      <c r="C74" s="429">
        <v>1.4149491759725235</v>
      </c>
      <c r="D74" s="429">
        <v>1.4161355416935255</v>
      </c>
      <c r="E74" s="429">
        <v>1.4303693259359282</v>
      </c>
      <c r="F74" s="429">
        <v>1.4057122042095764</v>
      </c>
      <c r="G74" s="429">
        <v>1.3915523231268709</v>
      </c>
      <c r="H74" s="429">
        <v>1.4055817304434925</v>
      </c>
      <c r="I74" s="429">
        <v>1.4503209121161811</v>
      </c>
      <c r="J74" s="429">
        <v>1.4944298086128791</v>
      </c>
      <c r="K74" s="429">
        <v>1.3675000289882104</v>
      </c>
      <c r="L74" s="429">
        <v>1.4452820515783178</v>
      </c>
      <c r="M74" s="429">
        <v>1.2332785359133271</v>
      </c>
      <c r="N74" s="429">
        <v>1.2059589076177535</v>
      </c>
      <c r="O74" s="429">
        <v>1.0157542256986645</v>
      </c>
      <c r="P74" s="429">
        <v>1.0830862181009844</v>
      </c>
      <c r="Q74" s="429">
        <v>2974.8268928277421</v>
      </c>
      <c r="R74" s="429">
        <v>16.218100080940367</v>
      </c>
      <c r="S74" s="429">
        <v>26.354292278549014</v>
      </c>
      <c r="T74" s="429">
        <v>3207.6540481951783</v>
      </c>
      <c r="U74" s="429">
        <v>3324.8196251332029</v>
      </c>
      <c r="V74" s="429">
        <v>3453.795597680245</v>
      </c>
      <c r="W74" s="429">
        <v>932.48552297789251</v>
      </c>
      <c r="X74" s="429">
        <v>8.8137281118255721</v>
      </c>
      <c r="Y74" s="429">
        <v>9.8569085747379805</v>
      </c>
      <c r="Z74" s="429">
        <v>15.220086494647948</v>
      </c>
      <c r="AA74" s="429">
        <v>7.4626699539847223</v>
      </c>
      <c r="AB74" s="429">
        <v>8.3161812418221501</v>
      </c>
      <c r="AC74" s="429">
        <v>3.8790846157971108</v>
      </c>
      <c r="AD74" s="429">
        <v>3.2916171159605359</v>
      </c>
      <c r="AE74" s="429">
        <v>0</v>
      </c>
      <c r="AF74" s="429">
        <v>0</v>
      </c>
      <c r="AG74" s="429">
        <v>0</v>
      </c>
      <c r="AH74" s="429">
        <v>2.9665029959951403</v>
      </c>
      <c r="AI74" s="429">
        <v>6.3746235568568004</v>
      </c>
      <c r="AJ74" s="429">
        <v>6.1618515095024531</v>
      </c>
      <c r="AK74" s="429">
        <v>6.998617361422129</v>
      </c>
      <c r="AL74" s="429">
        <v>0</v>
      </c>
      <c r="AM74" s="429">
        <v>0</v>
      </c>
      <c r="AN74" s="429">
        <v>0</v>
      </c>
      <c r="AO74" s="432"/>
      <c r="AP74" s="428">
        <v>41796.536756944442</v>
      </c>
      <c r="AQ74" s="431">
        <v>93.184687302309726</v>
      </c>
      <c r="AR74" s="431">
        <v>124.48110033039301</v>
      </c>
      <c r="AS74" s="431">
        <v>101.86389364294031</v>
      </c>
      <c r="AT74" s="431">
        <v>153.95566293947871</v>
      </c>
      <c r="AU74" s="431">
        <v>33.320383666524016</v>
      </c>
      <c r="AV74" s="431">
        <v>78.673432142573176</v>
      </c>
      <c r="AW74" s="431">
        <v>32.685200718379406</v>
      </c>
      <c r="AX74" s="431">
        <v>31.971056105095769</v>
      </c>
      <c r="AY74" s="431">
        <v>117.25150226464184</v>
      </c>
      <c r="AZ74" s="431">
        <v>-86.496984550878196</v>
      </c>
      <c r="BA74" s="431">
        <v>6.9021038264348018</v>
      </c>
      <c r="BB74" s="431">
        <v>2.6474508127033767</v>
      </c>
      <c r="BC74" s="431">
        <v>1.9539213531530961</v>
      </c>
      <c r="BD74" s="431">
        <v>80.025462213362303</v>
      </c>
      <c r="BE74" s="431">
        <v>364092.74202705867</v>
      </c>
      <c r="BF74" s="431">
        <v>8150.728749453343</v>
      </c>
      <c r="BG74" s="431">
        <v>2618.5767147250363</v>
      </c>
      <c r="BH74" s="431">
        <v>383264.80905998591</v>
      </c>
      <c r="BI74" s="431">
        <v>368842.6960474092</v>
      </c>
      <c r="BJ74" s="431">
        <v>123882.3356148876</v>
      </c>
      <c r="BK74" s="431">
        <v>343112.01386775728</v>
      </c>
      <c r="BL74" s="431">
        <v>2983.2649198613867</v>
      </c>
      <c r="BM74" s="431">
        <v>1001.9822270870882</v>
      </c>
      <c r="BN74" s="431">
        <v>143.31118944294533</v>
      </c>
      <c r="BO74" s="431">
        <v>2440.8531162502254</v>
      </c>
      <c r="BP74" s="431">
        <v>819.80364034398121</v>
      </c>
      <c r="BQ74" s="431">
        <v>1611.7264626996259</v>
      </c>
      <c r="BR74" s="431">
        <v>828.08136123378438</v>
      </c>
      <c r="BS74" s="431">
        <v>0</v>
      </c>
      <c r="BT74" s="431">
        <v>0</v>
      </c>
      <c r="BU74" s="431">
        <v>0</v>
      </c>
      <c r="BV74" s="431">
        <v>772.41682039763691</v>
      </c>
      <c r="BW74" s="431">
        <v>1269.8193356579409</v>
      </c>
      <c r="BX74" s="431">
        <v>1180.5921309165005</v>
      </c>
      <c r="BY74" s="431">
        <v>976.78410435226215</v>
      </c>
      <c r="BZ74" s="431">
        <v>0</v>
      </c>
      <c r="CA74" s="431">
        <v>0</v>
      </c>
      <c r="CB74" s="431">
        <v>0</v>
      </c>
      <c r="CC74" s="432"/>
      <c r="CD74" s="428">
        <v>41796.536756944442</v>
      </c>
      <c r="CE74" s="433">
        <v>0.30887516912936769</v>
      </c>
      <c r="CF74" s="433">
        <v>0.21465334314226731</v>
      </c>
      <c r="CG74" s="433">
        <v>0.17822376316137725</v>
      </c>
      <c r="CH74" s="433">
        <v>0.1804430703502535</v>
      </c>
      <c r="CI74" s="433">
        <v>0.11969468358927447</v>
      </c>
      <c r="CJ74" s="433">
        <v>0.26218817202595668</v>
      </c>
      <c r="CK74" s="433">
        <v>0.26007046015078716</v>
      </c>
      <c r="CL74" s="433">
        <v>0.2795059670458605</v>
      </c>
      <c r="CM74" s="433">
        <v>0.2017515561404124</v>
      </c>
      <c r="CN74" s="433">
        <v>0.20249405129474354</v>
      </c>
      <c r="CO74" s="433">
        <v>0.62654907473547627</v>
      </c>
      <c r="CP74" s="433">
        <v>0.66252610719962202</v>
      </c>
      <c r="CQ74" s="433">
        <v>0.70077118864502774</v>
      </c>
      <c r="CR74" s="433">
        <v>0.38975168317710257</v>
      </c>
      <c r="CS74" s="433">
        <v>0.39443520669059223</v>
      </c>
      <c r="CT74" s="433">
        <v>0.447221292916757</v>
      </c>
      <c r="CU74" s="433">
        <v>0.3622790598707698</v>
      </c>
      <c r="CV74" s="433">
        <v>0.47604249083347333</v>
      </c>
      <c r="CW74" s="433">
        <v>0.4759898508915783</v>
      </c>
      <c r="CX74" s="433">
        <v>0.4007797062399322</v>
      </c>
      <c r="CY74" s="433">
        <v>0.40798711211863076</v>
      </c>
      <c r="CZ74" s="433">
        <v>0.29816004259848461</v>
      </c>
      <c r="DA74" s="433">
        <v>0.25104840798869349</v>
      </c>
      <c r="DB74" s="433">
        <v>0.80602184361489149</v>
      </c>
      <c r="DC74" s="433">
        <v>0.29816004259848461</v>
      </c>
      <c r="DD74" s="433">
        <v>0.25104840798869349</v>
      </c>
      <c r="DE74" s="433">
        <v>0.34680721234892764</v>
      </c>
      <c r="DF74" s="433">
        <v>0.40997005857291635</v>
      </c>
      <c r="DG74" s="433">
        <v>0</v>
      </c>
      <c r="DH74" s="433">
        <v>0</v>
      </c>
      <c r="DI74" s="433">
        <v>0</v>
      </c>
      <c r="DJ74" s="433">
        <v>0.35031031550396724</v>
      </c>
      <c r="DK74" s="433">
        <v>0.33543004792329517</v>
      </c>
      <c r="DL74" s="433">
        <v>0.2866175308668823</v>
      </c>
      <c r="DM74" s="433">
        <v>0.40997005857291635</v>
      </c>
      <c r="DN74" s="433">
        <v>0</v>
      </c>
      <c r="DO74" s="433">
        <v>0</v>
      </c>
      <c r="DP74" s="433">
        <v>0</v>
      </c>
      <c r="DR74" s="409" t="s">
        <v>711</v>
      </c>
      <c r="DS74" s="409" t="s">
        <v>2388</v>
      </c>
    </row>
    <row r="75" spans="2:123" s="1471" customFormat="1">
      <c r="B75" s="428">
        <v>41800.546692824071</v>
      </c>
      <c r="C75" s="429">
        <v>1.4149491759725235</v>
      </c>
      <c r="D75" s="429">
        <v>1.4161355416935255</v>
      </c>
      <c r="E75" s="429">
        <v>1.427719964896383</v>
      </c>
      <c r="F75" s="429">
        <v>1.427980408357753</v>
      </c>
      <c r="G75" s="429">
        <v>1.3848120774142614</v>
      </c>
      <c r="H75" s="429">
        <v>1.4130202338916658</v>
      </c>
      <c r="I75" s="429">
        <v>1.4438610147505144</v>
      </c>
      <c r="J75" s="429">
        <v>1.4944298086128791</v>
      </c>
      <c r="K75" s="429">
        <v>1.3675000289882104</v>
      </c>
      <c r="L75" s="429">
        <v>1.4452820515783178</v>
      </c>
      <c r="M75" s="429">
        <v>1.2332785359133271</v>
      </c>
      <c r="N75" s="429">
        <v>1.2059589076177535</v>
      </c>
      <c r="O75" s="429">
        <v>1.0157542256986645</v>
      </c>
      <c r="P75" s="429">
        <v>1.0830862181009844</v>
      </c>
      <c r="Q75" s="429">
        <v>2974.8268928277421</v>
      </c>
      <c r="R75" s="429">
        <v>16.218100080940367</v>
      </c>
      <c r="S75" s="429">
        <v>25.808368423006836</v>
      </c>
      <c r="T75" s="429">
        <v>3207.6540481951783</v>
      </c>
      <c r="U75" s="429">
        <v>3324.8196251332029</v>
      </c>
      <c r="V75" s="429">
        <v>3427.6396932849975</v>
      </c>
      <c r="W75" s="429">
        <v>932.48552297789251</v>
      </c>
      <c r="X75" s="429">
        <v>8.8137281118255721</v>
      </c>
      <c r="Y75" s="429">
        <v>9.6453549968421051</v>
      </c>
      <c r="Z75" s="429">
        <v>15.220086494647948</v>
      </c>
      <c r="AA75" s="429">
        <v>7.4626699539847223</v>
      </c>
      <c r="AB75" s="429">
        <v>8.1430919508164337</v>
      </c>
      <c r="AC75" s="429">
        <v>3.8790846157971108</v>
      </c>
      <c r="AD75" s="429">
        <v>3.2916171159605359</v>
      </c>
      <c r="AE75" s="429">
        <v>0</v>
      </c>
      <c r="AF75" s="429">
        <v>0</v>
      </c>
      <c r="AG75" s="429">
        <v>0</v>
      </c>
      <c r="AH75" s="429">
        <v>2.9665029959951403</v>
      </c>
      <c r="AI75" s="429">
        <v>6.3746235568568004</v>
      </c>
      <c r="AJ75" s="429">
        <v>6.1618515095024531</v>
      </c>
      <c r="AK75" s="429">
        <v>6.998617361422129</v>
      </c>
      <c r="AL75" s="429">
        <v>0</v>
      </c>
      <c r="AM75" s="429">
        <v>0</v>
      </c>
      <c r="AN75" s="429">
        <v>0</v>
      </c>
      <c r="AO75" s="432"/>
      <c r="AP75" s="428">
        <v>41800.546692824071</v>
      </c>
      <c r="AQ75" s="431">
        <v>93.184687302309726</v>
      </c>
      <c r="AR75" s="431">
        <v>124.48110033039301</v>
      </c>
      <c r="AS75" s="431">
        <v>90.978011528092651</v>
      </c>
      <c r="AT75" s="431">
        <v>245.45283589859264</v>
      </c>
      <c r="AU75" s="431">
        <v>5.6255851255263156</v>
      </c>
      <c r="AV75" s="431">
        <v>109.23728147795779</v>
      </c>
      <c r="AW75" s="431">
        <v>6.1423173034662328</v>
      </c>
      <c r="AX75" s="431">
        <v>31.971056105095769</v>
      </c>
      <c r="AY75" s="431">
        <v>117.25150226464184</v>
      </c>
      <c r="AZ75" s="431">
        <v>-86.496984550878196</v>
      </c>
      <c r="BA75" s="431">
        <v>6.9021038264348018</v>
      </c>
      <c r="BB75" s="431">
        <v>2.6474508127033767</v>
      </c>
      <c r="BC75" s="431">
        <v>1.9539213531530961</v>
      </c>
      <c r="BD75" s="431">
        <v>80.025462213362303</v>
      </c>
      <c r="BE75" s="431">
        <v>364092.74202705867</v>
      </c>
      <c r="BF75" s="431">
        <v>8150.728749453343</v>
      </c>
      <c r="BG75" s="431">
        <v>375.44614610489901</v>
      </c>
      <c r="BH75" s="431">
        <v>383264.80905998591</v>
      </c>
      <c r="BI75" s="431">
        <v>368842.6960474092</v>
      </c>
      <c r="BJ75" s="431">
        <v>16411.104776995486</v>
      </c>
      <c r="BK75" s="431">
        <v>343112.01386775728</v>
      </c>
      <c r="BL75" s="431">
        <v>2983.2649198613867</v>
      </c>
      <c r="BM75" s="431">
        <v>132.73591615621245</v>
      </c>
      <c r="BN75" s="431">
        <v>143.31118944294533</v>
      </c>
      <c r="BO75" s="431">
        <v>2440.8531162502254</v>
      </c>
      <c r="BP75" s="431">
        <v>108.60211321871925</v>
      </c>
      <c r="BQ75" s="431">
        <v>1611.7264626996259</v>
      </c>
      <c r="BR75" s="431">
        <v>828.08136123378438</v>
      </c>
      <c r="BS75" s="431">
        <v>0</v>
      </c>
      <c r="BT75" s="431">
        <v>0</v>
      </c>
      <c r="BU75" s="431">
        <v>0</v>
      </c>
      <c r="BV75" s="431">
        <v>772.41682039763691</v>
      </c>
      <c r="BW75" s="431">
        <v>1269.8193356579409</v>
      </c>
      <c r="BX75" s="431">
        <v>1180.5921309165005</v>
      </c>
      <c r="BY75" s="431">
        <v>976.78410435226215</v>
      </c>
      <c r="BZ75" s="431">
        <v>0</v>
      </c>
      <c r="CA75" s="431">
        <v>0</v>
      </c>
      <c r="CB75" s="431">
        <v>0</v>
      </c>
      <c r="CC75" s="432"/>
      <c r="CD75" s="428">
        <v>41800.546692824071</v>
      </c>
      <c r="CE75" s="433">
        <v>0.30887516912936769</v>
      </c>
      <c r="CF75" s="433">
        <v>0.21465334314226731</v>
      </c>
      <c r="CG75" s="433">
        <v>0.17822376316137725</v>
      </c>
      <c r="CH75" s="433">
        <v>0.1804430703502535</v>
      </c>
      <c r="CI75" s="433">
        <v>0.11969468358927447</v>
      </c>
      <c r="CJ75" s="433">
        <v>0.26218817202595668</v>
      </c>
      <c r="CK75" s="433">
        <v>0.26007046015078716</v>
      </c>
      <c r="CL75" s="433">
        <v>0.2795059670458605</v>
      </c>
      <c r="CM75" s="433">
        <v>0.2017515561404124</v>
      </c>
      <c r="CN75" s="433">
        <v>0.20249405129474354</v>
      </c>
      <c r="CO75" s="433">
        <v>0.62654907473547627</v>
      </c>
      <c r="CP75" s="433">
        <v>0.66252610719962202</v>
      </c>
      <c r="CQ75" s="433">
        <v>0.70077118864502774</v>
      </c>
      <c r="CR75" s="433">
        <v>0.38975168317710257</v>
      </c>
      <c r="CS75" s="433">
        <v>0.39443520669059223</v>
      </c>
      <c r="CT75" s="433">
        <v>0.447221292916757</v>
      </c>
      <c r="CU75" s="433">
        <v>0.3622790598707698</v>
      </c>
      <c r="CV75" s="433">
        <v>0.47604249083347333</v>
      </c>
      <c r="CW75" s="433">
        <v>0.4759898508915783</v>
      </c>
      <c r="CX75" s="433">
        <v>0.4007797062399322</v>
      </c>
      <c r="CY75" s="433">
        <v>0.40798711211863076</v>
      </c>
      <c r="CZ75" s="433">
        <v>0.29816004259848461</v>
      </c>
      <c r="DA75" s="433">
        <v>0.25104840798869349</v>
      </c>
      <c r="DB75" s="433">
        <v>0.80602184361489149</v>
      </c>
      <c r="DC75" s="433">
        <v>0.29816004259848461</v>
      </c>
      <c r="DD75" s="433">
        <v>0.25104840798869349</v>
      </c>
      <c r="DE75" s="433">
        <v>0.34680721234892764</v>
      </c>
      <c r="DF75" s="433">
        <v>0.40997005857291635</v>
      </c>
      <c r="DG75" s="433">
        <v>0</v>
      </c>
      <c r="DH75" s="433">
        <v>0</v>
      </c>
      <c r="DI75" s="433">
        <v>0</v>
      </c>
      <c r="DJ75" s="433">
        <v>0.35031031550396724</v>
      </c>
      <c r="DK75" s="433">
        <v>0.33543004792329517</v>
      </c>
      <c r="DL75" s="433">
        <v>0.2866175308668823</v>
      </c>
      <c r="DM75" s="433">
        <v>0.40997005857291635</v>
      </c>
      <c r="DN75" s="433">
        <v>0</v>
      </c>
      <c r="DO75" s="433">
        <v>0</v>
      </c>
      <c r="DP75" s="433">
        <v>0</v>
      </c>
      <c r="DR75" s="409" t="s">
        <v>711</v>
      </c>
      <c r="DS75" s="409" t="s">
        <v>2388</v>
      </c>
    </row>
    <row r="76" spans="2:123" s="1471" customFormat="1">
      <c r="B76" s="428">
        <v>41800.556292245368</v>
      </c>
      <c r="C76" s="429">
        <v>1.4149491759725235</v>
      </c>
      <c r="D76" s="429">
        <v>1.4161355416935255</v>
      </c>
      <c r="E76" s="429">
        <v>1.4238906145578425</v>
      </c>
      <c r="F76" s="429">
        <v>1.3947106188505625</v>
      </c>
      <c r="G76" s="429">
        <v>1.3876139807202863</v>
      </c>
      <c r="H76" s="429">
        <v>1.3999850452225688</v>
      </c>
      <c r="I76" s="429">
        <v>1.4465463779490078</v>
      </c>
      <c r="J76" s="429">
        <v>1.4901179063432564</v>
      </c>
      <c r="K76" s="429">
        <v>1.3675000289882104</v>
      </c>
      <c r="L76" s="429">
        <v>1.4452820515783178</v>
      </c>
      <c r="M76" s="429">
        <v>1.2325243855789845</v>
      </c>
      <c r="N76" s="429">
        <v>1.2059589076177535</v>
      </c>
      <c r="O76" s="429">
        <v>1.0157542256986645</v>
      </c>
      <c r="P76" s="429">
        <v>1.0830862181009844</v>
      </c>
      <c r="Q76" s="429">
        <v>2974.8268928277421</v>
      </c>
      <c r="R76" s="429">
        <v>16.218100080940367</v>
      </c>
      <c r="S76" s="429">
        <v>26.035307606072514</v>
      </c>
      <c r="T76" s="429">
        <v>3207.6540481951783</v>
      </c>
      <c r="U76" s="429">
        <v>3324.8196251332029</v>
      </c>
      <c r="V76" s="429">
        <v>3438.5126374063102</v>
      </c>
      <c r="W76" s="429">
        <v>932.48552297789251</v>
      </c>
      <c r="X76" s="429">
        <v>8.8137281118255721</v>
      </c>
      <c r="Y76" s="429">
        <v>9.7332972907259858</v>
      </c>
      <c r="Z76" s="429">
        <v>15.220086494647948</v>
      </c>
      <c r="AA76" s="429">
        <v>7.4626699539847223</v>
      </c>
      <c r="AB76" s="429">
        <v>8.2150447367214277</v>
      </c>
      <c r="AC76" s="429">
        <v>3.8790846157971108</v>
      </c>
      <c r="AD76" s="429">
        <v>3.2916171159605359</v>
      </c>
      <c r="AE76" s="429">
        <v>0</v>
      </c>
      <c r="AF76" s="429">
        <v>0</v>
      </c>
      <c r="AG76" s="429">
        <v>0</v>
      </c>
      <c r="AH76" s="429">
        <v>2.9665029959951403</v>
      </c>
      <c r="AI76" s="429">
        <v>6.3746235568568004</v>
      </c>
      <c r="AJ76" s="429">
        <v>6.1618515095024531</v>
      </c>
      <c r="AK76" s="429">
        <v>6.998617361422129</v>
      </c>
      <c r="AL76" s="429">
        <v>0</v>
      </c>
      <c r="AM76" s="429">
        <v>0</v>
      </c>
      <c r="AN76" s="429">
        <v>0</v>
      </c>
      <c r="AO76" s="432"/>
      <c r="AP76" s="428">
        <v>41800.556292245368</v>
      </c>
      <c r="AQ76" s="431">
        <v>93.184687302309726</v>
      </c>
      <c r="AR76" s="431">
        <v>124.48110033039301</v>
      </c>
      <c r="AS76" s="431">
        <v>75.243705882471559</v>
      </c>
      <c r="AT76" s="431">
        <v>108.75157051604124</v>
      </c>
      <c r="AU76" s="431">
        <v>17.138243699166878</v>
      </c>
      <c r="AV76" s="431">
        <v>55.677375871079967</v>
      </c>
      <c r="AW76" s="431">
        <v>17.176127636604459</v>
      </c>
      <c r="AX76" s="431">
        <v>14.254006938435836</v>
      </c>
      <c r="AY76" s="431">
        <v>117.25150226464184</v>
      </c>
      <c r="AZ76" s="431">
        <v>-86.496984550878196</v>
      </c>
      <c r="BA76" s="431">
        <v>3.8033975670815541</v>
      </c>
      <c r="BB76" s="431">
        <v>2.6474508127033767</v>
      </c>
      <c r="BC76" s="431">
        <v>1.9539213531530961</v>
      </c>
      <c r="BD76" s="431">
        <v>80.025462213362303</v>
      </c>
      <c r="BE76" s="431">
        <v>364092.74202705867</v>
      </c>
      <c r="BF76" s="431">
        <v>8150.728749453343</v>
      </c>
      <c r="BG76" s="431">
        <v>1307.9099202822406</v>
      </c>
      <c r="BH76" s="431">
        <v>383264.80905998591</v>
      </c>
      <c r="BI76" s="431">
        <v>368842.6960474092</v>
      </c>
      <c r="BJ76" s="431">
        <v>61086.626979981316</v>
      </c>
      <c r="BK76" s="431">
        <v>343112.01386775728</v>
      </c>
      <c r="BL76" s="431">
        <v>2983.2649198613867</v>
      </c>
      <c r="BM76" s="431">
        <v>494.07943628796284</v>
      </c>
      <c r="BN76" s="431">
        <v>143.31118944294533</v>
      </c>
      <c r="BO76" s="431">
        <v>2440.8531162502254</v>
      </c>
      <c r="BP76" s="431">
        <v>404.24681150833322</v>
      </c>
      <c r="BQ76" s="431">
        <v>1611.7264626996259</v>
      </c>
      <c r="BR76" s="431">
        <v>828.08136123378438</v>
      </c>
      <c r="BS76" s="431">
        <v>0</v>
      </c>
      <c r="BT76" s="431">
        <v>0</v>
      </c>
      <c r="BU76" s="431">
        <v>0</v>
      </c>
      <c r="BV76" s="431">
        <v>772.41682039763691</v>
      </c>
      <c r="BW76" s="431">
        <v>1269.8193356579409</v>
      </c>
      <c r="BX76" s="431">
        <v>1180.5921309165005</v>
      </c>
      <c r="BY76" s="431">
        <v>976.78410435226215</v>
      </c>
      <c r="BZ76" s="431">
        <v>0</v>
      </c>
      <c r="CA76" s="431">
        <v>0</v>
      </c>
      <c r="CB76" s="431">
        <v>0</v>
      </c>
      <c r="CC76" s="432"/>
      <c r="CD76" s="428">
        <v>41800.556292245368</v>
      </c>
      <c r="CE76" s="433">
        <v>0.30887516912936769</v>
      </c>
      <c r="CF76" s="433">
        <v>0.21465334314226731</v>
      </c>
      <c r="CG76" s="433">
        <v>0.17822376316137725</v>
      </c>
      <c r="CH76" s="433">
        <v>0.1804430703502535</v>
      </c>
      <c r="CI76" s="433">
        <v>0.11969468358927447</v>
      </c>
      <c r="CJ76" s="433">
        <v>0.26218817202595668</v>
      </c>
      <c r="CK76" s="433">
        <v>0.26007046015078716</v>
      </c>
      <c r="CL76" s="433">
        <v>0.2795059670458605</v>
      </c>
      <c r="CM76" s="433">
        <v>0.2017515561404124</v>
      </c>
      <c r="CN76" s="433">
        <v>0.20249405129474354</v>
      </c>
      <c r="CO76" s="433">
        <v>0.62654907473547627</v>
      </c>
      <c r="CP76" s="433">
        <v>0.66252610719962202</v>
      </c>
      <c r="CQ76" s="433">
        <v>0.70077118864502774</v>
      </c>
      <c r="CR76" s="433">
        <v>0.38975168317710257</v>
      </c>
      <c r="CS76" s="433">
        <v>0.39443520669059223</v>
      </c>
      <c r="CT76" s="433">
        <v>0.447221292916757</v>
      </c>
      <c r="CU76" s="433">
        <v>0.3622790598707698</v>
      </c>
      <c r="CV76" s="433">
        <v>0.47604249083347333</v>
      </c>
      <c r="CW76" s="433">
        <v>0.4759898508915783</v>
      </c>
      <c r="CX76" s="433">
        <v>0.4007797062399322</v>
      </c>
      <c r="CY76" s="433">
        <v>0.40798711211863076</v>
      </c>
      <c r="CZ76" s="433">
        <v>0.29816004259848461</v>
      </c>
      <c r="DA76" s="433">
        <v>0.25104840798869349</v>
      </c>
      <c r="DB76" s="433">
        <v>0.80602184361489149</v>
      </c>
      <c r="DC76" s="433">
        <v>0.29816004259848461</v>
      </c>
      <c r="DD76" s="433">
        <v>0.25104840798869349</v>
      </c>
      <c r="DE76" s="433">
        <v>0.34680721234892764</v>
      </c>
      <c r="DF76" s="433">
        <v>0.40997005857291635</v>
      </c>
      <c r="DG76" s="433">
        <v>0</v>
      </c>
      <c r="DH76" s="433">
        <v>0</v>
      </c>
      <c r="DI76" s="433">
        <v>0</v>
      </c>
      <c r="DJ76" s="433">
        <v>0.35031031550396724</v>
      </c>
      <c r="DK76" s="433">
        <v>0.33543004792329517</v>
      </c>
      <c r="DL76" s="433">
        <v>0.2866175308668823</v>
      </c>
      <c r="DM76" s="433">
        <v>0.40997005857291635</v>
      </c>
      <c r="DN76" s="433">
        <v>0</v>
      </c>
      <c r="DO76" s="433">
        <v>0</v>
      </c>
      <c r="DP76" s="433">
        <v>0</v>
      </c>
      <c r="DR76" s="409" t="s">
        <v>711</v>
      </c>
      <c r="DS76" s="409" t="s">
        <v>2388</v>
      </c>
    </row>
    <row r="77" spans="2:123" s="1471" customFormat="1">
      <c r="B77" s="428">
        <v>41801.640912499999</v>
      </c>
      <c r="C77" s="429">
        <v>1.4149491759725235</v>
      </c>
      <c r="D77" s="429">
        <v>1.4161355416935255</v>
      </c>
      <c r="E77" s="429">
        <v>1.4238906145578425</v>
      </c>
      <c r="F77" s="429">
        <v>1.3947106188505625</v>
      </c>
      <c r="G77" s="429">
        <v>1.3876139807202863</v>
      </c>
      <c r="H77" s="429">
        <v>1.4704509180420811</v>
      </c>
      <c r="I77" s="429">
        <v>1.4465463779490078</v>
      </c>
      <c r="J77" s="429">
        <v>1.4901179063432564</v>
      </c>
      <c r="K77" s="429">
        <v>1.3675000289882104</v>
      </c>
      <c r="L77" s="429">
        <v>1.4452820515783178</v>
      </c>
      <c r="M77" s="429">
        <v>1.2325243855789845</v>
      </c>
      <c r="N77" s="429">
        <v>1.2059589076177535</v>
      </c>
      <c r="O77" s="429">
        <v>1.0157542256986645</v>
      </c>
      <c r="P77" s="429">
        <v>1.0830862181009844</v>
      </c>
      <c r="Q77" s="429">
        <v>2974.8268928277421</v>
      </c>
      <c r="R77" s="429">
        <v>16.218100080940367</v>
      </c>
      <c r="S77" s="429">
        <v>26.035307606072514</v>
      </c>
      <c r="T77" s="429">
        <v>3207.6540481951783</v>
      </c>
      <c r="U77" s="429">
        <v>3324.8196251332029</v>
      </c>
      <c r="V77" s="429">
        <v>3438.5126374063102</v>
      </c>
      <c r="W77" s="429">
        <v>932.48552297789251</v>
      </c>
      <c r="X77" s="429">
        <v>8.8137281118255721</v>
      </c>
      <c r="Y77" s="429">
        <v>9.7332972907259858</v>
      </c>
      <c r="Z77" s="429">
        <v>15.220086494647948</v>
      </c>
      <c r="AA77" s="429">
        <v>7.4626699539847223</v>
      </c>
      <c r="AB77" s="429">
        <v>8.2150447367214277</v>
      </c>
      <c r="AC77" s="429">
        <v>3.8790846157971108</v>
      </c>
      <c r="AD77" s="429">
        <v>3.2916171159605359</v>
      </c>
      <c r="AE77" s="429">
        <v>0</v>
      </c>
      <c r="AF77" s="429">
        <v>0</v>
      </c>
      <c r="AG77" s="429">
        <v>0</v>
      </c>
      <c r="AH77" s="429">
        <v>2.9665029959951403</v>
      </c>
      <c r="AI77" s="429">
        <v>6.3746235568568004</v>
      </c>
      <c r="AJ77" s="429">
        <v>6.1618515095024531</v>
      </c>
      <c r="AK77" s="429">
        <v>6.998617361422129</v>
      </c>
      <c r="AL77" s="429">
        <v>0</v>
      </c>
      <c r="AM77" s="429">
        <v>0</v>
      </c>
      <c r="AN77" s="429">
        <v>0</v>
      </c>
      <c r="AO77" s="432"/>
      <c r="AP77" s="428">
        <v>41801.640912499999</v>
      </c>
      <c r="AQ77" s="431">
        <v>93.184687302309726</v>
      </c>
      <c r="AR77" s="431">
        <v>124.48110033039301</v>
      </c>
      <c r="AS77" s="431">
        <v>75.243705882471559</v>
      </c>
      <c r="AT77" s="431">
        <v>108.75157051604124</v>
      </c>
      <c r="AU77" s="431">
        <v>17.138243699166878</v>
      </c>
      <c r="AV77" s="431">
        <v>54.063865584898103</v>
      </c>
      <c r="AW77" s="431">
        <v>17.176127636604459</v>
      </c>
      <c r="AX77" s="431">
        <v>14.254006938435836</v>
      </c>
      <c r="AY77" s="431">
        <v>117.25150226464184</v>
      </c>
      <c r="AZ77" s="431">
        <v>-86.496984550878196</v>
      </c>
      <c r="BA77" s="431">
        <v>3.8033975670815541</v>
      </c>
      <c r="BB77" s="431">
        <v>2.6474508127033767</v>
      </c>
      <c r="BC77" s="431">
        <v>1.9539213531530961</v>
      </c>
      <c r="BD77" s="431">
        <v>80.025462213362303</v>
      </c>
      <c r="BE77" s="431">
        <v>364092.74202705867</v>
      </c>
      <c r="BF77" s="431">
        <v>8150.728749453343</v>
      </c>
      <c r="BG77" s="431">
        <v>1307.9099202822406</v>
      </c>
      <c r="BH77" s="431">
        <v>383264.80905998591</v>
      </c>
      <c r="BI77" s="431">
        <v>368842.6960474092</v>
      </c>
      <c r="BJ77" s="431">
        <v>61086.626979981316</v>
      </c>
      <c r="BK77" s="431">
        <v>343112.01386775728</v>
      </c>
      <c r="BL77" s="431">
        <v>2983.2649198613867</v>
      </c>
      <c r="BM77" s="431">
        <v>494.07943628796284</v>
      </c>
      <c r="BN77" s="431">
        <v>143.31118944294533</v>
      </c>
      <c r="BO77" s="431">
        <v>2440.8531162502254</v>
      </c>
      <c r="BP77" s="431">
        <v>404.24681150833322</v>
      </c>
      <c r="BQ77" s="431">
        <v>1611.7264626996259</v>
      </c>
      <c r="BR77" s="431">
        <v>828.08136123378438</v>
      </c>
      <c r="BS77" s="431">
        <v>0</v>
      </c>
      <c r="BT77" s="431">
        <v>0</v>
      </c>
      <c r="BU77" s="431">
        <v>0</v>
      </c>
      <c r="BV77" s="431">
        <v>772.41682039763691</v>
      </c>
      <c r="BW77" s="431">
        <v>1269.8193356579409</v>
      </c>
      <c r="BX77" s="431">
        <v>1180.5921309165005</v>
      </c>
      <c r="BY77" s="431">
        <v>976.78410435226215</v>
      </c>
      <c r="BZ77" s="431">
        <v>0</v>
      </c>
      <c r="CA77" s="431">
        <v>0</v>
      </c>
      <c r="CB77" s="431">
        <v>0</v>
      </c>
      <c r="CC77" s="432"/>
      <c r="CD77" s="428">
        <v>41801.640912499999</v>
      </c>
      <c r="CE77" s="433">
        <v>0.30887516912936769</v>
      </c>
      <c r="CF77" s="433">
        <v>0.21465334314226731</v>
      </c>
      <c r="CG77" s="433">
        <v>0.17822376316137725</v>
      </c>
      <c r="CH77" s="433">
        <v>0.1804430703502535</v>
      </c>
      <c r="CI77" s="433">
        <v>0.11969468358927447</v>
      </c>
      <c r="CJ77" s="433">
        <v>0.27780836755497684</v>
      </c>
      <c r="CK77" s="433">
        <v>0.26007046015078716</v>
      </c>
      <c r="CL77" s="433">
        <v>0.2795059670458605</v>
      </c>
      <c r="CM77" s="433">
        <v>0.2017515561404124</v>
      </c>
      <c r="CN77" s="433">
        <v>0.20249405129474354</v>
      </c>
      <c r="CO77" s="433">
        <v>0.62654907473547627</v>
      </c>
      <c r="CP77" s="433">
        <v>0.66252610719962202</v>
      </c>
      <c r="CQ77" s="433">
        <v>0.70077118864502774</v>
      </c>
      <c r="CR77" s="433">
        <v>0.38975168317710257</v>
      </c>
      <c r="CS77" s="433">
        <v>0.39443520669059223</v>
      </c>
      <c r="CT77" s="433">
        <v>0.447221292916757</v>
      </c>
      <c r="CU77" s="433">
        <v>0.3622790598707698</v>
      </c>
      <c r="CV77" s="433">
        <v>0.47604249083347333</v>
      </c>
      <c r="CW77" s="433">
        <v>0.4759898508915783</v>
      </c>
      <c r="CX77" s="433">
        <v>0.4007797062399322</v>
      </c>
      <c r="CY77" s="433">
        <v>0.40798711211863076</v>
      </c>
      <c r="CZ77" s="433">
        <v>0.29816004259848461</v>
      </c>
      <c r="DA77" s="433">
        <v>0.25104840798869349</v>
      </c>
      <c r="DB77" s="433">
        <v>0.80602184361489149</v>
      </c>
      <c r="DC77" s="433">
        <v>0.29816004259848461</v>
      </c>
      <c r="DD77" s="433">
        <v>0.25104840798869349</v>
      </c>
      <c r="DE77" s="433">
        <v>0.34680721234892764</v>
      </c>
      <c r="DF77" s="433">
        <v>0.40997005857291635</v>
      </c>
      <c r="DG77" s="433">
        <v>0</v>
      </c>
      <c r="DH77" s="433">
        <v>0</v>
      </c>
      <c r="DI77" s="433">
        <v>0</v>
      </c>
      <c r="DJ77" s="433">
        <v>0.35031031550396724</v>
      </c>
      <c r="DK77" s="433">
        <v>0.33543004792329517</v>
      </c>
      <c r="DL77" s="433">
        <v>0.2866175308668823</v>
      </c>
      <c r="DM77" s="433">
        <v>0.40997005857291635</v>
      </c>
      <c r="DN77" s="433">
        <v>0</v>
      </c>
      <c r="DO77" s="433">
        <v>0</v>
      </c>
      <c r="DP77" s="433">
        <v>0</v>
      </c>
      <c r="DR77" s="409" t="s">
        <v>711</v>
      </c>
      <c r="DS77" s="409" t="s">
        <v>2423</v>
      </c>
    </row>
    <row r="78" spans="2:123" s="1471" customFormat="1">
      <c r="B78" s="428">
        <v>41801.687339814816</v>
      </c>
      <c r="C78" s="429">
        <v>1.4149491759725235</v>
      </c>
      <c r="D78" s="429">
        <v>1.4161355416935255</v>
      </c>
      <c r="E78" s="429">
        <v>1.4238906145578425</v>
      </c>
      <c r="F78" s="429">
        <v>1.3947106188505625</v>
      </c>
      <c r="G78" s="429">
        <v>1.3876139807202863</v>
      </c>
      <c r="H78" s="429">
        <v>1.4704509180420811</v>
      </c>
      <c r="I78" s="429">
        <v>1.4465463779490078</v>
      </c>
      <c r="J78" s="429">
        <v>1.4901179063432564</v>
      </c>
      <c r="K78" s="429">
        <v>1.3675000289882104</v>
      </c>
      <c r="L78" s="429">
        <v>1.4452820515783178</v>
      </c>
      <c r="M78" s="429">
        <v>1.2325243855789845</v>
      </c>
      <c r="N78" s="429">
        <v>1.2060101581778027</v>
      </c>
      <c r="O78" s="429">
        <v>1.0157542256986645</v>
      </c>
      <c r="P78" s="429">
        <v>1.0830862181009844</v>
      </c>
      <c r="Q78" s="429">
        <v>2974.8268928277421</v>
      </c>
      <c r="R78" s="429">
        <v>16.218100080940367</v>
      </c>
      <c r="S78" s="429">
        <v>26.035307606072514</v>
      </c>
      <c r="T78" s="429">
        <v>3207.6540481951783</v>
      </c>
      <c r="U78" s="429">
        <v>3324.8196251332029</v>
      </c>
      <c r="V78" s="429">
        <v>3438.5126374063102</v>
      </c>
      <c r="W78" s="429">
        <v>932.48552297789251</v>
      </c>
      <c r="X78" s="429">
        <v>8.8137281118255721</v>
      </c>
      <c r="Y78" s="429">
        <v>9.7332972907259858</v>
      </c>
      <c r="Z78" s="429">
        <v>15.220086494647948</v>
      </c>
      <c r="AA78" s="429">
        <v>7.4626699539847223</v>
      </c>
      <c r="AB78" s="429">
        <v>8.2150447367214277</v>
      </c>
      <c r="AC78" s="429">
        <v>3.8790846157971108</v>
      </c>
      <c r="AD78" s="429">
        <v>3.2916171159605359</v>
      </c>
      <c r="AE78" s="429">
        <v>0</v>
      </c>
      <c r="AF78" s="429">
        <v>0</v>
      </c>
      <c r="AG78" s="429">
        <v>0</v>
      </c>
      <c r="AH78" s="429">
        <v>2.9665029959951403</v>
      </c>
      <c r="AI78" s="429">
        <v>6.3746235568568004</v>
      </c>
      <c r="AJ78" s="429">
        <v>6.1618515095024531</v>
      </c>
      <c r="AK78" s="429">
        <v>6.998617361422129</v>
      </c>
      <c r="AL78" s="429">
        <v>0</v>
      </c>
      <c r="AM78" s="429">
        <v>0</v>
      </c>
      <c r="AN78" s="429">
        <v>0</v>
      </c>
      <c r="AO78" s="432"/>
      <c r="AP78" s="428">
        <v>41801.687339814816</v>
      </c>
      <c r="AQ78" s="431">
        <v>93.184687302309726</v>
      </c>
      <c r="AR78" s="431">
        <v>124.48110033039301</v>
      </c>
      <c r="AS78" s="431">
        <v>75.243705882471559</v>
      </c>
      <c r="AT78" s="431">
        <v>108.75157051604124</v>
      </c>
      <c r="AU78" s="431">
        <v>17.138243699166878</v>
      </c>
      <c r="AV78" s="431">
        <v>54.063865584898103</v>
      </c>
      <c r="AW78" s="431">
        <v>17.176127636604459</v>
      </c>
      <c r="AX78" s="431">
        <v>14.254006938435836</v>
      </c>
      <c r="AY78" s="431">
        <v>117.25150226464184</v>
      </c>
      <c r="AZ78" s="431">
        <v>-86.496984550878196</v>
      </c>
      <c r="BA78" s="431">
        <v>3.8033975670815541</v>
      </c>
      <c r="BB78" s="431">
        <v>2.7271419997493815</v>
      </c>
      <c r="BC78" s="431">
        <v>1.9539213531530961</v>
      </c>
      <c r="BD78" s="431">
        <v>80.025462213362303</v>
      </c>
      <c r="BE78" s="431">
        <v>364092.74202705867</v>
      </c>
      <c r="BF78" s="431">
        <v>8150.728749453343</v>
      </c>
      <c r="BG78" s="431">
        <v>1307.9099202822406</v>
      </c>
      <c r="BH78" s="431">
        <v>383264.80905998591</v>
      </c>
      <c r="BI78" s="431">
        <v>368842.6960474092</v>
      </c>
      <c r="BJ78" s="431">
        <v>61086.626979981316</v>
      </c>
      <c r="BK78" s="431">
        <v>343112.01386775728</v>
      </c>
      <c r="BL78" s="431">
        <v>2983.2649198613867</v>
      </c>
      <c r="BM78" s="431">
        <v>494.07943628796284</v>
      </c>
      <c r="BN78" s="431">
        <v>143.31118944294533</v>
      </c>
      <c r="BO78" s="431">
        <v>2440.8531162502254</v>
      </c>
      <c r="BP78" s="431">
        <v>404.24681150833322</v>
      </c>
      <c r="BQ78" s="431">
        <v>1611.7264626996259</v>
      </c>
      <c r="BR78" s="431">
        <v>828.08136123378438</v>
      </c>
      <c r="BS78" s="431">
        <v>0</v>
      </c>
      <c r="BT78" s="431">
        <v>0</v>
      </c>
      <c r="BU78" s="431">
        <v>0</v>
      </c>
      <c r="BV78" s="431">
        <v>772.41682039763691</v>
      </c>
      <c r="BW78" s="431">
        <v>1269.8193356579409</v>
      </c>
      <c r="BX78" s="431">
        <v>1180.5921309165005</v>
      </c>
      <c r="BY78" s="431">
        <v>976.78410435226215</v>
      </c>
      <c r="BZ78" s="431">
        <v>0</v>
      </c>
      <c r="CA78" s="431">
        <v>0</v>
      </c>
      <c r="CB78" s="431">
        <v>0</v>
      </c>
      <c r="CC78" s="432"/>
      <c r="CD78" s="428">
        <v>41801.687339814816</v>
      </c>
      <c r="CE78" s="433">
        <v>0.30887516912936769</v>
      </c>
      <c r="CF78" s="433">
        <v>0.21465334314226731</v>
      </c>
      <c r="CG78" s="433">
        <v>0.17822376316137725</v>
      </c>
      <c r="CH78" s="433">
        <v>0.1804430703502535</v>
      </c>
      <c r="CI78" s="433">
        <v>0.11969468358927447</v>
      </c>
      <c r="CJ78" s="433">
        <v>0.27780836755497684</v>
      </c>
      <c r="CK78" s="433">
        <v>0.26007046015078716</v>
      </c>
      <c r="CL78" s="433">
        <v>0.2795059670458605</v>
      </c>
      <c r="CM78" s="433">
        <v>0.2017515561404124</v>
      </c>
      <c r="CN78" s="433">
        <v>0.20249405129474354</v>
      </c>
      <c r="CO78" s="433">
        <v>0.62654907473547627</v>
      </c>
      <c r="CP78" s="433">
        <v>0.66252610719962202</v>
      </c>
      <c r="CQ78" s="433">
        <v>0.70077118864502774</v>
      </c>
      <c r="CR78" s="433">
        <v>0.38975168317710257</v>
      </c>
      <c r="CS78" s="433">
        <v>0.39443520669059223</v>
      </c>
      <c r="CT78" s="433">
        <v>0.447221292916757</v>
      </c>
      <c r="CU78" s="433">
        <v>0.3622790598707698</v>
      </c>
      <c r="CV78" s="433">
        <v>0.47604249083347333</v>
      </c>
      <c r="CW78" s="433">
        <v>0.4759898508915783</v>
      </c>
      <c r="CX78" s="433">
        <v>0.4007797062399322</v>
      </c>
      <c r="CY78" s="433">
        <v>0.40798711211863076</v>
      </c>
      <c r="CZ78" s="433">
        <v>0.29816004259848461</v>
      </c>
      <c r="DA78" s="433">
        <v>0.25104840798869349</v>
      </c>
      <c r="DB78" s="433">
        <v>0.80602184361489149</v>
      </c>
      <c r="DC78" s="433">
        <v>0.29816004259848461</v>
      </c>
      <c r="DD78" s="433">
        <v>0.25104840798869349</v>
      </c>
      <c r="DE78" s="433">
        <v>0.34680721234892764</v>
      </c>
      <c r="DF78" s="433">
        <v>0.40997005857291635</v>
      </c>
      <c r="DG78" s="433">
        <v>0</v>
      </c>
      <c r="DH78" s="433">
        <v>0</v>
      </c>
      <c r="DI78" s="433">
        <v>0</v>
      </c>
      <c r="DJ78" s="433">
        <v>0.35031031550396724</v>
      </c>
      <c r="DK78" s="433">
        <v>0.33543004792329517</v>
      </c>
      <c r="DL78" s="433">
        <v>0.2866175308668823</v>
      </c>
      <c r="DM78" s="433">
        <v>0.40997005857291635</v>
      </c>
      <c r="DN78" s="433">
        <v>0</v>
      </c>
      <c r="DO78" s="433">
        <v>0</v>
      </c>
      <c r="DP78" s="433">
        <v>0</v>
      </c>
      <c r="DR78" s="409" t="s">
        <v>711</v>
      </c>
      <c r="DS78" s="409" t="s">
        <v>2429</v>
      </c>
    </row>
    <row r="79" spans="2:123" s="1471" customFormat="1">
      <c r="B79" s="428">
        <v>41803.523757291667</v>
      </c>
      <c r="C79" s="429">
        <v>1.4149491759725235</v>
      </c>
      <c r="D79" s="429">
        <v>1.4161355416935255</v>
      </c>
      <c r="E79" s="429">
        <v>1.4238906145578425</v>
      </c>
      <c r="F79" s="429">
        <v>1.3947106188505625</v>
      </c>
      <c r="G79" s="429">
        <v>1.3876139807202863</v>
      </c>
      <c r="H79" s="429">
        <v>1.4704509180420811</v>
      </c>
      <c r="I79" s="429">
        <v>1.4465463779490078</v>
      </c>
      <c r="J79" s="429">
        <v>1.4901179063432564</v>
      </c>
      <c r="K79" s="429">
        <v>1.3675000289882104</v>
      </c>
      <c r="L79" s="429">
        <v>1.4452820515783178</v>
      </c>
      <c r="M79" s="429">
        <v>1.2325243855789845</v>
      </c>
      <c r="N79" s="429">
        <v>1.2060101581778027</v>
      </c>
      <c r="O79" s="429">
        <v>1.0157542256986645</v>
      </c>
      <c r="P79" s="429">
        <v>1.0830862181009844</v>
      </c>
      <c r="Q79" s="429">
        <v>2974.8268928277421</v>
      </c>
      <c r="R79" s="429">
        <v>16.218100080940367</v>
      </c>
      <c r="S79" s="429">
        <v>26.035307606072514</v>
      </c>
      <c r="T79" s="429">
        <v>3207.6540481951783</v>
      </c>
      <c r="U79" s="429">
        <v>3324.8196251332029</v>
      </c>
      <c r="V79" s="429">
        <v>3438.5126374063102</v>
      </c>
      <c r="W79" s="429">
        <v>939.00568282664392</v>
      </c>
      <c r="X79" s="429">
        <v>8.8137281118255721</v>
      </c>
      <c r="Y79" s="429">
        <v>9.7332972907259858</v>
      </c>
      <c r="Z79" s="429">
        <v>15.220086494647948</v>
      </c>
      <c r="AA79" s="429">
        <v>7.4626699539847223</v>
      </c>
      <c r="AB79" s="429">
        <v>8.2150447367214277</v>
      </c>
      <c r="AC79" s="429">
        <v>3.8790846157971108</v>
      </c>
      <c r="AD79" s="429">
        <v>3.2916171159605359</v>
      </c>
      <c r="AE79" s="429">
        <v>0</v>
      </c>
      <c r="AF79" s="429">
        <v>0</v>
      </c>
      <c r="AG79" s="429">
        <v>0</v>
      </c>
      <c r="AH79" s="429">
        <v>2.9665029959951403</v>
      </c>
      <c r="AI79" s="429">
        <v>6.3746235568568004</v>
      </c>
      <c r="AJ79" s="429">
        <v>6.1618515095024531</v>
      </c>
      <c r="AK79" s="429">
        <v>6.998617361422129</v>
      </c>
      <c r="AL79" s="429">
        <v>0</v>
      </c>
      <c r="AM79" s="429">
        <v>0</v>
      </c>
      <c r="AN79" s="429">
        <v>0</v>
      </c>
      <c r="AO79" s="432"/>
      <c r="AP79" s="428">
        <v>41803.523757291667</v>
      </c>
      <c r="AQ79" s="431">
        <v>93.184687302309726</v>
      </c>
      <c r="AR79" s="431">
        <v>124.48110033039301</v>
      </c>
      <c r="AS79" s="431">
        <v>75.243705882471559</v>
      </c>
      <c r="AT79" s="431">
        <v>108.75157051604124</v>
      </c>
      <c r="AU79" s="431">
        <v>17.138243699166878</v>
      </c>
      <c r="AV79" s="431">
        <v>54.063865584898103</v>
      </c>
      <c r="AW79" s="431">
        <v>17.176127636604459</v>
      </c>
      <c r="AX79" s="431">
        <v>14.254006938435836</v>
      </c>
      <c r="AY79" s="431">
        <v>117.25150226464184</v>
      </c>
      <c r="AZ79" s="431">
        <v>-86.496984550878196</v>
      </c>
      <c r="BA79" s="431">
        <v>3.8033975670815541</v>
      </c>
      <c r="BB79" s="431">
        <v>2.7271419997493815</v>
      </c>
      <c r="BC79" s="431">
        <v>1.9539213531530961</v>
      </c>
      <c r="BD79" s="431">
        <v>80.025462213362303</v>
      </c>
      <c r="BE79" s="431">
        <v>364092.74202705867</v>
      </c>
      <c r="BF79" s="431">
        <v>8150.728749453343</v>
      </c>
      <c r="BG79" s="431">
        <v>1307.9099202822406</v>
      </c>
      <c r="BH79" s="431">
        <v>383264.80905998591</v>
      </c>
      <c r="BI79" s="431">
        <v>368842.6960474092</v>
      </c>
      <c r="BJ79" s="431">
        <v>61086.626979981316</v>
      </c>
      <c r="BK79" s="431">
        <v>365419.56223939254</v>
      </c>
      <c r="BL79" s="431">
        <v>2983.2649198613867</v>
      </c>
      <c r="BM79" s="431">
        <v>494.07943628796284</v>
      </c>
      <c r="BN79" s="431">
        <v>143.31118944294533</v>
      </c>
      <c r="BO79" s="431">
        <v>2440.8531162502254</v>
      </c>
      <c r="BP79" s="431">
        <v>404.24681150833322</v>
      </c>
      <c r="BQ79" s="431">
        <v>1611.7264626996259</v>
      </c>
      <c r="BR79" s="431">
        <v>828.08136123378438</v>
      </c>
      <c r="BS79" s="431">
        <v>0</v>
      </c>
      <c r="BT79" s="431">
        <v>0</v>
      </c>
      <c r="BU79" s="431">
        <v>0</v>
      </c>
      <c r="BV79" s="431">
        <v>772.41682039763691</v>
      </c>
      <c r="BW79" s="431">
        <v>1269.8193356579409</v>
      </c>
      <c r="BX79" s="431">
        <v>1180.5921309165005</v>
      </c>
      <c r="BY79" s="431">
        <v>976.78410435226215</v>
      </c>
      <c r="BZ79" s="431">
        <v>0</v>
      </c>
      <c r="CA79" s="431">
        <v>0</v>
      </c>
      <c r="CB79" s="431">
        <v>0</v>
      </c>
      <c r="CC79" s="432"/>
      <c r="CD79" s="428">
        <v>41803.523757291667</v>
      </c>
      <c r="CE79" s="433">
        <v>0.30887516912936769</v>
      </c>
      <c r="CF79" s="433">
        <v>0.21465334314226731</v>
      </c>
      <c r="CG79" s="433">
        <v>0.17822376316137725</v>
      </c>
      <c r="CH79" s="433">
        <v>0.1804430703502535</v>
      </c>
      <c r="CI79" s="433">
        <v>0.11969468358927447</v>
      </c>
      <c r="CJ79" s="433">
        <v>0.27780836755497684</v>
      </c>
      <c r="CK79" s="433">
        <v>0.26007046015078716</v>
      </c>
      <c r="CL79" s="433">
        <v>0.2795059670458605</v>
      </c>
      <c r="CM79" s="433">
        <v>0.2017515561404124</v>
      </c>
      <c r="CN79" s="433">
        <v>0.20249405129474354</v>
      </c>
      <c r="CO79" s="433">
        <v>0.62654907473547627</v>
      </c>
      <c r="CP79" s="433">
        <v>0.66252610719962202</v>
      </c>
      <c r="CQ79" s="433">
        <v>0.70077118864502774</v>
      </c>
      <c r="CR79" s="433">
        <v>0.38975168317710257</v>
      </c>
      <c r="CS79" s="433">
        <v>0.39443520669059223</v>
      </c>
      <c r="CT79" s="433">
        <v>0.447221292916757</v>
      </c>
      <c r="CU79" s="433">
        <v>0.3622790598707698</v>
      </c>
      <c r="CV79" s="433">
        <v>0.47604249083347333</v>
      </c>
      <c r="CW79" s="433">
        <v>0.4759898508915783</v>
      </c>
      <c r="CX79" s="433">
        <v>0.4007797062399322</v>
      </c>
      <c r="CY79" s="433">
        <v>0.40798711211863076</v>
      </c>
      <c r="CZ79" s="433">
        <v>0.29816004259848461</v>
      </c>
      <c r="DA79" s="433">
        <v>0.25104840798869349</v>
      </c>
      <c r="DB79" s="433">
        <v>0.80602184361489149</v>
      </c>
      <c r="DC79" s="433">
        <v>0.29816004259848461</v>
      </c>
      <c r="DD79" s="433">
        <v>0.25104840798869349</v>
      </c>
      <c r="DE79" s="433">
        <v>0.34680721234892764</v>
      </c>
      <c r="DF79" s="433">
        <v>0.40997005857291635</v>
      </c>
      <c r="DG79" s="433">
        <v>0</v>
      </c>
      <c r="DH79" s="433">
        <v>0</v>
      </c>
      <c r="DI79" s="433">
        <v>0</v>
      </c>
      <c r="DJ79" s="433">
        <v>0.35031031550396724</v>
      </c>
      <c r="DK79" s="433">
        <v>0.33543004792329517</v>
      </c>
      <c r="DL79" s="433">
        <v>0.2866175308668823</v>
      </c>
      <c r="DM79" s="433">
        <v>0.40997005857291635</v>
      </c>
      <c r="DN79" s="433">
        <v>0</v>
      </c>
      <c r="DO79" s="433">
        <v>0</v>
      </c>
      <c r="DP79" s="433">
        <v>0</v>
      </c>
      <c r="DR79" s="409" t="s">
        <v>711</v>
      </c>
      <c r="DS79" s="409" t="s">
        <v>2430</v>
      </c>
    </row>
    <row r="80" spans="2:123" s="1471" customFormat="1">
      <c r="B80" s="428">
        <v>41803.533749074071</v>
      </c>
      <c r="C80" s="429">
        <v>1.4149491759725235</v>
      </c>
      <c r="D80" s="429">
        <v>1.4161355416935255</v>
      </c>
      <c r="E80" s="429">
        <v>1.4238906145578425</v>
      </c>
      <c r="F80" s="429">
        <v>1.3947106188505625</v>
      </c>
      <c r="G80" s="429">
        <v>1.3876139807202863</v>
      </c>
      <c r="H80" s="429">
        <v>1.4704509180420811</v>
      </c>
      <c r="I80" s="429">
        <v>1.4465463779490078</v>
      </c>
      <c r="J80" s="429">
        <v>1.4901179063432564</v>
      </c>
      <c r="K80" s="429">
        <v>1.3675000289882104</v>
      </c>
      <c r="L80" s="429">
        <v>1.4452820515783178</v>
      </c>
      <c r="M80" s="429">
        <v>1.2325243855789845</v>
      </c>
      <c r="N80" s="429">
        <v>1.2060101581778027</v>
      </c>
      <c r="O80" s="429">
        <v>1.0157542256986645</v>
      </c>
      <c r="P80" s="429">
        <v>1.0830862181009844</v>
      </c>
      <c r="Q80" s="429">
        <v>2974.8268928277421</v>
      </c>
      <c r="R80" s="429">
        <v>16.218100080940367</v>
      </c>
      <c r="S80" s="429">
        <v>26.035307606072514</v>
      </c>
      <c r="T80" s="429">
        <v>3207.6540481951783</v>
      </c>
      <c r="U80" s="429">
        <v>3324.8196251332029</v>
      </c>
      <c r="V80" s="429">
        <v>3438.5126374063102</v>
      </c>
      <c r="W80" s="429">
        <v>939.73014503206082</v>
      </c>
      <c r="X80" s="429">
        <v>8.8137281118255721</v>
      </c>
      <c r="Y80" s="429">
        <v>9.7332972907259858</v>
      </c>
      <c r="Z80" s="429">
        <v>15.220086494647948</v>
      </c>
      <c r="AA80" s="429">
        <v>7.4626699539847223</v>
      </c>
      <c r="AB80" s="429">
        <v>8.2150447367214277</v>
      </c>
      <c r="AC80" s="429">
        <v>3.8790846157971108</v>
      </c>
      <c r="AD80" s="429">
        <v>3.2916171159605359</v>
      </c>
      <c r="AE80" s="429">
        <v>0</v>
      </c>
      <c r="AF80" s="429">
        <v>0</v>
      </c>
      <c r="AG80" s="429">
        <v>0</v>
      </c>
      <c r="AH80" s="429">
        <v>2.9665029959951403</v>
      </c>
      <c r="AI80" s="429">
        <v>6.3746235568568004</v>
      </c>
      <c r="AJ80" s="429">
        <v>6.1618515095024531</v>
      </c>
      <c r="AK80" s="429">
        <v>6.998617361422129</v>
      </c>
      <c r="AL80" s="429">
        <v>0</v>
      </c>
      <c r="AM80" s="429">
        <v>0</v>
      </c>
      <c r="AN80" s="429">
        <v>0</v>
      </c>
      <c r="AO80" s="432"/>
      <c r="AP80" s="428">
        <v>41803.533749074071</v>
      </c>
      <c r="AQ80" s="431">
        <v>93.184687302309726</v>
      </c>
      <c r="AR80" s="431">
        <v>124.48110033039301</v>
      </c>
      <c r="AS80" s="431">
        <v>75.243705882471559</v>
      </c>
      <c r="AT80" s="431">
        <v>108.75157051604124</v>
      </c>
      <c r="AU80" s="431">
        <v>17.138243699166878</v>
      </c>
      <c r="AV80" s="431">
        <v>54.063865584898103</v>
      </c>
      <c r="AW80" s="431">
        <v>17.176127636604459</v>
      </c>
      <c r="AX80" s="431">
        <v>14.254006938435836</v>
      </c>
      <c r="AY80" s="431">
        <v>117.25150226464184</v>
      </c>
      <c r="AZ80" s="431">
        <v>-86.496984550878196</v>
      </c>
      <c r="BA80" s="431">
        <v>3.8033975670815541</v>
      </c>
      <c r="BB80" s="431">
        <v>2.7271419997493815</v>
      </c>
      <c r="BC80" s="431">
        <v>1.9539213531530961</v>
      </c>
      <c r="BD80" s="431">
        <v>80.025462213362303</v>
      </c>
      <c r="BE80" s="431">
        <v>364092.74202705867</v>
      </c>
      <c r="BF80" s="431">
        <v>8150.728749453343</v>
      </c>
      <c r="BG80" s="431">
        <v>1307.9099202822406</v>
      </c>
      <c r="BH80" s="431">
        <v>383264.80905998591</v>
      </c>
      <c r="BI80" s="431">
        <v>368842.6960474092</v>
      </c>
      <c r="BJ80" s="431">
        <v>61086.626979981316</v>
      </c>
      <c r="BK80" s="431">
        <v>367898.17872512987</v>
      </c>
      <c r="BL80" s="431">
        <v>2983.2649198613867</v>
      </c>
      <c r="BM80" s="431">
        <v>494.07943628796284</v>
      </c>
      <c r="BN80" s="431">
        <v>143.31118944294533</v>
      </c>
      <c r="BO80" s="431">
        <v>2440.8531162502254</v>
      </c>
      <c r="BP80" s="431">
        <v>404.24681150833322</v>
      </c>
      <c r="BQ80" s="431">
        <v>1611.7264626996259</v>
      </c>
      <c r="BR80" s="431">
        <v>828.08136123378438</v>
      </c>
      <c r="BS80" s="431">
        <v>0</v>
      </c>
      <c r="BT80" s="431">
        <v>0</v>
      </c>
      <c r="BU80" s="431">
        <v>0</v>
      </c>
      <c r="BV80" s="431">
        <v>772.41682039763691</v>
      </c>
      <c r="BW80" s="431">
        <v>1269.8193356579409</v>
      </c>
      <c r="BX80" s="431">
        <v>1180.5921309165005</v>
      </c>
      <c r="BY80" s="431">
        <v>976.78410435226215</v>
      </c>
      <c r="BZ80" s="431">
        <v>0</v>
      </c>
      <c r="CA80" s="431">
        <v>0</v>
      </c>
      <c r="CB80" s="431">
        <v>0</v>
      </c>
      <c r="CC80" s="432"/>
      <c r="CD80" s="428">
        <v>41803.533749074071</v>
      </c>
      <c r="CE80" s="433">
        <v>0.30887516912936769</v>
      </c>
      <c r="CF80" s="433">
        <v>0.21465334314226731</v>
      </c>
      <c r="CG80" s="433">
        <v>0.17822376316137725</v>
      </c>
      <c r="CH80" s="433">
        <v>0.1804430703502535</v>
      </c>
      <c r="CI80" s="433">
        <v>0.11969468358927447</v>
      </c>
      <c r="CJ80" s="433">
        <v>0.27780836755497684</v>
      </c>
      <c r="CK80" s="433">
        <v>0.26007046015078716</v>
      </c>
      <c r="CL80" s="433">
        <v>0.2795059670458605</v>
      </c>
      <c r="CM80" s="433">
        <v>0.2017515561404124</v>
      </c>
      <c r="CN80" s="433">
        <v>0.20249405129474354</v>
      </c>
      <c r="CO80" s="433">
        <v>0.62654907473547627</v>
      </c>
      <c r="CP80" s="433">
        <v>0.66252610719962202</v>
      </c>
      <c r="CQ80" s="433">
        <v>0.70077118864502774</v>
      </c>
      <c r="CR80" s="433">
        <v>0.38975168317710257</v>
      </c>
      <c r="CS80" s="433">
        <v>0.39443520669059223</v>
      </c>
      <c r="CT80" s="433">
        <v>0.447221292916757</v>
      </c>
      <c r="CU80" s="433">
        <v>0.3622790598707698</v>
      </c>
      <c r="CV80" s="433">
        <v>0.47604249083347333</v>
      </c>
      <c r="CW80" s="433">
        <v>0.4759898508915783</v>
      </c>
      <c r="CX80" s="433">
        <v>0.4007797062399322</v>
      </c>
      <c r="CY80" s="433">
        <v>0.40798711211863076</v>
      </c>
      <c r="CZ80" s="433">
        <v>0.29816004259848461</v>
      </c>
      <c r="DA80" s="433">
        <v>0.25104840798869349</v>
      </c>
      <c r="DB80" s="433">
        <v>0.80602184361489149</v>
      </c>
      <c r="DC80" s="433">
        <v>0.29816004259848461</v>
      </c>
      <c r="DD80" s="433">
        <v>0.25104840798869349</v>
      </c>
      <c r="DE80" s="433">
        <v>0.34680721234892764</v>
      </c>
      <c r="DF80" s="433">
        <v>0.40997005857291635</v>
      </c>
      <c r="DG80" s="433">
        <v>0</v>
      </c>
      <c r="DH80" s="433">
        <v>0</v>
      </c>
      <c r="DI80" s="433">
        <v>0</v>
      </c>
      <c r="DJ80" s="433">
        <v>0.35031031550396724</v>
      </c>
      <c r="DK80" s="433">
        <v>0.33543004792329517</v>
      </c>
      <c r="DL80" s="433">
        <v>0.2866175308668823</v>
      </c>
      <c r="DM80" s="433">
        <v>0.40997005857291635</v>
      </c>
      <c r="DN80" s="433">
        <v>0</v>
      </c>
      <c r="DO80" s="433">
        <v>0</v>
      </c>
      <c r="DP80" s="433">
        <v>0</v>
      </c>
      <c r="DR80" s="409" t="s">
        <v>711</v>
      </c>
      <c r="DS80" s="409" t="s">
        <v>2433</v>
      </c>
    </row>
    <row r="81" spans="2:123" s="1471" customFormat="1">
      <c r="B81" s="428">
        <v>41803.536006018519</v>
      </c>
      <c r="C81" s="429">
        <v>1.4149491759725235</v>
      </c>
      <c r="D81" s="429">
        <v>1.4161355416935255</v>
      </c>
      <c r="E81" s="429">
        <v>1.4238906145578425</v>
      </c>
      <c r="F81" s="429">
        <v>1.3947106188505625</v>
      </c>
      <c r="G81" s="429">
        <v>1.3876139807202863</v>
      </c>
      <c r="H81" s="429">
        <v>1.4704509180420811</v>
      </c>
      <c r="I81" s="429">
        <v>1.4465463779490078</v>
      </c>
      <c r="J81" s="429">
        <v>1.4901179063432564</v>
      </c>
      <c r="K81" s="429">
        <v>1.3675000289882104</v>
      </c>
      <c r="L81" s="429">
        <v>1.4452820515783178</v>
      </c>
      <c r="M81" s="429">
        <v>1.2325243855789845</v>
      </c>
      <c r="N81" s="429">
        <v>1.2060101581778027</v>
      </c>
      <c r="O81" s="429">
        <v>1.0157542256986645</v>
      </c>
      <c r="P81" s="429">
        <v>1.0830862181009844</v>
      </c>
      <c r="Q81" s="429">
        <v>2974.8268928277421</v>
      </c>
      <c r="R81" s="429">
        <v>16.218100080940367</v>
      </c>
      <c r="S81" s="429">
        <v>26.035307606072514</v>
      </c>
      <c r="T81" s="429">
        <v>3207.6540481951783</v>
      </c>
      <c r="U81" s="429">
        <v>3324.8196251332029</v>
      </c>
      <c r="V81" s="429">
        <v>3438.5126374063102</v>
      </c>
      <c r="W81" s="429">
        <v>939.73014503206082</v>
      </c>
      <c r="X81" s="429">
        <v>8.8137281118255721</v>
      </c>
      <c r="Y81" s="429">
        <v>9.7332972907259858</v>
      </c>
      <c r="Z81" s="429">
        <v>15.220086494647948</v>
      </c>
      <c r="AA81" s="429">
        <v>7.4626699539847223</v>
      </c>
      <c r="AB81" s="429">
        <v>8.2150447367214277</v>
      </c>
      <c r="AC81" s="429">
        <v>3.8790846157971108</v>
      </c>
      <c r="AD81" s="429">
        <v>3.2916171159605359</v>
      </c>
      <c r="AE81" s="429">
        <v>0</v>
      </c>
      <c r="AF81" s="429">
        <v>0</v>
      </c>
      <c r="AG81" s="429">
        <v>0</v>
      </c>
      <c r="AH81" s="429">
        <v>2.9665029959951403</v>
      </c>
      <c r="AI81" s="429">
        <v>6.3746235568568004</v>
      </c>
      <c r="AJ81" s="429">
        <v>6.1618515095024531</v>
      </c>
      <c r="AK81" s="429">
        <v>6.998617361422129</v>
      </c>
      <c r="AL81" s="429">
        <v>0</v>
      </c>
      <c r="AM81" s="429">
        <v>0</v>
      </c>
      <c r="AN81" s="429">
        <v>0</v>
      </c>
      <c r="AO81" s="432"/>
      <c r="AP81" s="428">
        <v>41803.536006018519</v>
      </c>
      <c r="AQ81" s="431">
        <v>93.184687302309726</v>
      </c>
      <c r="AR81" s="431">
        <v>124.48110033039301</v>
      </c>
      <c r="AS81" s="431">
        <v>75.243705882471559</v>
      </c>
      <c r="AT81" s="431">
        <v>108.75157051604124</v>
      </c>
      <c r="AU81" s="431">
        <v>17.138243699166878</v>
      </c>
      <c r="AV81" s="431">
        <v>54.063865584898103</v>
      </c>
      <c r="AW81" s="431">
        <v>17.176127636604459</v>
      </c>
      <c r="AX81" s="431">
        <v>14.254006938435836</v>
      </c>
      <c r="AY81" s="431">
        <v>117.25150226464184</v>
      </c>
      <c r="AZ81" s="431">
        <v>-86.496984550878196</v>
      </c>
      <c r="BA81" s="431">
        <v>3.8033975670815541</v>
      </c>
      <c r="BB81" s="431">
        <v>2.7271419997493815</v>
      </c>
      <c r="BC81" s="431">
        <v>1.9539213531530961</v>
      </c>
      <c r="BD81" s="431">
        <v>80.025462213362303</v>
      </c>
      <c r="BE81" s="431">
        <v>364092.74202705867</v>
      </c>
      <c r="BF81" s="431">
        <v>8150.728749453343</v>
      </c>
      <c r="BG81" s="431">
        <v>1307.9099202822406</v>
      </c>
      <c r="BH81" s="431">
        <v>383264.80905998591</v>
      </c>
      <c r="BI81" s="431">
        <v>368842.6960474092</v>
      </c>
      <c r="BJ81" s="431">
        <v>61086.626979981316</v>
      </c>
      <c r="BK81" s="431">
        <v>367898.17872512987</v>
      </c>
      <c r="BL81" s="431">
        <v>2983.2649198613867</v>
      </c>
      <c r="BM81" s="431">
        <v>494.07943628796284</v>
      </c>
      <c r="BN81" s="431">
        <v>143.31118944294533</v>
      </c>
      <c r="BO81" s="431">
        <v>2440.8531162502254</v>
      </c>
      <c r="BP81" s="431">
        <v>404.24681150833322</v>
      </c>
      <c r="BQ81" s="431">
        <v>1611.7264626996259</v>
      </c>
      <c r="BR81" s="431">
        <v>828.08136123378438</v>
      </c>
      <c r="BS81" s="431">
        <v>0</v>
      </c>
      <c r="BT81" s="431">
        <v>0</v>
      </c>
      <c r="BU81" s="431">
        <v>0</v>
      </c>
      <c r="BV81" s="431">
        <v>772.41682039763691</v>
      </c>
      <c r="BW81" s="431">
        <v>1269.8193356579409</v>
      </c>
      <c r="BX81" s="431">
        <v>1180.5921309165005</v>
      </c>
      <c r="BY81" s="431">
        <v>976.78410435226215</v>
      </c>
      <c r="BZ81" s="431">
        <v>0</v>
      </c>
      <c r="CA81" s="431">
        <v>0</v>
      </c>
      <c r="CB81" s="431">
        <v>0</v>
      </c>
      <c r="CC81" s="432"/>
      <c r="CD81" s="428">
        <v>41803.536006018519</v>
      </c>
      <c r="CE81" s="433">
        <v>0.30887516912936769</v>
      </c>
      <c r="CF81" s="433">
        <v>0.21465334314226731</v>
      </c>
      <c r="CG81" s="433">
        <v>0.17822376316137725</v>
      </c>
      <c r="CH81" s="433">
        <v>0.1804430703502535</v>
      </c>
      <c r="CI81" s="433">
        <v>0.11969468358927447</v>
      </c>
      <c r="CJ81" s="433">
        <v>0.27780836755497684</v>
      </c>
      <c r="CK81" s="433">
        <v>0.26007046015078716</v>
      </c>
      <c r="CL81" s="433">
        <v>0.2795059670458605</v>
      </c>
      <c r="CM81" s="433">
        <v>0.2017515561404124</v>
      </c>
      <c r="CN81" s="433">
        <v>0.20249405129474354</v>
      </c>
      <c r="CO81" s="433">
        <v>0.62654907473547627</v>
      </c>
      <c r="CP81" s="433">
        <v>0.66252610719962202</v>
      </c>
      <c r="CQ81" s="433">
        <v>0.70077118864502774</v>
      </c>
      <c r="CR81" s="433">
        <v>0.38975168317710257</v>
      </c>
      <c r="CS81" s="433">
        <v>0.39443520669059223</v>
      </c>
      <c r="CT81" s="433">
        <v>0.447221292916757</v>
      </c>
      <c r="CU81" s="433">
        <v>0.3622790598707698</v>
      </c>
      <c r="CV81" s="433">
        <v>0.47604249083347333</v>
      </c>
      <c r="CW81" s="433">
        <v>0.4759898508915783</v>
      </c>
      <c r="CX81" s="433">
        <v>0.4007797062399322</v>
      </c>
      <c r="CY81" s="433">
        <v>0.40798711211863076</v>
      </c>
      <c r="CZ81" s="433">
        <v>0.29816004259848461</v>
      </c>
      <c r="DA81" s="433">
        <v>0.25104840798869349</v>
      </c>
      <c r="DB81" s="433">
        <v>0.80602184361489149</v>
      </c>
      <c r="DC81" s="433">
        <v>0.29816004259848461</v>
      </c>
      <c r="DD81" s="433">
        <v>0.25104840798869349</v>
      </c>
      <c r="DE81" s="433">
        <v>0.34680721234892764</v>
      </c>
      <c r="DF81" s="433">
        <v>0.40997005857291635</v>
      </c>
      <c r="DG81" s="433">
        <v>0</v>
      </c>
      <c r="DH81" s="433">
        <v>0</v>
      </c>
      <c r="DI81" s="433">
        <v>0</v>
      </c>
      <c r="DJ81" s="433">
        <v>0.35031031550396724</v>
      </c>
      <c r="DK81" s="433">
        <v>0.33543004792329517</v>
      </c>
      <c r="DL81" s="433">
        <v>0.2866175308668823</v>
      </c>
      <c r="DM81" s="433">
        <v>0.40997005857291635</v>
      </c>
      <c r="DN81" s="433">
        <v>0</v>
      </c>
      <c r="DO81" s="433">
        <v>0</v>
      </c>
      <c r="DP81" s="433">
        <v>0</v>
      </c>
      <c r="DR81" s="409" t="s">
        <v>711</v>
      </c>
      <c r="DS81" s="409" t="s">
        <v>2434</v>
      </c>
    </row>
    <row r="82" spans="2:123" s="1471" customFormat="1">
      <c r="B82" s="428">
        <v>41803.643132060184</v>
      </c>
      <c r="C82" s="429">
        <v>1.4149491759725235</v>
      </c>
      <c r="D82" s="429">
        <v>1.4161355416935255</v>
      </c>
      <c r="E82" s="429">
        <v>1.4238906145578425</v>
      </c>
      <c r="F82" s="429">
        <v>1.3947106188505625</v>
      </c>
      <c r="G82" s="429">
        <v>1.3876139807202863</v>
      </c>
      <c r="H82" s="429">
        <v>1.4704509180420811</v>
      </c>
      <c r="I82" s="429">
        <v>1.5105505979490079</v>
      </c>
      <c r="J82" s="429">
        <v>1.4901179063432564</v>
      </c>
      <c r="K82" s="429">
        <v>1.3675000289882104</v>
      </c>
      <c r="L82" s="429">
        <v>1.4452820515783178</v>
      </c>
      <c r="M82" s="429">
        <v>1.2325243855789845</v>
      </c>
      <c r="N82" s="429">
        <v>1.2060101581778027</v>
      </c>
      <c r="O82" s="429">
        <v>1.0157542256986645</v>
      </c>
      <c r="P82" s="429">
        <v>1.0830862181009844</v>
      </c>
      <c r="Q82" s="429">
        <v>2974.8268928277421</v>
      </c>
      <c r="R82" s="429">
        <v>16.218100080940367</v>
      </c>
      <c r="S82" s="429">
        <v>26.035307606072514</v>
      </c>
      <c r="T82" s="429">
        <v>3207.6540481951783</v>
      </c>
      <c r="U82" s="429">
        <v>3324.8196251332029</v>
      </c>
      <c r="V82" s="429">
        <v>3679.1380318808024</v>
      </c>
      <c r="W82" s="429">
        <v>939.73014503206082</v>
      </c>
      <c r="X82" s="429">
        <v>8.8137281118255721</v>
      </c>
      <c r="Y82" s="429">
        <v>11.679518012611426</v>
      </c>
      <c r="Z82" s="429">
        <v>15.220086494647948</v>
      </c>
      <c r="AA82" s="429">
        <v>7.4626699539847223</v>
      </c>
      <c r="AB82" s="429">
        <v>9.8074071455367857</v>
      </c>
      <c r="AC82" s="429">
        <v>3.8790846157971108</v>
      </c>
      <c r="AD82" s="429">
        <v>3.2916171159605359</v>
      </c>
      <c r="AE82" s="429">
        <v>0</v>
      </c>
      <c r="AF82" s="429">
        <v>0</v>
      </c>
      <c r="AG82" s="429">
        <v>0</v>
      </c>
      <c r="AH82" s="429">
        <v>2.9665029959951403</v>
      </c>
      <c r="AI82" s="429">
        <v>6.3746235568568004</v>
      </c>
      <c r="AJ82" s="429">
        <v>6.1618515095024531</v>
      </c>
      <c r="AK82" s="429">
        <v>6.998617361422129</v>
      </c>
      <c r="AL82" s="429">
        <v>0</v>
      </c>
      <c r="AM82" s="429">
        <v>0</v>
      </c>
      <c r="AN82" s="429">
        <v>0</v>
      </c>
      <c r="AO82" s="432"/>
      <c r="AP82" s="428">
        <v>41803.643132060184</v>
      </c>
      <c r="AQ82" s="431">
        <v>93.184687302309726</v>
      </c>
      <c r="AR82" s="431">
        <v>124.48110033039301</v>
      </c>
      <c r="AS82" s="431">
        <v>75.243705882471559</v>
      </c>
      <c r="AT82" s="431">
        <v>108.75157051604124</v>
      </c>
      <c r="AU82" s="431">
        <v>17.138243699166878</v>
      </c>
      <c r="AV82" s="431">
        <v>54.063865584898103</v>
      </c>
      <c r="AW82" s="431">
        <v>17.176127636604459</v>
      </c>
      <c r="AX82" s="431">
        <v>14.254006938435836</v>
      </c>
      <c r="AY82" s="431">
        <v>117.25150226464184</v>
      </c>
      <c r="AZ82" s="431">
        <v>-86.496984550878196</v>
      </c>
      <c r="BA82" s="431">
        <v>3.8033975670815541</v>
      </c>
      <c r="BB82" s="431">
        <v>2.7271419997493815</v>
      </c>
      <c r="BC82" s="431">
        <v>1.9539213531530961</v>
      </c>
      <c r="BD82" s="431">
        <v>80.025462213362303</v>
      </c>
      <c r="BE82" s="431">
        <v>364092.74202705867</v>
      </c>
      <c r="BF82" s="431">
        <v>8150.728749453343</v>
      </c>
      <c r="BG82" s="431">
        <v>1307.9099202822406</v>
      </c>
      <c r="BH82" s="431">
        <v>383264.80905998591</v>
      </c>
      <c r="BI82" s="431">
        <v>368842.6960474092</v>
      </c>
      <c r="BJ82" s="431">
        <v>61086.626979981316</v>
      </c>
      <c r="BK82" s="431">
        <v>367898.17872512987</v>
      </c>
      <c r="BL82" s="431">
        <v>2983.2649198613867</v>
      </c>
      <c r="BM82" s="431">
        <v>494.07943628796284</v>
      </c>
      <c r="BN82" s="431">
        <v>143.31118944294533</v>
      </c>
      <c r="BO82" s="431">
        <v>2440.8531162502254</v>
      </c>
      <c r="BP82" s="431">
        <v>404.24681150833322</v>
      </c>
      <c r="BQ82" s="431">
        <v>1611.7264626996259</v>
      </c>
      <c r="BR82" s="431">
        <v>828.08136123378438</v>
      </c>
      <c r="BS82" s="431">
        <v>0</v>
      </c>
      <c r="BT82" s="431">
        <v>0</v>
      </c>
      <c r="BU82" s="431">
        <v>0</v>
      </c>
      <c r="BV82" s="431">
        <v>772.41682039763691</v>
      </c>
      <c r="BW82" s="431">
        <v>1269.8193356579409</v>
      </c>
      <c r="BX82" s="431">
        <v>1180.5921309165005</v>
      </c>
      <c r="BY82" s="431">
        <v>976.78410435226215</v>
      </c>
      <c r="BZ82" s="431">
        <v>0</v>
      </c>
      <c r="CA82" s="431">
        <v>0</v>
      </c>
      <c r="CB82" s="431">
        <v>0</v>
      </c>
      <c r="CC82" s="432"/>
      <c r="CD82" s="428">
        <v>41803.643132060184</v>
      </c>
      <c r="CE82" s="433">
        <v>0.30887516912936769</v>
      </c>
      <c r="CF82" s="433">
        <v>0.21465334314226731</v>
      </c>
      <c r="CG82" s="433">
        <v>0.17822376316137725</v>
      </c>
      <c r="CH82" s="433">
        <v>0.1804430703502535</v>
      </c>
      <c r="CI82" s="433">
        <v>0.11969468358927447</v>
      </c>
      <c r="CJ82" s="433">
        <v>0.27780836755497684</v>
      </c>
      <c r="CK82" s="433">
        <v>0.26007046015078716</v>
      </c>
      <c r="CL82" s="433">
        <v>0.2795059670458605</v>
      </c>
      <c r="CM82" s="433">
        <v>0.2017515561404124</v>
      </c>
      <c r="CN82" s="433">
        <v>0.20249405129474354</v>
      </c>
      <c r="CO82" s="433">
        <v>0.62654907473547627</v>
      </c>
      <c r="CP82" s="433">
        <v>0.66252610719962202</v>
      </c>
      <c r="CQ82" s="433">
        <v>0.70077118864502774</v>
      </c>
      <c r="CR82" s="433">
        <v>0.38975168317710257</v>
      </c>
      <c r="CS82" s="433">
        <v>0.39443520669059223</v>
      </c>
      <c r="CT82" s="433">
        <v>0.447221292916757</v>
      </c>
      <c r="CU82" s="433">
        <v>0.3622790598707698</v>
      </c>
      <c r="CV82" s="433">
        <v>0.47604249083347333</v>
      </c>
      <c r="CW82" s="433">
        <v>0.4759898508915783</v>
      </c>
      <c r="CX82" s="433">
        <v>0.4007797062399322</v>
      </c>
      <c r="CY82" s="433">
        <v>0.40798711211863076</v>
      </c>
      <c r="CZ82" s="433">
        <v>0.29816004259848461</v>
      </c>
      <c r="DA82" s="433">
        <v>0.25104840798869349</v>
      </c>
      <c r="DB82" s="433">
        <v>0.80602184361489149</v>
      </c>
      <c r="DC82" s="433">
        <v>0.29816004259848461</v>
      </c>
      <c r="DD82" s="433">
        <v>0.25104840798869349</v>
      </c>
      <c r="DE82" s="433">
        <v>0.34680721234892764</v>
      </c>
      <c r="DF82" s="433">
        <v>0.40997005857291635</v>
      </c>
      <c r="DG82" s="433">
        <v>0</v>
      </c>
      <c r="DH82" s="433">
        <v>0</v>
      </c>
      <c r="DI82" s="433">
        <v>0</v>
      </c>
      <c r="DJ82" s="433">
        <v>0.35031031550396724</v>
      </c>
      <c r="DK82" s="433">
        <v>0.33543004792329517</v>
      </c>
      <c r="DL82" s="433">
        <v>0.2866175308668823</v>
      </c>
      <c r="DM82" s="433">
        <v>0.40997005857291635</v>
      </c>
      <c r="DN82" s="433">
        <v>0</v>
      </c>
      <c r="DO82" s="433">
        <v>0</v>
      </c>
      <c r="DP82" s="433">
        <v>0</v>
      </c>
      <c r="DR82" s="409" t="s">
        <v>711</v>
      </c>
      <c r="DS82" s="409" t="s">
        <v>2440</v>
      </c>
    </row>
    <row r="83" spans="2:123" s="1471" customFormat="1">
      <c r="B83" s="428">
        <v>41803.685711805556</v>
      </c>
      <c r="C83" s="429">
        <v>1.4149491759725235</v>
      </c>
      <c r="D83" s="429">
        <v>1.4161355416935255</v>
      </c>
      <c r="E83" s="429">
        <v>1.3935919993703987</v>
      </c>
      <c r="F83" s="429">
        <v>1.3915266551636591</v>
      </c>
      <c r="G83" s="429">
        <v>1.3876139807202863</v>
      </c>
      <c r="H83" s="429">
        <v>1.232488914811364</v>
      </c>
      <c r="I83" s="429">
        <v>1.447143617949008</v>
      </c>
      <c r="J83" s="429">
        <v>1.4901179063432564</v>
      </c>
      <c r="K83" s="429">
        <v>1.3675000289882104</v>
      </c>
      <c r="L83" s="429">
        <v>1.4452820515783178</v>
      </c>
      <c r="M83" s="429">
        <v>1.2325243855789845</v>
      </c>
      <c r="N83" s="429">
        <v>1.2060101581778027</v>
      </c>
      <c r="O83" s="429">
        <v>1.0157542256986645</v>
      </c>
      <c r="P83" s="429">
        <v>1.0830862181009844</v>
      </c>
      <c r="Q83" s="429">
        <v>2974.8268928277421</v>
      </c>
      <c r="R83" s="429">
        <v>16.218100080940367</v>
      </c>
      <c r="S83" s="429">
        <v>39.261361051286279</v>
      </c>
      <c r="T83" s="429">
        <v>3207.6540481951783</v>
      </c>
      <c r="U83" s="429">
        <v>3324.8196251332029</v>
      </c>
      <c r="V83" s="429">
        <v>3440.757975457394</v>
      </c>
      <c r="W83" s="429">
        <v>939.73014503206082</v>
      </c>
      <c r="X83" s="429">
        <v>8.8137281118255721</v>
      </c>
      <c r="Y83" s="429">
        <v>9.7514579817544664</v>
      </c>
      <c r="Z83" s="429">
        <v>15.220086494647948</v>
      </c>
      <c r="AA83" s="429">
        <v>7.4626699539847223</v>
      </c>
      <c r="AB83" s="429">
        <v>8.229903483926547</v>
      </c>
      <c r="AC83" s="429">
        <v>3.8790846157971108</v>
      </c>
      <c r="AD83" s="429">
        <v>3.2916171159605359</v>
      </c>
      <c r="AE83" s="429">
        <v>0</v>
      </c>
      <c r="AF83" s="429">
        <v>0</v>
      </c>
      <c r="AG83" s="429">
        <v>0</v>
      </c>
      <c r="AH83" s="429">
        <v>2.9665029959951403</v>
      </c>
      <c r="AI83" s="429">
        <v>6.3746235568568004</v>
      </c>
      <c r="AJ83" s="429">
        <v>6.1618515095024531</v>
      </c>
      <c r="AK83" s="429">
        <v>6.998617361422129</v>
      </c>
      <c r="AL83" s="429">
        <v>0</v>
      </c>
      <c r="AM83" s="429">
        <v>0</v>
      </c>
      <c r="AN83" s="429">
        <v>0</v>
      </c>
      <c r="AO83" s="432"/>
      <c r="AP83" s="428">
        <v>41803.685711805556</v>
      </c>
      <c r="AQ83" s="431">
        <v>93.184687302309726</v>
      </c>
      <c r="AR83" s="431">
        <v>124.48110033039301</v>
      </c>
      <c r="AS83" s="431">
        <v>75.243705882471559</v>
      </c>
      <c r="AT83" s="431">
        <v>108.75157051604124</v>
      </c>
      <c r="AU83" s="431">
        <v>17.138243699166878</v>
      </c>
      <c r="AV83" s="431">
        <v>54.063865584898103</v>
      </c>
      <c r="AW83" s="431">
        <v>17.176127636604459</v>
      </c>
      <c r="AX83" s="431">
        <v>14.254006938435836</v>
      </c>
      <c r="AY83" s="431">
        <v>117.25150226464184</v>
      </c>
      <c r="AZ83" s="431">
        <v>-86.496984550878196</v>
      </c>
      <c r="BA83" s="431">
        <v>3.8033975670815541</v>
      </c>
      <c r="BB83" s="431">
        <v>2.7271419997493815</v>
      </c>
      <c r="BC83" s="431">
        <v>1.9539213531530961</v>
      </c>
      <c r="BD83" s="431">
        <v>80.025462213362303</v>
      </c>
      <c r="BE83" s="431">
        <v>364092.74202705867</v>
      </c>
      <c r="BF83" s="431">
        <v>8150.728749453343</v>
      </c>
      <c r="BG83" s="431">
        <v>1978.9928294046597</v>
      </c>
      <c r="BH83" s="431">
        <v>383264.80905998591</v>
      </c>
      <c r="BI83" s="431">
        <v>368842.6960474092</v>
      </c>
      <c r="BJ83" s="431">
        <v>61086.626979981316</v>
      </c>
      <c r="BK83" s="431">
        <v>367898.17872512987</v>
      </c>
      <c r="BL83" s="431">
        <v>2983.2649198613867</v>
      </c>
      <c r="BM83" s="431">
        <v>494.07943628796284</v>
      </c>
      <c r="BN83" s="431">
        <v>143.31118944294533</v>
      </c>
      <c r="BO83" s="431">
        <v>2440.8531162502254</v>
      </c>
      <c r="BP83" s="431">
        <v>404.24681150833322</v>
      </c>
      <c r="BQ83" s="431">
        <v>1611.7264626996259</v>
      </c>
      <c r="BR83" s="431">
        <v>828.08136123378438</v>
      </c>
      <c r="BS83" s="431">
        <v>0</v>
      </c>
      <c r="BT83" s="431">
        <v>0</v>
      </c>
      <c r="BU83" s="431">
        <v>0</v>
      </c>
      <c r="BV83" s="431">
        <v>772.41682039763691</v>
      </c>
      <c r="BW83" s="431">
        <v>1269.8193356579409</v>
      </c>
      <c r="BX83" s="431">
        <v>1180.5921309165005</v>
      </c>
      <c r="BY83" s="431">
        <v>976.78410435226215</v>
      </c>
      <c r="BZ83" s="431">
        <v>0</v>
      </c>
      <c r="CA83" s="431">
        <v>0</v>
      </c>
      <c r="CB83" s="431">
        <v>0</v>
      </c>
      <c r="CC83" s="432"/>
      <c r="CD83" s="428">
        <v>41803.685711805556</v>
      </c>
      <c r="CE83" s="433">
        <v>0.30887516912936769</v>
      </c>
      <c r="CF83" s="433">
        <v>0.21465334314226731</v>
      </c>
      <c r="CG83" s="433">
        <v>0.17822376316137725</v>
      </c>
      <c r="CH83" s="433">
        <v>0.1804430703502535</v>
      </c>
      <c r="CI83" s="433">
        <v>0.11969468358927447</v>
      </c>
      <c r="CJ83" s="433">
        <v>0.27780836755497684</v>
      </c>
      <c r="CK83" s="433">
        <v>0.26007046015078716</v>
      </c>
      <c r="CL83" s="433">
        <v>0.2795059670458605</v>
      </c>
      <c r="CM83" s="433">
        <v>0.2017515561404124</v>
      </c>
      <c r="CN83" s="433">
        <v>0.20249405129474354</v>
      </c>
      <c r="CO83" s="433">
        <v>0.62654907473547627</v>
      </c>
      <c r="CP83" s="433">
        <v>0.66252610719962202</v>
      </c>
      <c r="CQ83" s="433">
        <v>0.70077118864502774</v>
      </c>
      <c r="CR83" s="433">
        <v>0.38975168317710257</v>
      </c>
      <c r="CS83" s="433">
        <v>0.39443520669059223</v>
      </c>
      <c r="CT83" s="433">
        <v>0.447221292916757</v>
      </c>
      <c r="CU83" s="433">
        <v>0.3622790598707698</v>
      </c>
      <c r="CV83" s="433">
        <v>0.47604249083347333</v>
      </c>
      <c r="CW83" s="433">
        <v>0.4759898508915783</v>
      </c>
      <c r="CX83" s="433">
        <v>0.4007797062399322</v>
      </c>
      <c r="CY83" s="433">
        <v>0.40798711211863076</v>
      </c>
      <c r="CZ83" s="433">
        <v>0.29816004259848461</v>
      </c>
      <c r="DA83" s="433">
        <v>0.25104840798869349</v>
      </c>
      <c r="DB83" s="433">
        <v>0.80602184361489149</v>
      </c>
      <c r="DC83" s="433">
        <v>0.29816004259848461</v>
      </c>
      <c r="DD83" s="433">
        <v>0.25104840798869349</v>
      </c>
      <c r="DE83" s="433">
        <v>0.34680721234892764</v>
      </c>
      <c r="DF83" s="433">
        <v>0.40997005857291635</v>
      </c>
      <c r="DG83" s="433">
        <v>0</v>
      </c>
      <c r="DH83" s="433">
        <v>0</v>
      </c>
      <c r="DI83" s="433">
        <v>0</v>
      </c>
      <c r="DJ83" s="433">
        <v>0.35031031550396724</v>
      </c>
      <c r="DK83" s="433">
        <v>0.33543004792329517</v>
      </c>
      <c r="DL83" s="433">
        <v>0.2866175308668823</v>
      </c>
      <c r="DM83" s="433">
        <v>0.40997005857291635</v>
      </c>
      <c r="DN83" s="433">
        <v>0</v>
      </c>
      <c r="DO83" s="433">
        <v>0</v>
      </c>
      <c r="DP83" s="433">
        <v>0</v>
      </c>
      <c r="DR83" s="409" t="s">
        <v>711</v>
      </c>
      <c r="DS83" s="409" t="s">
        <v>2443</v>
      </c>
    </row>
    <row r="84" spans="2:123" s="1471" customFormat="1">
      <c r="B84" s="428">
        <v>41803.694527083331</v>
      </c>
      <c r="C84" s="429">
        <v>1.4149491759725235</v>
      </c>
      <c r="D84" s="429">
        <v>1.4161355416935255</v>
      </c>
      <c r="E84" s="429">
        <v>1.3935919993703987</v>
      </c>
      <c r="F84" s="429">
        <v>1.3915266551636591</v>
      </c>
      <c r="G84" s="429">
        <v>1.3876139807202863</v>
      </c>
      <c r="H84" s="429">
        <v>1.3749824136733368</v>
      </c>
      <c r="I84" s="429">
        <v>1.447143617949008</v>
      </c>
      <c r="J84" s="429">
        <v>1.4901179063432564</v>
      </c>
      <c r="K84" s="429">
        <v>1.3675000289882104</v>
      </c>
      <c r="L84" s="429">
        <v>1.4452820515783178</v>
      </c>
      <c r="M84" s="429">
        <v>1.2325243855789845</v>
      </c>
      <c r="N84" s="429">
        <v>1.2060101581778027</v>
      </c>
      <c r="O84" s="429">
        <v>1.0157542256986645</v>
      </c>
      <c r="P84" s="429">
        <v>1.0830862181009844</v>
      </c>
      <c r="Q84" s="429">
        <v>2974.8268928277421</v>
      </c>
      <c r="R84" s="429">
        <v>16.218100080940367</v>
      </c>
      <c r="S84" s="429">
        <v>21.452021758721202</v>
      </c>
      <c r="T84" s="429">
        <v>3207.6540481951783</v>
      </c>
      <c r="U84" s="429">
        <v>3324.8196251332029</v>
      </c>
      <c r="V84" s="429">
        <v>3440.757975457394</v>
      </c>
      <c r="W84" s="429">
        <v>939.73014503206082</v>
      </c>
      <c r="X84" s="429">
        <v>8.8137281118255721</v>
      </c>
      <c r="Y84" s="429">
        <v>9.7514579817544664</v>
      </c>
      <c r="Z84" s="429">
        <v>15.220086494647948</v>
      </c>
      <c r="AA84" s="429">
        <v>7.4626699539847223</v>
      </c>
      <c r="AB84" s="429">
        <v>8.229903483926547</v>
      </c>
      <c r="AC84" s="429">
        <v>3.8790846157971108</v>
      </c>
      <c r="AD84" s="429">
        <v>3.2916171159605359</v>
      </c>
      <c r="AE84" s="429">
        <v>0</v>
      </c>
      <c r="AF84" s="429">
        <v>0</v>
      </c>
      <c r="AG84" s="429">
        <v>0</v>
      </c>
      <c r="AH84" s="429">
        <v>2.9665029959951403</v>
      </c>
      <c r="AI84" s="429">
        <v>6.3746235568568004</v>
      </c>
      <c r="AJ84" s="429">
        <v>6.1618515095024531</v>
      </c>
      <c r="AK84" s="429">
        <v>6.998617361422129</v>
      </c>
      <c r="AL84" s="429">
        <v>0</v>
      </c>
      <c r="AM84" s="429">
        <v>0</v>
      </c>
      <c r="AN84" s="429">
        <v>0</v>
      </c>
      <c r="AO84" s="432"/>
      <c r="AP84" s="428">
        <v>41803.694527083331</v>
      </c>
      <c r="AQ84" s="431">
        <v>93.184687302309726</v>
      </c>
      <c r="AR84" s="431">
        <v>124.48110033039301</v>
      </c>
      <c r="AS84" s="431">
        <v>75.243705882471559</v>
      </c>
      <c r="AT84" s="431">
        <v>108.75157051604124</v>
      </c>
      <c r="AU84" s="431">
        <v>17.138243699166878</v>
      </c>
      <c r="AV84" s="431">
        <v>54.063865584898103</v>
      </c>
      <c r="AW84" s="431">
        <v>17.176127636604459</v>
      </c>
      <c r="AX84" s="431">
        <v>14.254006938435836</v>
      </c>
      <c r="AY84" s="431">
        <v>117.25150226464184</v>
      </c>
      <c r="AZ84" s="431">
        <v>-86.496984550878196</v>
      </c>
      <c r="BA84" s="431">
        <v>3.8033975670815541</v>
      </c>
      <c r="BB84" s="431">
        <v>2.7271419997493815</v>
      </c>
      <c r="BC84" s="431">
        <v>1.9539213531530961</v>
      </c>
      <c r="BD84" s="431">
        <v>80.025462213362303</v>
      </c>
      <c r="BE84" s="431">
        <v>364092.74202705867</v>
      </c>
      <c r="BF84" s="431">
        <v>8150.728749453343</v>
      </c>
      <c r="BG84" s="431">
        <v>1075.3564369229862</v>
      </c>
      <c r="BH84" s="431">
        <v>383264.80905998591</v>
      </c>
      <c r="BI84" s="431">
        <v>368842.6960474092</v>
      </c>
      <c r="BJ84" s="431">
        <v>61086.626979981316</v>
      </c>
      <c r="BK84" s="431">
        <v>367898.17872512987</v>
      </c>
      <c r="BL84" s="431">
        <v>2983.2649198613867</v>
      </c>
      <c r="BM84" s="431">
        <v>494.07943628796284</v>
      </c>
      <c r="BN84" s="431">
        <v>143.31118944294533</v>
      </c>
      <c r="BO84" s="431">
        <v>2440.8531162502254</v>
      </c>
      <c r="BP84" s="431">
        <v>404.24681150833322</v>
      </c>
      <c r="BQ84" s="431">
        <v>1611.7264626996259</v>
      </c>
      <c r="BR84" s="431">
        <v>828.08136123378438</v>
      </c>
      <c r="BS84" s="431">
        <v>0</v>
      </c>
      <c r="BT84" s="431">
        <v>0</v>
      </c>
      <c r="BU84" s="431">
        <v>0</v>
      </c>
      <c r="BV84" s="431">
        <v>772.41682039763691</v>
      </c>
      <c r="BW84" s="431">
        <v>1269.8193356579409</v>
      </c>
      <c r="BX84" s="431">
        <v>1180.5921309165005</v>
      </c>
      <c r="BY84" s="431">
        <v>976.78410435226215</v>
      </c>
      <c r="BZ84" s="431">
        <v>0</v>
      </c>
      <c r="CA84" s="431">
        <v>0</v>
      </c>
      <c r="CB84" s="431">
        <v>0</v>
      </c>
      <c r="CC84" s="432"/>
      <c r="CD84" s="428">
        <v>41803.694527083331</v>
      </c>
      <c r="CE84" s="433">
        <v>0.30887516912936769</v>
      </c>
      <c r="CF84" s="433">
        <v>0.21465334314226731</v>
      </c>
      <c r="CG84" s="433">
        <v>0.17822376316137725</v>
      </c>
      <c r="CH84" s="433">
        <v>0.1804430703502535</v>
      </c>
      <c r="CI84" s="433">
        <v>0.11969468358927447</v>
      </c>
      <c r="CJ84" s="433">
        <v>0.27864823506139252</v>
      </c>
      <c r="CK84" s="433">
        <v>0.26007046015078716</v>
      </c>
      <c r="CL84" s="433">
        <v>0.2795059670458605</v>
      </c>
      <c r="CM84" s="433">
        <v>0.2017515561404124</v>
      </c>
      <c r="CN84" s="433">
        <v>0.20249405129474354</v>
      </c>
      <c r="CO84" s="433">
        <v>0.62654907473547627</v>
      </c>
      <c r="CP84" s="433">
        <v>0.66252610719962202</v>
      </c>
      <c r="CQ84" s="433">
        <v>0.70077118864502774</v>
      </c>
      <c r="CR84" s="433">
        <v>0.38975168317710257</v>
      </c>
      <c r="CS84" s="433">
        <v>0.39443520669059223</v>
      </c>
      <c r="CT84" s="433">
        <v>0.447221292916757</v>
      </c>
      <c r="CU84" s="433">
        <v>0.51158194515084476</v>
      </c>
      <c r="CV84" s="433">
        <v>0.47604249083347333</v>
      </c>
      <c r="CW84" s="433">
        <v>0.4759898508915783</v>
      </c>
      <c r="CX84" s="433">
        <v>0.4007797062399322</v>
      </c>
      <c r="CY84" s="433">
        <v>0.40798711211863076</v>
      </c>
      <c r="CZ84" s="433">
        <v>0.29816004259848461</v>
      </c>
      <c r="DA84" s="433">
        <v>0.25104840798869349</v>
      </c>
      <c r="DB84" s="433">
        <v>0.80602184361489149</v>
      </c>
      <c r="DC84" s="433">
        <v>0.29816004259848461</v>
      </c>
      <c r="DD84" s="433">
        <v>0.25104840798869349</v>
      </c>
      <c r="DE84" s="433">
        <v>0.34680721234892764</v>
      </c>
      <c r="DF84" s="433">
        <v>0.40997005857291635</v>
      </c>
      <c r="DG84" s="433">
        <v>0</v>
      </c>
      <c r="DH84" s="433">
        <v>0</v>
      </c>
      <c r="DI84" s="433">
        <v>0</v>
      </c>
      <c r="DJ84" s="433">
        <v>0.35031031550396724</v>
      </c>
      <c r="DK84" s="433">
        <v>0.33543004792329517</v>
      </c>
      <c r="DL84" s="433">
        <v>0.2866175308668823</v>
      </c>
      <c r="DM84" s="433">
        <v>0.40997005857291635</v>
      </c>
      <c r="DN84" s="433">
        <v>0</v>
      </c>
      <c r="DO84" s="433">
        <v>0</v>
      </c>
      <c r="DP84" s="433">
        <v>0</v>
      </c>
      <c r="DR84" s="409" t="s">
        <v>711</v>
      </c>
      <c r="DS84" s="409" t="s">
        <v>2445</v>
      </c>
    </row>
    <row r="85" spans="2:123" s="1471" customFormat="1">
      <c r="B85" s="428">
        <v>41803.715271064815</v>
      </c>
      <c r="C85" s="429">
        <v>1.4149491759725235</v>
      </c>
      <c r="D85" s="429">
        <v>1.4161355416935255</v>
      </c>
      <c r="E85" s="429">
        <v>1.3935919993703987</v>
      </c>
      <c r="F85" s="429">
        <v>1.3469200716442493</v>
      </c>
      <c r="G85" s="429">
        <v>1.3876139807202863</v>
      </c>
      <c r="H85" s="429">
        <v>1.3749824136733368</v>
      </c>
      <c r="I85" s="429">
        <v>1.447143617949008</v>
      </c>
      <c r="J85" s="429">
        <v>1.4901179063432564</v>
      </c>
      <c r="K85" s="429">
        <v>1.3675000289882104</v>
      </c>
      <c r="L85" s="429">
        <v>1.4452820515783178</v>
      </c>
      <c r="M85" s="429">
        <v>1.2325243855789845</v>
      </c>
      <c r="N85" s="429">
        <v>1.2060101581778027</v>
      </c>
      <c r="O85" s="429">
        <v>1.0157542256986645</v>
      </c>
      <c r="P85" s="429">
        <v>1.0830862181009844</v>
      </c>
      <c r="Q85" s="429">
        <v>2974.8268928277421</v>
      </c>
      <c r="R85" s="429">
        <v>16.218100080940367</v>
      </c>
      <c r="S85" s="429">
        <v>21.452021758721202</v>
      </c>
      <c r="T85" s="429">
        <v>3207.6540481951783</v>
      </c>
      <c r="U85" s="429">
        <v>3324.8196251332029</v>
      </c>
      <c r="V85" s="429">
        <v>3440.757975457394</v>
      </c>
      <c r="W85" s="429">
        <v>939.73014503206082</v>
      </c>
      <c r="X85" s="429">
        <v>8.8137281118255721</v>
      </c>
      <c r="Y85" s="429">
        <v>9.7514579817544664</v>
      </c>
      <c r="Z85" s="429">
        <v>15.220086494647948</v>
      </c>
      <c r="AA85" s="429">
        <v>7.4626699539847223</v>
      </c>
      <c r="AB85" s="429">
        <v>8.229903483926547</v>
      </c>
      <c r="AC85" s="429">
        <v>3.8790846157971108</v>
      </c>
      <c r="AD85" s="429">
        <v>3.2916171159605359</v>
      </c>
      <c r="AE85" s="429">
        <v>0</v>
      </c>
      <c r="AF85" s="429">
        <v>0</v>
      </c>
      <c r="AG85" s="429">
        <v>0</v>
      </c>
      <c r="AH85" s="429">
        <v>2.9665029959951403</v>
      </c>
      <c r="AI85" s="429">
        <v>6.3746235568568004</v>
      </c>
      <c r="AJ85" s="429">
        <v>6.1618515095024531</v>
      </c>
      <c r="AK85" s="429">
        <v>6.998617361422129</v>
      </c>
      <c r="AL85" s="429">
        <v>0</v>
      </c>
      <c r="AM85" s="429">
        <v>0</v>
      </c>
      <c r="AN85" s="429">
        <v>0</v>
      </c>
      <c r="AO85" s="432"/>
      <c r="AP85" s="428">
        <v>41803.715271064815</v>
      </c>
      <c r="AQ85" s="431">
        <v>93.184687302309726</v>
      </c>
      <c r="AR85" s="431">
        <v>124.48110033039301</v>
      </c>
      <c r="AS85" s="431">
        <v>75.243705882471559</v>
      </c>
      <c r="AT85" s="431">
        <v>90.59225025369534</v>
      </c>
      <c r="AU85" s="431">
        <v>17.138243699166878</v>
      </c>
      <c r="AV85" s="431">
        <v>54.063865584898103</v>
      </c>
      <c r="AW85" s="431">
        <v>17.176127636604459</v>
      </c>
      <c r="AX85" s="431">
        <v>14.254006938435836</v>
      </c>
      <c r="AY85" s="431">
        <v>117.25150226464184</v>
      </c>
      <c r="AZ85" s="431">
        <v>-86.496984550878196</v>
      </c>
      <c r="BA85" s="431">
        <v>3.8033975670815541</v>
      </c>
      <c r="BB85" s="431">
        <v>2.7271419997493815</v>
      </c>
      <c r="BC85" s="431">
        <v>1.9539213531530961</v>
      </c>
      <c r="BD85" s="431">
        <v>80.025462213362303</v>
      </c>
      <c r="BE85" s="431">
        <v>364092.74202705867</v>
      </c>
      <c r="BF85" s="431">
        <v>8150.728749453343</v>
      </c>
      <c r="BG85" s="431">
        <v>1075.3564369229862</v>
      </c>
      <c r="BH85" s="431">
        <v>383264.80905998591</v>
      </c>
      <c r="BI85" s="431">
        <v>368842.6960474092</v>
      </c>
      <c r="BJ85" s="431">
        <v>61086.626979981316</v>
      </c>
      <c r="BK85" s="431">
        <v>367898.17872512987</v>
      </c>
      <c r="BL85" s="431">
        <v>2983.2649198613867</v>
      </c>
      <c r="BM85" s="431">
        <v>494.07943628796284</v>
      </c>
      <c r="BN85" s="431">
        <v>143.31118944294533</v>
      </c>
      <c r="BO85" s="431">
        <v>2440.8531162502254</v>
      </c>
      <c r="BP85" s="431">
        <v>404.24681150833322</v>
      </c>
      <c r="BQ85" s="431">
        <v>1611.7264626996259</v>
      </c>
      <c r="BR85" s="431">
        <v>828.08136123378438</v>
      </c>
      <c r="BS85" s="431">
        <v>0</v>
      </c>
      <c r="BT85" s="431">
        <v>0</v>
      </c>
      <c r="BU85" s="431">
        <v>0</v>
      </c>
      <c r="BV85" s="431">
        <v>772.41682039763691</v>
      </c>
      <c r="BW85" s="431">
        <v>1269.8193356579409</v>
      </c>
      <c r="BX85" s="431">
        <v>1180.5921309165005</v>
      </c>
      <c r="BY85" s="431">
        <v>976.78410435226215</v>
      </c>
      <c r="BZ85" s="431">
        <v>0</v>
      </c>
      <c r="CA85" s="431">
        <v>0</v>
      </c>
      <c r="CB85" s="431">
        <v>0</v>
      </c>
      <c r="CC85" s="432"/>
      <c r="CD85" s="428">
        <v>41803.715271064815</v>
      </c>
      <c r="CE85" s="433">
        <v>0.30887516912936769</v>
      </c>
      <c r="CF85" s="433">
        <v>0.21465334314226731</v>
      </c>
      <c r="CG85" s="433">
        <v>0.17822376316137725</v>
      </c>
      <c r="CH85" s="433">
        <v>0.14390127909715267</v>
      </c>
      <c r="CI85" s="433">
        <v>0.11969468358927447</v>
      </c>
      <c r="CJ85" s="433">
        <v>0.27864823506139252</v>
      </c>
      <c r="CK85" s="433">
        <v>0.26007046015078716</v>
      </c>
      <c r="CL85" s="433">
        <v>0.2795059670458605</v>
      </c>
      <c r="CM85" s="433">
        <v>0.2017515561404124</v>
      </c>
      <c r="CN85" s="433">
        <v>0.20249405129474354</v>
      </c>
      <c r="CO85" s="433">
        <v>0.62654907473547627</v>
      </c>
      <c r="CP85" s="433">
        <v>0.66252610719962202</v>
      </c>
      <c r="CQ85" s="433">
        <v>0.70077118864502774</v>
      </c>
      <c r="CR85" s="433">
        <v>0.38975168317710257</v>
      </c>
      <c r="CS85" s="433">
        <v>0.39443520669059223</v>
      </c>
      <c r="CT85" s="433">
        <v>0.447221292916757</v>
      </c>
      <c r="CU85" s="433">
        <v>0.51158194515084476</v>
      </c>
      <c r="CV85" s="433">
        <v>0.47604249083347333</v>
      </c>
      <c r="CW85" s="433">
        <v>0.4759898508915783</v>
      </c>
      <c r="CX85" s="433">
        <v>0.4007797062399322</v>
      </c>
      <c r="CY85" s="433">
        <v>0.40798711211863076</v>
      </c>
      <c r="CZ85" s="433">
        <v>0.29816004259848461</v>
      </c>
      <c r="DA85" s="433">
        <v>0.25104840798869349</v>
      </c>
      <c r="DB85" s="433">
        <v>0.80602184361489149</v>
      </c>
      <c r="DC85" s="433">
        <v>0.29816004259848461</v>
      </c>
      <c r="DD85" s="433">
        <v>0.25104840798869349</v>
      </c>
      <c r="DE85" s="433">
        <v>0.34680721234892764</v>
      </c>
      <c r="DF85" s="433">
        <v>0.40997005857291635</v>
      </c>
      <c r="DG85" s="433">
        <v>0</v>
      </c>
      <c r="DH85" s="433">
        <v>0</v>
      </c>
      <c r="DI85" s="433">
        <v>0</v>
      </c>
      <c r="DJ85" s="433">
        <v>0.35031031550396724</v>
      </c>
      <c r="DK85" s="433">
        <v>0.33543004792329517</v>
      </c>
      <c r="DL85" s="433">
        <v>0.2866175308668823</v>
      </c>
      <c r="DM85" s="433">
        <v>0.40997005857291635</v>
      </c>
      <c r="DN85" s="433">
        <v>0</v>
      </c>
      <c r="DO85" s="433">
        <v>0</v>
      </c>
      <c r="DP85" s="433">
        <v>0</v>
      </c>
      <c r="DR85" s="409" t="s">
        <v>711</v>
      </c>
      <c r="DS85" s="409" t="s">
        <v>2460</v>
      </c>
    </row>
    <row r="86" spans="2:123" s="1471" customFormat="1">
      <c r="B86" s="428">
        <v>41806.551303009262</v>
      </c>
      <c r="C86" s="429">
        <v>1.4149491759725235</v>
      </c>
      <c r="D86" s="429">
        <v>1.4161355416935255</v>
      </c>
      <c r="E86" s="429">
        <v>1.3935919993703987</v>
      </c>
      <c r="F86" s="429">
        <v>1.3469200716442493</v>
      </c>
      <c r="G86" s="429">
        <v>1.3876139807202863</v>
      </c>
      <c r="H86" s="429">
        <v>1.3749824136733368</v>
      </c>
      <c r="I86" s="429">
        <v>1.4465463779490078</v>
      </c>
      <c r="J86" s="429">
        <v>1.4901179063432564</v>
      </c>
      <c r="K86" s="429">
        <v>1.3675000289882104</v>
      </c>
      <c r="L86" s="429">
        <v>1.4452820515783178</v>
      </c>
      <c r="M86" s="429">
        <v>1.2325243855789845</v>
      </c>
      <c r="N86" s="429">
        <v>1.2060101581778027</v>
      </c>
      <c r="O86" s="429">
        <v>1.0157542256986645</v>
      </c>
      <c r="P86" s="429">
        <v>1.0830862181009844</v>
      </c>
      <c r="Q86" s="429">
        <v>2974.8268928277421</v>
      </c>
      <c r="R86" s="429">
        <v>16.218100080940367</v>
      </c>
      <c r="S86" s="429">
        <v>21.452021758721202</v>
      </c>
      <c r="T86" s="429">
        <v>3207.6540481951783</v>
      </c>
      <c r="U86" s="429">
        <v>3324.8196251332029</v>
      </c>
      <c r="V86" s="429">
        <v>3438.5126374063102</v>
      </c>
      <c r="W86" s="429">
        <v>939.73014503206082</v>
      </c>
      <c r="X86" s="429">
        <v>8.8137281118255721</v>
      </c>
      <c r="Y86" s="429">
        <v>9.7332972907259858</v>
      </c>
      <c r="Z86" s="429">
        <v>15.220086494647948</v>
      </c>
      <c r="AA86" s="429">
        <v>7.4626699539847223</v>
      </c>
      <c r="AB86" s="429">
        <v>8.2150447367214277</v>
      </c>
      <c r="AC86" s="429">
        <v>3.8790846157971108</v>
      </c>
      <c r="AD86" s="429">
        <v>3.2916171159605359</v>
      </c>
      <c r="AE86" s="429">
        <v>0</v>
      </c>
      <c r="AF86" s="429">
        <v>0</v>
      </c>
      <c r="AG86" s="429">
        <v>0</v>
      </c>
      <c r="AH86" s="429">
        <v>2.9665029959951403</v>
      </c>
      <c r="AI86" s="429">
        <v>6.3746235568568004</v>
      </c>
      <c r="AJ86" s="429">
        <v>6.1618515095024531</v>
      </c>
      <c r="AK86" s="429">
        <v>6.998617361422129</v>
      </c>
      <c r="AL86" s="429">
        <v>0</v>
      </c>
      <c r="AM86" s="429">
        <v>0</v>
      </c>
      <c r="AN86" s="429">
        <v>0</v>
      </c>
      <c r="AO86" s="432"/>
      <c r="AP86" s="428">
        <v>41806.551303009262</v>
      </c>
      <c r="AQ86" s="431">
        <v>93.184687302309726</v>
      </c>
      <c r="AR86" s="431">
        <v>124.48110033039301</v>
      </c>
      <c r="AS86" s="431">
        <v>75.243705882471559</v>
      </c>
      <c r="AT86" s="431">
        <v>90.59225025369534</v>
      </c>
      <c r="AU86" s="431">
        <v>17.138243699166878</v>
      </c>
      <c r="AV86" s="431">
        <v>54.063865584898103</v>
      </c>
      <c r="AW86" s="431">
        <v>17.176127636604459</v>
      </c>
      <c r="AX86" s="431">
        <v>14.254006938435836</v>
      </c>
      <c r="AY86" s="431">
        <v>117.25150226464184</v>
      </c>
      <c r="AZ86" s="431">
        <v>-86.496984550878196</v>
      </c>
      <c r="BA86" s="431">
        <v>3.8033975670815541</v>
      </c>
      <c r="BB86" s="431">
        <v>2.7271419997493815</v>
      </c>
      <c r="BC86" s="431">
        <v>1.9539213531530961</v>
      </c>
      <c r="BD86" s="431">
        <v>80.025462213362303</v>
      </c>
      <c r="BE86" s="431">
        <v>364092.74202705867</v>
      </c>
      <c r="BF86" s="431">
        <v>8150.728749453343</v>
      </c>
      <c r="BG86" s="431">
        <v>1075.3564369229862</v>
      </c>
      <c r="BH86" s="431">
        <v>383264.80905998591</v>
      </c>
      <c r="BI86" s="431">
        <v>368842.6960474092</v>
      </c>
      <c r="BJ86" s="431">
        <v>61086.626979981316</v>
      </c>
      <c r="BK86" s="431">
        <v>367898.17872512987</v>
      </c>
      <c r="BL86" s="431">
        <v>2983.2649198613867</v>
      </c>
      <c r="BM86" s="431">
        <v>494.07943628796284</v>
      </c>
      <c r="BN86" s="431">
        <v>143.31118944294533</v>
      </c>
      <c r="BO86" s="431">
        <v>2440.8531162502254</v>
      </c>
      <c r="BP86" s="431">
        <v>404.24681150833322</v>
      </c>
      <c r="BQ86" s="431">
        <v>1611.7264626996259</v>
      </c>
      <c r="BR86" s="431">
        <v>828.08136123378438</v>
      </c>
      <c r="BS86" s="431">
        <v>0</v>
      </c>
      <c r="BT86" s="431">
        <v>0</v>
      </c>
      <c r="BU86" s="431">
        <v>0</v>
      </c>
      <c r="BV86" s="431">
        <v>772.41682039763691</v>
      </c>
      <c r="BW86" s="431">
        <v>1269.8193356579409</v>
      </c>
      <c r="BX86" s="431">
        <v>1180.5921309165005</v>
      </c>
      <c r="BY86" s="431">
        <v>976.78410435226215</v>
      </c>
      <c r="BZ86" s="431">
        <v>0</v>
      </c>
      <c r="CA86" s="431">
        <v>0</v>
      </c>
      <c r="CB86" s="431">
        <v>0</v>
      </c>
      <c r="CC86" s="432"/>
      <c r="CD86" s="428">
        <v>41806.551303009262</v>
      </c>
      <c r="CE86" s="433">
        <v>0.30887516912936769</v>
      </c>
      <c r="CF86" s="433">
        <v>0.21465334314226731</v>
      </c>
      <c r="CG86" s="433">
        <v>0.17822376316137725</v>
      </c>
      <c r="CH86" s="433">
        <v>0.14390127909715267</v>
      </c>
      <c r="CI86" s="433">
        <v>0.11969468358927447</v>
      </c>
      <c r="CJ86" s="433">
        <v>0.27864823506139252</v>
      </c>
      <c r="CK86" s="433">
        <v>0.26007046015078716</v>
      </c>
      <c r="CL86" s="433">
        <v>0.2795059670458605</v>
      </c>
      <c r="CM86" s="433">
        <v>0.2017515561404124</v>
      </c>
      <c r="CN86" s="433">
        <v>0.20249405129474354</v>
      </c>
      <c r="CO86" s="433">
        <v>0.62654907473547627</v>
      </c>
      <c r="CP86" s="433">
        <v>0.66252610719962202</v>
      </c>
      <c r="CQ86" s="433">
        <v>0.70077118864502774</v>
      </c>
      <c r="CR86" s="433">
        <v>0.38975168317710257</v>
      </c>
      <c r="CS86" s="433">
        <v>0.39443520669059223</v>
      </c>
      <c r="CT86" s="433">
        <v>0.447221292916757</v>
      </c>
      <c r="CU86" s="433">
        <v>0.51158194515084476</v>
      </c>
      <c r="CV86" s="433">
        <v>0.47604249083347333</v>
      </c>
      <c r="CW86" s="433">
        <v>0.4759898508915783</v>
      </c>
      <c r="CX86" s="433">
        <v>0.4007797062399322</v>
      </c>
      <c r="CY86" s="433">
        <v>0.40798711211863076</v>
      </c>
      <c r="CZ86" s="433">
        <v>0.29816004259848461</v>
      </c>
      <c r="DA86" s="433">
        <v>0.25104840798869349</v>
      </c>
      <c r="DB86" s="433">
        <v>0.80602184361489149</v>
      </c>
      <c r="DC86" s="433">
        <v>0.29816004259848461</v>
      </c>
      <c r="DD86" s="433">
        <v>0.25104840798869349</v>
      </c>
      <c r="DE86" s="433">
        <v>0.34680721234892764</v>
      </c>
      <c r="DF86" s="433">
        <v>0.40997005857291635</v>
      </c>
      <c r="DG86" s="433">
        <v>0</v>
      </c>
      <c r="DH86" s="433">
        <v>0</v>
      </c>
      <c r="DI86" s="433">
        <v>0</v>
      </c>
      <c r="DJ86" s="433">
        <v>0.35031031550396724</v>
      </c>
      <c r="DK86" s="433">
        <v>0.33543004792329517</v>
      </c>
      <c r="DL86" s="433">
        <v>0.2866175308668823</v>
      </c>
      <c r="DM86" s="433">
        <v>0.40997005857291635</v>
      </c>
      <c r="DN86" s="433">
        <v>0</v>
      </c>
      <c r="DO86" s="433">
        <v>0</v>
      </c>
      <c r="DP86" s="433">
        <v>0</v>
      </c>
      <c r="DR86" s="409" t="s">
        <v>711</v>
      </c>
      <c r="DS86" s="409" t="s">
        <v>2473</v>
      </c>
    </row>
    <row r="87" spans="2:123" s="1471" customFormat="1">
      <c r="B87" s="428">
        <v>41806.557599884261</v>
      </c>
      <c r="C87" s="429">
        <v>1.4149491759725235</v>
      </c>
      <c r="D87" s="429">
        <v>1.4161355416935255</v>
      </c>
      <c r="E87" s="429">
        <v>1.3935919993703987</v>
      </c>
      <c r="F87" s="429">
        <v>1.3469200716442493</v>
      </c>
      <c r="G87" s="429">
        <v>1.3876139807202863</v>
      </c>
      <c r="H87" s="429">
        <v>1.3749824136733368</v>
      </c>
      <c r="I87" s="429">
        <v>1.4419881391248452</v>
      </c>
      <c r="J87" s="429">
        <v>1.4901179063432564</v>
      </c>
      <c r="K87" s="429">
        <v>1.3675000289882104</v>
      </c>
      <c r="L87" s="429">
        <v>1.4452820515783178</v>
      </c>
      <c r="M87" s="429">
        <v>1.2325243855789845</v>
      </c>
      <c r="N87" s="429">
        <v>1.2060101581778027</v>
      </c>
      <c r="O87" s="429">
        <v>1.0157542256986645</v>
      </c>
      <c r="P87" s="429">
        <v>1.0830862181009844</v>
      </c>
      <c r="Q87" s="429">
        <v>2974.8268928277421</v>
      </c>
      <c r="R87" s="429">
        <v>16.218100080940367</v>
      </c>
      <c r="S87" s="429">
        <v>20.741576877929912</v>
      </c>
      <c r="T87" s="429">
        <v>3207.6540481951783</v>
      </c>
      <c r="U87" s="429">
        <v>3324.8196251332029</v>
      </c>
      <c r="V87" s="429">
        <v>3420.0564836709336</v>
      </c>
      <c r="W87" s="429">
        <v>939.73014503206082</v>
      </c>
      <c r="X87" s="429">
        <v>8.8137281118255721</v>
      </c>
      <c r="Y87" s="429">
        <v>9.5840206571248725</v>
      </c>
      <c r="Z87" s="429">
        <v>15.220086494647948</v>
      </c>
      <c r="AA87" s="429">
        <v>7.4626699539847223</v>
      </c>
      <c r="AB87" s="429">
        <v>8.0929093092296078</v>
      </c>
      <c r="AC87" s="429">
        <v>3.8790846157971108</v>
      </c>
      <c r="AD87" s="429">
        <v>3.2916171159605359</v>
      </c>
      <c r="AE87" s="429">
        <v>0</v>
      </c>
      <c r="AF87" s="429">
        <v>0</v>
      </c>
      <c r="AG87" s="429">
        <v>0</v>
      </c>
      <c r="AH87" s="429">
        <v>2.9665029959951403</v>
      </c>
      <c r="AI87" s="429">
        <v>6.3746235568568004</v>
      </c>
      <c r="AJ87" s="429">
        <v>6.1618515095024531</v>
      </c>
      <c r="AK87" s="429">
        <v>6.998617361422129</v>
      </c>
      <c r="AL87" s="429">
        <v>0</v>
      </c>
      <c r="AM87" s="429">
        <v>0</v>
      </c>
      <c r="AN87" s="429">
        <v>0</v>
      </c>
      <c r="AO87" s="432"/>
      <c r="AP87" s="428">
        <v>41806.557599884261</v>
      </c>
      <c r="AQ87" s="431">
        <v>93.184687302309726</v>
      </c>
      <c r="AR87" s="431">
        <v>124.48110033039301</v>
      </c>
      <c r="AS87" s="431">
        <v>75.243705882471559</v>
      </c>
      <c r="AT87" s="431">
        <v>90.59225025369534</v>
      </c>
      <c r="AU87" s="431">
        <v>17.138243699166878</v>
      </c>
      <c r="AV87" s="431">
        <v>54.063865584898103</v>
      </c>
      <c r="AW87" s="431">
        <v>-1.5530865967527985</v>
      </c>
      <c r="AX87" s="431">
        <v>14.254006938435836</v>
      </c>
      <c r="AY87" s="431">
        <v>117.25150226464184</v>
      </c>
      <c r="AZ87" s="431">
        <v>-86.496984550878196</v>
      </c>
      <c r="BA87" s="431">
        <v>3.8033975670815541</v>
      </c>
      <c r="BB87" s="431">
        <v>2.7271419997493815</v>
      </c>
      <c r="BC87" s="431">
        <v>1.9539213531530961</v>
      </c>
      <c r="BD87" s="431">
        <v>80.025462213362303</v>
      </c>
      <c r="BE87" s="431">
        <v>364092.74202705867</v>
      </c>
      <c r="BF87" s="431">
        <v>8150.728749453343</v>
      </c>
      <c r="BG87" s="431">
        <v>-1843.769762169273</v>
      </c>
      <c r="BH87" s="431">
        <v>383264.80905998591</v>
      </c>
      <c r="BI87" s="431">
        <v>368842.6960474092</v>
      </c>
      <c r="BJ87" s="431">
        <v>-14747.323492579164</v>
      </c>
      <c r="BK87" s="431">
        <v>367898.17872512987</v>
      </c>
      <c r="BL87" s="431">
        <v>2983.2649198613867</v>
      </c>
      <c r="BM87" s="431">
        <v>-119.27895904872196</v>
      </c>
      <c r="BN87" s="431">
        <v>143.31118944294533</v>
      </c>
      <c r="BO87" s="431">
        <v>2440.8531162502254</v>
      </c>
      <c r="BP87" s="431">
        <v>-97.591875585317936</v>
      </c>
      <c r="BQ87" s="431">
        <v>1611.7264626996259</v>
      </c>
      <c r="BR87" s="431">
        <v>828.08136123378438</v>
      </c>
      <c r="BS87" s="431">
        <v>0</v>
      </c>
      <c r="BT87" s="431">
        <v>0</v>
      </c>
      <c r="BU87" s="431">
        <v>0</v>
      </c>
      <c r="BV87" s="431">
        <v>772.41682039763691</v>
      </c>
      <c r="BW87" s="431">
        <v>1269.8193356579409</v>
      </c>
      <c r="BX87" s="431">
        <v>1180.5921309165005</v>
      </c>
      <c r="BY87" s="431">
        <v>976.78410435226215</v>
      </c>
      <c r="BZ87" s="431">
        <v>0</v>
      </c>
      <c r="CA87" s="431">
        <v>0</v>
      </c>
      <c r="CB87" s="431">
        <v>0</v>
      </c>
      <c r="CC87" s="432"/>
      <c r="CD87" s="428">
        <v>41806.557599884261</v>
      </c>
      <c r="CE87" s="433">
        <v>0.30887516912936769</v>
      </c>
      <c r="CF87" s="433">
        <v>0.21465334314226731</v>
      </c>
      <c r="CG87" s="433">
        <v>0.17822376316137725</v>
      </c>
      <c r="CH87" s="433">
        <v>0.14390127909715267</v>
      </c>
      <c r="CI87" s="433">
        <v>0.11969468358927447</v>
      </c>
      <c r="CJ87" s="433">
        <v>0.27864823506139252</v>
      </c>
      <c r="CK87" s="433">
        <v>0.26007046015078716</v>
      </c>
      <c r="CL87" s="433">
        <v>0.2795059670458605</v>
      </c>
      <c r="CM87" s="433">
        <v>0.2017515561404124</v>
      </c>
      <c r="CN87" s="433">
        <v>0.20249405129474354</v>
      </c>
      <c r="CO87" s="433">
        <v>0.62654907473547627</v>
      </c>
      <c r="CP87" s="433">
        <v>0.66252610719962202</v>
      </c>
      <c r="CQ87" s="433">
        <v>0.70077118864502774</v>
      </c>
      <c r="CR87" s="433">
        <v>0.38975168317710257</v>
      </c>
      <c r="CS87" s="433">
        <v>0.39443520669059223</v>
      </c>
      <c r="CT87" s="433">
        <v>0.447221292916757</v>
      </c>
      <c r="CU87" s="433">
        <v>0.51158194515084476</v>
      </c>
      <c r="CV87" s="433">
        <v>0.47604249083347333</v>
      </c>
      <c r="CW87" s="433">
        <v>0.4759898508915783</v>
      </c>
      <c r="CX87" s="433">
        <v>0.4007797062399322</v>
      </c>
      <c r="CY87" s="433">
        <v>0.40798711211863076</v>
      </c>
      <c r="CZ87" s="433">
        <v>0.29816004259848461</v>
      </c>
      <c r="DA87" s="433">
        <v>0.25104840798869349</v>
      </c>
      <c r="DB87" s="433">
        <v>0.80602184361489149</v>
      </c>
      <c r="DC87" s="433">
        <v>0.29816004259848461</v>
      </c>
      <c r="DD87" s="433">
        <v>0.25104840798869349</v>
      </c>
      <c r="DE87" s="433">
        <v>0.34680721234892764</v>
      </c>
      <c r="DF87" s="433">
        <v>0.40997005857291635</v>
      </c>
      <c r="DG87" s="433">
        <v>0</v>
      </c>
      <c r="DH87" s="433">
        <v>0</v>
      </c>
      <c r="DI87" s="433">
        <v>0</v>
      </c>
      <c r="DJ87" s="433">
        <v>0.35031031550396724</v>
      </c>
      <c r="DK87" s="433">
        <v>0.33543004792329517</v>
      </c>
      <c r="DL87" s="433">
        <v>0.2866175308668823</v>
      </c>
      <c r="DM87" s="433">
        <v>0.40997005857291635</v>
      </c>
      <c r="DN87" s="433">
        <v>0</v>
      </c>
      <c r="DO87" s="433">
        <v>0</v>
      </c>
      <c r="DP87" s="433">
        <v>0</v>
      </c>
      <c r="DR87" s="409" t="s">
        <v>711</v>
      </c>
      <c r="DS87" s="409" t="s">
        <v>2478</v>
      </c>
    </row>
    <row r="88" spans="2:123" s="1471" customFormat="1">
      <c r="B88" s="428">
        <v>41815.580322916663</v>
      </c>
      <c r="C88" s="429">
        <v>1.4149491759725235</v>
      </c>
      <c r="D88" s="429">
        <v>1.4161355416935255</v>
      </c>
      <c r="E88" s="429">
        <v>1.3935919993703987</v>
      </c>
      <c r="F88" s="429">
        <v>1.3469200716442493</v>
      </c>
      <c r="G88" s="429">
        <v>1.3876139807202863</v>
      </c>
      <c r="H88" s="429">
        <v>1.3749824136733368</v>
      </c>
      <c r="I88" s="429">
        <v>1.4419881391248452</v>
      </c>
      <c r="J88" s="429">
        <v>1.4901179063432564</v>
      </c>
      <c r="K88" s="429">
        <v>1.3675000289882104</v>
      </c>
      <c r="L88" s="429">
        <v>1.4452820515783178</v>
      </c>
      <c r="M88" s="429">
        <v>1.2325243855789845</v>
      </c>
      <c r="N88" s="429">
        <v>1.2060101581778027</v>
      </c>
      <c r="O88" s="429">
        <v>1.0157542256986645</v>
      </c>
      <c r="P88" s="429">
        <v>1.0830862181009844</v>
      </c>
      <c r="Q88" s="429">
        <v>2974.8268928277421</v>
      </c>
      <c r="R88" s="429">
        <v>16.218100080940367</v>
      </c>
      <c r="S88" s="429">
        <v>20.741576877929912</v>
      </c>
      <c r="T88" s="429">
        <v>3207.6540481951783</v>
      </c>
      <c r="U88" s="429">
        <v>3324.8196251332029</v>
      </c>
      <c r="V88" s="429">
        <v>3420.0564836709336</v>
      </c>
      <c r="W88" s="429">
        <v>939.73014503206082</v>
      </c>
      <c r="X88" s="429">
        <v>54.496589663258383</v>
      </c>
      <c r="Y88" s="429">
        <v>55.266882208557682</v>
      </c>
      <c r="Z88" s="429">
        <v>57.599528131666588</v>
      </c>
      <c r="AA88" s="429">
        <v>36.762669953984719</v>
      </c>
      <c r="AB88" s="429">
        <v>37.392909309229609</v>
      </c>
      <c r="AC88" s="429">
        <v>33.179084615797109</v>
      </c>
      <c r="AD88" s="429">
        <v>3.2916171159605359</v>
      </c>
      <c r="AE88" s="429">
        <v>0</v>
      </c>
      <c r="AF88" s="429">
        <v>0</v>
      </c>
      <c r="AG88" s="429">
        <v>0</v>
      </c>
      <c r="AH88" s="429">
        <v>2.9665029959951403</v>
      </c>
      <c r="AI88" s="429">
        <v>6.3746235568568004</v>
      </c>
      <c r="AJ88" s="429">
        <v>6.1618515095024531</v>
      </c>
      <c r="AK88" s="429">
        <v>6.998617361422129</v>
      </c>
      <c r="AL88" s="429">
        <v>0</v>
      </c>
      <c r="AM88" s="429">
        <v>0</v>
      </c>
      <c r="AN88" s="429">
        <v>0</v>
      </c>
      <c r="AO88" s="432"/>
      <c r="AP88" s="428">
        <v>41815.580322916663</v>
      </c>
      <c r="AQ88" s="431">
        <v>93.184687302309726</v>
      </c>
      <c r="AR88" s="431">
        <v>124.48110033039301</v>
      </c>
      <c r="AS88" s="431">
        <v>75.243705882471559</v>
      </c>
      <c r="AT88" s="431">
        <v>90.59225025369534</v>
      </c>
      <c r="AU88" s="431">
        <v>17.138243699166878</v>
      </c>
      <c r="AV88" s="431">
        <v>54.063865584898103</v>
      </c>
      <c r="AW88" s="431">
        <v>-1.5530865967527985</v>
      </c>
      <c r="AX88" s="431">
        <v>14.254006938435836</v>
      </c>
      <c r="AY88" s="431">
        <v>117.25150226464184</v>
      </c>
      <c r="AZ88" s="431">
        <v>-86.496984550878196</v>
      </c>
      <c r="BA88" s="431">
        <v>3.8033975670815541</v>
      </c>
      <c r="BB88" s="431">
        <v>2.7271419997493815</v>
      </c>
      <c r="BC88" s="431">
        <v>1.9539213531530961</v>
      </c>
      <c r="BD88" s="431">
        <v>80.025462213362303</v>
      </c>
      <c r="BE88" s="431">
        <v>364092.74202705867</v>
      </c>
      <c r="BF88" s="431">
        <v>8150.728749453343</v>
      </c>
      <c r="BG88" s="431">
        <v>-1843.769762169273</v>
      </c>
      <c r="BH88" s="431">
        <v>383264.80905998591</v>
      </c>
      <c r="BI88" s="431">
        <v>368842.6960474092</v>
      </c>
      <c r="BJ88" s="431">
        <v>-14747.323492579164</v>
      </c>
      <c r="BK88" s="431">
        <v>367898.17872512987</v>
      </c>
      <c r="BL88" s="431">
        <v>2983.2649198613867</v>
      </c>
      <c r="BM88" s="431">
        <v>-119.27895904872196</v>
      </c>
      <c r="BN88" s="431">
        <v>143.31118944294533</v>
      </c>
      <c r="BO88" s="431">
        <v>2440.8531162502254</v>
      </c>
      <c r="BP88" s="431">
        <v>-97.591875585317936</v>
      </c>
      <c r="BQ88" s="431">
        <v>1611.7264626996259</v>
      </c>
      <c r="BR88" s="431">
        <v>828.08136123378438</v>
      </c>
      <c r="BS88" s="431">
        <v>0</v>
      </c>
      <c r="BT88" s="431">
        <v>0</v>
      </c>
      <c r="BU88" s="431">
        <v>0</v>
      </c>
      <c r="BV88" s="431">
        <v>772.41682039763691</v>
      </c>
      <c r="BW88" s="431">
        <v>1269.8193356579409</v>
      </c>
      <c r="BX88" s="431">
        <v>1180.5921309165005</v>
      </c>
      <c r="BY88" s="431">
        <v>976.78410435226215</v>
      </c>
      <c r="BZ88" s="431">
        <v>0</v>
      </c>
      <c r="CA88" s="431">
        <v>0</v>
      </c>
      <c r="CB88" s="431">
        <v>0</v>
      </c>
      <c r="CC88" s="432"/>
      <c r="CD88" s="428">
        <v>41815.580322916663</v>
      </c>
      <c r="CE88" s="433">
        <v>0.30887516912936769</v>
      </c>
      <c r="CF88" s="433">
        <v>0.21465334314226731</v>
      </c>
      <c r="CG88" s="433">
        <v>0.17822376316137725</v>
      </c>
      <c r="CH88" s="433">
        <v>0.14390127909715267</v>
      </c>
      <c r="CI88" s="433">
        <v>0.11969468358927447</v>
      </c>
      <c r="CJ88" s="433">
        <v>0.27864823506139252</v>
      </c>
      <c r="CK88" s="433">
        <v>0.26007046015078716</v>
      </c>
      <c r="CL88" s="433">
        <v>0.2795059670458605</v>
      </c>
      <c r="CM88" s="433">
        <v>0.2017515561404124</v>
      </c>
      <c r="CN88" s="433">
        <v>0.20249405129474354</v>
      </c>
      <c r="CO88" s="433">
        <v>0.62654907473547627</v>
      </c>
      <c r="CP88" s="433">
        <v>0.66252610719962202</v>
      </c>
      <c r="CQ88" s="433">
        <v>0.70077118864502774</v>
      </c>
      <c r="CR88" s="433">
        <v>0.38975168317710257</v>
      </c>
      <c r="CS88" s="433">
        <v>0.39443520669059223</v>
      </c>
      <c r="CT88" s="433">
        <v>0.447221292916757</v>
      </c>
      <c r="CU88" s="433">
        <v>0.51158194515084476</v>
      </c>
      <c r="CV88" s="433">
        <v>0.47604249083347333</v>
      </c>
      <c r="CW88" s="433">
        <v>0.4759898508915783</v>
      </c>
      <c r="CX88" s="433">
        <v>0.4007797062399322</v>
      </c>
      <c r="CY88" s="433">
        <v>0.40798711211863076</v>
      </c>
      <c r="CZ88" s="433">
        <v>0.29816004259848461</v>
      </c>
      <c r="DA88" s="433">
        <v>0.25104840798869349</v>
      </c>
      <c r="DB88" s="433">
        <v>0.80602184361489149</v>
      </c>
      <c r="DC88" s="433">
        <v>0.29816004259848461</v>
      </c>
      <c r="DD88" s="433">
        <v>0.25104840798869349</v>
      </c>
      <c r="DE88" s="433">
        <v>0.34680721234892764</v>
      </c>
      <c r="DF88" s="433">
        <v>0.40997005857291635</v>
      </c>
      <c r="DG88" s="433">
        <v>0</v>
      </c>
      <c r="DH88" s="433">
        <v>0</v>
      </c>
      <c r="DI88" s="433">
        <v>0</v>
      </c>
      <c r="DJ88" s="433">
        <v>0.35031031550396724</v>
      </c>
      <c r="DK88" s="433">
        <v>0.33543004792329517</v>
      </c>
      <c r="DL88" s="433">
        <v>0.2866175308668823</v>
      </c>
      <c r="DM88" s="433">
        <v>0.40997005857291635</v>
      </c>
      <c r="DN88" s="433">
        <v>0</v>
      </c>
      <c r="DO88" s="433">
        <v>0</v>
      </c>
      <c r="DP88" s="433">
        <v>0</v>
      </c>
      <c r="DR88" s="409" t="s">
        <v>855</v>
      </c>
      <c r="DS88" s="409" t="s">
        <v>2480</v>
      </c>
    </row>
    <row r="89" spans="2:123" s="1471" customFormat="1">
      <c r="B89" s="428">
        <v>41815.613998032408</v>
      </c>
      <c r="C89" s="429">
        <v>1.4149491759725235</v>
      </c>
      <c r="D89" s="429">
        <v>1.4161355416935255</v>
      </c>
      <c r="E89" s="429">
        <v>1.3935919993703987</v>
      </c>
      <c r="F89" s="429">
        <v>1.3469200716442493</v>
      </c>
      <c r="G89" s="429">
        <v>1.3876139807202863</v>
      </c>
      <c r="H89" s="429">
        <v>1.3749824136733368</v>
      </c>
      <c r="I89" s="429">
        <v>1.4419881391248452</v>
      </c>
      <c r="J89" s="429">
        <v>1.4901179063432564</v>
      </c>
      <c r="K89" s="429">
        <v>1.3675000289882104</v>
      </c>
      <c r="L89" s="429">
        <v>1.4696070047751193</v>
      </c>
      <c r="M89" s="429">
        <v>1.2325243855789845</v>
      </c>
      <c r="N89" s="429">
        <v>1.2060101581778027</v>
      </c>
      <c r="O89" s="429">
        <v>1.0157542256986645</v>
      </c>
      <c r="P89" s="429">
        <v>1.0830862181009844</v>
      </c>
      <c r="Q89" s="429">
        <v>2974.8268928277421</v>
      </c>
      <c r="R89" s="429">
        <v>16.218100080940367</v>
      </c>
      <c r="S89" s="429">
        <v>20.741576877929912</v>
      </c>
      <c r="T89" s="429">
        <v>3207.6540481951783</v>
      </c>
      <c r="U89" s="429">
        <v>3324.8196251332029</v>
      </c>
      <c r="V89" s="429">
        <v>3420.0564836709336</v>
      </c>
      <c r="W89" s="429">
        <v>939.73014503206082</v>
      </c>
      <c r="X89" s="429">
        <v>54.496589663258383</v>
      </c>
      <c r="Y89" s="429">
        <v>55.266882208557682</v>
      </c>
      <c r="Z89" s="429">
        <v>57.599528131666588</v>
      </c>
      <c r="AA89" s="429">
        <v>36.762669953984719</v>
      </c>
      <c r="AB89" s="429">
        <v>37.392909309229609</v>
      </c>
      <c r="AC89" s="429">
        <v>33.179084615797109</v>
      </c>
      <c r="AD89" s="429">
        <v>3.2916171159605359</v>
      </c>
      <c r="AE89" s="429">
        <v>0</v>
      </c>
      <c r="AF89" s="429">
        <v>0</v>
      </c>
      <c r="AG89" s="429">
        <v>0</v>
      </c>
      <c r="AH89" s="429">
        <v>2.9665029959951403</v>
      </c>
      <c r="AI89" s="429">
        <v>6.3746235568568004</v>
      </c>
      <c r="AJ89" s="429">
        <v>6.1618515095024531</v>
      </c>
      <c r="AK89" s="429">
        <v>6.998617361422129</v>
      </c>
      <c r="AL89" s="429">
        <v>0</v>
      </c>
      <c r="AM89" s="429">
        <v>0</v>
      </c>
      <c r="AN89" s="429">
        <v>0</v>
      </c>
      <c r="AO89" s="432"/>
      <c r="AP89" s="428">
        <v>41815.613998032408</v>
      </c>
      <c r="AQ89" s="431">
        <v>93.184687302309726</v>
      </c>
      <c r="AR89" s="431">
        <v>124.48110033039301</v>
      </c>
      <c r="AS89" s="431">
        <v>75.243705882471559</v>
      </c>
      <c r="AT89" s="431">
        <v>90.59225025369534</v>
      </c>
      <c r="AU89" s="431">
        <v>17.138243699166878</v>
      </c>
      <c r="AV89" s="431">
        <v>54.063865584898103</v>
      </c>
      <c r="AW89" s="431">
        <v>-1.5530865967527985</v>
      </c>
      <c r="AX89" s="431">
        <v>14.254006938435836</v>
      </c>
      <c r="AY89" s="431">
        <v>117.25150226464184</v>
      </c>
      <c r="AZ89" s="431">
        <v>13.451104440049903</v>
      </c>
      <c r="BA89" s="431">
        <v>3.8033975670815541</v>
      </c>
      <c r="BB89" s="431">
        <v>2.7271419997493815</v>
      </c>
      <c r="BC89" s="431">
        <v>1.9539213531530961</v>
      </c>
      <c r="BD89" s="431">
        <v>80.025462213362303</v>
      </c>
      <c r="BE89" s="431">
        <v>364092.74202705867</v>
      </c>
      <c r="BF89" s="431">
        <v>8150.728749453343</v>
      </c>
      <c r="BG89" s="431">
        <v>-1843.769762169273</v>
      </c>
      <c r="BH89" s="431">
        <v>383264.80905998591</v>
      </c>
      <c r="BI89" s="431">
        <v>368842.6960474092</v>
      </c>
      <c r="BJ89" s="431">
        <v>-14747.323492579164</v>
      </c>
      <c r="BK89" s="431">
        <v>367898.17872512987</v>
      </c>
      <c r="BL89" s="431">
        <v>2983.2649198613867</v>
      </c>
      <c r="BM89" s="431">
        <v>-119.27895904872196</v>
      </c>
      <c r="BN89" s="431">
        <v>143.31118944294533</v>
      </c>
      <c r="BO89" s="431">
        <v>2440.8531162502254</v>
      </c>
      <c r="BP89" s="431">
        <v>-97.591875585317936</v>
      </c>
      <c r="BQ89" s="431">
        <v>1611.7264626996259</v>
      </c>
      <c r="BR89" s="431">
        <v>828.08136123378438</v>
      </c>
      <c r="BS89" s="431">
        <v>0</v>
      </c>
      <c r="BT89" s="431">
        <v>0</v>
      </c>
      <c r="BU89" s="431">
        <v>0</v>
      </c>
      <c r="BV89" s="431">
        <v>772.41682039763691</v>
      </c>
      <c r="BW89" s="431">
        <v>1269.8193356579409</v>
      </c>
      <c r="BX89" s="431">
        <v>1180.5921309165005</v>
      </c>
      <c r="BY89" s="431">
        <v>976.78410435226215</v>
      </c>
      <c r="BZ89" s="431">
        <v>0</v>
      </c>
      <c r="CA89" s="431">
        <v>0</v>
      </c>
      <c r="CB89" s="431">
        <v>0</v>
      </c>
      <c r="CC89" s="432"/>
      <c r="CD89" s="428">
        <v>41815.613998032408</v>
      </c>
      <c r="CE89" s="433">
        <v>0.30887516912936769</v>
      </c>
      <c r="CF89" s="433">
        <v>0.21465334314226731</v>
      </c>
      <c r="CG89" s="433">
        <v>0.17822376316137725</v>
      </c>
      <c r="CH89" s="433">
        <v>0.14390127909715267</v>
      </c>
      <c r="CI89" s="433">
        <v>0.11969468358927447</v>
      </c>
      <c r="CJ89" s="433">
        <v>0.27864823506139252</v>
      </c>
      <c r="CK89" s="433">
        <v>0.26007046015078716</v>
      </c>
      <c r="CL89" s="433">
        <v>0.2795059670458605</v>
      </c>
      <c r="CM89" s="433">
        <v>0.2017515561404124</v>
      </c>
      <c r="CN89" s="433">
        <v>0.20249405129474354</v>
      </c>
      <c r="CO89" s="433">
        <v>0.62654907473547627</v>
      </c>
      <c r="CP89" s="433">
        <v>0.66252610719962202</v>
      </c>
      <c r="CQ89" s="433">
        <v>0.70077118864502774</v>
      </c>
      <c r="CR89" s="433">
        <v>0.38975168317710257</v>
      </c>
      <c r="CS89" s="433">
        <v>0.39443520669059223</v>
      </c>
      <c r="CT89" s="433">
        <v>0.447221292916757</v>
      </c>
      <c r="CU89" s="433">
        <v>0.51158194515084476</v>
      </c>
      <c r="CV89" s="433">
        <v>0.47604249083347333</v>
      </c>
      <c r="CW89" s="433">
        <v>0.4759898508915783</v>
      </c>
      <c r="CX89" s="433">
        <v>0.4007797062399322</v>
      </c>
      <c r="CY89" s="433">
        <v>0.40798711211863076</v>
      </c>
      <c r="CZ89" s="433">
        <v>0.29816004259848461</v>
      </c>
      <c r="DA89" s="433">
        <v>0.25104840798869349</v>
      </c>
      <c r="DB89" s="433">
        <v>0.80602184361489149</v>
      </c>
      <c r="DC89" s="433">
        <v>0.29816004259848461</v>
      </c>
      <c r="DD89" s="433">
        <v>0.25104840798869349</v>
      </c>
      <c r="DE89" s="433">
        <v>0.34680721234892764</v>
      </c>
      <c r="DF89" s="433">
        <v>0.40997005857291635</v>
      </c>
      <c r="DG89" s="433">
        <v>0</v>
      </c>
      <c r="DH89" s="433">
        <v>0</v>
      </c>
      <c r="DI89" s="433">
        <v>0</v>
      </c>
      <c r="DJ89" s="433">
        <v>0.35031031550396724</v>
      </c>
      <c r="DK89" s="433">
        <v>0.33543004792329517</v>
      </c>
      <c r="DL89" s="433">
        <v>0.2866175308668823</v>
      </c>
      <c r="DM89" s="433">
        <v>0.40997005857291635</v>
      </c>
      <c r="DN89" s="433">
        <v>0</v>
      </c>
      <c r="DO89" s="433">
        <v>0</v>
      </c>
      <c r="DP89" s="433">
        <v>0</v>
      </c>
      <c r="DR89" s="409" t="s">
        <v>855</v>
      </c>
      <c r="DS89" s="409" t="s">
        <v>2483</v>
      </c>
    </row>
    <row r="90" spans="2:123" s="1471" customFormat="1">
      <c r="B90" s="428">
        <v>41815.617357986113</v>
      </c>
      <c r="C90" s="429">
        <v>1.4149491759725235</v>
      </c>
      <c r="D90" s="429">
        <v>1.4161355416935255</v>
      </c>
      <c r="E90" s="429">
        <v>1.3935919993703987</v>
      </c>
      <c r="F90" s="429">
        <v>1.3469200716442493</v>
      </c>
      <c r="G90" s="429">
        <v>1.3876139807202863</v>
      </c>
      <c r="H90" s="429">
        <v>1.3749824136733368</v>
      </c>
      <c r="I90" s="429">
        <v>1.4419881391248452</v>
      </c>
      <c r="J90" s="429">
        <v>1.4901179063432564</v>
      </c>
      <c r="K90" s="429">
        <v>1.3675000289882104</v>
      </c>
      <c r="L90" s="429">
        <v>1.4696070047751193</v>
      </c>
      <c r="M90" s="429">
        <v>1.2325243855789845</v>
      </c>
      <c r="N90" s="429">
        <v>1.2060101581778027</v>
      </c>
      <c r="O90" s="429">
        <v>1.0157542256986645</v>
      </c>
      <c r="P90" s="429">
        <v>1.0830862181009844</v>
      </c>
      <c r="Q90" s="429">
        <v>2974.8268928277421</v>
      </c>
      <c r="R90" s="429">
        <v>16.218100080940367</v>
      </c>
      <c r="S90" s="429">
        <v>20.741576877929912</v>
      </c>
      <c r="T90" s="429">
        <v>3207.6540481951783</v>
      </c>
      <c r="U90" s="429">
        <v>3324.8196251332029</v>
      </c>
      <c r="V90" s="429">
        <v>3420.0564836709336</v>
      </c>
      <c r="W90" s="429">
        <v>939.73014503206082</v>
      </c>
      <c r="X90" s="429">
        <v>51.357084893772672</v>
      </c>
      <c r="Y90" s="429">
        <v>52.127377439071971</v>
      </c>
      <c r="Z90" s="429">
        <v>57.599528131666588</v>
      </c>
      <c r="AA90" s="429">
        <v>36.762669953984719</v>
      </c>
      <c r="AB90" s="429">
        <v>37.392909309229609</v>
      </c>
      <c r="AC90" s="429">
        <v>33.179084615797109</v>
      </c>
      <c r="AD90" s="429">
        <v>3.2916171159605359</v>
      </c>
      <c r="AE90" s="429">
        <v>0</v>
      </c>
      <c r="AF90" s="429">
        <v>0</v>
      </c>
      <c r="AG90" s="429">
        <v>0</v>
      </c>
      <c r="AH90" s="429">
        <v>2.9665029959951403</v>
      </c>
      <c r="AI90" s="429">
        <v>6.3746235568568004</v>
      </c>
      <c r="AJ90" s="429">
        <v>6.1618515095024531</v>
      </c>
      <c r="AK90" s="429">
        <v>6.998617361422129</v>
      </c>
      <c r="AL90" s="429">
        <v>0</v>
      </c>
      <c r="AM90" s="429">
        <v>0</v>
      </c>
      <c r="AN90" s="429">
        <v>0</v>
      </c>
      <c r="AO90" s="432"/>
      <c r="AP90" s="428">
        <v>41815.617357986113</v>
      </c>
      <c r="AQ90" s="431">
        <v>93.184687302309726</v>
      </c>
      <c r="AR90" s="431">
        <v>124.48110033039301</v>
      </c>
      <c r="AS90" s="431">
        <v>75.243705882471559</v>
      </c>
      <c r="AT90" s="431">
        <v>90.59225025369534</v>
      </c>
      <c r="AU90" s="431">
        <v>17.138243699166878</v>
      </c>
      <c r="AV90" s="431">
        <v>54.063865584898103</v>
      </c>
      <c r="AW90" s="431">
        <v>-1.5530865967527985</v>
      </c>
      <c r="AX90" s="431">
        <v>14.254006938435836</v>
      </c>
      <c r="AY90" s="431">
        <v>117.25150226464184</v>
      </c>
      <c r="AZ90" s="431">
        <v>13.451104440049903</v>
      </c>
      <c r="BA90" s="431">
        <v>3.8033975670815541</v>
      </c>
      <c r="BB90" s="431">
        <v>2.7271419997493815</v>
      </c>
      <c r="BC90" s="431">
        <v>1.9539213531530961</v>
      </c>
      <c r="BD90" s="431">
        <v>80.025462213362303</v>
      </c>
      <c r="BE90" s="431">
        <v>364092.74202705867</v>
      </c>
      <c r="BF90" s="431">
        <v>8150.728749453343</v>
      </c>
      <c r="BG90" s="431">
        <v>-1843.769762169273</v>
      </c>
      <c r="BH90" s="431">
        <v>383264.80905998591</v>
      </c>
      <c r="BI90" s="431">
        <v>368842.6960474092</v>
      </c>
      <c r="BJ90" s="431">
        <v>-14747.323492579164</v>
      </c>
      <c r="BK90" s="431">
        <v>367898.17872512987</v>
      </c>
      <c r="BL90" s="431">
        <v>2983.2649198613867</v>
      </c>
      <c r="BM90" s="431">
        <v>-119.27895904872196</v>
      </c>
      <c r="BN90" s="431">
        <v>143.31118944294533</v>
      </c>
      <c r="BO90" s="431">
        <v>2440.8531162502254</v>
      </c>
      <c r="BP90" s="431">
        <v>-97.591875585317936</v>
      </c>
      <c r="BQ90" s="431">
        <v>1611.7264626996259</v>
      </c>
      <c r="BR90" s="431">
        <v>828.08136123378438</v>
      </c>
      <c r="BS90" s="431">
        <v>0</v>
      </c>
      <c r="BT90" s="431">
        <v>0</v>
      </c>
      <c r="BU90" s="431">
        <v>0</v>
      </c>
      <c r="BV90" s="431">
        <v>772.41682039763691</v>
      </c>
      <c r="BW90" s="431">
        <v>1269.8193356579409</v>
      </c>
      <c r="BX90" s="431">
        <v>1180.5921309165005</v>
      </c>
      <c r="BY90" s="431">
        <v>976.78410435226215</v>
      </c>
      <c r="BZ90" s="431">
        <v>0</v>
      </c>
      <c r="CA90" s="431">
        <v>0</v>
      </c>
      <c r="CB90" s="431">
        <v>0</v>
      </c>
      <c r="CC90" s="432"/>
      <c r="CD90" s="428">
        <v>41815.617357986113</v>
      </c>
      <c r="CE90" s="433">
        <v>0.30887516912936769</v>
      </c>
      <c r="CF90" s="433">
        <v>0.21465334314226731</v>
      </c>
      <c r="CG90" s="433">
        <v>0.17822376316137725</v>
      </c>
      <c r="CH90" s="433">
        <v>0.14390127909715267</v>
      </c>
      <c r="CI90" s="433">
        <v>0.11969468358927447</v>
      </c>
      <c r="CJ90" s="433">
        <v>0.27864823506139252</v>
      </c>
      <c r="CK90" s="433">
        <v>0.26007046015078716</v>
      </c>
      <c r="CL90" s="433">
        <v>0.2795059670458605</v>
      </c>
      <c r="CM90" s="433">
        <v>0.2017515561404124</v>
      </c>
      <c r="CN90" s="433">
        <v>0.20249405129474354</v>
      </c>
      <c r="CO90" s="433">
        <v>0.62654907473547627</v>
      </c>
      <c r="CP90" s="433">
        <v>0.66252610719962202</v>
      </c>
      <c r="CQ90" s="433">
        <v>0.70077118864502774</v>
      </c>
      <c r="CR90" s="433">
        <v>0.38975168317710257</v>
      </c>
      <c r="CS90" s="433">
        <v>0.39443520669059223</v>
      </c>
      <c r="CT90" s="433">
        <v>0.447221292916757</v>
      </c>
      <c r="CU90" s="433">
        <v>0.51158194515084476</v>
      </c>
      <c r="CV90" s="433">
        <v>0.47604249083347333</v>
      </c>
      <c r="CW90" s="433">
        <v>0.4759898508915783</v>
      </c>
      <c r="CX90" s="433">
        <v>0.4007797062399322</v>
      </c>
      <c r="CY90" s="433">
        <v>0.40798711211863076</v>
      </c>
      <c r="CZ90" s="433">
        <v>0.29816004259848461</v>
      </c>
      <c r="DA90" s="433">
        <v>0.25104840798869349</v>
      </c>
      <c r="DB90" s="433">
        <v>0.80602184361489149</v>
      </c>
      <c r="DC90" s="433">
        <v>0.29816004259848461</v>
      </c>
      <c r="DD90" s="433">
        <v>0.25104840798869349</v>
      </c>
      <c r="DE90" s="433">
        <v>0.34680721234892764</v>
      </c>
      <c r="DF90" s="433">
        <v>0.40997005857291635</v>
      </c>
      <c r="DG90" s="433">
        <v>0</v>
      </c>
      <c r="DH90" s="433">
        <v>0</v>
      </c>
      <c r="DI90" s="433">
        <v>0</v>
      </c>
      <c r="DJ90" s="433">
        <v>0.35031031550396724</v>
      </c>
      <c r="DK90" s="433">
        <v>0.33543004792329517</v>
      </c>
      <c r="DL90" s="433">
        <v>0.2866175308668823</v>
      </c>
      <c r="DM90" s="433">
        <v>0.40997005857291635</v>
      </c>
      <c r="DN90" s="433">
        <v>0</v>
      </c>
      <c r="DO90" s="433">
        <v>0</v>
      </c>
      <c r="DP90" s="433">
        <v>0</v>
      </c>
      <c r="DR90" s="409" t="s">
        <v>855</v>
      </c>
      <c r="DS90" s="409" t="s">
        <v>2484</v>
      </c>
    </row>
    <row r="91" spans="2:123" s="1471" customFormat="1">
      <c r="B91" s="428">
        <v>41815.649192824072</v>
      </c>
      <c r="C91" s="429">
        <v>1.4149491759725235</v>
      </c>
      <c r="D91" s="429">
        <v>1.4161355416935255</v>
      </c>
      <c r="E91" s="429">
        <v>1.3935919993703987</v>
      </c>
      <c r="F91" s="429">
        <v>1.3469200716442493</v>
      </c>
      <c r="G91" s="429">
        <v>1.3876139807202863</v>
      </c>
      <c r="H91" s="429">
        <v>1.3749824136733368</v>
      </c>
      <c r="I91" s="429">
        <v>1.4419881391248452</v>
      </c>
      <c r="J91" s="429">
        <v>1.4901179063432564</v>
      </c>
      <c r="K91" s="429">
        <v>1.3675000289882104</v>
      </c>
      <c r="L91" s="429">
        <v>1.4696070047751193</v>
      </c>
      <c r="M91" s="429">
        <v>1.2325243855789845</v>
      </c>
      <c r="N91" s="429">
        <v>1.2060101581778027</v>
      </c>
      <c r="O91" s="429">
        <v>1.0157542256986645</v>
      </c>
      <c r="P91" s="429">
        <v>1.0830862181009844</v>
      </c>
      <c r="Q91" s="429">
        <v>2974.8268928277421</v>
      </c>
      <c r="R91" s="429">
        <v>16.218100080940367</v>
      </c>
      <c r="S91" s="429">
        <v>20.741576877929912</v>
      </c>
      <c r="T91" s="429">
        <v>3207.6540481951783</v>
      </c>
      <c r="U91" s="429">
        <v>3324.8196251332029</v>
      </c>
      <c r="V91" s="429">
        <v>3420.0564836709336</v>
      </c>
      <c r="W91" s="429">
        <v>939.73014503206082</v>
      </c>
      <c r="X91" s="429">
        <v>51.357084893772672</v>
      </c>
      <c r="Y91" s="429">
        <v>52.127377439071971</v>
      </c>
      <c r="Z91" s="429">
        <v>57.599528131666588</v>
      </c>
      <c r="AA91" s="429">
        <v>36.762669953984719</v>
      </c>
      <c r="AB91" s="429">
        <v>37.392909309229609</v>
      </c>
      <c r="AC91" s="429">
        <v>33.179084615797109</v>
      </c>
      <c r="AD91" s="429">
        <v>3.2916171159605359</v>
      </c>
      <c r="AE91" s="429">
        <v>0</v>
      </c>
      <c r="AF91" s="429">
        <v>0</v>
      </c>
      <c r="AG91" s="429">
        <v>0</v>
      </c>
      <c r="AH91" s="429">
        <v>2.9665029959951403</v>
      </c>
      <c r="AI91" s="429">
        <v>6.3746235568568004</v>
      </c>
      <c r="AJ91" s="429">
        <v>6.1618515095024531</v>
      </c>
      <c r="AK91" s="429">
        <v>6.998617361422129</v>
      </c>
      <c r="AL91" s="429">
        <v>0</v>
      </c>
      <c r="AM91" s="429">
        <v>0</v>
      </c>
      <c r="AN91" s="429">
        <v>0</v>
      </c>
      <c r="AO91" s="432"/>
      <c r="AP91" s="428">
        <v>41815.649192824072</v>
      </c>
      <c r="AQ91" s="431">
        <v>93.184687302309726</v>
      </c>
      <c r="AR91" s="431">
        <v>124.48110033039301</v>
      </c>
      <c r="AS91" s="431">
        <v>75.243705882471559</v>
      </c>
      <c r="AT91" s="431">
        <v>90.59225025369534</v>
      </c>
      <c r="AU91" s="431">
        <v>17.138243699166878</v>
      </c>
      <c r="AV91" s="431">
        <v>54.063865584898103</v>
      </c>
      <c r="AW91" s="431">
        <v>-1.5530865967527985</v>
      </c>
      <c r="AX91" s="431">
        <v>14.254006938435836</v>
      </c>
      <c r="AY91" s="431">
        <v>117.25150226464184</v>
      </c>
      <c r="AZ91" s="431">
        <v>13.451104440049903</v>
      </c>
      <c r="BA91" s="431">
        <v>3.8033975670815541</v>
      </c>
      <c r="BB91" s="431">
        <v>2.7271419997493815</v>
      </c>
      <c r="BC91" s="431">
        <v>1.9539213531530961</v>
      </c>
      <c r="BD91" s="431">
        <v>80.025462213362303</v>
      </c>
      <c r="BE91" s="431">
        <v>364092.74202705867</v>
      </c>
      <c r="BF91" s="431">
        <v>8150.728749453343</v>
      </c>
      <c r="BG91" s="431">
        <v>-1843.769762169273</v>
      </c>
      <c r="BH91" s="431">
        <v>383264.80905998591</v>
      </c>
      <c r="BI91" s="431">
        <v>368842.6960474092</v>
      </c>
      <c r="BJ91" s="431">
        <v>-14747.323492579164</v>
      </c>
      <c r="BK91" s="431">
        <v>367898.17872512987</v>
      </c>
      <c r="BL91" s="431">
        <v>2983.2649198613867</v>
      </c>
      <c r="BM91" s="431">
        <v>-119.27895904872196</v>
      </c>
      <c r="BN91" s="431">
        <v>143.31118944294533</v>
      </c>
      <c r="BO91" s="431">
        <v>2440.8531162502254</v>
      </c>
      <c r="BP91" s="431">
        <v>-97.591875585317936</v>
      </c>
      <c r="BQ91" s="431">
        <v>1611.7264626996259</v>
      </c>
      <c r="BR91" s="431">
        <v>828.08136123378438</v>
      </c>
      <c r="BS91" s="431">
        <v>0</v>
      </c>
      <c r="BT91" s="431">
        <v>0</v>
      </c>
      <c r="BU91" s="431">
        <v>0</v>
      </c>
      <c r="BV91" s="431">
        <v>772.41682039763691</v>
      </c>
      <c r="BW91" s="431">
        <v>1269.8193356579409</v>
      </c>
      <c r="BX91" s="431">
        <v>1180.5921309165005</v>
      </c>
      <c r="BY91" s="431">
        <v>976.78410435226215</v>
      </c>
      <c r="BZ91" s="431">
        <v>0</v>
      </c>
      <c r="CA91" s="431">
        <v>0</v>
      </c>
      <c r="CB91" s="431">
        <v>0</v>
      </c>
      <c r="CC91" s="432"/>
      <c r="CD91" s="428">
        <v>41815.649192824072</v>
      </c>
      <c r="CE91" s="433">
        <v>0.30887516912936769</v>
      </c>
      <c r="CF91" s="433">
        <v>0.21465334314226731</v>
      </c>
      <c r="CG91" s="433">
        <v>0.17822376316137725</v>
      </c>
      <c r="CH91" s="433">
        <v>0.14390127909715267</v>
      </c>
      <c r="CI91" s="433">
        <v>0.11969468358927447</v>
      </c>
      <c r="CJ91" s="433">
        <v>0.27864823506139252</v>
      </c>
      <c r="CK91" s="433">
        <v>0.26007046015078716</v>
      </c>
      <c r="CL91" s="433">
        <v>0.2795059670458605</v>
      </c>
      <c r="CM91" s="433">
        <v>0.2017515561404124</v>
      </c>
      <c r="CN91" s="433">
        <v>0.20249405129474354</v>
      </c>
      <c r="CO91" s="433">
        <v>0.62654907473547627</v>
      </c>
      <c r="CP91" s="433">
        <v>0.66252610719962202</v>
      </c>
      <c r="CQ91" s="433">
        <v>0.70077118864502774</v>
      </c>
      <c r="CR91" s="433">
        <v>0.38975168317710257</v>
      </c>
      <c r="CS91" s="433">
        <v>0.39443520669059223</v>
      </c>
      <c r="CT91" s="433">
        <v>0.447221292916757</v>
      </c>
      <c r="CU91" s="433">
        <v>0.3622790598707698</v>
      </c>
      <c r="CV91" s="433">
        <v>0.47604249083347333</v>
      </c>
      <c r="CW91" s="433">
        <v>0.4759898508915783</v>
      </c>
      <c r="CX91" s="433">
        <v>0.4007797062399322</v>
      </c>
      <c r="CY91" s="433">
        <v>0.40798711211863076</v>
      </c>
      <c r="CZ91" s="433">
        <v>0.29816004259848461</v>
      </c>
      <c r="DA91" s="433">
        <v>0.25104840798869349</v>
      </c>
      <c r="DB91" s="433">
        <v>0.80602184361489149</v>
      </c>
      <c r="DC91" s="433">
        <v>0.29816004259848461</v>
      </c>
      <c r="DD91" s="433">
        <v>0.25104840798869349</v>
      </c>
      <c r="DE91" s="433">
        <v>0.34680721234892764</v>
      </c>
      <c r="DF91" s="433">
        <v>0.40997005857291635</v>
      </c>
      <c r="DG91" s="433">
        <v>0</v>
      </c>
      <c r="DH91" s="433">
        <v>0</v>
      </c>
      <c r="DI91" s="433">
        <v>0</v>
      </c>
      <c r="DJ91" s="433">
        <v>0.35031031550396724</v>
      </c>
      <c r="DK91" s="433">
        <v>0.33543004792329517</v>
      </c>
      <c r="DL91" s="433">
        <v>0.2866175308668823</v>
      </c>
      <c r="DM91" s="433">
        <v>0.40997005857291635</v>
      </c>
      <c r="DN91" s="433">
        <v>0</v>
      </c>
      <c r="DO91" s="433">
        <v>0</v>
      </c>
      <c r="DP91" s="433">
        <v>0</v>
      </c>
      <c r="DR91" s="409" t="s">
        <v>855</v>
      </c>
      <c r="DS91" s="409" t="s">
        <v>2485</v>
      </c>
    </row>
    <row r="92" spans="2:123" s="1471" customFormat="1">
      <c r="B92" s="428">
        <v>41822.587817245367</v>
      </c>
      <c r="C92" s="429">
        <v>1.4149491759725235</v>
      </c>
      <c r="D92" s="429">
        <v>1.4161355416935255</v>
      </c>
      <c r="E92" s="429">
        <v>1.3935919993703987</v>
      </c>
      <c r="F92" s="429">
        <v>1.3469200716442493</v>
      </c>
      <c r="G92" s="429">
        <v>1.3876139807202863</v>
      </c>
      <c r="H92" s="429">
        <v>1.3749824136733368</v>
      </c>
      <c r="I92" s="429">
        <v>1.4419881391248452</v>
      </c>
      <c r="J92" s="429">
        <v>1.4901179063432564</v>
      </c>
      <c r="K92" s="429">
        <v>1.3675000289882104</v>
      </c>
      <c r="L92" s="429">
        <v>1.4696070047751193</v>
      </c>
      <c r="M92" s="429">
        <v>1.2325243855789845</v>
      </c>
      <c r="N92" s="429">
        <v>1.2060101581778027</v>
      </c>
      <c r="O92" s="429">
        <v>1.0157542256986645</v>
      </c>
      <c r="P92" s="429">
        <v>1.0830862181009844</v>
      </c>
      <c r="Q92" s="429">
        <v>2974.8268928277421</v>
      </c>
      <c r="R92" s="429">
        <v>16.218100080940367</v>
      </c>
      <c r="S92" s="429">
        <v>20.741576877929912</v>
      </c>
      <c r="T92" s="429">
        <v>3207.6540481951783</v>
      </c>
      <c r="U92" s="429">
        <v>3324.8196251332029</v>
      </c>
      <c r="V92" s="429">
        <v>3420.0564836709336</v>
      </c>
      <c r="W92" s="429">
        <v>939.73014503206082</v>
      </c>
      <c r="X92" s="429">
        <v>39.864664696257144</v>
      </c>
      <c r="Y92" s="429">
        <v>40.634957241556442</v>
      </c>
      <c r="Z92" s="429">
        <v>43.808623894647951</v>
      </c>
      <c r="AA92" s="429">
        <v>36.762669953984719</v>
      </c>
      <c r="AB92" s="429">
        <v>37.392909309229609</v>
      </c>
      <c r="AC92" s="429">
        <v>33.179084615797109</v>
      </c>
      <c r="AD92" s="429">
        <v>3.2916171159605359</v>
      </c>
      <c r="AE92" s="429">
        <v>0</v>
      </c>
      <c r="AF92" s="429">
        <v>0</v>
      </c>
      <c r="AG92" s="429">
        <v>0</v>
      </c>
      <c r="AH92" s="429">
        <v>2.9665029959951403</v>
      </c>
      <c r="AI92" s="429">
        <v>6.3746235568568004</v>
      </c>
      <c r="AJ92" s="429">
        <v>6.1618515095024531</v>
      </c>
      <c r="AK92" s="429">
        <v>6.998617361422129</v>
      </c>
      <c r="AL92" s="429">
        <v>0</v>
      </c>
      <c r="AM92" s="429">
        <v>0</v>
      </c>
      <c r="AN92" s="429">
        <v>0</v>
      </c>
      <c r="AO92" s="432"/>
      <c r="AP92" s="428">
        <v>41822.587817245367</v>
      </c>
      <c r="AQ92" s="431">
        <v>93.184687302309726</v>
      </c>
      <c r="AR92" s="431">
        <v>124.48110033039301</v>
      </c>
      <c r="AS92" s="431">
        <v>75.243705882471559</v>
      </c>
      <c r="AT92" s="431">
        <v>90.59225025369534</v>
      </c>
      <c r="AU92" s="431">
        <v>17.138243699166878</v>
      </c>
      <c r="AV92" s="431">
        <v>54.063865584898103</v>
      </c>
      <c r="AW92" s="431">
        <v>-1.5530865967527985</v>
      </c>
      <c r="AX92" s="431">
        <v>14.254006938435836</v>
      </c>
      <c r="AY92" s="431">
        <v>117.25150226464184</v>
      </c>
      <c r="AZ92" s="431">
        <v>13.451104440049903</v>
      </c>
      <c r="BA92" s="431">
        <v>3.8033975670815541</v>
      </c>
      <c r="BB92" s="431">
        <v>2.7271419997493815</v>
      </c>
      <c r="BC92" s="431">
        <v>1.9539213531530961</v>
      </c>
      <c r="BD92" s="431">
        <v>80.025462213362303</v>
      </c>
      <c r="BE92" s="431">
        <v>364092.74202705867</v>
      </c>
      <c r="BF92" s="431">
        <v>8150.728749453343</v>
      </c>
      <c r="BG92" s="431">
        <v>-1843.769762169273</v>
      </c>
      <c r="BH92" s="431">
        <v>383264.80905998591</v>
      </c>
      <c r="BI92" s="431">
        <v>368842.6960474092</v>
      </c>
      <c r="BJ92" s="431">
        <v>-14747.323492579164</v>
      </c>
      <c r="BK92" s="431">
        <v>367898.17872512987</v>
      </c>
      <c r="BL92" s="431">
        <v>2983.2649198613867</v>
      </c>
      <c r="BM92" s="431">
        <v>-119.27895904872196</v>
      </c>
      <c r="BN92" s="431">
        <v>143.31118944294533</v>
      </c>
      <c r="BO92" s="431">
        <v>2440.8531162502254</v>
      </c>
      <c r="BP92" s="431">
        <v>-97.591875585317936</v>
      </c>
      <c r="BQ92" s="431">
        <v>1611.7264626996259</v>
      </c>
      <c r="BR92" s="431">
        <v>828.08136123378438</v>
      </c>
      <c r="BS92" s="431">
        <v>0</v>
      </c>
      <c r="BT92" s="431">
        <v>0</v>
      </c>
      <c r="BU92" s="431">
        <v>0</v>
      </c>
      <c r="BV92" s="431">
        <v>772.41682039763691</v>
      </c>
      <c r="BW92" s="431">
        <v>1269.8193356579409</v>
      </c>
      <c r="BX92" s="431">
        <v>1180.5921309165005</v>
      </c>
      <c r="BY92" s="431">
        <v>976.78410435226215</v>
      </c>
      <c r="BZ92" s="431">
        <v>0</v>
      </c>
      <c r="CA92" s="431">
        <v>0</v>
      </c>
      <c r="CB92" s="431">
        <v>0</v>
      </c>
      <c r="CC92" s="432"/>
      <c r="CD92" s="428">
        <v>41822.587817245367</v>
      </c>
      <c r="CE92" s="433">
        <v>0.30887516912936769</v>
      </c>
      <c r="CF92" s="433">
        <v>0.21465334314226731</v>
      </c>
      <c r="CG92" s="433">
        <v>0.17822376316137725</v>
      </c>
      <c r="CH92" s="433">
        <v>0.14390127909715267</v>
      </c>
      <c r="CI92" s="433">
        <v>0.11969468358927447</v>
      </c>
      <c r="CJ92" s="433">
        <v>0.27864823506139252</v>
      </c>
      <c r="CK92" s="433">
        <v>0.26007046015078716</v>
      </c>
      <c r="CL92" s="433">
        <v>0.2795059670458605</v>
      </c>
      <c r="CM92" s="433">
        <v>0.2017515561404124</v>
      </c>
      <c r="CN92" s="433">
        <v>0.20249405129474354</v>
      </c>
      <c r="CO92" s="433">
        <v>0.62654907473547627</v>
      </c>
      <c r="CP92" s="433">
        <v>0.66252610719962202</v>
      </c>
      <c r="CQ92" s="433">
        <v>0.70077118864502774</v>
      </c>
      <c r="CR92" s="433">
        <v>0.38975168317710257</v>
      </c>
      <c r="CS92" s="433">
        <v>0.39443520669059223</v>
      </c>
      <c r="CT92" s="433">
        <v>0.447221292916757</v>
      </c>
      <c r="CU92" s="433">
        <v>0.3622790598707698</v>
      </c>
      <c r="CV92" s="433">
        <v>0.47604249083347333</v>
      </c>
      <c r="CW92" s="433">
        <v>0.4759898508915783</v>
      </c>
      <c r="CX92" s="433">
        <v>0.4007797062399322</v>
      </c>
      <c r="CY92" s="433">
        <v>0.40798711211863076</v>
      </c>
      <c r="CZ92" s="433">
        <v>0.29816004259848461</v>
      </c>
      <c r="DA92" s="433">
        <v>0.25104840798869349</v>
      </c>
      <c r="DB92" s="433">
        <v>0.80602184361489149</v>
      </c>
      <c r="DC92" s="433">
        <v>0.29816004259848461</v>
      </c>
      <c r="DD92" s="433">
        <v>0.25104840798869349</v>
      </c>
      <c r="DE92" s="433">
        <v>0.34680721234892764</v>
      </c>
      <c r="DF92" s="433">
        <v>0.40997005857291635</v>
      </c>
      <c r="DG92" s="433">
        <v>0</v>
      </c>
      <c r="DH92" s="433">
        <v>0</v>
      </c>
      <c r="DI92" s="433">
        <v>0</v>
      </c>
      <c r="DJ92" s="433">
        <v>0.35031031550396724</v>
      </c>
      <c r="DK92" s="433">
        <v>0.33543004792329517</v>
      </c>
      <c r="DL92" s="433">
        <v>0.2866175308668823</v>
      </c>
      <c r="DM92" s="433">
        <v>0.40997005857291635</v>
      </c>
      <c r="DN92" s="433">
        <v>0</v>
      </c>
      <c r="DO92" s="433">
        <v>0</v>
      </c>
      <c r="DP92" s="433">
        <v>0</v>
      </c>
      <c r="DR92" s="409" t="s">
        <v>711</v>
      </c>
      <c r="DS92" s="409" t="s">
        <v>2496</v>
      </c>
    </row>
    <row r="93" spans="2:123" s="1471" customFormat="1">
      <c r="B93" s="428">
        <v>41822.664271875001</v>
      </c>
      <c r="C93" s="429">
        <v>1.4149491759725235</v>
      </c>
      <c r="D93" s="429">
        <v>1.4161355416935255</v>
      </c>
      <c r="E93" s="429">
        <v>1.4382853864725287</v>
      </c>
      <c r="F93" s="429">
        <v>1.3507689417533357</v>
      </c>
      <c r="G93" s="429">
        <v>1.3876139807202863</v>
      </c>
      <c r="H93" s="429">
        <v>1.383585929951632</v>
      </c>
      <c r="I93" s="429">
        <v>1.4419881391248452</v>
      </c>
      <c r="J93" s="429">
        <v>1.4901179063432564</v>
      </c>
      <c r="K93" s="429">
        <v>1.3747178852883724</v>
      </c>
      <c r="L93" s="429">
        <v>1.5084736804020653</v>
      </c>
      <c r="M93" s="429">
        <v>1.2325243855789845</v>
      </c>
      <c r="N93" s="429">
        <v>1.2060101581778027</v>
      </c>
      <c r="O93" s="429">
        <v>1.0157542256986645</v>
      </c>
      <c r="P93" s="429">
        <v>1.0830862181009844</v>
      </c>
      <c r="Q93" s="429">
        <v>2974.8268928277421</v>
      </c>
      <c r="R93" s="429">
        <v>16.218100080940367</v>
      </c>
      <c r="S93" s="429">
        <v>20.741576877929912</v>
      </c>
      <c r="T93" s="429">
        <v>3207.6540481951783</v>
      </c>
      <c r="U93" s="429">
        <v>3324.8196251332029</v>
      </c>
      <c r="V93" s="429">
        <v>3420.0564836709336</v>
      </c>
      <c r="W93" s="429">
        <v>960.53159558151617</v>
      </c>
      <c r="X93" s="429">
        <v>39.864664696257144</v>
      </c>
      <c r="Y93" s="429">
        <v>40.634957241556442</v>
      </c>
      <c r="Z93" s="429">
        <v>43.808623894647951</v>
      </c>
      <c r="AA93" s="429">
        <v>36.762669953984719</v>
      </c>
      <c r="AB93" s="429">
        <v>37.392909309229609</v>
      </c>
      <c r="AC93" s="429">
        <v>33.316559702772459</v>
      </c>
      <c r="AD93" s="429">
        <v>3.2916171159605359</v>
      </c>
      <c r="AE93" s="429">
        <v>0</v>
      </c>
      <c r="AF93" s="429">
        <v>0</v>
      </c>
      <c r="AG93" s="429">
        <v>0</v>
      </c>
      <c r="AH93" s="429">
        <v>3.0179466263526584</v>
      </c>
      <c r="AI93" s="429">
        <v>6.3746235568568004</v>
      </c>
      <c r="AJ93" s="429">
        <v>6.2406176433833167</v>
      </c>
      <c r="AK93" s="429">
        <v>6.998617361422129</v>
      </c>
      <c r="AL93" s="429">
        <v>0</v>
      </c>
      <c r="AM93" s="429">
        <v>0</v>
      </c>
      <c r="AN93" s="429">
        <v>0</v>
      </c>
      <c r="AO93" s="432"/>
      <c r="AP93" s="428">
        <v>41822.664271875001</v>
      </c>
      <c r="AQ93" s="431">
        <v>93.184687302309726</v>
      </c>
      <c r="AR93" s="431">
        <v>124.48110033039301</v>
      </c>
      <c r="AS93" s="431">
        <v>75.243705882471559</v>
      </c>
      <c r="AT93" s="431">
        <v>90.59225025369534</v>
      </c>
      <c r="AU93" s="431">
        <v>17.138243699166878</v>
      </c>
      <c r="AV93" s="431">
        <v>54.063865584898103</v>
      </c>
      <c r="AW93" s="431">
        <v>-1.5530865967527985</v>
      </c>
      <c r="AX93" s="431">
        <v>14.254006938435836</v>
      </c>
      <c r="AY93" s="431">
        <v>117.25150226464184</v>
      </c>
      <c r="AZ93" s="431">
        <v>13.451104440049903</v>
      </c>
      <c r="BA93" s="431">
        <v>3.8033975670815541</v>
      </c>
      <c r="BB93" s="431">
        <v>2.7271419997493815</v>
      </c>
      <c r="BC93" s="431">
        <v>1.9539213531530961</v>
      </c>
      <c r="BD93" s="431">
        <v>80.025462213362303</v>
      </c>
      <c r="BE93" s="431">
        <v>364092.74202705867</v>
      </c>
      <c r="BF93" s="431">
        <v>8150.728749453343</v>
      </c>
      <c r="BG93" s="431">
        <v>-1843.769762169273</v>
      </c>
      <c r="BH93" s="431">
        <v>383264.80905998591</v>
      </c>
      <c r="BI93" s="431">
        <v>368842.6960474092</v>
      </c>
      <c r="BJ93" s="431">
        <v>-14747.323492579164</v>
      </c>
      <c r="BK93" s="431">
        <v>367898.17872512987</v>
      </c>
      <c r="BL93" s="431">
        <v>2983.2649198613867</v>
      </c>
      <c r="BM93" s="431">
        <v>-119.27895904872196</v>
      </c>
      <c r="BN93" s="431">
        <v>143.31118944294533</v>
      </c>
      <c r="BO93" s="431">
        <v>2440.8531162502254</v>
      </c>
      <c r="BP93" s="431">
        <v>-97.591875585317936</v>
      </c>
      <c r="BQ93" s="431">
        <v>1611.7264626996259</v>
      </c>
      <c r="BR93" s="431">
        <v>828.08136123378438</v>
      </c>
      <c r="BS93" s="431">
        <v>0</v>
      </c>
      <c r="BT93" s="431">
        <v>0</v>
      </c>
      <c r="BU93" s="431">
        <v>0</v>
      </c>
      <c r="BV93" s="431">
        <v>772.41682039763691</v>
      </c>
      <c r="BW93" s="431">
        <v>1269.8193356579409</v>
      </c>
      <c r="BX93" s="431">
        <v>1180.5921309165005</v>
      </c>
      <c r="BY93" s="431">
        <v>976.78410435226215</v>
      </c>
      <c r="BZ93" s="431">
        <v>0</v>
      </c>
      <c r="CA93" s="431">
        <v>0</v>
      </c>
      <c r="CB93" s="431">
        <v>0</v>
      </c>
      <c r="CC93" s="432"/>
      <c r="CD93" s="428">
        <v>41822.664271875001</v>
      </c>
      <c r="CE93" s="433">
        <v>0.30887516912936769</v>
      </c>
      <c r="CF93" s="433">
        <v>0.21465334314226731</v>
      </c>
      <c r="CG93" s="433">
        <v>0.17822376316137725</v>
      </c>
      <c r="CH93" s="433">
        <v>0.14390127909715267</v>
      </c>
      <c r="CI93" s="433">
        <v>0.11969468358927447</v>
      </c>
      <c r="CJ93" s="433">
        <v>0.27864823506139252</v>
      </c>
      <c r="CK93" s="433">
        <v>0.26007046015078716</v>
      </c>
      <c r="CL93" s="433">
        <v>0.2795059670458605</v>
      </c>
      <c r="CM93" s="433">
        <v>0.2017515561404124</v>
      </c>
      <c r="CN93" s="433">
        <v>0.20249405129474354</v>
      </c>
      <c r="CO93" s="433">
        <v>0.62654907473547627</v>
      </c>
      <c r="CP93" s="433">
        <v>0.66252610719962202</v>
      </c>
      <c r="CQ93" s="433">
        <v>0.70077118864502774</v>
      </c>
      <c r="CR93" s="433">
        <v>0.38975168317710257</v>
      </c>
      <c r="CS93" s="433">
        <v>0.39443520669059223</v>
      </c>
      <c r="CT93" s="433">
        <v>0.447221292916757</v>
      </c>
      <c r="CU93" s="433">
        <v>0.3622790598707698</v>
      </c>
      <c r="CV93" s="433">
        <v>0.47604249083347333</v>
      </c>
      <c r="CW93" s="433">
        <v>0.4759898508915783</v>
      </c>
      <c r="CX93" s="433">
        <v>0.4007797062399322</v>
      </c>
      <c r="CY93" s="433">
        <v>0.40798711211863076</v>
      </c>
      <c r="CZ93" s="433">
        <v>0.29816004259848461</v>
      </c>
      <c r="DA93" s="433">
        <v>0.25104840798869349</v>
      </c>
      <c r="DB93" s="433">
        <v>0.80602184361489149</v>
      </c>
      <c r="DC93" s="433">
        <v>0.29816004259848461</v>
      </c>
      <c r="DD93" s="433">
        <v>0.25104840798869349</v>
      </c>
      <c r="DE93" s="433">
        <v>0.34680721234892764</v>
      </c>
      <c r="DF93" s="433">
        <v>0.40997005857291635</v>
      </c>
      <c r="DG93" s="433">
        <v>0</v>
      </c>
      <c r="DH93" s="433">
        <v>0</v>
      </c>
      <c r="DI93" s="433">
        <v>0</v>
      </c>
      <c r="DJ93" s="433">
        <v>0.35031031550396724</v>
      </c>
      <c r="DK93" s="433">
        <v>0.33543004792329517</v>
      </c>
      <c r="DL93" s="433">
        <v>0.2866175308668823</v>
      </c>
      <c r="DM93" s="433">
        <v>0.40997005857291635</v>
      </c>
      <c r="DN93" s="433">
        <v>0</v>
      </c>
      <c r="DO93" s="433">
        <v>0</v>
      </c>
      <c r="DP93" s="433">
        <v>0</v>
      </c>
      <c r="DR93" s="409" t="s">
        <v>711</v>
      </c>
      <c r="DS93" s="409" t="s">
        <v>2505</v>
      </c>
    </row>
    <row r="94" spans="2:123" s="1471" customFormat="1">
      <c r="B94" s="428">
        <v>41824.615828125003</v>
      </c>
      <c r="C94" s="429">
        <v>1.4149491759725235</v>
      </c>
      <c r="D94" s="429">
        <v>1.4161355416935255</v>
      </c>
      <c r="E94" s="429">
        <v>1.4406771373944034</v>
      </c>
      <c r="F94" s="429">
        <v>1.352175854060321</v>
      </c>
      <c r="G94" s="429">
        <v>1.3876139807202863</v>
      </c>
      <c r="H94" s="429">
        <v>1.3854535929951102</v>
      </c>
      <c r="I94" s="429">
        <v>1.4419881391248452</v>
      </c>
      <c r="J94" s="429">
        <v>1.4901179063432564</v>
      </c>
      <c r="K94" s="429">
        <v>1.3747178852883724</v>
      </c>
      <c r="L94" s="429">
        <v>1.5084736804020653</v>
      </c>
      <c r="M94" s="429">
        <v>1.2325243855789845</v>
      </c>
      <c r="N94" s="429">
        <v>1.2060101581778027</v>
      </c>
      <c r="O94" s="429">
        <v>1.0157542256986645</v>
      </c>
      <c r="P94" s="429">
        <v>1.0830862181009844</v>
      </c>
      <c r="Q94" s="429">
        <v>2974.8268928277421</v>
      </c>
      <c r="R94" s="429">
        <v>16.218100080940367</v>
      </c>
      <c r="S94" s="429">
        <v>20.741576877929912</v>
      </c>
      <c r="T94" s="429">
        <v>3207.6540481951783</v>
      </c>
      <c r="U94" s="429">
        <v>3324.8196251332029</v>
      </c>
      <c r="V94" s="429">
        <v>3420.0564836709336</v>
      </c>
      <c r="W94" s="429">
        <v>960.53159558151617</v>
      </c>
      <c r="X94" s="429">
        <v>39.864664696257144</v>
      </c>
      <c r="Y94" s="429">
        <v>40.634957241556442</v>
      </c>
      <c r="Z94" s="429">
        <v>43.808623894647951</v>
      </c>
      <c r="AA94" s="429">
        <v>36.762669953984719</v>
      </c>
      <c r="AB94" s="429">
        <v>37.392909309229609</v>
      </c>
      <c r="AC94" s="429">
        <v>33.316559702772459</v>
      </c>
      <c r="AD94" s="429">
        <v>3.2916171159605359</v>
      </c>
      <c r="AE94" s="429">
        <v>0</v>
      </c>
      <c r="AF94" s="429">
        <v>0</v>
      </c>
      <c r="AG94" s="429">
        <v>0</v>
      </c>
      <c r="AH94" s="429">
        <v>3.0179466263526584</v>
      </c>
      <c r="AI94" s="429">
        <v>6.3746235568568004</v>
      </c>
      <c r="AJ94" s="429">
        <v>6.2406176433833167</v>
      </c>
      <c r="AK94" s="429">
        <v>6.998617361422129</v>
      </c>
      <c r="AL94" s="429">
        <v>0</v>
      </c>
      <c r="AM94" s="429">
        <v>0</v>
      </c>
      <c r="AN94" s="429">
        <v>0</v>
      </c>
      <c r="AO94" s="432"/>
      <c r="AP94" s="428">
        <v>41824.615828125003</v>
      </c>
      <c r="AQ94" s="431">
        <v>93.184687302309726</v>
      </c>
      <c r="AR94" s="431">
        <v>124.48110033039301</v>
      </c>
      <c r="AS94" s="431">
        <v>75.243705882471559</v>
      </c>
      <c r="AT94" s="431">
        <v>90.59225025369534</v>
      </c>
      <c r="AU94" s="431">
        <v>17.138243699166878</v>
      </c>
      <c r="AV94" s="431">
        <v>54.063865584898103</v>
      </c>
      <c r="AW94" s="431">
        <v>-1.5530865967527985</v>
      </c>
      <c r="AX94" s="431">
        <v>14.254006938435836</v>
      </c>
      <c r="AY94" s="431">
        <v>117.25150226464184</v>
      </c>
      <c r="AZ94" s="431">
        <v>13.451104440049903</v>
      </c>
      <c r="BA94" s="431">
        <v>3.8033975670815541</v>
      </c>
      <c r="BB94" s="431">
        <v>2.7271419997493815</v>
      </c>
      <c r="BC94" s="431">
        <v>1.9539213531530961</v>
      </c>
      <c r="BD94" s="431">
        <v>80.025462213362303</v>
      </c>
      <c r="BE94" s="431">
        <v>364092.74202705867</v>
      </c>
      <c r="BF94" s="431">
        <v>8150.728749453343</v>
      </c>
      <c r="BG94" s="431">
        <v>-1843.769762169273</v>
      </c>
      <c r="BH94" s="431">
        <v>383264.80905998591</v>
      </c>
      <c r="BI94" s="431">
        <v>368842.6960474092</v>
      </c>
      <c r="BJ94" s="431">
        <v>-14747.323492579164</v>
      </c>
      <c r="BK94" s="431">
        <v>367898.17872512987</v>
      </c>
      <c r="BL94" s="431">
        <v>2983.2649198613867</v>
      </c>
      <c r="BM94" s="431">
        <v>-119.27895904872196</v>
      </c>
      <c r="BN94" s="431">
        <v>143.31118944294533</v>
      </c>
      <c r="BO94" s="431">
        <v>2440.8531162502254</v>
      </c>
      <c r="BP94" s="431">
        <v>-97.591875585317936</v>
      </c>
      <c r="BQ94" s="431">
        <v>1611.7264626996259</v>
      </c>
      <c r="BR94" s="431">
        <v>828.08136123378438</v>
      </c>
      <c r="BS94" s="431">
        <v>0</v>
      </c>
      <c r="BT94" s="431">
        <v>0</v>
      </c>
      <c r="BU94" s="431">
        <v>0</v>
      </c>
      <c r="BV94" s="431">
        <v>772.41682039763691</v>
      </c>
      <c r="BW94" s="431">
        <v>1269.8193356579409</v>
      </c>
      <c r="BX94" s="431">
        <v>1180.5921309165005</v>
      </c>
      <c r="BY94" s="431">
        <v>976.78410435226215</v>
      </c>
      <c r="BZ94" s="431">
        <v>0</v>
      </c>
      <c r="CA94" s="431">
        <v>0</v>
      </c>
      <c r="CB94" s="431">
        <v>0</v>
      </c>
      <c r="CC94" s="432"/>
      <c r="CD94" s="428">
        <v>41824.615828125003</v>
      </c>
      <c r="CE94" s="433">
        <v>0.30887516912936769</v>
      </c>
      <c r="CF94" s="433">
        <v>0.21465334314226731</v>
      </c>
      <c r="CG94" s="433">
        <v>0.17822376316137725</v>
      </c>
      <c r="CH94" s="433" t="e">
        <v>#REF!</v>
      </c>
      <c r="CI94" s="433">
        <v>0.11969468358927447</v>
      </c>
      <c r="CJ94" s="433">
        <v>0.27010074318834371</v>
      </c>
      <c r="CK94" s="433">
        <v>0.26007046015078716</v>
      </c>
      <c r="CL94" s="433">
        <v>0.2795059670458605</v>
      </c>
      <c r="CM94" s="433">
        <v>0.2017515561404124</v>
      </c>
      <c r="CN94" s="433">
        <v>0.20249405129474354</v>
      </c>
      <c r="CO94" s="433">
        <v>0.62654907473547627</v>
      </c>
      <c r="CP94" s="433">
        <v>0.66252610719962202</v>
      </c>
      <c r="CQ94" s="433">
        <v>0.70077118864502774</v>
      </c>
      <c r="CR94" s="433">
        <v>0.38975168317710257</v>
      </c>
      <c r="CS94" s="433">
        <v>0.39443520669059223</v>
      </c>
      <c r="CT94" s="433">
        <v>0.447221292916757</v>
      </c>
      <c r="CU94" s="433">
        <v>0.3622790598707698</v>
      </c>
      <c r="CV94" s="433">
        <v>0.47604249083347333</v>
      </c>
      <c r="CW94" s="433">
        <v>0.4759898508915783</v>
      </c>
      <c r="CX94" s="433">
        <v>0.4007797062399322</v>
      </c>
      <c r="CY94" s="433">
        <v>0.40798711211863076</v>
      </c>
      <c r="CZ94" s="433">
        <v>0.29816004259848461</v>
      </c>
      <c r="DA94" s="433">
        <v>0.25104840798869349</v>
      </c>
      <c r="DB94" s="433">
        <v>0.80602184361489149</v>
      </c>
      <c r="DC94" s="433">
        <v>0.29816004259848461</v>
      </c>
      <c r="DD94" s="433">
        <v>0.25104840798869349</v>
      </c>
      <c r="DE94" s="433">
        <v>0.34680721234892764</v>
      </c>
      <c r="DF94" s="433">
        <v>0.40997005857291635</v>
      </c>
      <c r="DG94" s="433">
        <v>0</v>
      </c>
      <c r="DH94" s="433">
        <v>0</v>
      </c>
      <c r="DI94" s="433">
        <v>0</v>
      </c>
      <c r="DJ94" s="433">
        <v>0.35031031550396724</v>
      </c>
      <c r="DK94" s="433">
        <v>0.33543004792329517</v>
      </c>
      <c r="DL94" s="433">
        <v>0.2866175308668823</v>
      </c>
      <c r="DM94" s="433">
        <v>0.40997005857291635</v>
      </c>
      <c r="DN94" s="433">
        <v>0</v>
      </c>
      <c r="DO94" s="433">
        <v>0</v>
      </c>
      <c r="DP94" s="433">
        <v>0</v>
      </c>
      <c r="DR94" s="409" t="s">
        <v>711</v>
      </c>
      <c r="DS94" s="409" t="s">
        <v>2523</v>
      </c>
    </row>
    <row r="95" spans="2:123" s="1471" customFormat="1">
      <c r="B95" s="428">
        <v>41824.683924074074</v>
      </c>
      <c r="C95" s="429">
        <v>1.4149491759725235</v>
      </c>
      <c r="D95" s="429">
        <v>1.4161355416935255</v>
      </c>
      <c r="E95" s="429">
        <v>1.4438655110510559</v>
      </c>
      <c r="F95" s="429">
        <v>1.3546959597379744</v>
      </c>
      <c r="G95" s="429">
        <v>1.4074619280452663</v>
      </c>
      <c r="H95" s="429">
        <v>1.3854535929951102</v>
      </c>
      <c r="I95" s="429">
        <v>1.4582268058259602</v>
      </c>
      <c r="J95" s="429">
        <v>1.5111388656648759</v>
      </c>
      <c r="K95" s="429">
        <v>1.3747178852883724</v>
      </c>
      <c r="L95" s="429">
        <v>1.5084736804020653</v>
      </c>
      <c r="M95" s="429">
        <v>1.2352588392263912</v>
      </c>
      <c r="N95" s="429">
        <v>1.2060101581778027</v>
      </c>
      <c r="O95" s="429">
        <v>1.0157542256986645</v>
      </c>
      <c r="P95" s="429">
        <v>1.0830862181009844</v>
      </c>
      <c r="Q95" s="429">
        <v>2974.8268928277421</v>
      </c>
      <c r="R95" s="429">
        <v>16.218100080940367</v>
      </c>
      <c r="S95" s="429">
        <v>23.045225280371142</v>
      </c>
      <c r="T95" s="429">
        <v>3207.6540481951783</v>
      </c>
      <c r="U95" s="429">
        <v>3324.8196251332029</v>
      </c>
      <c r="V95" s="429">
        <v>3481.1061391576436</v>
      </c>
      <c r="W95" s="429">
        <v>960.53159558151617</v>
      </c>
      <c r="X95" s="429">
        <v>39.864664696257144</v>
      </c>
      <c r="Y95" s="429">
        <v>41.128737645871979</v>
      </c>
      <c r="Z95" s="429">
        <v>43.808623894647951</v>
      </c>
      <c r="AA95" s="429">
        <v>36.762669953984719</v>
      </c>
      <c r="AB95" s="429">
        <v>37.79691145821505</v>
      </c>
      <c r="AC95" s="429">
        <v>33.316559702772459</v>
      </c>
      <c r="AD95" s="429">
        <v>3.2916171159605359</v>
      </c>
      <c r="AE95" s="429">
        <v>0</v>
      </c>
      <c r="AF95" s="429">
        <v>0</v>
      </c>
      <c r="AG95" s="429">
        <v>0</v>
      </c>
      <c r="AH95" s="429">
        <v>3.0179466263526584</v>
      </c>
      <c r="AI95" s="429">
        <v>6.3746235568568004</v>
      </c>
      <c r="AJ95" s="429">
        <v>6.2406176433833167</v>
      </c>
      <c r="AK95" s="429">
        <v>6.998617361422129</v>
      </c>
      <c r="AL95" s="429">
        <v>0</v>
      </c>
      <c r="AM95" s="429">
        <v>0</v>
      </c>
      <c r="AN95" s="429">
        <v>0</v>
      </c>
      <c r="AO95" s="432"/>
      <c r="AP95" s="428">
        <v>41824.683924074074</v>
      </c>
      <c r="AQ95" s="431">
        <v>93.184687302309726</v>
      </c>
      <c r="AR95" s="431">
        <v>124.48110033039301</v>
      </c>
      <c r="AS95" s="431">
        <v>75.243705882471559</v>
      </c>
      <c r="AT95" s="431">
        <v>90.59225025369534</v>
      </c>
      <c r="AU95" s="431">
        <v>17.138243699166878</v>
      </c>
      <c r="AV95" s="431">
        <v>54.063865584898103</v>
      </c>
      <c r="AW95" s="431">
        <v>-1.5530865967527985</v>
      </c>
      <c r="AX95" s="431">
        <v>14.254006938435836</v>
      </c>
      <c r="AY95" s="431">
        <v>117.25150226464184</v>
      </c>
      <c r="AZ95" s="431">
        <v>13.451104440049903</v>
      </c>
      <c r="BA95" s="431">
        <v>3.8033975670815541</v>
      </c>
      <c r="BB95" s="431">
        <v>2.7271419997493815</v>
      </c>
      <c r="BC95" s="431">
        <v>1.9539213531530961</v>
      </c>
      <c r="BD95" s="431">
        <v>80.025462213362303</v>
      </c>
      <c r="BE95" s="431">
        <v>364092.74202705867</v>
      </c>
      <c r="BF95" s="431">
        <v>8150.728749453343</v>
      </c>
      <c r="BG95" s="431">
        <v>-2053.8765271061347</v>
      </c>
      <c r="BH95" s="431">
        <v>383264.80905998591</v>
      </c>
      <c r="BI95" s="431">
        <v>368842.6960474092</v>
      </c>
      <c r="BJ95" s="431">
        <v>-14747.323492579164</v>
      </c>
      <c r="BK95" s="431">
        <v>367898.17872512987</v>
      </c>
      <c r="BL95" s="431">
        <v>2983.2649198613867</v>
      </c>
      <c r="BM95" s="431">
        <v>-119.27895904872196</v>
      </c>
      <c r="BN95" s="431">
        <v>143.31118944294533</v>
      </c>
      <c r="BO95" s="431">
        <v>2440.8531162502254</v>
      </c>
      <c r="BP95" s="431">
        <v>-97.591875585317936</v>
      </c>
      <c r="BQ95" s="431">
        <v>1611.7264626996259</v>
      </c>
      <c r="BR95" s="431">
        <v>828.08136123378438</v>
      </c>
      <c r="BS95" s="431">
        <v>0</v>
      </c>
      <c r="BT95" s="431">
        <v>0</v>
      </c>
      <c r="BU95" s="431">
        <v>0</v>
      </c>
      <c r="BV95" s="431">
        <v>772.41682039763691</v>
      </c>
      <c r="BW95" s="431">
        <v>1269.8193356579409</v>
      </c>
      <c r="BX95" s="431">
        <v>1180.5921309165005</v>
      </c>
      <c r="BY95" s="431">
        <v>976.78410435226215</v>
      </c>
      <c r="BZ95" s="431">
        <v>0</v>
      </c>
      <c r="CA95" s="431">
        <v>0</v>
      </c>
      <c r="CB95" s="431">
        <v>0</v>
      </c>
      <c r="CC95" s="432"/>
      <c r="CD95" s="428">
        <v>41824.683924074074</v>
      </c>
      <c r="CE95" s="433">
        <v>0.30887516912936769</v>
      </c>
      <c r="CF95" s="433">
        <v>0.21465334314226731</v>
      </c>
      <c r="CG95" s="433">
        <v>0.17822376316137725</v>
      </c>
      <c r="CH95" s="433" t="e">
        <v>#REF!</v>
      </c>
      <c r="CI95" s="433">
        <v>0.11969468358927447</v>
      </c>
      <c r="CJ95" s="433">
        <v>0.27010074318834371</v>
      </c>
      <c r="CK95" s="433">
        <v>0.26007046015078716</v>
      </c>
      <c r="CL95" s="433">
        <v>0.2795059670458605</v>
      </c>
      <c r="CM95" s="433">
        <v>0.2017515561404124</v>
      </c>
      <c r="CN95" s="433">
        <v>0.20249405129474354</v>
      </c>
      <c r="CO95" s="433">
        <v>0.62654907473547627</v>
      </c>
      <c r="CP95" s="433">
        <v>0.66252610719962202</v>
      </c>
      <c r="CQ95" s="433">
        <v>0.70077118864502774</v>
      </c>
      <c r="CR95" s="433">
        <v>0.38975168317710257</v>
      </c>
      <c r="CS95" s="433">
        <v>0.39443520669059223</v>
      </c>
      <c r="CT95" s="433">
        <v>0.447221292916757</v>
      </c>
      <c r="CU95" s="433">
        <v>0.3622790598707698</v>
      </c>
      <c r="CV95" s="433">
        <v>0.47604249083347333</v>
      </c>
      <c r="CW95" s="433">
        <v>0.4759898508915783</v>
      </c>
      <c r="CX95" s="433">
        <v>0.4007797062399322</v>
      </c>
      <c r="CY95" s="433">
        <v>0.40798711211863076</v>
      </c>
      <c r="CZ95" s="433">
        <v>0.29816004259848461</v>
      </c>
      <c r="DA95" s="433">
        <v>0.25104840798869349</v>
      </c>
      <c r="DB95" s="433">
        <v>0.80602184361489149</v>
      </c>
      <c r="DC95" s="433">
        <v>0.29816004259848461</v>
      </c>
      <c r="DD95" s="433">
        <v>0.25104840798869349</v>
      </c>
      <c r="DE95" s="433">
        <v>0.34680721234892764</v>
      </c>
      <c r="DF95" s="433">
        <v>0.40997005857291635</v>
      </c>
      <c r="DG95" s="433">
        <v>0</v>
      </c>
      <c r="DH95" s="433">
        <v>0</v>
      </c>
      <c r="DI95" s="433">
        <v>0</v>
      </c>
      <c r="DJ95" s="433">
        <v>0.35031031550396724</v>
      </c>
      <c r="DK95" s="433">
        <v>0.33543004792329517</v>
      </c>
      <c r="DL95" s="433">
        <v>0.2866175308668823</v>
      </c>
      <c r="DM95" s="433">
        <v>0.40997005857291635</v>
      </c>
      <c r="DN95" s="433">
        <v>0</v>
      </c>
      <c r="DO95" s="433">
        <v>0</v>
      </c>
      <c r="DP95" s="433">
        <v>0</v>
      </c>
      <c r="DR95" s="409" t="s">
        <v>711</v>
      </c>
      <c r="DS95" s="409" t="s">
        <v>2525</v>
      </c>
    </row>
    <row r="96" spans="2:123" s="1471" customFormat="1">
      <c r="B96" s="428">
        <v>41824.685380902774</v>
      </c>
      <c r="C96" s="429">
        <v>1.4149491759725235</v>
      </c>
      <c r="D96" s="429">
        <v>1.4161355416935255</v>
      </c>
      <c r="E96" s="429">
        <v>1.4439427808362573</v>
      </c>
      <c r="F96" s="429">
        <v>1.3547570341430997</v>
      </c>
      <c r="G96" s="429">
        <v>1.4079429402451034</v>
      </c>
      <c r="H96" s="429">
        <v>1.3854535929951102</v>
      </c>
      <c r="I96" s="429">
        <v>1.4586203476196999</v>
      </c>
      <c r="J96" s="429">
        <v>1.5116483056447598</v>
      </c>
      <c r="K96" s="429">
        <v>1.3747178852883724</v>
      </c>
      <c r="L96" s="429">
        <v>1.5084736804020653</v>
      </c>
      <c r="M96" s="429">
        <v>1.2353251083242862</v>
      </c>
      <c r="N96" s="429">
        <v>1.2060101581778027</v>
      </c>
      <c r="O96" s="429">
        <v>1.0157542256986645</v>
      </c>
      <c r="P96" s="429">
        <v>1.0830862181009844</v>
      </c>
      <c r="Q96" s="429">
        <v>2974.8268928277421</v>
      </c>
      <c r="R96" s="429">
        <v>16.218100080940367</v>
      </c>
      <c r="S96" s="429">
        <v>23.101053874006855</v>
      </c>
      <c r="T96" s="429">
        <v>3207.6540481951783</v>
      </c>
      <c r="U96" s="429">
        <v>3324.8196251332029</v>
      </c>
      <c r="V96" s="429">
        <v>3482.5856689349112</v>
      </c>
      <c r="W96" s="429">
        <v>960.53159558151617</v>
      </c>
      <c r="X96" s="429">
        <v>39.864664696257144</v>
      </c>
      <c r="Y96" s="429">
        <v>41.140704344222563</v>
      </c>
      <c r="Z96" s="429">
        <v>43.808623894647951</v>
      </c>
      <c r="AA96" s="429">
        <v>36.762669953984719</v>
      </c>
      <c r="AB96" s="429">
        <v>37.806702393229159</v>
      </c>
      <c r="AC96" s="429">
        <v>33.316559702772459</v>
      </c>
      <c r="AD96" s="429">
        <v>3.2916171159605359</v>
      </c>
      <c r="AE96" s="429">
        <v>0</v>
      </c>
      <c r="AF96" s="429">
        <v>0</v>
      </c>
      <c r="AG96" s="429">
        <v>0</v>
      </c>
      <c r="AH96" s="429">
        <v>3.0179466263526584</v>
      </c>
      <c r="AI96" s="429">
        <v>6.3746235568568004</v>
      </c>
      <c r="AJ96" s="429">
        <v>6.2406176433833167</v>
      </c>
      <c r="AK96" s="429">
        <v>6.998617361422129</v>
      </c>
      <c r="AL96" s="429">
        <v>0</v>
      </c>
      <c r="AM96" s="429">
        <v>0</v>
      </c>
      <c r="AN96" s="429">
        <v>0</v>
      </c>
      <c r="AO96" s="432"/>
      <c r="AP96" s="428">
        <v>41824.685380902774</v>
      </c>
      <c r="AQ96" s="431">
        <v>93.184687302309726</v>
      </c>
      <c r="AR96" s="431">
        <v>124.48110033039301</v>
      </c>
      <c r="AS96" s="431">
        <v>75.243705882471559</v>
      </c>
      <c r="AT96" s="431">
        <v>90.59225025369534</v>
      </c>
      <c r="AU96" s="431">
        <v>17.138243699166878</v>
      </c>
      <c r="AV96" s="431">
        <v>54.063865584898103</v>
      </c>
      <c r="AW96" s="431">
        <v>-1.5530865967527985</v>
      </c>
      <c r="AX96" s="431">
        <v>14.254006938435836</v>
      </c>
      <c r="AY96" s="431">
        <v>117.25150226464184</v>
      </c>
      <c r="AZ96" s="431">
        <v>13.451104440049903</v>
      </c>
      <c r="BA96" s="431">
        <v>3.8033975670815541</v>
      </c>
      <c r="BB96" s="431">
        <v>2.7271419997493815</v>
      </c>
      <c r="BC96" s="431">
        <v>1.9539213531530961</v>
      </c>
      <c r="BD96" s="431">
        <v>80.025462213362303</v>
      </c>
      <c r="BE96" s="431">
        <v>364092.74202705867</v>
      </c>
      <c r="BF96" s="431">
        <v>8150.728749453343</v>
      </c>
      <c r="BG96" s="431">
        <v>-2058.9684348761507</v>
      </c>
      <c r="BH96" s="431">
        <v>383264.80905998591</v>
      </c>
      <c r="BI96" s="431">
        <v>368842.6960474092</v>
      </c>
      <c r="BJ96" s="431">
        <v>-14747.323492579164</v>
      </c>
      <c r="BK96" s="431">
        <v>367898.17872512987</v>
      </c>
      <c r="BL96" s="431">
        <v>2983.2649198613867</v>
      </c>
      <c r="BM96" s="431">
        <v>-119.27895904872196</v>
      </c>
      <c r="BN96" s="431">
        <v>143.31118944294533</v>
      </c>
      <c r="BO96" s="431">
        <v>2440.8531162502254</v>
      </c>
      <c r="BP96" s="431">
        <v>-97.591875585317936</v>
      </c>
      <c r="BQ96" s="431">
        <v>1611.7264626996259</v>
      </c>
      <c r="BR96" s="431">
        <v>828.08136123378438</v>
      </c>
      <c r="BS96" s="431">
        <v>0</v>
      </c>
      <c r="BT96" s="431">
        <v>0</v>
      </c>
      <c r="BU96" s="431">
        <v>0</v>
      </c>
      <c r="BV96" s="431">
        <v>772.41682039763691</v>
      </c>
      <c r="BW96" s="431">
        <v>1269.8193356579409</v>
      </c>
      <c r="BX96" s="431">
        <v>1180.5921309165005</v>
      </c>
      <c r="BY96" s="431">
        <v>976.78410435226215</v>
      </c>
      <c r="BZ96" s="431">
        <v>0</v>
      </c>
      <c r="CA96" s="431">
        <v>0</v>
      </c>
      <c r="CB96" s="431">
        <v>0</v>
      </c>
      <c r="CC96" s="432"/>
      <c r="CD96" s="428">
        <v>41824.685380902774</v>
      </c>
      <c r="CE96" s="433">
        <v>0.30887516912936769</v>
      </c>
      <c r="CF96" s="433">
        <v>0.21465334314226731</v>
      </c>
      <c r="CG96" s="433">
        <v>0.17822376316137725</v>
      </c>
      <c r="CH96" s="433" t="e">
        <v>#REF!</v>
      </c>
      <c r="CI96" s="433">
        <v>0.11969468358927447</v>
      </c>
      <c r="CJ96" s="433">
        <v>0.27010074318834371</v>
      </c>
      <c r="CK96" s="433">
        <v>0.26007046015078716</v>
      </c>
      <c r="CL96" s="433">
        <v>0.2795059670458605</v>
      </c>
      <c r="CM96" s="433">
        <v>0.2017515561404124</v>
      </c>
      <c r="CN96" s="433">
        <v>0.20249405129474354</v>
      </c>
      <c r="CO96" s="433">
        <v>0.62654907473547627</v>
      </c>
      <c r="CP96" s="433">
        <v>0.66252610719962202</v>
      </c>
      <c r="CQ96" s="433">
        <v>0.70077118864502774</v>
      </c>
      <c r="CR96" s="433">
        <v>0.38975168317710257</v>
      </c>
      <c r="CS96" s="433">
        <v>0.39443520669059223</v>
      </c>
      <c r="CT96" s="433">
        <v>0.447221292916757</v>
      </c>
      <c r="CU96" s="433">
        <v>0.3622790598707698</v>
      </c>
      <c r="CV96" s="433">
        <v>0.47604249083347333</v>
      </c>
      <c r="CW96" s="433">
        <v>0.4759898508915783</v>
      </c>
      <c r="CX96" s="433">
        <v>0.4007797062399322</v>
      </c>
      <c r="CY96" s="433">
        <v>0.40798711211863076</v>
      </c>
      <c r="CZ96" s="433">
        <v>0.29816004259848461</v>
      </c>
      <c r="DA96" s="433">
        <v>0.25104840798869349</v>
      </c>
      <c r="DB96" s="433">
        <v>0.80602184361489149</v>
      </c>
      <c r="DC96" s="433">
        <v>0.29816004259848461</v>
      </c>
      <c r="DD96" s="433">
        <v>0.25104840798869349</v>
      </c>
      <c r="DE96" s="433">
        <v>0.34680721234892764</v>
      </c>
      <c r="DF96" s="433">
        <v>0.40997005857291635</v>
      </c>
      <c r="DG96" s="433">
        <v>0</v>
      </c>
      <c r="DH96" s="433">
        <v>0</v>
      </c>
      <c r="DI96" s="433">
        <v>0</v>
      </c>
      <c r="DJ96" s="433">
        <v>0.35031031550396724</v>
      </c>
      <c r="DK96" s="433">
        <v>0.33543004792329517</v>
      </c>
      <c r="DL96" s="433">
        <v>0.2866175308668823</v>
      </c>
      <c r="DM96" s="433">
        <v>0.40997005857291635</v>
      </c>
      <c r="DN96" s="433">
        <v>0</v>
      </c>
      <c r="DO96" s="433">
        <v>0</v>
      </c>
      <c r="DP96" s="433">
        <v>0</v>
      </c>
      <c r="DR96" s="409" t="s">
        <v>711</v>
      </c>
      <c r="DS96" s="409" t="s">
        <v>2526</v>
      </c>
    </row>
    <row r="97" spans="2:123" s="1471" customFormat="1">
      <c r="B97" s="428">
        <v>41824.690291203704</v>
      </c>
      <c r="C97" s="429">
        <v>1.4149491759725235</v>
      </c>
      <c r="D97" s="429">
        <v>1.4161355416935255</v>
      </c>
      <c r="E97" s="429">
        <v>1.4439427808362573</v>
      </c>
      <c r="F97" s="429">
        <v>1.3547570341430997</v>
      </c>
      <c r="G97" s="429">
        <v>1.4079429402451034</v>
      </c>
      <c r="H97" s="429">
        <v>1.3854535929951102</v>
      </c>
      <c r="I97" s="429">
        <v>1.4606205145319007</v>
      </c>
      <c r="J97" s="429">
        <v>1.5116483056447598</v>
      </c>
      <c r="K97" s="429">
        <v>1.3747178852883724</v>
      </c>
      <c r="L97" s="429">
        <v>1.5084736804020653</v>
      </c>
      <c r="M97" s="429">
        <v>1.2353251083242862</v>
      </c>
      <c r="N97" s="429">
        <v>1.2060101581778027</v>
      </c>
      <c r="O97" s="429">
        <v>1.0157542256986645</v>
      </c>
      <c r="P97" s="429">
        <v>1.0830862181009844</v>
      </c>
      <c r="Q97" s="429">
        <v>2974.8268928277421</v>
      </c>
      <c r="R97" s="429">
        <v>16.218100080940367</v>
      </c>
      <c r="S97" s="429">
        <v>23.175556863315826</v>
      </c>
      <c r="T97" s="429">
        <v>3207.6540481951783</v>
      </c>
      <c r="U97" s="429">
        <v>3324.8196251332029</v>
      </c>
      <c r="V97" s="429">
        <v>3490.1053442354323</v>
      </c>
      <c r="W97" s="429">
        <v>960.53159558151617</v>
      </c>
      <c r="X97" s="429">
        <v>39.864664696257144</v>
      </c>
      <c r="Y97" s="429">
        <v>41.201524807181947</v>
      </c>
      <c r="Z97" s="429">
        <v>43.808623894647951</v>
      </c>
      <c r="AA97" s="429">
        <v>36.762669953984719</v>
      </c>
      <c r="AB97" s="429">
        <v>37.856464590195934</v>
      </c>
      <c r="AC97" s="429">
        <v>33.316559702772459</v>
      </c>
      <c r="AD97" s="429">
        <v>3.2916171159605359</v>
      </c>
      <c r="AE97" s="429">
        <v>0</v>
      </c>
      <c r="AF97" s="429">
        <v>0</v>
      </c>
      <c r="AG97" s="429">
        <v>0</v>
      </c>
      <c r="AH97" s="429">
        <v>3.0179466263526584</v>
      </c>
      <c r="AI97" s="429">
        <v>6.3746235568568004</v>
      </c>
      <c r="AJ97" s="429">
        <v>6.2406176433833167</v>
      </c>
      <c r="AK97" s="429">
        <v>6.998617361422129</v>
      </c>
      <c r="AL97" s="429">
        <v>0</v>
      </c>
      <c r="AM97" s="429">
        <v>0</v>
      </c>
      <c r="AN97" s="429">
        <v>0</v>
      </c>
      <c r="AO97" s="432"/>
      <c r="AP97" s="428">
        <v>41824.690291203704</v>
      </c>
      <c r="AQ97" s="431">
        <v>93.184687302309726</v>
      </c>
      <c r="AR97" s="431">
        <v>124.48110033039301</v>
      </c>
      <c r="AS97" s="431">
        <v>75.243705882471559</v>
      </c>
      <c r="AT97" s="431">
        <v>90.59225025369534</v>
      </c>
      <c r="AU97" s="431">
        <v>17.138243699166878</v>
      </c>
      <c r="AV97" s="431">
        <v>54.063865584898103</v>
      </c>
      <c r="AW97" s="431">
        <v>-1.5530865967527985</v>
      </c>
      <c r="AX97" s="431">
        <v>14.254006938435836</v>
      </c>
      <c r="AY97" s="431">
        <v>117.25150226464184</v>
      </c>
      <c r="AZ97" s="431">
        <v>13.451104440049903</v>
      </c>
      <c r="BA97" s="431">
        <v>3.8033975670815541</v>
      </c>
      <c r="BB97" s="431">
        <v>2.7271419997493815</v>
      </c>
      <c r="BC97" s="431">
        <v>1.9539213531530961</v>
      </c>
      <c r="BD97" s="431">
        <v>80.025462213362303</v>
      </c>
      <c r="BE97" s="431">
        <v>364092.74202705867</v>
      </c>
      <c r="BF97" s="431">
        <v>8150.728749453343</v>
      </c>
      <c r="BG97" s="431">
        <v>-2065.763561270111</v>
      </c>
      <c r="BH97" s="431">
        <v>383264.80905998591</v>
      </c>
      <c r="BI97" s="431">
        <v>368842.6960474092</v>
      </c>
      <c r="BJ97" s="431">
        <v>-14747.323492579164</v>
      </c>
      <c r="BK97" s="431">
        <v>367898.17872512987</v>
      </c>
      <c r="BL97" s="431">
        <v>2983.2649198613867</v>
      </c>
      <c r="BM97" s="431">
        <v>-119.27895904872196</v>
      </c>
      <c r="BN97" s="431">
        <v>143.31118944294533</v>
      </c>
      <c r="BO97" s="431">
        <v>2440.8531162502254</v>
      </c>
      <c r="BP97" s="431">
        <v>-97.591875585317936</v>
      </c>
      <c r="BQ97" s="431">
        <v>1611.7264626996259</v>
      </c>
      <c r="BR97" s="431">
        <v>828.08136123378438</v>
      </c>
      <c r="BS97" s="431">
        <v>0</v>
      </c>
      <c r="BT97" s="431">
        <v>0</v>
      </c>
      <c r="BU97" s="431">
        <v>0</v>
      </c>
      <c r="BV97" s="431">
        <v>772.41682039763691</v>
      </c>
      <c r="BW97" s="431">
        <v>1269.8193356579409</v>
      </c>
      <c r="BX97" s="431">
        <v>1180.5921309165005</v>
      </c>
      <c r="BY97" s="431">
        <v>976.78410435226215</v>
      </c>
      <c r="BZ97" s="431">
        <v>0</v>
      </c>
      <c r="CA97" s="431">
        <v>0</v>
      </c>
      <c r="CB97" s="431">
        <v>0</v>
      </c>
      <c r="CC97" s="432"/>
      <c r="CD97" s="428">
        <v>41824.690291203704</v>
      </c>
      <c r="CE97" s="433">
        <v>0.30887516912936769</v>
      </c>
      <c r="CF97" s="433">
        <v>0.21465334314226731</v>
      </c>
      <c r="CG97" s="433">
        <v>0.17822376316137725</v>
      </c>
      <c r="CH97" s="433" t="e">
        <v>#REF!</v>
      </c>
      <c r="CI97" s="433">
        <v>0.11969468358927447</v>
      </c>
      <c r="CJ97" s="433">
        <v>0.27010074318834371</v>
      </c>
      <c r="CK97" s="433">
        <v>0.26007046015078716</v>
      </c>
      <c r="CL97" s="433">
        <v>0.2795059670458605</v>
      </c>
      <c r="CM97" s="433">
        <v>0.2017515561404124</v>
      </c>
      <c r="CN97" s="433">
        <v>0.20249405129474354</v>
      </c>
      <c r="CO97" s="433">
        <v>0.62654907473547627</v>
      </c>
      <c r="CP97" s="433">
        <v>0.66252610719962202</v>
      </c>
      <c r="CQ97" s="433">
        <v>0.70077118864502774</v>
      </c>
      <c r="CR97" s="433">
        <v>0.38975168317710257</v>
      </c>
      <c r="CS97" s="433">
        <v>0.39443520669059223</v>
      </c>
      <c r="CT97" s="433">
        <v>0.447221292916757</v>
      </c>
      <c r="CU97" s="433">
        <v>0.3622790598707698</v>
      </c>
      <c r="CV97" s="433">
        <v>0.47604249083347333</v>
      </c>
      <c r="CW97" s="433">
        <v>0.4759898508915783</v>
      </c>
      <c r="CX97" s="433">
        <v>0.4007797062399322</v>
      </c>
      <c r="CY97" s="433">
        <v>0.40798711211863076</v>
      </c>
      <c r="CZ97" s="433">
        <v>0.29816004259848461</v>
      </c>
      <c r="DA97" s="433">
        <v>0.25104840798869349</v>
      </c>
      <c r="DB97" s="433">
        <v>0.80602184361489149</v>
      </c>
      <c r="DC97" s="433">
        <v>0.29816004259848461</v>
      </c>
      <c r="DD97" s="433">
        <v>0.25104840798869349</v>
      </c>
      <c r="DE97" s="433">
        <v>0.34680721234892764</v>
      </c>
      <c r="DF97" s="433">
        <v>0.40997005857291635</v>
      </c>
      <c r="DG97" s="433">
        <v>0</v>
      </c>
      <c r="DH97" s="433">
        <v>0</v>
      </c>
      <c r="DI97" s="433">
        <v>0</v>
      </c>
      <c r="DJ97" s="433">
        <v>0.35031031550396724</v>
      </c>
      <c r="DK97" s="433">
        <v>0.33543004792329517</v>
      </c>
      <c r="DL97" s="433">
        <v>0.2866175308668823</v>
      </c>
      <c r="DM97" s="433">
        <v>0.40997005857291635</v>
      </c>
      <c r="DN97" s="433">
        <v>0</v>
      </c>
      <c r="DO97" s="433">
        <v>0</v>
      </c>
      <c r="DP97" s="433">
        <v>0</v>
      </c>
      <c r="DR97" s="409" t="s">
        <v>711</v>
      </c>
      <c r="DS97" s="409" t="s">
        <v>2528</v>
      </c>
    </row>
    <row r="98" spans="2:123" s="1471" customFormat="1">
      <c r="B98" s="428">
        <v>41842.401785879629</v>
      </c>
      <c r="C98" s="429">
        <v>1.4149509054982858</v>
      </c>
      <c r="D98" s="429">
        <v>1.4161493596875809</v>
      </c>
      <c r="E98" s="429">
        <v>1.4373434420097957</v>
      </c>
      <c r="F98" s="429">
        <v>1.3421637517538259</v>
      </c>
      <c r="G98" s="429">
        <v>1.4079429402451034</v>
      </c>
      <c r="H98" s="429">
        <v>1.3918939988436556</v>
      </c>
      <c r="I98" s="429">
        <v>1.460767207552488</v>
      </c>
      <c r="J98" s="429">
        <v>1.5116483056447598</v>
      </c>
      <c r="K98" s="429">
        <v>1.3747037781715494</v>
      </c>
      <c r="L98" s="429">
        <v>1.5084174186377208</v>
      </c>
      <c r="M98" s="429">
        <v>1.2353384580987037</v>
      </c>
      <c r="N98" s="429">
        <v>1.2058928553610166</v>
      </c>
      <c r="O98" s="429">
        <v>1.0156446972499886</v>
      </c>
      <c r="P98" s="429">
        <v>1.1749851122677712</v>
      </c>
      <c r="Q98" s="429">
        <v>2975.3166589809239</v>
      </c>
      <c r="R98" s="429">
        <v>16.266992196607497</v>
      </c>
      <c r="S98" s="429">
        <v>23.178572096688821</v>
      </c>
      <c r="T98" s="429">
        <v>3208.1696040124625</v>
      </c>
      <c r="U98" s="429">
        <v>3324.8204657098613</v>
      </c>
      <c r="V98" s="429">
        <v>3490.699299279102</v>
      </c>
      <c r="W98" s="429">
        <v>960.53164816173251</v>
      </c>
      <c r="X98" s="429">
        <v>39.864671494989729</v>
      </c>
      <c r="Y98" s="429">
        <v>41.206328820558774</v>
      </c>
      <c r="Z98" s="429">
        <v>43.800590484177121</v>
      </c>
      <c r="AA98" s="429">
        <v>36.762675516584117</v>
      </c>
      <c r="AB98" s="429">
        <v>37.860395146595152</v>
      </c>
      <c r="AC98" s="429">
        <v>33.316602052110717</v>
      </c>
      <c r="AD98" s="429">
        <v>3.2916189803071676</v>
      </c>
      <c r="AE98" s="429">
        <v>3.0947191200189144</v>
      </c>
      <c r="AF98" s="429">
        <v>3.0178852212997289</v>
      </c>
      <c r="AG98" s="429">
        <v>0</v>
      </c>
      <c r="AH98" s="429">
        <v>6.3746264113866111</v>
      </c>
      <c r="AI98" s="429">
        <v>6.0731500060706463</v>
      </c>
      <c r="AJ98" s="429">
        <v>6.2405236251620826</v>
      </c>
      <c r="AK98" s="429">
        <v>6.9986195572142904</v>
      </c>
      <c r="AL98" s="429">
        <v>0</v>
      </c>
      <c r="AM98" s="429">
        <v>0</v>
      </c>
      <c r="AN98" s="429">
        <v>0</v>
      </c>
      <c r="AO98" s="432"/>
      <c r="AP98" s="428">
        <v>41842.401785879629</v>
      </c>
      <c r="AQ98" s="431">
        <v>93.115572163111594</v>
      </c>
      <c r="AR98" s="431">
        <v>124.35148379730329</v>
      </c>
      <c r="AS98" s="431">
        <v>48.122007858302808</v>
      </c>
      <c r="AT98" s="431">
        <v>38.827185425712173</v>
      </c>
      <c r="AU98" s="431">
        <v>17.138243699166878</v>
      </c>
      <c r="AV98" s="431">
        <v>38.623506241642154</v>
      </c>
      <c r="AW98" s="431">
        <v>-1.0392267659548533</v>
      </c>
      <c r="AX98" s="431">
        <v>14.254006938435836</v>
      </c>
      <c r="AY98" s="431">
        <v>117.03442954201576</v>
      </c>
      <c r="AZ98" s="431">
        <v>12.585378684796332</v>
      </c>
      <c r="BA98" s="431">
        <v>2.1254037771214698</v>
      </c>
      <c r="BB98" s="431">
        <v>0</v>
      </c>
      <c r="BC98" s="431">
        <v>0</v>
      </c>
      <c r="BD98" s="431">
        <v>79.107421085544118</v>
      </c>
      <c r="BE98" s="431">
        <v>363504.6299077617</v>
      </c>
      <c r="BF98" s="431">
        <v>8150.3571355642171</v>
      </c>
      <c r="BG98" s="431">
        <v>-2055.2013183995077</v>
      </c>
      <c r="BH98" s="431">
        <v>382645.72866345476</v>
      </c>
      <c r="BI98" s="431">
        <v>368562.85120300995</v>
      </c>
      <c r="BJ98" s="431">
        <v>-12666.722540876313</v>
      </c>
      <c r="BK98" s="431">
        <v>367880.6737155756</v>
      </c>
      <c r="BL98" s="431">
        <v>2981.0014852963359</v>
      </c>
      <c r="BM98" s="431">
        <v>-102.45069079789147</v>
      </c>
      <c r="BN98" s="431">
        <v>0</v>
      </c>
      <c r="BO98" s="431">
        <v>2439.0012152424561</v>
      </c>
      <c r="BP98" s="431">
        <v>-83.823292471002119</v>
      </c>
      <c r="BQ98" s="431">
        <v>1608.6815454119567</v>
      </c>
      <c r="BR98" s="431">
        <v>827.46068281296607</v>
      </c>
      <c r="BS98" s="431">
        <v>338.1026374459471</v>
      </c>
      <c r="BT98" s="431">
        <v>771.00679052573616</v>
      </c>
      <c r="BU98" s="431">
        <v>0</v>
      </c>
      <c r="BV98" s="431">
        <v>1268.8690053789273</v>
      </c>
      <c r="BW98" s="431">
        <v>519.60537353217114</v>
      </c>
      <c r="BX98" s="431">
        <v>1178.4332124868656</v>
      </c>
      <c r="BY98" s="431">
        <v>976.05308106071334</v>
      </c>
      <c r="BZ98" s="431">
        <v>0</v>
      </c>
      <c r="CA98" s="431">
        <v>0</v>
      </c>
      <c r="CB98" s="431">
        <v>0</v>
      </c>
      <c r="CC98" s="432"/>
      <c r="CD98" s="428">
        <v>41842.401785879629</v>
      </c>
      <c r="CE98" s="433">
        <v>0.30887516912936769</v>
      </c>
      <c r="CF98" s="433">
        <v>0.21465334314226731</v>
      </c>
      <c r="CG98" s="433">
        <v>0.17822376316137725</v>
      </c>
      <c r="CH98" s="433">
        <v>0.1804430703502535</v>
      </c>
      <c r="CI98" s="433">
        <v>0.11969468358927447</v>
      </c>
      <c r="CJ98" s="433">
        <v>0.27010074318834371</v>
      </c>
      <c r="CK98" s="433">
        <v>0.26007046015078716</v>
      </c>
      <c r="CL98" s="433">
        <v>0.2795059670458605</v>
      </c>
      <c r="CM98" s="433">
        <v>0.2017515561404124</v>
      </c>
      <c r="CN98" s="433">
        <v>0.20249405129474354</v>
      </c>
      <c r="CO98" s="433">
        <v>0.62842859560263786</v>
      </c>
      <c r="CP98" s="433">
        <v>0.66510138936101393</v>
      </c>
      <c r="CQ98" s="433">
        <v>0.70349513193076929</v>
      </c>
      <c r="CR98" s="433">
        <v>0.39067782389425465</v>
      </c>
      <c r="CS98" s="433">
        <v>0.39443520669059223</v>
      </c>
      <c r="CT98" s="433">
        <v>0.447221292916757</v>
      </c>
      <c r="CU98" s="433">
        <v>0.3622790598707698</v>
      </c>
      <c r="CV98" s="433">
        <v>0.47604249083347333</v>
      </c>
      <c r="CW98" s="433">
        <v>0.4759898508915783</v>
      </c>
      <c r="CX98" s="433">
        <v>0.4007797062399322</v>
      </c>
      <c r="CY98" s="433">
        <v>0.40798711211863076</v>
      </c>
      <c r="CZ98" s="433">
        <v>0.29816004259848461</v>
      </c>
      <c r="DA98" s="433">
        <v>0.25104840798869349</v>
      </c>
      <c r="DB98" s="433">
        <v>0.80915490305662041</v>
      </c>
      <c r="DC98" s="433">
        <v>0.29816004259848461</v>
      </c>
      <c r="DD98" s="433">
        <v>0.25104840798869349</v>
      </c>
      <c r="DE98" s="433">
        <v>0.34680721234892764</v>
      </c>
      <c r="DF98" s="433">
        <v>0.40997005857291635</v>
      </c>
      <c r="DG98" s="433">
        <v>0.35850475717306551</v>
      </c>
      <c r="DH98" s="433">
        <v>0.35031031550396724</v>
      </c>
      <c r="DI98" s="433">
        <v>0</v>
      </c>
      <c r="DJ98" s="433">
        <v>0.33543004792329517</v>
      </c>
      <c r="DK98" s="433">
        <v>0.29332207405068994</v>
      </c>
      <c r="DL98" s="433">
        <v>0.2866175308668823</v>
      </c>
      <c r="DM98" s="433">
        <v>0.40997005857291635</v>
      </c>
      <c r="DN98" s="433">
        <v>0</v>
      </c>
      <c r="DO98" s="433">
        <v>0</v>
      </c>
      <c r="DP98" s="433">
        <v>0</v>
      </c>
      <c r="DR98" s="409" t="s">
        <v>2542</v>
      </c>
      <c r="DS98" s="409" t="s">
        <v>2543</v>
      </c>
    </row>
    <row r="99" spans="2:123" s="1471" customFormat="1">
      <c r="B99" s="428">
        <v>41845.356078472221</v>
      </c>
      <c r="C99" s="429">
        <v>1.4149509054982858</v>
      </c>
      <c r="D99" s="429">
        <v>1.4161493596875809</v>
      </c>
      <c r="E99" s="429">
        <v>1.4373434420097957</v>
      </c>
      <c r="F99" s="429">
        <v>1.3421637517538259</v>
      </c>
      <c r="G99" s="429">
        <v>1.4653712787641893</v>
      </c>
      <c r="H99" s="429">
        <v>1.3918939988436556</v>
      </c>
      <c r="I99" s="429">
        <v>1.460767207552488</v>
      </c>
      <c r="J99" s="429">
        <v>1.5116483056447598</v>
      </c>
      <c r="K99" s="429">
        <v>1.3747037781715494</v>
      </c>
      <c r="L99" s="429">
        <v>1.5084174186377208</v>
      </c>
      <c r="M99" s="429">
        <v>1.2353384580987037</v>
      </c>
      <c r="N99" s="429">
        <v>1.2058928553610166</v>
      </c>
      <c r="O99" s="429">
        <v>1.0156446972499886</v>
      </c>
      <c r="P99" s="429">
        <v>1.1749851122677712</v>
      </c>
      <c r="Q99" s="429">
        <v>2975.3166589809239</v>
      </c>
      <c r="R99" s="429">
        <v>16.266992196607497</v>
      </c>
      <c r="S99" s="429">
        <v>23.178572096688821</v>
      </c>
      <c r="T99" s="429">
        <v>3208.1696040124625</v>
      </c>
      <c r="U99" s="429">
        <v>3324.8204657098613</v>
      </c>
      <c r="V99" s="429">
        <v>3490.699299279102</v>
      </c>
      <c r="W99" s="429">
        <v>960.53164816173251</v>
      </c>
      <c r="X99" s="429">
        <v>39.864671494989729</v>
      </c>
      <c r="Y99" s="429">
        <v>41.206328820558774</v>
      </c>
      <c r="Z99" s="429">
        <v>43.800590484177121</v>
      </c>
      <c r="AA99" s="429">
        <v>36.762675516584117</v>
      </c>
      <c r="AB99" s="429">
        <v>37.860395146595152</v>
      </c>
      <c r="AC99" s="429">
        <v>33.316602052110717</v>
      </c>
      <c r="AD99" s="429">
        <v>3.2916189803071676</v>
      </c>
      <c r="AE99" s="429">
        <v>3.1369440042285301</v>
      </c>
      <c r="AF99" s="429">
        <v>3.0178852212997289</v>
      </c>
      <c r="AG99" s="429">
        <v>0</v>
      </c>
      <c r="AH99" s="429">
        <v>6.3746264113866111</v>
      </c>
      <c r="AI99" s="429">
        <v>6.0731500060706463</v>
      </c>
      <c r="AJ99" s="429">
        <v>6.2405236251620826</v>
      </c>
      <c r="AK99" s="429">
        <v>6.9986195572142904</v>
      </c>
      <c r="AL99" s="429">
        <v>0</v>
      </c>
      <c r="AM99" s="429">
        <v>0</v>
      </c>
      <c r="AN99" s="429">
        <v>0</v>
      </c>
      <c r="AO99" s="432"/>
      <c r="AP99" s="428">
        <v>41845.356078472221</v>
      </c>
      <c r="AQ99" s="431">
        <v>93.115572163111594</v>
      </c>
      <c r="AR99" s="431">
        <v>124.35148379730329</v>
      </c>
      <c r="AS99" s="431">
        <v>48.122007858302808</v>
      </c>
      <c r="AT99" s="431">
        <v>38.827185425712173</v>
      </c>
      <c r="AU99" s="431">
        <v>43.084055296600567</v>
      </c>
      <c r="AV99" s="431">
        <v>38.623506241642154</v>
      </c>
      <c r="AW99" s="431">
        <v>-1.0392267659548533</v>
      </c>
      <c r="AX99" s="431">
        <v>14.254006938435836</v>
      </c>
      <c r="AY99" s="431">
        <v>117.03442954201576</v>
      </c>
      <c r="AZ99" s="431">
        <v>12.585378684796332</v>
      </c>
      <c r="BA99" s="431">
        <v>2.1254037771214698</v>
      </c>
      <c r="BB99" s="431">
        <v>0</v>
      </c>
      <c r="BC99" s="431">
        <v>0</v>
      </c>
      <c r="BD99" s="431">
        <v>79.107421085544118</v>
      </c>
      <c r="BE99" s="431">
        <v>363504.6299077617</v>
      </c>
      <c r="BF99" s="431">
        <v>8150.3571355642171</v>
      </c>
      <c r="BG99" s="431">
        <v>-2055.2013183995077</v>
      </c>
      <c r="BH99" s="431">
        <v>382645.72866345476</v>
      </c>
      <c r="BI99" s="431">
        <v>368562.85120300995</v>
      </c>
      <c r="BJ99" s="431">
        <v>-12666.722540876313</v>
      </c>
      <c r="BK99" s="431">
        <v>367880.6737155756</v>
      </c>
      <c r="BL99" s="431">
        <v>2981.0014852963359</v>
      </c>
      <c r="BM99" s="431">
        <v>-102.45069079789147</v>
      </c>
      <c r="BN99" s="431">
        <v>0</v>
      </c>
      <c r="BO99" s="431">
        <v>2439.0012152424561</v>
      </c>
      <c r="BP99" s="431">
        <v>-83.823292471002119</v>
      </c>
      <c r="BQ99" s="431">
        <v>1608.6815454119567</v>
      </c>
      <c r="BR99" s="431">
        <v>827.46068281296607</v>
      </c>
      <c r="BS99" s="431">
        <v>343.29464516049012</v>
      </c>
      <c r="BT99" s="431">
        <v>771.00679052573616</v>
      </c>
      <c r="BU99" s="431">
        <v>0</v>
      </c>
      <c r="BV99" s="431">
        <v>1268.8690053789273</v>
      </c>
      <c r="BW99" s="431">
        <v>519.60537353217114</v>
      </c>
      <c r="BX99" s="431">
        <v>1178.4332124868656</v>
      </c>
      <c r="BY99" s="431">
        <v>976.05308106071334</v>
      </c>
      <c r="BZ99" s="431">
        <v>0</v>
      </c>
      <c r="CA99" s="431">
        <v>0</v>
      </c>
      <c r="CB99" s="431">
        <v>0</v>
      </c>
      <c r="CC99" s="432"/>
      <c r="CD99" s="428">
        <v>41845.356078472221</v>
      </c>
      <c r="CE99" s="433">
        <v>0.30887516912936769</v>
      </c>
      <c r="CF99" s="433">
        <v>0.21465334314226731</v>
      </c>
      <c r="CG99" s="433">
        <v>0.17822376316137725</v>
      </c>
      <c r="CH99" s="433">
        <v>0.1804430703502535</v>
      </c>
      <c r="CI99" s="433">
        <v>0.1647718856491506</v>
      </c>
      <c r="CJ99" s="433">
        <v>0.27010074318834371</v>
      </c>
      <c r="CK99" s="433">
        <v>0.26007046015078716</v>
      </c>
      <c r="CL99" s="433">
        <v>0.2795059670458605</v>
      </c>
      <c r="CM99" s="433">
        <v>0.2017515561404124</v>
      </c>
      <c r="CN99" s="433">
        <v>0.20249405129474354</v>
      </c>
      <c r="CO99" s="433">
        <v>0.62842859560263786</v>
      </c>
      <c r="CP99" s="433">
        <v>0.66510138936101393</v>
      </c>
      <c r="CQ99" s="433">
        <v>0.70349513193076929</v>
      </c>
      <c r="CR99" s="433">
        <v>0.39067782389425465</v>
      </c>
      <c r="CS99" s="433">
        <v>0.39443520669059223</v>
      </c>
      <c r="CT99" s="433">
        <v>0.447221292916757</v>
      </c>
      <c r="CU99" s="433">
        <v>0.3622790598707698</v>
      </c>
      <c r="CV99" s="433">
        <v>0.47604249083347333</v>
      </c>
      <c r="CW99" s="433">
        <v>0.4759898508915783</v>
      </c>
      <c r="CX99" s="433">
        <v>0.4007797062399322</v>
      </c>
      <c r="CY99" s="433">
        <v>0.40798711211863076</v>
      </c>
      <c r="CZ99" s="433">
        <v>0.29816004259848461</v>
      </c>
      <c r="DA99" s="433">
        <v>0.25104840798869349</v>
      </c>
      <c r="DB99" s="433">
        <v>0.80915490305662041</v>
      </c>
      <c r="DC99" s="433">
        <v>0.29816004259848461</v>
      </c>
      <c r="DD99" s="433">
        <v>0.25104840798869349</v>
      </c>
      <c r="DE99" s="433">
        <v>0.34680721234892764</v>
      </c>
      <c r="DF99" s="433">
        <v>0.40997005857291635</v>
      </c>
      <c r="DG99" s="433">
        <v>0.35850475717306551</v>
      </c>
      <c r="DH99" s="433">
        <v>0.35031031550396724</v>
      </c>
      <c r="DI99" s="433">
        <v>0</v>
      </c>
      <c r="DJ99" s="433">
        <v>0.33543004792329517</v>
      </c>
      <c r="DK99" s="433">
        <v>0.29332207405068994</v>
      </c>
      <c r="DL99" s="433">
        <v>0.2866175308668823</v>
      </c>
      <c r="DM99" s="433">
        <v>0.40997005857291635</v>
      </c>
      <c r="DN99" s="433">
        <v>0</v>
      </c>
      <c r="DO99" s="433">
        <v>0</v>
      </c>
      <c r="DP99" s="433">
        <v>0</v>
      </c>
      <c r="DR99" s="409" t="s">
        <v>2542</v>
      </c>
      <c r="DS99" s="409" t="s">
        <v>2544</v>
      </c>
    </row>
    <row r="100" spans="2:123" s="1471" customFormat="1">
      <c r="B100" s="428">
        <v>41845.563293981482</v>
      </c>
      <c r="C100" s="429">
        <v>1.4149509054982858</v>
      </c>
      <c r="D100" s="429">
        <v>1.4161493596875809</v>
      </c>
      <c r="E100" s="429">
        <v>1.4373434420097957</v>
      </c>
      <c r="F100" s="429">
        <v>1.3421637517538259</v>
      </c>
      <c r="G100" s="429">
        <v>1.4653712787641893</v>
      </c>
      <c r="H100" s="429">
        <v>1.3927183338624485</v>
      </c>
      <c r="I100" s="429">
        <v>1.460767207552488</v>
      </c>
      <c r="J100" s="429">
        <v>1.5116483056447598</v>
      </c>
      <c r="K100" s="429">
        <v>1.3747037781715494</v>
      </c>
      <c r="L100" s="429">
        <v>1.5084174186377208</v>
      </c>
      <c r="M100" s="429">
        <v>1.2353384580987037</v>
      </c>
      <c r="N100" s="429">
        <v>1.2058928553610166</v>
      </c>
      <c r="O100" s="429">
        <v>1.0156446972499886</v>
      </c>
      <c r="P100" s="429">
        <v>1.1749851122677712</v>
      </c>
      <c r="Q100" s="429">
        <v>2975.3166589809239</v>
      </c>
      <c r="R100" s="429">
        <v>16.266992196607497</v>
      </c>
      <c r="S100" s="429">
        <v>23.178572096688821</v>
      </c>
      <c r="T100" s="429">
        <v>3208.1696040124625</v>
      </c>
      <c r="U100" s="429">
        <v>3324.8204657098613</v>
      </c>
      <c r="V100" s="429">
        <v>3490.699299279102</v>
      </c>
      <c r="W100" s="429">
        <v>960.53164816173251</v>
      </c>
      <c r="X100" s="429">
        <v>39.864671494989729</v>
      </c>
      <c r="Y100" s="429">
        <v>41.206328820558774</v>
      </c>
      <c r="Z100" s="429">
        <v>43.800590484177121</v>
      </c>
      <c r="AA100" s="429">
        <v>36.762675516584117</v>
      </c>
      <c r="AB100" s="429">
        <v>37.860395146595152</v>
      </c>
      <c r="AC100" s="429">
        <v>33.316602052110717</v>
      </c>
      <c r="AD100" s="429">
        <v>3.2916189803071676</v>
      </c>
      <c r="AE100" s="429">
        <v>3.1444605045379688</v>
      </c>
      <c r="AF100" s="429">
        <v>3.0178852212997289</v>
      </c>
      <c r="AG100" s="429">
        <v>0</v>
      </c>
      <c r="AH100" s="429">
        <v>6.3746264113866111</v>
      </c>
      <c r="AI100" s="429">
        <v>6.0844845781701746</v>
      </c>
      <c r="AJ100" s="429">
        <v>6.2405236251620826</v>
      </c>
      <c r="AK100" s="429">
        <v>6.9986195572142904</v>
      </c>
      <c r="AL100" s="429">
        <v>0</v>
      </c>
      <c r="AM100" s="429">
        <v>0</v>
      </c>
      <c r="AN100" s="429">
        <v>0</v>
      </c>
      <c r="AO100" s="432"/>
      <c r="AP100" s="428">
        <v>41845.563293981482</v>
      </c>
      <c r="AQ100" s="431">
        <v>93.115572163111594</v>
      </c>
      <c r="AR100" s="431">
        <v>124.35148379730329</v>
      </c>
      <c r="AS100" s="431">
        <v>48.122007858302808</v>
      </c>
      <c r="AT100" s="431">
        <v>38.827185425712173</v>
      </c>
      <c r="AU100" s="431">
        <v>43.084055296600567</v>
      </c>
      <c r="AV100" s="431">
        <v>42.010592298912364</v>
      </c>
      <c r="AW100" s="431">
        <v>-1.0392267659548533</v>
      </c>
      <c r="AX100" s="431">
        <v>14.254006938435836</v>
      </c>
      <c r="AY100" s="431">
        <v>117.03442954201576</v>
      </c>
      <c r="AZ100" s="431">
        <v>12.585378684796332</v>
      </c>
      <c r="BA100" s="431">
        <v>2.1254037771214698</v>
      </c>
      <c r="BB100" s="431">
        <v>0</v>
      </c>
      <c r="BC100" s="431">
        <v>0</v>
      </c>
      <c r="BD100" s="431">
        <v>79.107421085544118</v>
      </c>
      <c r="BE100" s="431">
        <v>363504.6299077617</v>
      </c>
      <c r="BF100" s="431">
        <v>8150.3571355642171</v>
      </c>
      <c r="BG100" s="431">
        <v>-2055.2013183995077</v>
      </c>
      <c r="BH100" s="431">
        <v>382645.72866345476</v>
      </c>
      <c r="BI100" s="431">
        <v>368562.85120300995</v>
      </c>
      <c r="BJ100" s="431">
        <v>-12666.722540876313</v>
      </c>
      <c r="BK100" s="431">
        <v>367880.6737155756</v>
      </c>
      <c r="BL100" s="431">
        <v>2981.0014852963359</v>
      </c>
      <c r="BM100" s="431">
        <v>-102.45069079789147</v>
      </c>
      <c r="BN100" s="431">
        <v>0</v>
      </c>
      <c r="BO100" s="431">
        <v>2439.0012152424561</v>
      </c>
      <c r="BP100" s="431">
        <v>-83.823292471002119</v>
      </c>
      <c r="BQ100" s="431">
        <v>1608.6815454119567</v>
      </c>
      <c r="BR100" s="431">
        <v>827.46068281296607</v>
      </c>
      <c r="BS100" s="431">
        <v>374.17897351869902</v>
      </c>
      <c r="BT100" s="431">
        <v>771.00679052573616</v>
      </c>
      <c r="BU100" s="431">
        <v>0</v>
      </c>
      <c r="BV100" s="431">
        <v>1268.8690053789273</v>
      </c>
      <c r="BW100" s="431">
        <v>566.17766543802657</v>
      </c>
      <c r="BX100" s="431">
        <v>1178.4332124868656</v>
      </c>
      <c r="BY100" s="431">
        <v>976.05308106071334</v>
      </c>
      <c r="BZ100" s="431">
        <v>0</v>
      </c>
      <c r="CA100" s="431">
        <v>0</v>
      </c>
      <c r="CB100" s="431">
        <v>0</v>
      </c>
      <c r="CC100" s="432"/>
      <c r="CD100" s="428">
        <v>41845.563293981482</v>
      </c>
      <c r="CE100" s="433">
        <v>0.30887516912936769</v>
      </c>
      <c r="CF100" s="433">
        <v>0.21465334314226731</v>
      </c>
      <c r="CG100" s="433">
        <v>0.17822376316137725</v>
      </c>
      <c r="CH100" s="433">
        <v>0.1804430703502535</v>
      </c>
      <c r="CI100" s="433">
        <v>0.1647718856491506</v>
      </c>
      <c r="CJ100" s="433">
        <v>0.27010074318834371</v>
      </c>
      <c r="CK100" s="433">
        <v>0.26007046015078716</v>
      </c>
      <c r="CL100" s="433">
        <v>0.2795059670458605</v>
      </c>
      <c r="CM100" s="433">
        <v>0.2017515561404124</v>
      </c>
      <c r="CN100" s="433">
        <v>0.20249405129474354</v>
      </c>
      <c r="CO100" s="433">
        <v>0.62842859560263786</v>
      </c>
      <c r="CP100" s="433">
        <v>0.66510138936101393</v>
      </c>
      <c r="CQ100" s="433">
        <v>0.70349513193076929</v>
      </c>
      <c r="CR100" s="433">
        <v>0.39067782389425465</v>
      </c>
      <c r="CS100" s="433">
        <v>0.39443520669059223</v>
      </c>
      <c r="CT100" s="433">
        <v>0.447221292916757</v>
      </c>
      <c r="CU100" s="433">
        <v>0.3622790598707698</v>
      </c>
      <c r="CV100" s="433">
        <v>0.47604249083347333</v>
      </c>
      <c r="CW100" s="433">
        <v>0.4759898508915783</v>
      </c>
      <c r="CX100" s="433">
        <v>0.4007797062399322</v>
      </c>
      <c r="CY100" s="433">
        <v>0.40798711211863076</v>
      </c>
      <c r="CZ100" s="433">
        <v>0.29816004259848461</v>
      </c>
      <c r="DA100" s="433">
        <v>0.25104840798869349</v>
      </c>
      <c r="DB100" s="433">
        <v>0.80915490305662041</v>
      </c>
      <c r="DC100" s="433">
        <v>0.29816004259848461</v>
      </c>
      <c r="DD100" s="433">
        <v>0.25104840798869349</v>
      </c>
      <c r="DE100" s="433">
        <v>0.34680721234892764</v>
      </c>
      <c r="DF100" s="433">
        <v>0.40997005857291635</v>
      </c>
      <c r="DG100" s="433">
        <v>0.35850475717306551</v>
      </c>
      <c r="DH100" s="433">
        <v>0.35031031550396724</v>
      </c>
      <c r="DI100" s="433">
        <v>0</v>
      </c>
      <c r="DJ100" s="433">
        <v>0.33543004792329517</v>
      </c>
      <c r="DK100" s="433">
        <v>0.29332207405068994</v>
      </c>
      <c r="DL100" s="433">
        <v>0.2866175308668823</v>
      </c>
      <c r="DM100" s="433">
        <v>0.40997005857291635</v>
      </c>
      <c r="DN100" s="433">
        <v>0</v>
      </c>
      <c r="DO100" s="433">
        <v>0</v>
      </c>
      <c r="DP100" s="433">
        <v>0</v>
      </c>
      <c r="DR100" s="409" t="s">
        <v>2542</v>
      </c>
      <c r="DS100" s="409" t="s">
        <v>2546</v>
      </c>
    </row>
    <row r="101" spans="2:123" s="1471" customFormat="1">
      <c r="B101" s="428">
        <v>41845.628211111114</v>
      </c>
      <c r="C101" s="429">
        <v>1.4149509054982858</v>
      </c>
      <c r="D101" s="429">
        <v>1.4161493596875809</v>
      </c>
      <c r="E101" s="429">
        <v>1.4373434420097957</v>
      </c>
      <c r="F101" s="429">
        <v>1.3421637517538259</v>
      </c>
      <c r="G101" s="429">
        <v>1.4653712787641893</v>
      </c>
      <c r="H101" s="429">
        <v>1.3927183338624485</v>
      </c>
      <c r="I101" s="429">
        <v>1.460767207552488</v>
      </c>
      <c r="J101" s="429">
        <v>1.5116483056447598</v>
      </c>
      <c r="K101" s="429">
        <v>1.3747037781715494</v>
      </c>
      <c r="L101" s="429">
        <v>1.5084174186377208</v>
      </c>
      <c r="M101" s="429">
        <v>1.2353384580987037</v>
      </c>
      <c r="N101" s="429">
        <v>1.2058928553610166</v>
      </c>
      <c r="O101" s="429">
        <v>1.0156446972499886</v>
      </c>
      <c r="P101" s="429">
        <v>1.1749851122677712</v>
      </c>
      <c r="Q101" s="429">
        <v>2975.3166589809239</v>
      </c>
      <c r="R101" s="429">
        <v>17.730079694711232</v>
      </c>
      <c r="S101" s="429">
        <v>24.641659594792557</v>
      </c>
      <c r="T101" s="429">
        <v>3208.1696040124625</v>
      </c>
      <c r="U101" s="429">
        <v>3324.8204657098613</v>
      </c>
      <c r="V101" s="429">
        <v>3490.699299279102</v>
      </c>
      <c r="W101" s="429">
        <v>960.53164816173251</v>
      </c>
      <c r="X101" s="429">
        <v>39.864671494989729</v>
      </c>
      <c r="Y101" s="429">
        <v>41.206328820558774</v>
      </c>
      <c r="Z101" s="429">
        <v>43.800590484177121</v>
      </c>
      <c r="AA101" s="429">
        <v>36.762675516584117</v>
      </c>
      <c r="AB101" s="429">
        <v>37.860395146595152</v>
      </c>
      <c r="AC101" s="429">
        <v>33.316602052110717</v>
      </c>
      <c r="AD101" s="429">
        <v>3.2916189803071676</v>
      </c>
      <c r="AE101" s="429">
        <v>3.1444605045379688</v>
      </c>
      <c r="AF101" s="429">
        <v>3.0178852212997289</v>
      </c>
      <c r="AG101" s="429">
        <v>0</v>
      </c>
      <c r="AH101" s="429">
        <v>6.3746264113866111</v>
      </c>
      <c r="AI101" s="429">
        <v>6.0844845781701746</v>
      </c>
      <c r="AJ101" s="429">
        <v>6.2405236251620826</v>
      </c>
      <c r="AK101" s="429">
        <v>6.9986195572142904</v>
      </c>
      <c r="AL101" s="429">
        <v>0</v>
      </c>
      <c r="AM101" s="429">
        <v>0</v>
      </c>
      <c r="AN101" s="429">
        <v>0</v>
      </c>
      <c r="AO101" s="432"/>
      <c r="AP101" s="428">
        <v>41845.628211111114</v>
      </c>
      <c r="AQ101" s="431">
        <v>93.115572163111594</v>
      </c>
      <c r="AR101" s="431">
        <v>124.35148379730329</v>
      </c>
      <c r="AS101" s="431">
        <v>48.122007858302808</v>
      </c>
      <c r="AT101" s="431">
        <v>38.827185425712173</v>
      </c>
      <c r="AU101" s="431">
        <v>43.084055296600567</v>
      </c>
      <c r="AV101" s="431">
        <v>42.010592298912364</v>
      </c>
      <c r="AW101" s="431">
        <v>-1.0392267659548533</v>
      </c>
      <c r="AX101" s="431">
        <v>14.254006938435836</v>
      </c>
      <c r="AY101" s="431">
        <v>117.03442954201576</v>
      </c>
      <c r="AZ101" s="431">
        <v>12.585378684796332</v>
      </c>
      <c r="BA101" s="431">
        <v>2.1254037771214698</v>
      </c>
      <c r="BB101" s="431">
        <v>0</v>
      </c>
      <c r="BC101" s="431">
        <v>0</v>
      </c>
      <c r="BD101" s="431">
        <v>79.107421085544118</v>
      </c>
      <c r="BE101" s="431">
        <v>363504.6299077617</v>
      </c>
      <c r="BF101" s="431">
        <v>8150.3037933058631</v>
      </c>
      <c r="BG101" s="431">
        <v>-2055.2546606578621</v>
      </c>
      <c r="BH101" s="431">
        <v>382645.72866345476</v>
      </c>
      <c r="BI101" s="431">
        <v>368562.85120300995</v>
      </c>
      <c r="BJ101" s="431">
        <v>-12666.722540876313</v>
      </c>
      <c r="BK101" s="431">
        <v>367880.6737155756</v>
      </c>
      <c r="BL101" s="431">
        <v>2981.0014852963359</v>
      </c>
      <c r="BM101" s="431">
        <v>-102.45069079789147</v>
      </c>
      <c r="BN101" s="431">
        <v>0</v>
      </c>
      <c r="BO101" s="431">
        <v>2439.0012152424561</v>
      </c>
      <c r="BP101" s="431">
        <v>-83.823292471002119</v>
      </c>
      <c r="BQ101" s="431">
        <v>1608.6815454119567</v>
      </c>
      <c r="BR101" s="431">
        <v>827.46068281296607</v>
      </c>
      <c r="BS101" s="431">
        <v>374.17897351869902</v>
      </c>
      <c r="BT101" s="431">
        <v>771.00679052573616</v>
      </c>
      <c r="BU101" s="431">
        <v>0</v>
      </c>
      <c r="BV101" s="431">
        <v>1268.8690053789273</v>
      </c>
      <c r="BW101" s="431">
        <v>566.17766543802657</v>
      </c>
      <c r="BX101" s="431">
        <v>1178.4332124868656</v>
      </c>
      <c r="BY101" s="431">
        <v>976.05308106071334</v>
      </c>
      <c r="BZ101" s="431">
        <v>0</v>
      </c>
      <c r="CA101" s="431">
        <v>0</v>
      </c>
      <c r="CB101" s="431">
        <v>0</v>
      </c>
      <c r="CC101" s="432"/>
      <c r="CD101" s="428">
        <v>41845.628211111114</v>
      </c>
      <c r="CE101" s="433">
        <v>0.30887516912936769</v>
      </c>
      <c r="CF101" s="433">
        <v>0.21465334314226731</v>
      </c>
      <c r="CG101" s="433">
        <v>0.17822376316137725</v>
      </c>
      <c r="CH101" s="433">
        <v>0.1804430703502535</v>
      </c>
      <c r="CI101" s="433">
        <v>0.1647718856491506</v>
      </c>
      <c r="CJ101" s="433">
        <v>0.27010074318834371</v>
      </c>
      <c r="CK101" s="433">
        <v>0.26007046015078716</v>
      </c>
      <c r="CL101" s="433">
        <v>0.2795059670458605</v>
      </c>
      <c r="CM101" s="433">
        <v>0.2017515561404124</v>
      </c>
      <c r="CN101" s="433">
        <v>0.20249405129474354</v>
      </c>
      <c r="CO101" s="433">
        <v>0.62842859560263786</v>
      </c>
      <c r="CP101" s="433">
        <v>0.66510138936101393</v>
      </c>
      <c r="CQ101" s="433">
        <v>0.70349513193076929</v>
      </c>
      <c r="CR101" s="433">
        <v>0.39067782389425465</v>
      </c>
      <c r="CS101" s="433">
        <v>0.39443520669059223</v>
      </c>
      <c r="CT101" s="433">
        <v>0.447221292916757</v>
      </c>
      <c r="CU101" s="433">
        <v>0.3622790598707698</v>
      </c>
      <c r="CV101" s="433">
        <v>0.47604249083347333</v>
      </c>
      <c r="CW101" s="433">
        <v>0.4759898508915783</v>
      </c>
      <c r="CX101" s="433">
        <v>0.4007797062399322</v>
      </c>
      <c r="CY101" s="433">
        <v>0.40798711211863076</v>
      </c>
      <c r="CZ101" s="433">
        <v>0.29816004259848461</v>
      </c>
      <c r="DA101" s="433">
        <v>0.25104840798869349</v>
      </c>
      <c r="DB101" s="433">
        <v>0.80915490305662041</v>
      </c>
      <c r="DC101" s="433">
        <v>0.29816004259848461</v>
      </c>
      <c r="DD101" s="433">
        <v>0.25104840798869349</v>
      </c>
      <c r="DE101" s="433">
        <v>0.34680721234892764</v>
      </c>
      <c r="DF101" s="433">
        <v>0.40997005857291635</v>
      </c>
      <c r="DG101" s="433">
        <v>0.35850475717306551</v>
      </c>
      <c r="DH101" s="433">
        <v>0.35031031550396724</v>
      </c>
      <c r="DI101" s="433">
        <v>0</v>
      </c>
      <c r="DJ101" s="433">
        <v>0.33543004792329517</v>
      </c>
      <c r="DK101" s="433">
        <v>0.29332207405068994</v>
      </c>
      <c r="DL101" s="433">
        <v>0.2866175308668823</v>
      </c>
      <c r="DM101" s="433">
        <v>0.40997005857291635</v>
      </c>
      <c r="DN101" s="433">
        <v>0</v>
      </c>
      <c r="DO101" s="433">
        <v>0</v>
      </c>
      <c r="DP101" s="433">
        <v>0</v>
      </c>
      <c r="DR101" s="409" t="s">
        <v>2542</v>
      </c>
      <c r="DS101" s="409" t="s">
        <v>2547</v>
      </c>
    </row>
    <row r="102" spans="2:123" s="1471" customFormat="1">
      <c r="B102" s="428">
        <v>41848.354437731483</v>
      </c>
      <c r="C102" s="429">
        <v>1.4149509054982858</v>
      </c>
      <c r="D102" s="429">
        <v>1.4161493596875809</v>
      </c>
      <c r="E102" s="429">
        <v>1.4373434420097957</v>
      </c>
      <c r="F102" s="429">
        <v>1.3421637517538259</v>
      </c>
      <c r="G102" s="429">
        <v>1.4653712787641893</v>
      </c>
      <c r="H102" s="429">
        <v>1.3927183338624485</v>
      </c>
      <c r="I102" s="429">
        <v>1.460767207552488</v>
      </c>
      <c r="J102" s="429">
        <v>1.5116483056447598</v>
      </c>
      <c r="K102" s="429">
        <v>1.3747037781715494</v>
      </c>
      <c r="L102" s="429">
        <v>1.5084174186377208</v>
      </c>
      <c r="M102" s="429">
        <v>1.2353384580987037</v>
      </c>
      <c r="N102" s="429">
        <v>1.2058928553610166</v>
      </c>
      <c r="O102" s="429">
        <v>1.0156446972499886</v>
      </c>
      <c r="P102" s="429">
        <v>1.1749851122677712</v>
      </c>
      <c r="Q102" s="429">
        <v>2975.3166589809239</v>
      </c>
      <c r="R102" s="429">
        <v>17.730079694711232</v>
      </c>
      <c r="S102" s="429">
        <v>24.490597352637408</v>
      </c>
      <c r="T102" s="429">
        <v>3208.1696040124625</v>
      </c>
      <c r="U102" s="429">
        <v>3324.8204657098613</v>
      </c>
      <c r="V102" s="429">
        <v>3490.699299279102</v>
      </c>
      <c r="W102" s="429">
        <v>960.53164816173251</v>
      </c>
      <c r="X102" s="429">
        <v>39.864671494989729</v>
      </c>
      <c r="Y102" s="429">
        <v>41.206328820558774</v>
      </c>
      <c r="Z102" s="429">
        <v>43.800590484177121</v>
      </c>
      <c r="AA102" s="429">
        <v>36.762675516584117</v>
      </c>
      <c r="AB102" s="429">
        <v>37.860395146595152</v>
      </c>
      <c r="AC102" s="429">
        <v>33.316602052110717</v>
      </c>
      <c r="AD102" s="429">
        <v>3.2916189803071676</v>
      </c>
      <c r="AE102" s="429">
        <v>3.1444605045379688</v>
      </c>
      <c r="AF102" s="429">
        <v>3.0178852212997289</v>
      </c>
      <c r="AG102" s="429">
        <v>0</v>
      </c>
      <c r="AH102" s="429">
        <v>6.3746264113866111</v>
      </c>
      <c r="AI102" s="429">
        <v>6.0844845781701746</v>
      </c>
      <c r="AJ102" s="429">
        <v>6.2405236251620826</v>
      </c>
      <c r="AK102" s="429">
        <v>6.9986195572142904</v>
      </c>
      <c r="AL102" s="429">
        <v>0</v>
      </c>
      <c r="AM102" s="429">
        <v>0</v>
      </c>
      <c r="AN102" s="429">
        <v>0</v>
      </c>
      <c r="AO102" s="432"/>
      <c r="AP102" s="428">
        <v>41848.354437731483</v>
      </c>
      <c r="AQ102" s="431">
        <v>93.115572163111594</v>
      </c>
      <c r="AR102" s="431">
        <v>124.35148379730329</v>
      </c>
      <c r="AS102" s="431">
        <v>48.122007858302808</v>
      </c>
      <c r="AT102" s="431">
        <v>38.827185425712173</v>
      </c>
      <c r="AU102" s="431">
        <v>43.084055296600567</v>
      </c>
      <c r="AV102" s="431">
        <v>42.010592298912364</v>
      </c>
      <c r="AW102" s="431">
        <v>-1.0392267659548533</v>
      </c>
      <c r="AX102" s="431">
        <v>14.254006938435836</v>
      </c>
      <c r="AY102" s="431">
        <v>117.03442954201576</v>
      </c>
      <c r="AZ102" s="431">
        <v>12.585378684796332</v>
      </c>
      <c r="BA102" s="431">
        <v>2.1254037771214698</v>
      </c>
      <c r="BB102" s="431">
        <v>0</v>
      </c>
      <c r="BC102" s="431">
        <v>0</v>
      </c>
      <c r="BD102" s="431">
        <v>79.107421085544118</v>
      </c>
      <c r="BE102" s="431">
        <v>363504.6299077617</v>
      </c>
      <c r="BF102" s="431">
        <v>8150.3037933058631</v>
      </c>
      <c r="BG102" s="431">
        <v>-3143.7324884513982</v>
      </c>
      <c r="BH102" s="431">
        <v>382645.72866345476</v>
      </c>
      <c r="BI102" s="431">
        <v>368562.85120300995</v>
      </c>
      <c r="BJ102" s="431">
        <v>-12666.722540876313</v>
      </c>
      <c r="BK102" s="431">
        <v>367880.6737155756</v>
      </c>
      <c r="BL102" s="431">
        <v>2981.0014852963359</v>
      </c>
      <c r="BM102" s="431">
        <v>-102.45069079789147</v>
      </c>
      <c r="BN102" s="431">
        <v>0</v>
      </c>
      <c r="BO102" s="431">
        <v>2439.0012152424561</v>
      </c>
      <c r="BP102" s="431">
        <v>-83.823292471002119</v>
      </c>
      <c r="BQ102" s="431">
        <v>1608.6815454119567</v>
      </c>
      <c r="BR102" s="431">
        <v>827.46068281296607</v>
      </c>
      <c r="BS102" s="431">
        <v>374.17897351869902</v>
      </c>
      <c r="BT102" s="431">
        <v>771.00679052573616</v>
      </c>
      <c r="BU102" s="431">
        <v>0</v>
      </c>
      <c r="BV102" s="431">
        <v>1268.8690053789273</v>
      </c>
      <c r="BW102" s="431">
        <v>566.17766543802657</v>
      </c>
      <c r="BX102" s="431">
        <v>1178.4332124868656</v>
      </c>
      <c r="BY102" s="431">
        <v>976.05308106071334</v>
      </c>
      <c r="BZ102" s="431">
        <v>0</v>
      </c>
      <c r="CA102" s="431">
        <v>0</v>
      </c>
      <c r="CB102" s="431">
        <v>0</v>
      </c>
      <c r="CC102" s="432"/>
      <c r="CD102" s="428">
        <v>41848.354437731483</v>
      </c>
      <c r="CE102" s="433">
        <v>0.30887516912936769</v>
      </c>
      <c r="CF102" s="433">
        <v>0.21465334314226731</v>
      </c>
      <c r="CG102" s="433">
        <v>0.17822376316137725</v>
      </c>
      <c r="CH102" s="433">
        <v>0.1804430703502535</v>
      </c>
      <c r="CI102" s="433">
        <v>0.1647718856491506</v>
      </c>
      <c r="CJ102" s="433">
        <v>0.27010074318834371</v>
      </c>
      <c r="CK102" s="433">
        <v>0.26007046015078716</v>
      </c>
      <c r="CL102" s="433">
        <v>0.2795059670458605</v>
      </c>
      <c r="CM102" s="433">
        <v>0.2017515561404124</v>
      </c>
      <c r="CN102" s="433">
        <v>0.20249405129474354</v>
      </c>
      <c r="CO102" s="433">
        <v>0.62842859560263786</v>
      </c>
      <c r="CP102" s="433">
        <v>0.66510138936101393</v>
      </c>
      <c r="CQ102" s="433">
        <v>0.70349513193076929</v>
      </c>
      <c r="CR102" s="433">
        <v>0.39067782389425465</v>
      </c>
      <c r="CS102" s="433">
        <v>0.39443520669059223</v>
      </c>
      <c r="CT102" s="433">
        <v>0.447221292916757</v>
      </c>
      <c r="CU102" s="433">
        <v>0.3622790598707698</v>
      </c>
      <c r="CV102" s="433">
        <v>0.47604249083347333</v>
      </c>
      <c r="CW102" s="433">
        <v>0.4759898508915783</v>
      </c>
      <c r="CX102" s="433">
        <v>0.4007797062399322</v>
      </c>
      <c r="CY102" s="433">
        <v>0.40798711211863076</v>
      </c>
      <c r="CZ102" s="433">
        <v>0.29816004259848461</v>
      </c>
      <c r="DA102" s="433">
        <v>0.25104840798869349</v>
      </c>
      <c r="DB102" s="433">
        <v>0.80915490305662041</v>
      </c>
      <c r="DC102" s="433">
        <v>0.29816004259848461</v>
      </c>
      <c r="DD102" s="433">
        <v>0.25104840798869349</v>
      </c>
      <c r="DE102" s="433">
        <v>0.34680721234892764</v>
      </c>
      <c r="DF102" s="433">
        <v>0.40997005857291635</v>
      </c>
      <c r="DG102" s="433">
        <v>0.35850475717306551</v>
      </c>
      <c r="DH102" s="433">
        <v>0.35031031550396724</v>
      </c>
      <c r="DI102" s="433">
        <v>0</v>
      </c>
      <c r="DJ102" s="433">
        <v>0.33543004792329517</v>
      </c>
      <c r="DK102" s="433">
        <v>0.29332207405068994</v>
      </c>
      <c r="DL102" s="433">
        <v>0.2866175308668823</v>
      </c>
      <c r="DM102" s="433">
        <v>0.40997005857291635</v>
      </c>
      <c r="DN102" s="433">
        <v>0</v>
      </c>
      <c r="DO102" s="433">
        <v>0</v>
      </c>
      <c r="DP102" s="433">
        <v>0</v>
      </c>
      <c r="DR102" s="409" t="s">
        <v>2542</v>
      </c>
      <c r="DS102" s="409" t="s">
        <v>2549</v>
      </c>
    </row>
    <row r="103" spans="2:123" s="1471" customFormat="1">
      <c r="B103" s="428">
        <v>41858.661214930558</v>
      </c>
      <c r="C103" s="429">
        <v>1.4149509054982858</v>
      </c>
      <c r="D103" s="429">
        <v>1.4161493596875809</v>
      </c>
      <c r="E103" s="429">
        <v>1.4373434420097957</v>
      </c>
      <c r="F103" s="429">
        <v>1.3421637517538259</v>
      </c>
      <c r="G103" s="429">
        <v>1.4653712787641893</v>
      </c>
      <c r="H103" s="429">
        <v>1.3927183338624485</v>
      </c>
      <c r="I103" s="429">
        <v>1.460767207552488</v>
      </c>
      <c r="J103" s="429">
        <v>1.5116483056447598</v>
      </c>
      <c r="K103" s="429">
        <v>1.3747037781715494</v>
      </c>
      <c r="L103" s="429">
        <v>1.5084174186377208</v>
      </c>
      <c r="M103" s="429">
        <v>1.2353384580987037</v>
      </c>
      <c r="N103" s="429">
        <v>1.2058928553610166</v>
      </c>
      <c r="O103" s="429">
        <v>1.0156446972499886</v>
      </c>
      <c r="P103" s="429">
        <v>1.1749851122677712</v>
      </c>
      <c r="Q103" s="429">
        <v>2975.3166589809239</v>
      </c>
      <c r="R103" s="429">
        <v>17.730079694711232</v>
      </c>
      <c r="S103" s="429">
        <v>24.490597352637408</v>
      </c>
      <c r="T103" s="429">
        <v>3208.1696040124625</v>
      </c>
      <c r="U103" s="429">
        <v>1801.5023181424472</v>
      </c>
      <c r="V103" s="429">
        <v>1967.3811517116883</v>
      </c>
      <c r="W103" s="429">
        <v>960.53164816173251</v>
      </c>
      <c r="X103" s="429">
        <v>39.864671494989729</v>
      </c>
      <c r="Y103" s="429">
        <v>41.206328820558774</v>
      </c>
      <c r="Z103" s="429">
        <v>43.800590484177121</v>
      </c>
      <c r="AA103" s="429">
        <v>36.762675516584117</v>
      </c>
      <c r="AB103" s="429">
        <v>37.860395146595152</v>
      </c>
      <c r="AC103" s="429">
        <v>33.316602052110717</v>
      </c>
      <c r="AD103" s="429">
        <v>3.2916189803071676</v>
      </c>
      <c r="AE103" s="429">
        <v>3.1444605045379688</v>
      </c>
      <c r="AF103" s="429">
        <v>3.0178852212997289</v>
      </c>
      <c r="AG103" s="429">
        <v>0</v>
      </c>
      <c r="AH103" s="429">
        <v>6.3746264113866111</v>
      </c>
      <c r="AI103" s="429">
        <v>6.0844845781701746</v>
      </c>
      <c r="AJ103" s="429">
        <v>6.2405236251620826</v>
      </c>
      <c r="AK103" s="429">
        <v>6.9986195572142904</v>
      </c>
      <c r="AL103" s="429">
        <v>0</v>
      </c>
      <c r="AM103" s="429">
        <v>0</v>
      </c>
      <c r="AN103" s="429">
        <v>0</v>
      </c>
      <c r="AO103" s="432"/>
      <c r="AP103" s="428">
        <v>41858.661214930558</v>
      </c>
      <c r="AQ103" s="431">
        <v>93.115572163111594</v>
      </c>
      <c r="AR103" s="431">
        <v>124.35148379730329</v>
      </c>
      <c r="AS103" s="431">
        <v>48.122007858302808</v>
      </c>
      <c r="AT103" s="431">
        <v>38.827185425712173</v>
      </c>
      <c r="AU103" s="431">
        <v>43.084055296600567</v>
      </c>
      <c r="AV103" s="431">
        <v>42.010592298912364</v>
      </c>
      <c r="AW103" s="431">
        <v>-1.0392267659548533</v>
      </c>
      <c r="AX103" s="431">
        <v>14.254006938435836</v>
      </c>
      <c r="AY103" s="431">
        <v>117.03442954201576</v>
      </c>
      <c r="AZ103" s="431">
        <v>12.585378684796332</v>
      </c>
      <c r="BA103" s="431">
        <v>2.1254037771214698</v>
      </c>
      <c r="BB103" s="431">
        <v>0</v>
      </c>
      <c r="BC103" s="431">
        <v>0</v>
      </c>
      <c r="BD103" s="431">
        <v>79.107421085544118</v>
      </c>
      <c r="BE103" s="431">
        <v>363504.6299077617</v>
      </c>
      <c r="BF103" s="431">
        <v>8150.3037933058631</v>
      </c>
      <c r="BG103" s="431">
        <v>-3143.7324884513982</v>
      </c>
      <c r="BH103" s="431">
        <v>382645.72866345476</v>
      </c>
      <c r="BI103" s="431">
        <v>368562.85120300995</v>
      </c>
      <c r="BJ103" s="431">
        <v>-12666.722540876313</v>
      </c>
      <c r="BK103" s="431">
        <v>367880.6737155756</v>
      </c>
      <c r="BL103" s="431">
        <v>2981.0014852963359</v>
      </c>
      <c r="BM103" s="431">
        <v>-102.45069079789147</v>
      </c>
      <c r="BN103" s="431">
        <v>0</v>
      </c>
      <c r="BO103" s="431">
        <v>2439.0012152424561</v>
      </c>
      <c r="BP103" s="431">
        <v>-83.823292471002119</v>
      </c>
      <c r="BQ103" s="431">
        <v>1608.6815454119567</v>
      </c>
      <c r="BR103" s="431">
        <v>827.46068281296607</v>
      </c>
      <c r="BS103" s="431">
        <v>374.17897351869902</v>
      </c>
      <c r="BT103" s="431">
        <v>771.00679052573616</v>
      </c>
      <c r="BU103" s="431">
        <v>0</v>
      </c>
      <c r="BV103" s="431">
        <v>1268.8690053789273</v>
      </c>
      <c r="BW103" s="431">
        <v>566.17766543802657</v>
      </c>
      <c r="BX103" s="431">
        <v>1178.4332124868656</v>
      </c>
      <c r="BY103" s="431">
        <v>976.05308106071334</v>
      </c>
      <c r="BZ103" s="431">
        <v>0</v>
      </c>
      <c r="CA103" s="431">
        <v>0</v>
      </c>
      <c r="CB103" s="431">
        <v>0</v>
      </c>
      <c r="CC103" s="432"/>
      <c r="CD103" s="428">
        <v>41858.661214930558</v>
      </c>
      <c r="CE103" s="433">
        <v>0.30887516912936769</v>
      </c>
      <c r="CF103" s="433">
        <v>0.21465334314226731</v>
      </c>
      <c r="CG103" s="433">
        <v>0.17822376316137725</v>
      </c>
      <c r="CH103" s="433">
        <v>0.1804430703502535</v>
      </c>
      <c r="CI103" s="433">
        <v>0.1647718856491506</v>
      </c>
      <c r="CJ103" s="433">
        <v>0.27010074318834371</v>
      </c>
      <c r="CK103" s="433">
        <v>0.26007046015078716</v>
      </c>
      <c r="CL103" s="433">
        <v>0.2795059670458605</v>
      </c>
      <c r="CM103" s="433">
        <v>0.2017515561404124</v>
      </c>
      <c r="CN103" s="433">
        <v>0.20249405129474354</v>
      </c>
      <c r="CO103" s="433">
        <v>0.62842859560263786</v>
      </c>
      <c r="CP103" s="433">
        <v>0.66510138936101393</v>
      </c>
      <c r="CQ103" s="433">
        <v>0.70349513193076929</v>
      </c>
      <c r="CR103" s="433">
        <v>0.39067782389425465</v>
      </c>
      <c r="CS103" s="433">
        <v>0.39443520669059223</v>
      </c>
      <c r="CT103" s="433">
        <v>0.447221292916757</v>
      </c>
      <c r="CU103" s="433">
        <v>0.3622790598707698</v>
      </c>
      <c r="CV103" s="433">
        <v>0.47604249083347333</v>
      </c>
      <c r="CW103" s="433">
        <v>0.4759898508915783</v>
      </c>
      <c r="CX103" s="433">
        <v>0.4007797062399322</v>
      </c>
      <c r="CY103" s="433">
        <v>0.40798711211863076</v>
      </c>
      <c r="CZ103" s="433">
        <v>0.29816004259848461</v>
      </c>
      <c r="DA103" s="433">
        <v>0.25104840798869349</v>
      </c>
      <c r="DB103" s="433">
        <v>0.80915490305662041</v>
      </c>
      <c r="DC103" s="433">
        <v>0.29816004259848461</v>
      </c>
      <c r="DD103" s="433">
        <v>0.25104840798869349</v>
      </c>
      <c r="DE103" s="433">
        <v>0.34680721234892764</v>
      </c>
      <c r="DF103" s="433">
        <v>0.40997005857291635</v>
      </c>
      <c r="DG103" s="433">
        <v>0.35850475717306551</v>
      </c>
      <c r="DH103" s="433">
        <v>0.35031031550396724</v>
      </c>
      <c r="DI103" s="433">
        <v>0</v>
      </c>
      <c r="DJ103" s="433">
        <v>0.33543004792329517</v>
      </c>
      <c r="DK103" s="433">
        <v>0.29332207405068994</v>
      </c>
      <c r="DL103" s="433">
        <v>0.2866175308668823</v>
      </c>
      <c r="DM103" s="433">
        <v>0.40997005857291635</v>
      </c>
      <c r="DN103" s="433">
        <v>0</v>
      </c>
      <c r="DO103" s="433">
        <v>0</v>
      </c>
      <c r="DP103" s="433">
        <v>0</v>
      </c>
      <c r="DR103" s="409" t="s">
        <v>855</v>
      </c>
      <c r="DS103" s="409" t="s">
        <v>2554</v>
      </c>
    </row>
    <row r="104" spans="2:123" s="1471" customFormat="1">
      <c r="B104" s="428">
        <v>41858.66740914352</v>
      </c>
      <c r="C104" s="429">
        <v>1.4149509054982858</v>
      </c>
      <c r="D104" s="429">
        <v>1.4161493596875809</v>
      </c>
      <c r="E104" s="429">
        <v>1.4373434420097957</v>
      </c>
      <c r="F104" s="429">
        <v>1.3421637517538259</v>
      </c>
      <c r="G104" s="429">
        <v>1.4653712787641893</v>
      </c>
      <c r="H104" s="429">
        <v>1.3927183338624485</v>
      </c>
      <c r="I104" s="429">
        <v>1.460767207552488</v>
      </c>
      <c r="J104" s="429">
        <v>1.5116483056447598</v>
      </c>
      <c r="K104" s="429">
        <v>1.3747037781715494</v>
      </c>
      <c r="L104" s="429">
        <v>1.5084174186377208</v>
      </c>
      <c r="M104" s="429">
        <v>1.2353384580987037</v>
      </c>
      <c r="N104" s="429">
        <v>1.2058928553610166</v>
      </c>
      <c r="O104" s="429">
        <v>1.0156446972499886</v>
      </c>
      <c r="P104" s="429">
        <v>1.1749851122677712</v>
      </c>
      <c r="Q104" s="429">
        <v>2975.3166589809239</v>
      </c>
      <c r="R104" s="429">
        <v>17.730079694711232</v>
      </c>
      <c r="S104" s="429">
        <v>24.490597352637408</v>
      </c>
      <c r="T104" s="429">
        <v>3208.1696040124625</v>
      </c>
      <c r="U104" s="429">
        <v>1801.5023181424472</v>
      </c>
      <c r="V104" s="429">
        <v>1967.3811517116883</v>
      </c>
      <c r="W104" s="429">
        <v>960.53164816173251</v>
      </c>
      <c r="X104" s="429">
        <v>51.357091692505257</v>
      </c>
      <c r="Y104" s="429">
        <v>52.698749018074302</v>
      </c>
      <c r="Z104" s="429">
        <v>57.591494721195758</v>
      </c>
      <c r="AA104" s="429">
        <v>59.286858520735031</v>
      </c>
      <c r="AB104" s="429">
        <v>60.384578150746073</v>
      </c>
      <c r="AC104" s="429">
        <v>67.173575574974166</v>
      </c>
      <c r="AD104" s="429">
        <v>3.2916189803071676</v>
      </c>
      <c r="AE104" s="429">
        <v>3.1444605045379688</v>
      </c>
      <c r="AF104" s="429">
        <v>3.0178852212997289</v>
      </c>
      <c r="AG104" s="429">
        <v>0</v>
      </c>
      <c r="AH104" s="429">
        <v>6.3746264113866111</v>
      </c>
      <c r="AI104" s="429">
        <v>6.0844845781701746</v>
      </c>
      <c r="AJ104" s="429">
        <v>6.2405236251620826</v>
      </c>
      <c r="AK104" s="429">
        <v>6.9986195572142904</v>
      </c>
      <c r="AL104" s="429">
        <v>0</v>
      </c>
      <c r="AM104" s="429">
        <v>0</v>
      </c>
      <c r="AN104" s="429">
        <v>0</v>
      </c>
      <c r="AO104" s="432"/>
      <c r="AP104" s="428">
        <v>41858.66740914352</v>
      </c>
      <c r="AQ104" s="431">
        <v>93.115572163111594</v>
      </c>
      <c r="AR104" s="431">
        <v>124.35148379730329</v>
      </c>
      <c r="AS104" s="431">
        <v>48.122007858302808</v>
      </c>
      <c r="AT104" s="431">
        <v>38.827185425712173</v>
      </c>
      <c r="AU104" s="431">
        <v>43.084055296600567</v>
      </c>
      <c r="AV104" s="431">
        <v>42.010592298912364</v>
      </c>
      <c r="AW104" s="431">
        <v>-1.0392267659548533</v>
      </c>
      <c r="AX104" s="431">
        <v>14.254006938435836</v>
      </c>
      <c r="AY104" s="431">
        <v>117.03442954201576</v>
      </c>
      <c r="AZ104" s="431">
        <v>12.585378684796332</v>
      </c>
      <c r="BA104" s="431">
        <v>2.1254037771214698</v>
      </c>
      <c r="BB104" s="431">
        <v>0</v>
      </c>
      <c r="BC104" s="431">
        <v>0</v>
      </c>
      <c r="BD104" s="431">
        <v>79.107421085544118</v>
      </c>
      <c r="BE104" s="431">
        <v>363504.6299077617</v>
      </c>
      <c r="BF104" s="431">
        <v>8150.3037933058631</v>
      </c>
      <c r="BG104" s="431">
        <v>-3143.7324884513982</v>
      </c>
      <c r="BH104" s="431">
        <v>382645.72866345476</v>
      </c>
      <c r="BI104" s="431">
        <v>368562.85120300995</v>
      </c>
      <c r="BJ104" s="431">
        <v>-12666.722540876313</v>
      </c>
      <c r="BK104" s="431">
        <v>367880.6737155756</v>
      </c>
      <c r="BL104" s="431">
        <v>2981.0014852963359</v>
      </c>
      <c r="BM104" s="431">
        <v>-102.45069079789147</v>
      </c>
      <c r="BN104" s="431">
        <v>0</v>
      </c>
      <c r="BO104" s="431">
        <v>2439.0012152424561</v>
      </c>
      <c r="BP104" s="431">
        <v>-83.823292471002119</v>
      </c>
      <c r="BQ104" s="431">
        <v>1608.6815454119567</v>
      </c>
      <c r="BR104" s="431">
        <v>827.46068281296607</v>
      </c>
      <c r="BS104" s="431">
        <v>374.17897351869902</v>
      </c>
      <c r="BT104" s="431">
        <v>771.00679052573616</v>
      </c>
      <c r="BU104" s="431">
        <v>0</v>
      </c>
      <c r="BV104" s="431">
        <v>1268.8690053789273</v>
      </c>
      <c r="BW104" s="431">
        <v>566.17766543802657</v>
      </c>
      <c r="BX104" s="431">
        <v>1178.4332124868656</v>
      </c>
      <c r="BY104" s="431">
        <v>976.05308106071334</v>
      </c>
      <c r="BZ104" s="431">
        <v>0</v>
      </c>
      <c r="CA104" s="431">
        <v>0</v>
      </c>
      <c r="CB104" s="431">
        <v>0</v>
      </c>
      <c r="CC104" s="432"/>
      <c r="CD104" s="428">
        <v>41858.66740914352</v>
      </c>
      <c r="CE104" s="433">
        <v>0.30887516912936769</v>
      </c>
      <c r="CF104" s="433">
        <v>0.21465334314226731</v>
      </c>
      <c r="CG104" s="433">
        <v>0.17822376316137725</v>
      </c>
      <c r="CH104" s="433">
        <v>0.1804430703502535</v>
      </c>
      <c r="CI104" s="433">
        <v>0.1647718856491506</v>
      </c>
      <c r="CJ104" s="433">
        <v>0.27010074318834371</v>
      </c>
      <c r="CK104" s="433">
        <v>0.26007046015078716</v>
      </c>
      <c r="CL104" s="433">
        <v>0.2795059670458605</v>
      </c>
      <c r="CM104" s="433">
        <v>0.2017515561404124</v>
      </c>
      <c r="CN104" s="433">
        <v>0.20249405129474354</v>
      </c>
      <c r="CO104" s="433">
        <v>0.62842859560263786</v>
      </c>
      <c r="CP104" s="433">
        <v>0.66510138936101393</v>
      </c>
      <c r="CQ104" s="433">
        <v>0.70349513193076929</v>
      </c>
      <c r="CR104" s="433">
        <v>0.39067782389425465</v>
      </c>
      <c r="CS104" s="433">
        <v>0.39443520669059223</v>
      </c>
      <c r="CT104" s="433">
        <v>0.447221292916757</v>
      </c>
      <c r="CU104" s="433">
        <v>0.3622790598707698</v>
      </c>
      <c r="CV104" s="433">
        <v>0.47604249083347333</v>
      </c>
      <c r="CW104" s="433">
        <v>0.4759898508915783</v>
      </c>
      <c r="CX104" s="433">
        <v>0.4007797062399322</v>
      </c>
      <c r="CY104" s="433">
        <v>0.40798711211863076</v>
      </c>
      <c r="CZ104" s="433">
        <v>0.29816004259848461</v>
      </c>
      <c r="DA104" s="433">
        <v>0.25104840798869349</v>
      </c>
      <c r="DB104" s="433">
        <v>0.80915490305662041</v>
      </c>
      <c r="DC104" s="433">
        <v>0.29816004259848461</v>
      </c>
      <c r="DD104" s="433">
        <v>0.25104840798869349</v>
      </c>
      <c r="DE104" s="433">
        <v>0.34680721234892764</v>
      </c>
      <c r="DF104" s="433">
        <v>0.40997005857291635</v>
      </c>
      <c r="DG104" s="433">
        <v>0.35850475717306551</v>
      </c>
      <c r="DH104" s="433">
        <v>0.35031031550396724</v>
      </c>
      <c r="DI104" s="433">
        <v>0</v>
      </c>
      <c r="DJ104" s="433">
        <v>0.33543004792329517</v>
      </c>
      <c r="DK104" s="433">
        <v>0.29332207405068994</v>
      </c>
      <c r="DL104" s="433">
        <v>0.2866175308668823</v>
      </c>
      <c r="DM104" s="433">
        <v>0.40997005857291635</v>
      </c>
      <c r="DN104" s="433">
        <v>0</v>
      </c>
      <c r="DO104" s="433">
        <v>0</v>
      </c>
      <c r="DP104" s="433">
        <v>0</v>
      </c>
      <c r="DR104" s="409" t="s">
        <v>855</v>
      </c>
      <c r="DS104" s="409" t="s">
        <v>2558</v>
      </c>
    </row>
    <row r="105" spans="2:123" s="1471" customFormat="1">
      <c r="B105" s="428">
        <v>41863.539557986114</v>
      </c>
      <c r="C105" s="429">
        <v>1.4149509054982858</v>
      </c>
      <c r="D105" s="429">
        <v>1.4161493596875809</v>
      </c>
      <c r="E105" s="429">
        <v>1.4373434420097957</v>
      </c>
      <c r="F105" s="429">
        <v>1.3421637517538259</v>
      </c>
      <c r="G105" s="429">
        <v>1.4653712787641893</v>
      </c>
      <c r="H105" s="429">
        <v>1.3927183338624485</v>
      </c>
      <c r="I105" s="429">
        <v>1.460767207552488</v>
      </c>
      <c r="J105" s="429">
        <v>1.5116483056447598</v>
      </c>
      <c r="K105" s="429">
        <v>1.3747037781715494</v>
      </c>
      <c r="L105" s="429">
        <v>1.5084174186377208</v>
      </c>
      <c r="M105" s="429">
        <v>1.2353384580987037</v>
      </c>
      <c r="N105" s="429">
        <v>1.2058928553610166</v>
      </c>
      <c r="O105" s="429">
        <v>1.0156446972499886</v>
      </c>
      <c r="P105" s="429">
        <v>1.1749851122677712</v>
      </c>
      <c r="Q105" s="429">
        <v>2975.3166589809239</v>
      </c>
      <c r="R105" s="429">
        <v>58.660403878173071</v>
      </c>
      <c r="S105" s="429">
        <v>65.420921536099243</v>
      </c>
      <c r="T105" s="429">
        <v>3208.1696040124625</v>
      </c>
      <c r="U105" s="429">
        <v>1801.5023181424472</v>
      </c>
      <c r="V105" s="429">
        <v>1967.3811517116883</v>
      </c>
      <c r="W105" s="429">
        <v>960.53164816173251</v>
      </c>
      <c r="X105" s="429">
        <v>51.357091692505257</v>
      </c>
      <c r="Y105" s="429">
        <v>52.698749018074302</v>
      </c>
      <c r="Z105" s="429">
        <v>57.591494721195758</v>
      </c>
      <c r="AA105" s="429">
        <v>59.286858520735031</v>
      </c>
      <c r="AB105" s="429">
        <v>60.384578150746073</v>
      </c>
      <c r="AC105" s="429">
        <v>67.173575574974166</v>
      </c>
      <c r="AD105" s="429">
        <v>3.2916189803071676</v>
      </c>
      <c r="AE105" s="429">
        <v>3.1444605045379688</v>
      </c>
      <c r="AF105" s="429">
        <v>3.0178852212997289</v>
      </c>
      <c r="AG105" s="429">
        <v>0</v>
      </c>
      <c r="AH105" s="429">
        <v>6.3746264113866111</v>
      </c>
      <c r="AI105" s="429">
        <v>6.0844845781701746</v>
      </c>
      <c r="AJ105" s="429">
        <v>6.2405236251620826</v>
      </c>
      <c r="AK105" s="429">
        <v>6.9986195572142904</v>
      </c>
      <c r="AL105" s="429">
        <v>0</v>
      </c>
      <c r="AM105" s="429">
        <v>0</v>
      </c>
      <c r="AN105" s="429">
        <v>0</v>
      </c>
      <c r="AO105" s="432"/>
      <c r="AP105" s="428">
        <v>41863.539557986114</v>
      </c>
      <c r="AQ105" s="431">
        <v>93.115572163111594</v>
      </c>
      <c r="AR105" s="431">
        <v>124.35148379730329</v>
      </c>
      <c r="AS105" s="431">
        <v>48.122007858302808</v>
      </c>
      <c r="AT105" s="431">
        <v>38.827185425712173</v>
      </c>
      <c r="AU105" s="431">
        <v>43.084055296600567</v>
      </c>
      <c r="AV105" s="431">
        <v>42.010592298912364</v>
      </c>
      <c r="AW105" s="431">
        <v>-1.0392267659548533</v>
      </c>
      <c r="AX105" s="431">
        <v>14.254006938435836</v>
      </c>
      <c r="AY105" s="431">
        <v>117.03442954201576</v>
      </c>
      <c r="AZ105" s="431">
        <v>12.585378684796332</v>
      </c>
      <c r="BA105" s="431">
        <v>2.1254037771214698</v>
      </c>
      <c r="BB105" s="431">
        <v>0</v>
      </c>
      <c r="BC105" s="431">
        <v>0</v>
      </c>
      <c r="BD105" s="431">
        <v>79.107421085544118</v>
      </c>
      <c r="BE105" s="431">
        <v>363504.6299077617</v>
      </c>
      <c r="BF105" s="431">
        <v>8150.3037933058631</v>
      </c>
      <c r="BG105" s="431">
        <v>-3143.7324884513982</v>
      </c>
      <c r="BH105" s="431">
        <v>382645.72866345476</v>
      </c>
      <c r="BI105" s="431">
        <v>368562.85120300995</v>
      </c>
      <c r="BJ105" s="431">
        <v>-12666.722540876313</v>
      </c>
      <c r="BK105" s="431">
        <v>367880.6737155756</v>
      </c>
      <c r="BL105" s="431">
        <v>2981.0014852963359</v>
      </c>
      <c r="BM105" s="431">
        <v>-102.45069079789147</v>
      </c>
      <c r="BN105" s="431">
        <v>0</v>
      </c>
      <c r="BO105" s="431">
        <v>2439.0012152424561</v>
      </c>
      <c r="BP105" s="431">
        <v>-83.823292471002119</v>
      </c>
      <c r="BQ105" s="431">
        <v>1608.6815454119567</v>
      </c>
      <c r="BR105" s="431">
        <v>827.46068281296607</v>
      </c>
      <c r="BS105" s="431">
        <v>374.17897351869902</v>
      </c>
      <c r="BT105" s="431">
        <v>771.00679052573616</v>
      </c>
      <c r="BU105" s="431">
        <v>0</v>
      </c>
      <c r="BV105" s="431">
        <v>1268.8690053789273</v>
      </c>
      <c r="BW105" s="431">
        <v>566.17766543802657</v>
      </c>
      <c r="BX105" s="431">
        <v>1178.4332124868656</v>
      </c>
      <c r="BY105" s="431">
        <v>976.05308106071334</v>
      </c>
      <c r="BZ105" s="431">
        <v>0</v>
      </c>
      <c r="CA105" s="431">
        <v>0</v>
      </c>
      <c r="CB105" s="431">
        <v>0</v>
      </c>
      <c r="CC105" s="432"/>
      <c r="CD105" s="428">
        <v>41863.539557986114</v>
      </c>
      <c r="CE105" s="433">
        <v>0.30887516912936769</v>
      </c>
      <c r="CF105" s="433">
        <v>0.21465334314226731</v>
      </c>
      <c r="CG105" s="433">
        <v>0.17822376316137725</v>
      </c>
      <c r="CH105" s="433">
        <v>0.1804430703502535</v>
      </c>
      <c r="CI105" s="433">
        <v>0.1647718856491506</v>
      </c>
      <c r="CJ105" s="433">
        <v>0.27010074318834371</v>
      </c>
      <c r="CK105" s="433">
        <v>0.26007046015078716</v>
      </c>
      <c r="CL105" s="433">
        <v>0.2795059670458605</v>
      </c>
      <c r="CM105" s="433">
        <v>0.2017515561404124</v>
      </c>
      <c r="CN105" s="433">
        <v>0.20249405129474354</v>
      </c>
      <c r="CO105" s="433">
        <v>0.62842859560263786</v>
      </c>
      <c r="CP105" s="433">
        <v>0.66510138936101393</v>
      </c>
      <c r="CQ105" s="433">
        <v>0.70349513193076929</v>
      </c>
      <c r="CR105" s="433">
        <v>0.39067782389425465</v>
      </c>
      <c r="CS105" s="433">
        <v>0.39443520669059223</v>
      </c>
      <c r="CT105" s="433">
        <v>0.447221292916757</v>
      </c>
      <c r="CU105" s="433">
        <v>0.3622790598707698</v>
      </c>
      <c r="CV105" s="433">
        <v>0.47604249083347333</v>
      </c>
      <c r="CW105" s="433">
        <v>0.4759898508915783</v>
      </c>
      <c r="CX105" s="433">
        <v>0.4007797062399322</v>
      </c>
      <c r="CY105" s="433">
        <v>0.40798711211863076</v>
      </c>
      <c r="CZ105" s="433">
        <v>0.29816004259848461</v>
      </c>
      <c r="DA105" s="433">
        <v>0.25104840798869349</v>
      </c>
      <c r="DB105" s="433">
        <v>0.80915490305662041</v>
      </c>
      <c r="DC105" s="433">
        <v>0.29816004259848461</v>
      </c>
      <c r="DD105" s="433">
        <v>0.25104840798869349</v>
      </c>
      <c r="DE105" s="433">
        <v>0.34680721234892764</v>
      </c>
      <c r="DF105" s="433">
        <v>0.40997005857291635</v>
      </c>
      <c r="DG105" s="433">
        <v>0.35850475717306551</v>
      </c>
      <c r="DH105" s="433">
        <v>0.35031031550396724</v>
      </c>
      <c r="DI105" s="433">
        <v>0</v>
      </c>
      <c r="DJ105" s="433">
        <v>0.33543004792329517</v>
      </c>
      <c r="DK105" s="433">
        <v>0.29332207405068994</v>
      </c>
      <c r="DL105" s="433">
        <v>0.2866175308668823</v>
      </c>
      <c r="DM105" s="433">
        <v>0.40997005857291635</v>
      </c>
      <c r="DN105" s="433">
        <v>0</v>
      </c>
      <c r="DO105" s="433">
        <v>0</v>
      </c>
      <c r="DP105" s="433">
        <v>0</v>
      </c>
      <c r="DR105" s="409" t="s">
        <v>855</v>
      </c>
      <c r="DS105" s="409" t="s">
        <v>2559</v>
      </c>
    </row>
    <row r="106" spans="2:123" s="1471" customFormat="1">
      <c r="B106" s="428">
        <v>41863.639315856482</v>
      </c>
      <c r="C106" s="429">
        <v>1.4149509054982858</v>
      </c>
      <c r="D106" s="429">
        <v>1.4161493596875809</v>
      </c>
      <c r="E106" s="429">
        <v>1.4373434420097957</v>
      </c>
      <c r="F106" s="429">
        <v>1.3421637517538259</v>
      </c>
      <c r="G106" s="429">
        <v>1.4653712787641893</v>
      </c>
      <c r="H106" s="429">
        <v>1.3927183338624485</v>
      </c>
      <c r="I106" s="429">
        <v>1.460767207552488</v>
      </c>
      <c r="J106" s="429">
        <v>1.5116483056447598</v>
      </c>
      <c r="K106" s="429">
        <v>1.3747037781715494</v>
      </c>
      <c r="L106" s="429">
        <v>1.5084174186377208</v>
      </c>
      <c r="M106" s="429">
        <v>1.2353384580987037</v>
      </c>
      <c r="N106" s="429">
        <v>1.2058928553610166</v>
      </c>
      <c r="O106" s="429">
        <v>1.0156446972499886</v>
      </c>
      <c r="P106" s="429">
        <v>1.1749851122677712</v>
      </c>
      <c r="Q106" s="429">
        <v>2975.3166589809239</v>
      </c>
      <c r="R106" s="429">
        <v>58.660403878173071</v>
      </c>
      <c r="S106" s="429">
        <v>65.420921536099243</v>
      </c>
      <c r="T106" s="429">
        <v>3208.1696040124625</v>
      </c>
      <c r="U106" s="429">
        <v>1801.5023181424472</v>
      </c>
      <c r="V106" s="429">
        <v>1967.3811517116883</v>
      </c>
      <c r="W106" s="429">
        <v>960.53164816173251</v>
      </c>
      <c r="X106" s="429">
        <v>51.357091692505257</v>
      </c>
      <c r="Y106" s="429">
        <v>52.698749018074302</v>
      </c>
      <c r="Z106" s="429">
        <v>53.588790672507329</v>
      </c>
      <c r="AA106" s="429">
        <v>59.286858520735031</v>
      </c>
      <c r="AB106" s="429">
        <v>60.384578150746073</v>
      </c>
      <c r="AC106" s="429">
        <v>67.173575574974166</v>
      </c>
      <c r="AD106" s="429">
        <v>3.2916189803071676</v>
      </c>
      <c r="AE106" s="429">
        <v>3.1444605045379688</v>
      </c>
      <c r="AF106" s="429">
        <v>3.0178852212997289</v>
      </c>
      <c r="AG106" s="429">
        <v>0</v>
      </c>
      <c r="AH106" s="429">
        <v>6.3746264113866111</v>
      </c>
      <c r="AI106" s="429">
        <v>6.0844845781701746</v>
      </c>
      <c r="AJ106" s="429">
        <v>6.2405236251620826</v>
      </c>
      <c r="AK106" s="429">
        <v>6.9986195572142904</v>
      </c>
      <c r="AL106" s="429">
        <v>0</v>
      </c>
      <c r="AM106" s="429">
        <v>0</v>
      </c>
      <c r="AN106" s="429">
        <v>0</v>
      </c>
      <c r="AO106" s="432"/>
      <c r="AP106" s="428">
        <v>41863.639315856482</v>
      </c>
      <c r="AQ106" s="431">
        <v>93.115572163111594</v>
      </c>
      <c r="AR106" s="431">
        <v>124.35148379730329</v>
      </c>
      <c r="AS106" s="431">
        <v>48.122007858302808</v>
      </c>
      <c r="AT106" s="431">
        <v>38.827185425712173</v>
      </c>
      <c r="AU106" s="431">
        <v>43.084055296600567</v>
      </c>
      <c r="AV106" s="431">
        <v>42.010592298912364</v>
      </c>
      <c r="AW106" s="431">
        <v>-1.0392267659548533</v>
      </c>
      <c r="AX106" s="431">
        <v>14.254006938435836</v>
      </c>
      <c r="AY106" s="431">
        <v>117.03442954201576</v>
      </c>
      <c r="AZ106" s="431">
        <v>12.585378684796332</v>
      </c>
      <c r="BA106" s="431">
        <v>2.1254037771214698</v>
      </c>
      <c r="BB106" s="431">
        <v>0</v>
      </c>
      <c r="BC106" s="431">
        <v>0</v>
      </c>
      <c r="BD106" s="431">
        <v>79.107421085544118</v>
      </c>
      <c r="BE106" s="431">
        <v>363504.6299077617</v>
      </c>
      <c r="BF106" s="431">
        <v>8150.3037933058631</v>
      </c>
      <c r="BG106" s="431">
        <v>-3143.7324884513982</v>
      </c>
      <c r="BH106" s="431">
        <v>382645.72866345476</v>
      </c>
      <c r="BI106" s="431">
        <v>368562.85120300995</v>
      </c>
      <c r="BJ106" s="431">
        <v>-12666.722540876313</v>
      </c>
      <c r="BK106" s="431">
        <v>367880.6737155756</v>
      </c>
      <c r="BL106" s="431">
        <v>2981.0014852963359</v>
      </c>
      <c r="BM106" s="431">
        <v>-102.45069079789147</v>
      </c>
      <c r="BN106" s="431">
        <v>0</v>
      </c>
      <c r="BO106" s="431">
        <v>2439.0012152424561</v>
      </c>
      <c r="BP106" s="431">
        <v>-83.823292471002119</v>
      </c>
      <c r="BQ106" s="431">
        <v>1608.6815454119567</v>
      </c>
      <c r="BR106" s="431">
        <v>827.46068281296607</v>
      </c>
      <c r="BS106" s="431">
        <v>374.17897351869902</v>
      </c>
      <c r="BT106" s="431">
        <v>771.00679052573616</v>
      </c>
      <c r="BU106" s="431">
        <v>0</v>
      </c>
      <c r="BV106" s="431">
        <v>1268.8690053789273</v>
      </c>
      <c r="BW106" s="431">
        <v>566.17766543802657</v>
      </c>
      <c r="BX106" s="431">
        <v>1178.4332124868656</v>
      </c>
      <c r="BY106" s="431">
        <v>976.05308106071334</v>
      </c>
      <c r="BZ106" s="431">
        <v>0</v>
      </c>
      <c r="CA106" s="431">
        <v>0</v>
      </c>
      <c r="CB106" s="431">
        <v>0</v>
      </c>
      <c r="CC106" s="432"/>
      <c r="CD106" s="428">
        <v>41863.639315856482</v>
      </c>
      <c r="CE106" s="433">
        <v>0.30887516912936769</v>
      </c>
      <c r="CF106" s="433">
        <v>0.21465334314226731</v>
      </c>
      <c r="CG106" s="433">
        <v>0.17822376316137725</v>
      </c>
      <c r="CH106" s="433">
        <v>0.1804430703502535</v>
      </c>
      <c r="CI106" s="433">
        <v>0.1647718856491506</v>
      </c>
      <c r="CJ106" s="433">
        <v>0.27010074318834371</v>
      </c>
      <c r="CK106" s="433">
        <v>0.26007046015078716</v>
      </c>
      <c r="CL106" s="433">
        <v>0.2795059670458605</v>
      </c>
      <c r="CM106" s="433">
        <v>0.2017515561404124</v>
      </c>
      <c r="CN106" s="433">
        <v>0.20249405129474354</v>
      </c>
      <c r="CO106" s="433">
        <v>0.62842859560263786</v>
      </c>
      <c r="CP106" s="433">
        <v>0.66510138936101393</v>
      </c>
      <c r="CQ106" s="433">
        <v>0.70349513193076929</v>
      </c>
      <c r="CR106" s="433">
        <v>0.39067782389425465</v>
      </c>
      <c r="CS106" s="433">
        <v>0.39443520669059223</v>
      </c>
      <c r="CT106" s="433">
        <v>0.447221292916757</v>
      </c>
      <c r="CU106" s="433">
        <v>0.3622790598707698</v>
      </c>
      <c r="CV106" s="433">
        <v>0.47604249083347333</v>
      </c>
      <c r="CW106" s="433">
        <v>0.4759898508915783</v>
      </c>
      <c r="CX106" s="433">
        <v>0.4007797062399322</v>
      </c>
      <c r="CY106" s="433">
        <v>0.40798711211863076</v>
      </c>
      <c r="CZ106" s="433">
        <v>0.29816004259848461</v>
      </c>
      <c r="DA106" s="433">
        <v>0.25104840798869349</v>
      </c>
      <c r="DB106" s="433">
        <v>0.742578194815812</v>
      </c>
      <c r="DC106" s="433">
        <v>0.29816004259848461</v>
      </c>
      <c r="DD106" s="433">
        <v>0.25104840798869349</v>
      </c>
      <c r="DE106" s="433">
        <v>0.34680721234892764</v>
      </c>
      <c r="DF106" s="433">
        <v>0.40997005857291635</v>
      </c>
      <c r="DG106" s="433">
        <v>0.35850475717306551</v>
      </c>
      <c r="DH106" s="433">
        <v>0.35031031550396724</v>
      </c>
      <c r="DI106" s="433">
        <v>0</v>
      </c>
      <c r="DJ106" s="433">
        <v>0.33543004792329517</v>
      </c>
      <c r="DK106" s="433">
        <v>0.29332207405068994</v>
      </c>
      <c r="DL106" s="433">
        <v>0.2866175308668823</v>
      </c>
      <c r="DM106" s="433">
        <v>0.40997005857291635</v>
      </c>
      <c r="DN106" s="433">
        <v>0</v>
      </c>
      <c r="DO106" s="433">
        <v>0</v>
      </c>
      <c r="DP106" s="433">
        <v>0</v>
      </c>
      <c r="DR106" s="409" t="s">
        <v>855</v>
      </c>
      <c r="DS106" s="409" t="s">
        <v>2570</v>
      </c>
    </row>
    <row r="107" spans="2:123" s="1471" customFormat="1">
      <c r="B107" s="428">
        <v>41865.659748379629</v>
      </c>
      <c r="C107" s="429">
        <v>1.4149509054982858</v>
      </c>
      <c r="D107" s="429">
        <v>1.4161493596875809</v>
      </c>
      <c r="E107" s="429">
        <v>1.4373434420097957</v>
      </c>
      <c r="F107" s="429">
        <v>1.3421637517538259</v>
      </c>
      <c r="G107" s="429">
        <v>1.4653712787641893</v>
      </c>
      <c r="H107" s="429">
        <v>1.3927183338624485</v>
      </c>
      <c r="I107" s="429">
        <v>1.460767207552488</v>
      </c>
      <c r="J107" s="429">
        <v>1.5116483056447598</v>
      </c>
      <c r="K107" s="429">
        <v>1.3747037781715494</v>
      </c>
      <c r="L107" s="429">
        <v>1.5084174186377208</v>
      </c>
      <c r="M107" s="429">
        <v>1.2353384580987037</v>
      </c>
      <c r="N107" s="429">
        <v>1.2058928553610166</v>
      </c>
      <c r="O107" s="429">
        <v>1.0156446972499886</v>
      </c>
      <c r="P107" s="429">
        <v>1.1749851122677712</v>
      </c>
      <c r="Q107" s="429">
        <v>2975.3166589809239</v>
      </c>
      <c r="R107" s="429">
        <v>58.660403878173071</v>
      </c>
      <c r="S107" s="429">
        <v>65.420921536099243</v>
      </c>
      <c r="T107" s="429">
        <v>3208.1696040124625</v>
      </c>
      <c r="U107" s="429">
        <v>1801.5023181424472</v>
      </c>
      <c r="V107" s="429">
        <v>1967.3811517116883</v>
      </c>
      <c r="W107" s="429">
        <v>960.53164816173251</v>
      </c>
      <c r="X107" s="429">
        <v>51.357091692505257</v>
      </c>
      <c r="Y107" s="429">
        <v>52.698749018074302</v>
      </c>
      <c r="Z107" s="429">
        <v>53.588790672507329</v>
      </c>
      <c r="AA107" s="429">
        <v>59.286858520735031</v>
      </c>
      <c r="AB107" s="429">
        <v>60.384578150746073</v>
      </c>
      <c r="AC107" s="429">
        <v>67.173575574974166</v>
      </c>
      <c r="AD107" s="429">
        <v>3.2916189803071676</v>
      </c>
      <c r="AE107" s="429">
        <v>3.1444605045379688</v>
      </c>
      <c r="AF107" s="429">
        <v>3.120532273354176</v>
      </c>
      <c r="AG107" s="429">
        <v>0</v>
      </c>
      <c r="AH107" s="429">
        <v>6.3746264113866111</v>
      </c>
      <c r="AI107" s="429">
        <v>6.0844845781701746</v>
      </c>
      <c r="AJ107" s="429">
        <v>6.39835766664714</v>
      </c>
      <c r="AK107" s="429">
        <v>6.9986195572142904</v>
      </c>
      <c r="AL107" s="429">
        <v>0</v>
      </c>
      <c r="AM107" s="429">
        <v>0</v>
      </c>
      <c r="AN107" s="429">
        <v>0</v>
      </c>
      <c r="AO107" s="432"/>
      <c r="AP107" s="428">
        <v>41865.659748379629</v>
      </c>
      <c r="AQ107" s="431">
        <v>93.115572163111594</v>
      </c>
      <c r="AR107" s="431">
        <v>124.35148379730329</v>
      </c>
      <c r="AS107" s="431">
        <v>48.122007858302808</v>
      </c>
      <c r="AT107" s="431">
        <v>38.827185425712173</v>
      </c>
      <c r="AU107" s="431">
        <v>43.084055296600567</v>
      </c>
      <c r="AV107" s="431">
        <v>42.010592298912364</v>
      </c>
      <c r="AW107" s="431">
        <v>-1.0392267659548533</v>
      </c>
      <c r="AX107" s="431">
        <v>14.254006938435836</v>
      </c>
      <c r="AY107" s="431">
        <v>117.03442954201576</v>
      </c>
      <c r="AZ107" s="431">
        <v>12.585378684796332</v>
      </c>
      <c r="BA107" s="431">
        <v>2.1254037771214698</v>
      </c>
      <c r="BB107" s="431">
        <v>0</v>
      </c>
      <c r="BC107" s="431">
        <v>0</v>
      </c>
      <c r="BD107" s="431">
        <v>79.107421085544118</v>
      </c>
      <c r="BE107" s="431">
        <v>363504.6299077617</v>
      </c>
      <c r="BF107" s="431">
        <v>8150.3037933058631</v>
      </c>
      <c r="BG107" s="431">
        <v>-3143.7324884513982</v>
      </c>
      <c r="BH107" s="431">
        <v>382645.72866345476</v>
      </c>
      <c r="BI107" s="431">
        <v>368562.85120300995</v>
      </c>
      <c r="BJ107" s="431">
        <v>-12666.722540876313</v>
      </c>
      <c r="BK107" s="431">
        <v>367880.6737155756</v>
      </c>
      <c r="BL107" s="431">
        <v>2981.0014852963359</v>
      </c>
      <c r="BM107" s="431">
        <v>-102.45069079789147</v>
      </c>
      <c r="BN107" s="431">
        <v>0</v>
      </c>
      <c r="BO107" s="431">
        <v>2439.0012152424561</v>
      </c>
      <c r="BP107" s="431">
        <v>-83.823292471002119</v>
      </c>
      <c r="BQ107" s="431">
        <v>1608.6815454119567</v>
      </c>
      <c r="BR107" s="431">
        <v>827.46068281296607</v>
      </c>
      <c r="BS107" s="431">
        <v>374.17897351869902</v>
      </c>
      <c r="BT107" s="431">
        <v>839.72595697389772</v>
      </c>
      <c r="BU107" s="431">
        <v>0</v>
      </c>
      <c r="BV107" s="431">
        <v>1268.8690053789273</v>
      </c>
      <c r="BW107" s="431">
        <v>566.17766543802657</v>
      </c>
      <c r="BX107" s="431">
        <v>1283.8443069786786</v>
      </c>
      <c r="BY107" s="431">
        <v>976.05308106071334</v>
      </c>
      <c r="BZ107" s="431">
        <v>0</v>
      </c>
      <c r="CA107" s="431">
        <v>0</v>
      </c>
      <c r="CB107" s="431">
        <v>0</v>
      </c>
      <c r="CC107" s="432"/>
      <c r="CD107" s="428">
        <v>41865.659748379629</v>
      </c>
      <c r="CE107" s="433">
        <v>0.30887516912936769</v>
      </c>
      <c r="CF107" s="433">
        <v>0.21465334314226731</v>
      </c>
      <c r="CG107" s="433">
        <v>0.17822376316137725</v>
      </c>
      <c r="CH107" s="433">
        <v>0.1804430703502535</v>
      </c>
      <c r="CI107" s="433">
        <v>0.1647718856491506</v>
      </c>
      <c r="CJ107" s="433">
        <v>0.27010074318834371</v>
      </c>
      <c r="CK107" s="433">
        <v>0.26007046015078716</v>
      </c>
      <c r="CL107" s="433">
        <v>0.2795059670458605</v>
      </c>
      <c r="CM107" s="433">
        <v>0.2017515561404124</v>
      </c>
      <c r="CN107" s="433">
        <v>0.20249405129474354</v>
      </c>
      <c r="CO107" s="433">
        <v>0.62842859560263786</v>
      </c>
      <c r="CP107" s="433">
        <v>0.66510138936101393</v>
      </c>
      <c r="CQ107" s="433">
        <v>0.70349513193076929</v>
      </c>
      <c r="CR107" s="433">
        <v>0.39067782389425465</v>
      </c>
      <c r="CS107" s="433">
        <v>0.39443520669059223</v>
      </c>
      <c r="CT107" s="433">
        <v>0.447221292916757</v>
      </c>
      <c r="CU107" s="433">
        <v>0.3622790598707698</v>
      </c>
      <c r="CV107" s="433">
        <v>0.47604249083347333</v>
      </c>
      <c r="CW107" s="433">
        <v>0.4759898508915783</v>
      </c>
      <c r="CX107" s="433">
        <v>0.4007797062399322</v>
      </c>
      <c r="CY107" s="433">
        <v>0.40798711211863076</v>
      </c>
      <c r="CZ107" s="433">
        <v>0.29816004259848461</v>
      </c>
      <c r="DA107" s="433">
        <v>0.25104840798869349</v>
      </c>
      <c r="DB107" s="433">
        <v>0.742578194815812</v>
      </c>
      <c r="DC107" s="433">
        <v>0.29816004259848461</v>
      </c>
      <c r="DD107" s="433">
        <v>0.25104840798869349</v>
      </c>
      <c r="DE107" s="433">
        <v>0.34680721234892764</v>
      </c>
      <c r="DF107" s="433">
        <v>0.40997005857291635</v>
      </c>
      <c r="DG107" s="433">
        <v>0.35850475717306551</v>
      </c>
      <c r="DH107" s="433">
        <v>0.32111778921197004</v>
      </c>
      <c r="DI107" s="433">
        <v>0</v>
      </c>
      <c r="DJ107" s="433">
        <v>0.33543004792329517</v>
      </c>
      <c r="DK107" s="433">
        <v>0.29332207405068994</v>
      </c>
      <c r="DL107" s="433">
        <v>0.26273273662797547</v>
      </c>
      <c r="DM107" s="433">
        <v>0.40997005857291635</v>
      </c>
      <c r="DN107" s="433">
        <v>0</v>
      </c>
      <c r="DO107" s="433">
        <v>0</v>
      </c>
      <c r="DP107" s="433">
        <v>0</v>
      </c>
      <c r="DR107" s="409" t="s">
        <v>2542</v>
      </c>
      <c r="DS107" s="409" t="s">
        <v>2576</v>
      </c>
    </row>
    <row r="108" spans="2:123" s="1471" customFormat="1">
      <c r="B108" s="428">
        <v>41871.526075347225</v>
      </c>
      <c r="C108" s="429">
        <v>1.4149509054982858</v>
      </c>
      <c r="D108" s="429">
        <v>1.4161493596875809</v>
      </c>
      <c r="E108" s="429">
        <v>1.4373434420097957</v>
      </c>
      <c r="F108" s="429">
        <v>1.3421637517538259</v>
      </c>
      <c r="G108" s="429">
        <v>1.4653712787641893</v>
      </c>
      <c r="H108" s="429">
        <v>1.3927183338624485</v>
      </c>
      <c r="I108" s="429">
        <v>1.460767207552488</v>
      </c>
      <c r="J108" s="429">
        <v>1.5116483056447598</v>
      </c>
      <c r="K108" s="429">
        <v>1.3747037781715494</v>
      </c>
      <c r="L108" s="429">
        <v>1.5084174186377208</v>
      </c>
      <c r="M108" s="429">
        <v>1.2353384580987037</v>
      </c>
      <c r="N108" s="429">
        <v>1.2058928553610166</v>
      </c>
      <c r="O108" s="429">
        <v>1.0156446972499886</v>
      </c>
      <c r="P108" s="429">
        <v>1.1749851122677712</v>
      </c>
      <c r="Q108" s="429">
        <v>2975.3166589809239</v>
      </c>
      <c r="R108" s="429">
        <v>58.660403878173071</v>
      </c>
      <c r="S108" s="429">
        <v>65.420921536099243</v>
      </c>
      <c r="T108" s="429">
        <v>3208.1696040124625</v>
      </c>
      <c r="U108" s="429">
        <v>1801.5023181424472</v>
      </c>
      <c r="V108" s="429">
        <v>1967.3811517116883</v>
      </c>
      <c r="W108" s="429">
        <v>960.53164816173251</v>
      </c>
      <c r="X108" s="429">
        <v>51.357091692505257</v>
      </c>
      <c r="Y108" s="429">
        <v>52.698749018074302</v>
      </c>
      <c r="Z108" s="429">
        <v>53.588790672507329</v>
      </c>
      <c r="AA108" s="429">
        <v>59.286858520735031</v>
      </c>
      <c r="AB108" s="429">
        <v>60.384578150746073</v>
      </c>
      <c r="AC108" s="429">
        <v>67.173575574974166</v>
      </c>
      <c r="AD108" s="429">
        <v>3.2916189803071676</v>
      </c>
      <c r="AE108" s="429">
        <v>3.1444605045379688</v>
      </c>
      <c r="AF108" s="429">
        <v>3.120532273354176</v>
      </c>
      <c r="AG108" s="429">
        <v>3.5498127040110075</v>
      </c>
      <c r="AH108" s="429">
        <v>6.3746264113866111</v>
      </c>
      <c r="AI108" s="429">
        <v>6.0844845781701746</v>
      </c>
      <c r="AJ108" s="429">
        <v>6.39835766664714</v>
      </c>
      <c r="AK108" s="429">
        <v>6.9986195572142904</v>
      </c>
      <c r="AL108" s="429">
        <v>0</v>
      </c>
      <c r="AM108" s="429">
        <v>0</v>
      </c>
      <c r="AN108" s="429">
        <v>0</v>
      </c>
      <c r="AO108" s="432"/>
      <c r="AP108" s="428">
        <v>41871.526075347225</v>
      </c>
      <c r="AQ108" s="431">
        <v>93.115572163111594</v>
      </c>
      <c r="AR108" s="431">
        <v>124.35148379730329</v>
      </c>
      <c r="AS108" s="431">
        <v>48.122007858302808</v>
      </c>
      <c r="AT108" s="431">
        <v>38.827185425712173</v>
      </c>
      <c r="AU108" s="431">
        <v>43.084055296600567</v>
      </c>
      <c r="AV108" s="431">
        <v>42.010592298912364</v>
      </c>
      <c r="AW108" s="431">
        <v>-1.0392267659548533</v>
      </c>
      <c r="AX108" s="431">
        <v>14.254006938435836</v>
      </c>
      <c r="AY108" s="431">
        <v>117.03442954201576</v>
      </c>
      <c r="AZ108" s="431">
        <v>12.585378684796332</v>
      </c>
      <c r="BA108" s="431">
        <v>2.1254037771214698</v>
      </c>
      <c r="BB108" s="431">
        <v>0</v>
      </c>
      <c r="BC108" s="431">
        <v>0</v>
      </c>
      <c r="BD108" s="431">
        <v>79.107421085544118</v>
      </c>
      <c r="BE108" s="431">
        <v>363504.6299077617</v>
      </c>
      <c r="BF108" s="431">
        <v>8150.3037933058631</v>
      </c>
      <c r="BG108" s="431">
        <v>-3143.7324884513982</v>
      </c>
      <c r="BH108" s="431">
        <v>382645.72866345476</v>
      </c>
      <c r="BI108" s="431">
        <v>368562.85120300995</v>
      </c>
      <c r="BJ108" s="431">
        <v>-12666.722540876313</v>
      </c>
      <c r="BK108" s="431">
        <v>367880.6737155756</v>
      </c>
      <c r="BL108" s="431">
        <v>2981.0014852963359</v>
      </c>
      <c r="BM108" s="431">
        <v>-102.45069079789147</v>
      </c>
      <c r="BN108" s="431">
        <v>0</v>
      </c>
      <c r="BO108" s="431">
        <v>2439.0012152424561</v>
      </c>
      <c r="BP108" s="431">
        <v>-83.823292471002119</v>
      </c>
      <c r="BQ108" s="431">
        <v>1608.6815454119567</v>
      </c>
      <c r="BR108" s="431">
        <v>827.46068281296607</v>
      </c>
      <c r="BS108" s="431">
        <v>374.17897351869902</v>
      </c>
      <c r="BT108" s="431">
        <v>839.72595697389772</v>
      </c>
      <c r="BU108" s="431">
        <v>112.94349037236118</v>
      </c>
      <c r="BV108" s="431">
        <v>1268.8690053789273</v>
      </c>
      <c r="BW108" s="431">
        <v>566.17766543802657</v>
      </c>
      <c r="BX108" s="431">
        <v>1283.8443069786786</v>
      </c>
      <c r="BY108" s="431">
        <v>976.05308106071334</v>
      </c>
      <c r="BZ108" s="431">
        <v>0</v>
      </c>
      <c r="CA108" s="431">
        <v>0</v>
      </c>
      <c r="CB108" s="431">
        <v>0</v>
      </c>
      <c r="CC108" s="432"/>
      <c r="CD108" s="428">
        <v>41871.526075347225</v>
      </c>
      <c r="CE108" s="433">
        <v>0.30887516912936769</v>
      </c>
      <c r="CF108" s="433">
        <v>0.21465334314226731</v>
      </c>
      <c r="CG108" s="433">
        <v>0.17822376316137725</v>
      </c>
      <c r="CH108" s="433">
        <v>0.1804430703502535</v>
      </c>
      <c r="CI108" s="433">
        <v>0.1647718856491506</v>
      </c>
      <c r="CJ108" s="433">
        <v>0.27010074318834371</v>
      </c>
      <c r="CK108" s="433">
        <v>0.26007046015078716</v>
      </c>
      <c r="CL108" s="433">
        <v>0.2795059670458605</v>
      </c>
      <c r="CM108" s="433">
        <v>0.2017515561404124</v>
      </c>
      <c r="CN108" s="433">
        <v>0.20249405129474354</v>
      </c>
      <c r="CO108" s="433">
        <v>0.62842859560263786</v>
      </c>
      <c r="CP108" s="433">
        <v>0.66510138936101393</v>
      </c>
      <c r="CQ108" s="433">
        <v>0.70349513193076929</v>
      </c>
      <c r="CR108" s="433">
        <v>0.39067782389425465</v>
      </c>
      <c r="CS108" s="433">
        <v>0.39443520669059223</v>
      </c>
      <c r="CT108" s="433">
        <v>0.447221292916757</v>
      </c>
      <c r="CU108" s="433">
        <v>0.3622790598707698</v>
      </c>
      <c r="CV108" s="433">
        <v>0.47604249083347333</v>
      </c>
      <c r="CW108" s="433">
        <v>0.4759898508915783</v>
      </c>
      <c r="CX108" s="433">
        <v>0.4007797062399322</v>
      </c>
      <c r="CY108" s="433">
        <v>0.40798711211863076</v>
      </c>
      <c r="CZ108" s="433">
        <v>0.29816004259848461</v>
      </c>
      <c r="DA108" s="433">
        <v>0.25104840798869349</v>
      </c>
      <c r="DB108" s="433">
        <v>0.742578194815812</v>
      </c>
      <c r="DC108" s="433">
        <v>0.29816004259848461</v>
      </c>
      <c r="DD108" s="433">
        <v>0.25104840798869349</v>
      </c>
      <c r="DE108" s="433">
        <v>0.34680721234892764</v>
      </c>
      <c r="DF108" s="433">
        <v>0.40997005857291635</v>
      </c>
      <c r="DG108" s="433">
        <v>0.35850475717306551</v>
      </c>
      <c r="DH108" s="433">
        <v>0.32111778921197004</v>
      </c>
      <c r="DI108" s="433">
        <v>0.37098831221773337</v>
      </c>
      <c r="DJ108" s="433">
        <v>0.33543004792329517</v>
      </c>
      <c r="DK108" s="433">
        <v>0.29332207405068994</v>
      </c>
      <c r="DL108" s="433">
        <v>0.26273273662797547</v>
      </c>
      <c r="DM108" s="433">
        <v>0.40997005857291635</v>
      </c>
      <c r="DN108" s="433">
        <v>0</v>
      </c>
      <c r="DO108" s="433">
        <v>0</v>
      </c>
      <c r="DP108" s="433">
        <v>0</v>
      </c>
      <c r="DR108" s="409" t="s">
        <v>711</v>
      </c>
      <c r="DS108" s="409" t="s">
        <v>2579</v>
      </c>
    </row>
    <row r="109" spans="2:123" s="1471" customFormat="1">
      <c r="B109" s="428">
        <v>41871.625871296295</v>
      </c>
      <c r="C109" s="429">
        <v>1.4154629211717258</v>
      </c>
      <c r="D109" s="429">
        <v>1.4161493596875809</v>
      </c>
      <c r="E109" s="429">
        <v>1.4373434420097957</v>
      </c>
      <c r="F109" s="429">
        <v>1.3421637517538259</v>
      </c>
      <c r="G109" s="429">
        <v>1.4653712787641893</v>
      </c>
      <c r="H109" s="429">
        <v>1.3927183338624485</v>
      </c>
      <c r="I109" s="429">
        <v>1.460767207552488</v>
      </c>
      <c r="J109" s="429">
        <v>1.5116483056447598</v>
      </c>
      <c r="K109" s="429">
        <v>1.3747037781715494</v>
      </c>
      <c r="L109" s="429">
        <v>1.5084174186377208</v>
      </c>
      <c r="M109" s="429">
        <v>1.2353384580987037</v>
      </c>
      <c r="N109" s="429">
        <v>1.2058928553610166</v>
      </c>
      <c r="O109" s="429">
        <v>1.0156446972499886</v>
      </c>
      <c r="P109" s="429">
        <v>1.1749851122677712</v>
      </c>
      <c r="Q109" s="429">
        <v>2975.3166589809239</v>
      </c>
      <c r="R109" s="429">
        <v>58.660403878173071</v>
      </c>
      <c r="S109" s="429">
        <v>65.420921536099243</v>
      </c>
      <c r="T109" s="429">
        <v>3208.1696040124625</v>
      </c>
      <c r="U109" s="429">
        <v>1803.5754521638237</v>
      </c>
      <c r="V109" s="429">
        <v>1967.3811517116883</v>
      </c>
      <c r="W109" s="429">
        <v>960.66132798817091</v>
      </c>
      <c r="X109" s="429">
        <v>51.373859566903803</v>
      </c>
      <c r="Y109" s="429">
        <v>52.698749018074302</v>
      </c>
      <c r="Z109" s="429">
        <v>53.588790672507329</v>
      </c>
      <c r="AA109" s="429">
        <v>59.30057769069748</v>
      </c>
      <c r="AB109" s="429">
        <v>60.384578150746073</v>
      </c>
      <c r="AC109" s="429">
        <v>67.173575574974166</v>
      </c>
      <c r="AD109" s="429">
        <v>3.2962170623382834</v>
      </c>
      <c r="AE109" s="429">
        <v>3.1444605045379688</v>
      </c>
      <c r="AF109" s="429">
        <v>3.120532273354176</v>
      </c>
      <c r="AG109" s="429">
        <v>3.5498127040110075</v>
      </c>
      <c r="AH109" s="429">
        <v>6.3816666055241766</v>
      </c>
      <c r="AI109" s="429">
        <v>6.0844845781701746</v>
      </c>
      <c r="AJ109" s="429">
        <v>6.39835766664714</v>
      </c>
      <c r="AK109" s="429">
        <v>7.004035091166263</v>
      </c>
      <c r="AL109" s="429">
        <v>0</v>
      </c>
      <c r="AM109" s="429">
        <v>0</v>
      </c>
      <c r="AN109" s="429">
        <v>0</v>
      </c>
      <c r="AO109" s="432"/>
      <c r="AP109" s="428">
        <v>41871.625871296295</v>
      </c>
      <c r="AQ109" s="431">
        <v>93.115572163111594</v>
      </c>
      <c r="AR109" s="431">
        <v>124.35148379730329</v>
      </c>
      <c r="AS109" s="431">
        <v>48.122007858302808</v>
      </c>
      <c r="AT109" s="431">
        <v>38.827185425712173</v>
      </c>
      <c r="AU109" s="431">
        <v>43.084055296600567</v>
      </c>
      <c r="AV109" s="431">
        <v>42.010592298912364</v>
      </c>
      <c r="AW109" s="431">
        <v>-1.0392267659548533</v>
      </c>
      <c r="AX109" s="431">
        <v>14.254006938435836</v>
      </c>
      <c r="AY109" s="431">
        <v>117.03442954201576</v>
      </c>
      <c r="AZ109" s="431">
        <v>12.585378684796332</v>
      </c>
      <c r="BA109" s="431">
        <v>2.1254037771214698</v>
      </c>
      <c r="BB109" s="431">
        <v>0</v>
      </c>
      <c r="BC109" s="431">
        <v>0</v>
      </c>
      <c r="BD109" s="431">
        <v>79.107421085544118</v>
      </c>
      <c r="BE109" s="431">
        <v>363504.6299077617</v>
      </c>
      <c r="BF109" s="431">
        <v>8150.3037933058631</v>
      </c>
      <c r="BG109" s="431">
        <v>-3143.7324884513982</v>
      </c>
      <c r="BH109" s="431">
        <v>382645.72866345476</v>
      </c>
      <c r="BI109" s="431">
        <v>368562.85120300995</v>
      </c>
      <c r="BJ109" s="431">
        <v>-12666.722540876313</v>
      </c>
      <c r="BK109" s="431">
        <v>367880.6737155756</v>
      </c>
      <c r="BL109" s="431">
        <v>2981.0014852963359</v>
      </c>
      <c r="BM109" s="431">
        <v>-102.45069079789147</v>
      </c>
      <c r="BN109" s="431">
        <v>0</v>
      </c>
      <c r="BO109" s="431">
        <v>2439.0012152424561</v>
      </c>
      <c r="BP109" s="431">
        <v>-83.823292471002119</v>
      </c>
      <c r="BQ109" s="431">
        <v>1608.6815454119567</v>
      </c>
      <c r="BR109" s="431">
        <v>827.46068281296607</v>
      </c>
      <c r="BS109" s="431">
        <v>374.17897351869902</v>
      </c>
      <c r="BT109" s="431">
        <v>839.72595697389772</v>
      </c>
      <c r="BU109" s="431">
        <v>112.94349037236118</v>
      </c>
      <c r="BV109" s="431">
        <v>1268.8690053789273</v>
      </c>
      <c r="BW109" s="431">
        <v>566.17766543802657</v>
      </c>
      <c r="BX109" s="431">
        <v>1283.8443069786786</v>
      </c>
      <c r="BY109" s="431">
        <v>976.05308106071334</v>
      </c>
      <c r="BZ109" s="431">
        <v>0</v>
      </c>
      <c r="CA109" s="431">
        <v>0</v>
      </c>
      <c r="CB109" s="431">
        <v>0</v>
      </c>
      <c r="CC109" s="432"/>
      <c r="CD109" s="428">
        <v>41871.625871296295</v>
      </c>
      <c r="CE109" s="433">
        <v>0.30887516912936769</v>
      </c>
      <c r="CF109" s="433">
        <v>0.21465334314226731</v>
      </c>
      <c r="CG109" s="433">
        <v>0.17822376316137725</v>
      </c>
      <c r="CH109" s="433">
        <v>0.1804430703502535</v>
      </c>
      <c r="CI109" s="433">
        <v>0.1647718856491506</v>
      </c>
      <c r="CJ109" s="433">
        <v>0.27010074318834371</v>
      </c>
      <c r="CK109" s="433">
        <v>0.26007046015078716</v>
      </c>
      <c r="CL109" s="433">
        <v>0.2795059670458605</v>
      </c>
      <c r="CM109" s="433">
        <v>0.2017515561404124</v>
      </c>
      <c r="CN109" s="433">
        <v>0.20249405129474354</v>
      </c>
      <c r="CO109" s="433">
        <v>0.62842859560263786</v>
      </c>
      <c r="CP109" s="433">
        <v>0.66510138936101393</v>
      </c>
      <c r="CQ109" s="433">
        <v>0.70349513193076929</v>
      </c>
      <c r="CR109" s="433">
        <v>0.39067782389425465</v>
      </c>
      <c r="CS109" s="433">
        <v>0.39443520669059223</v>
      </c>
      <c r="CT109" s="433">
        <v>0.447221292916757</v>
      </c>
      <c r="CU109" s="433">
        <v>0.3622790598707698</v>
      </c>
      <c r="CV109" s="433">
        <v>0.47604249083347333</v>
      </c>
      <c r="CW109" s="433">
        <v>0.4759898508915783</v>
      </c>
      <c r="CX109" s="433">
        <v>0.4007797062399322</v>
      </c>
      <c r="CY109" s="433">
        <v>0.40798711211863076</v>
      </c>
      <c r="CZ109" s="433">
        <v>0.29816004259848461</v>
      </c>
      <c r="DA109" s="433">
        <v>0.25104840798869349</v>
      </c>
      <c r="DB109" s="433">
        <v>0.742578194815812</v>
      </c>
      <c r="DC109" s="433">
        <v>0.29816004259848461</v>
      </c>
      <c r="DD109" s="433">
        <v>0.25104840798869349</v>
      </c>
      <c r="DE109" s="433">
        <v>0.34680721234892764</v>
      </c>
      <c r="DF109" s="433">
        <v>0.40997005857291635</v>
      </c>
      <c r="DG109" s="433">
        <v>0.35850475717306551</v>
      </c>
      <c r="DH109" s="433">
        <v>0.32111778921197004</v>
      </c>
      <c r="DI109" s="433">
        <v>0.37098831221773337</v>
      </c>
      <c r="DJ109" s="433">
        <v>0.33543004792329517</v>
      </c>
      <c r="DK109" s="433">
        <v>0.29332207405068994</v>
      </c>
      <c r="DL109" s="433">
        <v>0.26273273662797547</v>
      </c>
      <c r="DM109" s="433">
        <v>0.40997005857291635</v>
      </c>
      <c r="DN109" s="433">
        <v>0</v>
      </c>
      <c r="DO109" s="433">
        <v>0</v>
      </c>
      <c r="DP109" s="433">
        <v>0</v>
      </c>
      <c r="DR109" s="409" t="s">
        <v>711</v>
      </c>
      <c r="DS109" s="409" t="s">
        <v>2609</v>
      </c>
    </row>
    <row r="110" spans="2:123" s="1471" customFormat="1">
      <c r="B110" s="428">
        <v>41880.500343749998</v>
      </c>
      <c r="C110" s="429">
        <v>1.4154629211717258</v>
      </c>
      <c r="D110" s="429">
        <v>1.4161493596875809</v>
      </c>
      <c r="E110" s="429">
        <v>1.4373434420097957</v>
      </c>
      <c r="F110" s="429">
        <v>1.3421637517538259</v>
      </c>
      <c r="G110" s="429">
        <v>1.4653712787641893</v>
      </c>
      <c r="H110" s="429">
        <v>1.3927183338624485</v>
      </c>
      <c r="I110" s="429">
        <v>1.460767207552488</v>
      </c>
      <c r="J110" s="429">
        <v>1.5116483056447598</v>
      </c>
      <c r="K110" s="429">
        <v>1.3747037781715494</v>
      </c>
      <c r="L110" s="429">
        <v>1.5084174186377208</v>
      </c>
      <c r="M110" s="429">
        <v>1.2353384580987037</v>
      </c>
      <c r="N110" s="429">
        <v>1.2058928553610166</v>
      </c>
      <c r="O110" s="429">
        <v>1.0156446972499886</v>
      </c>
      <c r="P110" s="429">
        <v>1.1749851122677712</v>
      </c>
      <c r="Q110" s="429">
        <v>2975.3166589809239</v>
      </c>
      <c r="R110" s="429">
        <v>58.660403878173071</v>
      </c>
      <c r="S110" s="429">
        <v>65.420921536099243</v>
      </c>
      <c r="T110" s="429">
        <v>3208.1696040124625</v>
      </c>
      <c r="U110" s="429">
        <v>1064.9717378193586</v>
      </c>
      <c r="V110" s="429">
        <v>1228.7774373672232</v>
      </c>
      <c r="W110" s="429">
        <v>960.66132798817091</v>
      </c>
      <c r="X110" s="429">
        <v>51.373859566903803</v>
      </c>
      <c r="Y110" s="429">
        <v>52.698749018074302</v>
      </c>
      <c r="Z110" s="429">
        <v>53.588790672507329</v>
      </c>
      <c r="AA110" s="429">
        <v>59.30057769069748</v>
      </c>
      <c r="AB110" s="429">
        <v>60.384578150746073</v>
      </c>
      <c r="AC110" s="429">
        <v>67.173575574974166</v>
      </c>
      <c r="AD110" s="429">
        <v>3.2962170623382834</v>
      </c>
      <c r="AE110" s="429">
        <v>3.1444605045379688</v>
      </c>
      <c r="AF110" s="429">
        <v>3.120532273354176</v>
      </c>
      <c r="AG110" s="429">
        <v>3.5498127040110075</v>
      </c>
      <c r="AH110" s="429">
        <v>6.3816666055241766</v>
      </c>
      <c r="AI110" s="429">
        <v>6.0844845781701746</v>
      </c>
      <c r="AJ110" s="429">
        <v>6.39835766664714</v>
      </c>
      <c r="AK110" s="429">
        <v>7.004035091166263</v>
      </c>
      <c r="AL110" s="429">
        <v>0</v>
      </c>
      <c r="AM110" s="429">
        <v>0</v>
      </c>
      <c r="AN110" s="429">
        <v>0</v>
      </c>
      <c r="AO110" s="432"/>
      <c r="AP110" s="428">
        <v>41880.500343749998</v>
      </c>
      <c r="AQ110" s="431">
        <v>93.115572163111594</v>
      </c>
      <c r="AR110" s="431">
        <v>124.35148379730329</v>
      </c>
      <c r="AS110" s="431">
        <v>48.122007858302808</v>
      </c>
      <c r="AT110" s="431">
        <v>38.827185425712173</v>
      </c>
      <c r="AU110" s="431">
        <v>43.084055296600567</v>
      </c>
      <c r="AV110" s="431">
        <v>42.010592298912364</v>
      </c>
      <c r="AW110" s="431">
        <v>-1.0392267659548533</v>
      </c>
      <c r="AX110" s="431">
        <v>14.254006938435836</v>
      </c>
      <c r="AY110" s="431">
        <v>117.03442954201576</v>
      </c>
      <c r="AZ110" s="431">
        <v>12.585378684796332</v>
      </c>
      <c r="BA110" s="431">
        <v>2.1254037771214698</v>
      </c>
      <c r="BB110" s="431">
        <v>0</v>
      </c>
      <c r="BC110" s="431">
        <v>0</v>
      </c>
      <c r="BD110" s="431">
        <v>79.107421085544118</v>
      </c>
      <c r="BE110" s="431">
        <v>363504.6299077617</v>
      </c>
      <c r="BF110" s="431">
        <v>8150.3037933058631</v>
      </c>
      <c r="BG110" s="431">
        <v>-3143.7324884513982</v>
      </c>
      <c r="BH110" s="431">
        <v>382645.72866345476</v>
      </c>
      <c r="BI110" s="431">
        <v>368562.85120300995</v>
      </c>
      <c r="BJ110" s="431">
        <v>-12666.722540876313</v>
      </c>
      <c r="BK110" s="431">
        <v>367880.6737155756</v>
      </c>
      <c r="BL110" s="431">
        <v>2981.0014852963359</v>
      </c>
      <c r="BM110" s="431">
        <v>-102.45069079789147</v>
      </c>
      <c r="BN110" s="431">
        <v>0</v>
      </c>
      <c r="BO110" s="431">
        <v>2439.0012152424561</v>
      </c>
      <c r="BP110" s="431">
        <v>-83.823292471002119</v>
      </c>
      <c r="BQ110" s="431">
        <v>1608.6815454119567</v>
      </c>
      <c r="BR110" s="431">
        <v>827.46068281296607</v>
      </c>
      <c r="BS110" s="431">
        <v>374.17897351869902</v>
      </c>
      <c r="BT110" s="431">
        <v>839.72595697389772</v>
      </c>
      <c r="BU110" s="431">
        <v>112.94349037236118</v>
      </c>
      <c r="BV110" s="431">
        <v>1268.8690053789273</v>
      </c>
      <c r="BW110" s="431">
        <v>566.17766543802657</v>
      </c>
      <c r="BX110" s="431">
        <v>1283.8443069786786</v>
      </c>
      <c r="BY110" s="431">
        <v>976.05308106071334</v>
      </c>
      <c r="BZ110" s="431">
        <v>0</v>
      </c>
      <c r="CA110" s="431">
        <v>0</v>
      </c>
      <c r="CB110" s="431">
        <v>0</v>
      </c>
      <c r="CC110" s="432"/>
      <c r="CD110" s="428">
        <v>41880.500343749998</v>
      </c>
      <c r="CE110" s="433">
        <v>0.30887516912936769</v>
      </c>
      <c r="CF110" s="433">
        <v>0.21465334314226731</v>
      </c>
      <c r="CG110" s="433">
        <v>0.17822376316137725</v>
      </c>
      <c r="CH110" s="433">
        <v>0.1804430703502535</v>
      </c>
      <c r="CI110" s="433">
        <v>0.1647718856491506</v>
      </c>
      <c r="CJ110" s="433">
        <v>0.27010074318834371</v>
      </c>
      <c r="CK110" s="433">
        <v>0.26007046015078716</v>
      </c>
      <c r="CL110" s="433">
        <v>0.2795059670458605</v>
      </c>
      <c r="CM110" s="433">
        <v>0.2017515561404124</v>
      </c>
      <c r="CN110" s="433">
        <v>0.20249405129474354</v>
      </c>
      <c r="CO110" s="433">
        <v>0.62842859560263786</v>
      </c>
      <c r="CP110" s="433">
        <v>0.66510138936101393</v>
      </c>
      <c r="CQ110" s="433">
        <v>0.70349513193076929</v>
      </c>
      <c r="CR110" s="433">
        <v>0.39067782389425465</v>
      </c>
      <c r="CS110" s="433">
        <v>0.39443520669059223</v>
      </c>
      <c r="CT110" s="433">
        <v>0.447221292916757</v>
      </c>
      <c r="CU110" s="433">
        <v>0.3622790598707698</v>
      </c>
      <c r="CV110" s="433">
        <v>0.47604249083347333</v>
      </c>
      <c r="CW110" s="433">
        <v>0.4759898508915783</v>
      </c>
      <c r="CX110" s="433">
        <v>0.4007797062399322</v>
      </c>
      <c r="CY110" s="433">
        <v>0.40798711211863076</v>
      </c>
      <c r="CZ110" s="433">
        <v>0.29816004259848461</v>
      </c>
      <c r="DA110" s="433">
        <v>0.25104840798869349</v>
      </c>
      <c r="DB110" s="433">
        <v>0.742578194815812</v>
      </c>
      <c r="DC110" s="433">
        <v>0.29816004259848461</v>
      </c>
      <c r="DD110" s="433">
        <v>0.25104840798869349</v>
      </c>
      <c r="DE110" s="433">
        <v>0.34680721234892764</v>
      </c>
      <c r="DF110" s="433">
        <v>0.40997005857291635</v>
      </c>
      <c r="DG110" s="433">
        <v>0.35850475717306551</v>
      </c>
      <c r="DH110" s="433">
        <v>0.32111778921197004</v>
      </c>
      <c r="DI110" s="433">
        <v>0.37098831221773337</v>
      </c>
      <c r="DJ110" s="433">
        <v>0.33543004792329517</v>
      </c>
      <c r="DK110" s="433">
        <v>0.29332207405068994</v>
      </c>
      <c r="DL110" s="433">
        <v>0.26273273662797547</v>
      </c>
      <c r="DM110" s="433">
        <v>0.40997005857291635</v>
      </c>
      <c r="DN110" s="433">
        <v>0</v>
      </c>
      <c r="DO110" s="433">
        <v>0</v>
      </c>
      <c r="DP110" s="433">
        <v>0</v>
      </c>
      <c r="DR110" s="409" t="s">
        <v>711</v>
      </c>
      <c r="DS110" s="409" t="s">
        <v>2614</v>
      </c>
    </row>
    <row r="111" spans="2:123" s="1471" customFormat="1">
      <c r="B111" s="428">
        <v>41885.474683564818</v>
      </c>
      <c r="C111" s="429">
        <v>1.4154629211717258</v>
      </c>
      <c r="D111" s="429">
        <v>1.4161493596875809</v>
      </c>
      <c r="E111" s="429">
        <v>1.4373434420097957</v>
      </c>
      <c r="F111" s="429">
        <v>1.3421637517538259</v>
      </c>
      <c r="G111" s="429">
        <v>1.4653712787641893</v>
      </c>
      <c r="H111" s="429">
        <v>1.3927183338624485</v>
      </c>
      <c r="I111" s="429">
        <v>1.460767207552488</v>
      </c>
      <c r="J111" s="429">
        <v>1.5116483056447598</v>
      </c>
      <c r="K111" s="429">
        <v>1.3747037781715494</v>
      </c>
      <c r="L111" s="429">
        <v>1.5084174186377208</v>
      </c>
      <c r="M111" s="429">
        <v>1.2353384580987037</v>
      </c>
      <c r="N111" s="429">
        <v>1.2058928553610166</v>
      </c>
      <c r="O111" s="429">
        <v>1.0156446972499886</v>
      </c>
      <c r="P111" s="429">
        <v>1.1749851122677712</v>
      </c>
      <c r="Q111" s="429">
        <v>1088.9734062853288</v>
      </c>
      <c r="R111" s="429">
        <v>58.660403878173071</v>
      </c>
      <c r="S111" s="429">
        <v>65.420921536099243</v>
      </c>
      <c r="T111" s="429">
        <v>2788.8638880027493</v>
      </c>
      <c r="U111" s="429">
        <v>1474.9708128354312</v>
      </c>
      <c r="V111" s="429">
        <v>1638.9014995101822</v>
      </c>
      <c r="W111" s="429">
        <v>1045.6342022032529</v>
      </c>
      <c r="X111" s="429">
        <v>51.373859566903803</v>
      </c>
      <c r="Y111" s="429">
        <v>52.698749018074302</v>
      </c>
      <c r="Z111" s="429">
        <v>53.588790672507329</v>
      </c>
      <c r="AA111" s="429">
        <v>59.30057769069748</v>
      </c>
      <c r="AB111" s="429">
        <v>60.384578150746073</v>
      </c>
      <c r="AC111" s="429">
        <v>67.173575574974166</v>
      </c>
      <c r="AD111" s="429">
        <v>8.4119739377479057</v>
      </c>
      <c r="AE111" s="429">
        <v>8.203590130878295</v>
      </c>
      <c r="AF111" s="429">
        <v>8.2128073322916553</v>
      </c>
      <c r="AG111" s="429">
        <v>8.7414479313655278</v>
      </c>
      <c r="AH111" s="429">
        <v>8.1544909585710545</v>
      </c>
      <c r="AI111" s="429">
        <v>7.8914532492534715</v>
      </c>
      <c r="AJ111" s="429">
        <v>8.0526878339051695</v>
      </c>
      <c r="AK111" s="429">
        <v>8.9953159673290024</v>
      </c>
      <c r="AL111" s="429">
        <v>0</v>
      </c>
      <c r="AM111" s="429">
        <v>0</v>
      </c>
      <c r="AN111" s="429">
        <v>0</v>
      </c>
      <c r="AO111" s="432"/>
      <c r="AP111" s="428">
        <v>41885.474683564818</v>
      </c>
      <c r="AQ111" s="431">
        <v>93.115572163111594</v>
      </c>
      <c r="AR111" s="431">
        <v>124.35148379730329</v>
      </c>
      <c r="AS111" s="431">
        <v>48.122007858302808</v>
      </c>
      <c r="AT111" s="431">
        <v>38.827185425712173</v>
      </c>
      <c r="AU111" s="431">
        <v>43.084055296600567</v>
      </c>
      <c r="AV111" s="431">
        <v>42.010592298912364</v>
      </c>
      <c r="AW111" s="431">
        <v>-1.0392267659548533</v>
      </c>
      <c r="AX111" s="431">
        <v>14.254006938435836</v>
      </c>
      <c r="AY111" s="431">
        <v>117.03442954201576</v>
      </c>
      <c r="AZ111" s="431">
        <v>12.585378684796332</v>
      </c>
      <c r="BA111" s="431">
        <v>2.1254037771214698</v>
      </c>
      <c r="BB111" s="431">
        <v>0</v>
      </c>
      <c r="BC111" s="431">
        <v>0</v>
      </c>
      <c r="BD111" s="431">
        <v>79.107421085544118</v>
      </c>
      <c r="BE111" s="431">
        <v>363504.62990776164</v>
      </c>
      <c r="BF111" s="431">
        <v>8150.3037933058631</v>
      </c>
      <c r="BG111" s="431">
        <v>-3143.7324884513982</v>
      </c>
      <c r="BH111" s="431">
        <v>382645.72866345476</v>
      </c>
      <c r="BI111" s="431">
        <v>368562.85120300995</v>
      </c>
      <c r="BJ111" s="431">
        <v>-12666.722540876313</v>
      </c>
      <c r="BK111" s="431">
        <v>384495.27377550275</v>
      </c>
      <c r="BL111" s="431">
        <v>2981.0014852963359</v>
      </c>
      <c r="BM111" s="431">
        <v>-102.45069079789147</v>
      </c>
      <c r="BN111" s="431">
        <v>0</v>
      </c>
      <c r="BO111" s="431">
        <v>2439.0012152424561</v>
      </c>
      <c r="BP111" s="431">
        <v>-83.823292471002119</v>
      </c>
      <c r="BQ111" s="431">
        <v>1608.6815454119567</v>
      </c>
      <c r="BR111" s="431">
        <v>1075.0451937174334</v>
      </c>
      <c r="BS111" s="431">
        <v>478.78469961107407</v>
      </c>
      <c r="BT111" s="431">
        <v>1090.9803605600571</v>
      </c>
      <c r="BU111" s="431">
        <v>146.73731212667536</v>
      </c>
      <c r="BV111" s="431">
        <v>1123.0840558247526</v>
      </c>
      <c r="BW111" s="431">
        <v>501.12746557918939</v>
      </c>
      <c r="BX111" s="431">
        <v>1136.3387908577236</v>
      </c>
      <c r="BY111" s="431">
        <v>863.91081217288638</v>
      </c>
      <c r="BZ111" s="431">
        <v>0</v>
      </c>
      <c r="CA111" s="431">
        <v>0</v>
      </c>
      <c r="CB111" s="431">
        <v>0</v>
      </c>
      <c r="CC111" s="432"/>
      <c r="CD111" s="428">
        <v>41885.474683564818</v>
      </c>
      <c r="CE111" s="433">
        <v>0.30887516912936769</v>
      </c>
      <c r="CF111" s="433">
        <v>0.21465334314226731</v>
      </c>
      <c r="CG111" s="433">
        <v>0.17822376316137725</v>
      </c>
      <c r="CH111" s="433">
        <v>0.1804430703502535</v>
      </c>
      <c r="CI111" s="433">
        <v>0.1647718856491506</v>
      </c>
      <c r="CJ111" s="433">
        <v>0.27010074318834371</v>
      </c>
      <c r="CK111" s="433">
        <v>0.26007046015078716</v>
      </c>
      <c r="CL111" s="433">
        <v>0.2795059670458605</v>
      </c>
      <c r="CM111" s="433">
        <v>0.2017515561404124</v>
      </c>
      <c r="CN111" s="433">
        <v>0.20249405129474354</v>
      </c>
      <c r="CO111" s="433">
        <v>0.62842859560263786</v>
      </c>
      <c r="CP111" s="433">
        <v>0.66510138936101393</v>
      </c>
      <c r="CQ111" s="433">
        <v>0.70349513193076929</v>
      </c>
      <c r="CR111" s="433">
        <v>0.39067782389425465</v>
      </c>
      <c r="CS111" s="433">
        <v>0.3741130180554797</v>
      </c>
      <c r="CT111" s="433">
        <v>0.447221292916757</v>
      </c>
      <c r="CU111" s="433">
        <v>0.3622790598707698</v>
      </c>
      <c r="CV111" s="433">
        <v>0.47428587647615433</v>
      </c>
      <c r="CW111" s="433">
        <v>0.45146578363252743</v>
      </c>
      <c r="CX111" s="433">
        <v>0.38013063472405745</v>
      </c>
      <c r="CY111" s="433">
        <v>0.40798711211863076</v>
      </c>
      <c r="CZ111" s="433">
        <v>0.29816004259848461</v>
      </c>
      <c r="DA111" s="433">
        <v>0.25104840798869349</v>
      </c>
      <c r="DB111" s="433">
        <v>0.742578194815812</v>
      </c>
      <c r="DC111" s="433">
        <v>0.29816004259848461</v>
      </c>
      <c r="DD111" s="433">
        <v>0.25104840798869349</v>
      </c>
      <c r="DE111" s="433">
        <v>0.34680721234892764</v>
      </c>
      <c r="DF111" s="433">
        <v>0.40997005857291635</v>
      </c>
      <c r="DG111" s="433">
        <v>0.35850475717306551</v>
      </c>
      <c r="DH111" s="433">
        <v>0.32111778921197004</v>
      </c>
      <c r="DI111" s="433">
        <v>0.37098831221773337</v>
      </c>
      <c r="DJ111" s="433">
        <v>0.33543004792329517</v>
      </c>
      <c r="DK111" s="433">
        <v>0.29332207405068994</v>
      </c>
      <c r="DL111" s="433">
        <v>0.26273273662797553</v>
      </c>
      <c r="DM111" s="433">
        <v>0.40997005857291635</v>
      </c>
      <c r="DN111" s="433">
        <v>0</v>
      </c>
      <c r="DO111" s="433">
        <v>0</v>
      </c>
      <c r="DP111" s="433">
        <v>0</v>
      </c>
      <c r="DR111" s="409" t="s">
        <v>2542</v>
      </c>
      <c r="DS111" s="409" t="s">
        <v>2640</v>
      </c>
    </row>
    <row r="112" spans="2:123" s="1471" customFormat="1">
      <c r="B112" s="428">
        <v>41891.467055208333</v>
      </c>
      <c r="C112" s="429">
        <v>1.4154629211717258</v>
      </c>
      <c r="D112" s="429">
        <v>1.4161493596875809</v>
      </c>
      <c r="E112" s="429">
        <v>1.4373434420097957</v>
      </c>
      <c r="F112" s="429">
        <v>1.3421637517538259</v>
      </c>
      <c r="G112" s="429">
        <v>1.4653712787641893</v>
      </c>
      <c r="H112" s="429">
        <v>1.3927183338624485</v>
      </c>
      <c r="I112" s="429">
        <v>1.460767207552488</v>
      </c>
      <c r="J112" s="429">
        <v>1.5116483056447598</v>
      </c>
      <c r="K112" s="429">
        <v>1.3747037781715494</v>
      </c>
      <c r="L112" s="429">
        <v>1.5084174186377208</v>
      </c>
      <c r="M112" s="429">
        <v>1.2353384580987037</v>
      </c>
      <c r="N112" s="429">
        <v>1.2058928553610166</v>
      </c>
      <c r="O112" s="429">
        <v>1.0276714620460192</v>
      </c>
      <c r="P112" s="429">
        <v>1.1749851122677712</v>
      </c>
      <c r="Q112" s="429">
        <v>1047.4502677425114</v>
      </c>
      <c r="R112" s="429">
        <v>58.660403878173071</v>
      </c>
      <c r="S112" s="429">
        <v>65.420921536099243</v>
      </c>
      <c r="T112" s="429">
        <v>2788.8638880027493</v>
      </c>
      <c r="U112" s="429">
        <v>1474.9708128354312</v>
      </c>
      <c r="V112" s="429">
        <v>1638.9014995101822</v>
      </c>
      <c r="W112" s="429">
        <v>1045.6342022032529</v>
      </c>
      <c r="X112" s="429">
        <v>51.373859566903803</v>
      </c>
      <c r="Y112" s="429">
        <v>52.698749018074302</v>
      </c>
      <c r="Z112" s="429">
        <v>53.588790672507329</v>
      </c>
      <c r="AA112" s="429">
        <v>48.084487462046198</v>
      </c>
      <c r="AB112" s="429">
        <v>49.168487922094783</v>
      </c>
      <c r="AC112" s="429">
        <v>50.615978204488627</v>
      </c>
      <c r="AD112" s="429">
        <v>8.4119739377479057</v>
      </c>
      <c r="AE112" s="429">
        <v>8.203590130878295</v>
      </c>
      <c r="AF112" s="429">
        <v>8.2128073322916553</v>
      </c>
      <c r="AG112" s="429">
        <v>8.7414479313655278</v>
      </c>
      <c r="AH112" s="429">
        <v>8.1544909585710545</v>
      </c>
      <c r="AI112" s="429">
        <v>7.8914532492534715</v>
      </c>
      <c r="AJ112" s="429">
        <v>8.0526878339051695</v>
      </c>
      <c r="AK112" s="429">
        <v>8.9953159673290024</v>
      </c>
      <c r="AL112" s="429">
        <v>1203.1806447634999</v>
      </c>
      <c r="AM112" s="429">
        <v>0</v>
      </c>
      <c r="AN112" s="429">
        <v>0</v>
      </c>
      <c r="AO112" s="432"/>
      <c r="AP112" s="428">
        <v>41891.467055208333</v>
      </c>
      <c r="AQ112" s="431">
        <v>93.115572163111594</v>
      </c>
      <c r="AR112" s="431">
        <v>124.35148379730329</v>
      </c>
      <c r="AS112" s="431">
        <v>48.122007858302808</v>
      </c>
      <c r="AT112" s="431">
        <v>38.827185425712173</v>
      </c>
      <c r="AU112" s="431">
        <v>43.084055296600567</v>
      </c>
      <c r="AV112" s="431">
        <v>42.010592298912364</v>
      </c>
      <c r="AW112" s="431">
        <v>-1.0392267659548533</v>
      </c>
      <c r="AX112" s="431">
        <v>14.254006938435836</v>
      </c>
      <c r="AY112" s="431">
        <v>117.03442954201576</v>
      </c>
      <c r="AZ112" s="431">
        <v>12.585378684796332</v>
      </c>
      <c r="BA112" s="431">
        <v>2.1254037771214698</v>
      </c>
      <c r="BB112" s="431">
        <v>0</v>
      </c>
      <c r="BC112" s="431">
        <v>0</v>
      </c>
      <c r="BD112" s="431">
        <v>79.107421085544118</v>
      </c>
      <c r="BE112" s="431">
        <v>350126.22064869007</v>
      </c>
      <c r="BF112" s="431">
        <v>8150.3037933058631</v>
      </c>
      <c r="BG112" s="431">
        <v>-3143.7324884513982</v>
      </c>
      <c r="BH112" s="431">
        <v>382645.72866345476</v>
      </c>
      <c r="BI112" s="431">
        <v>368562.85120300995</v>
      </c>
      <c r="BJ112" s="431">
        <v>-12666.722540876313</v>
      </c>
      <c r="BK112" s="431">
        <v>384495.27377550275</v>
      </c>
      <c r="BL112" s="431">
        <v>2981.0014852963359</v>
      </c>
      <c r="BM112" s="431">
        <v>-102.45069079789147</v>
      </c>
      <c r="BN112" s="431">
        <v>0</v>
      </c>
      <c r="BO112" s="431">
        <v>2439.0012152424561</v>
      </c>
      <c r="BP112" s="431">
        <v>-83.823292471002119</v>
      </c>
      <c r="BQ112" s="431">
        <v>1862.6169584558716</v>
      </c>
      <c r="BR112" s="431">
        <v>1075.0451937174334</v>
      </c>
      <c r="BS112" s="431">
        <v>478.78469961107407</v>
      </c>
      <c r="BT112" s="431">
        <v>1090.9803605600571</v>
      </c>
      <c r="BU112" s="431">
        <v>146.73731212667536</v>
      </c>
      <c r="BV112" s="431">
        <v>1123.0840558247526</v>
      </c>
      <c r="BW112" s="431">
        <v>501.12746557918939</v>
      </c>
      <c r="BX112" s="431">
        <v>1136.3387908577236</v>
      </c>
      <c r="BY112" s="431">
        <v>863.91081217288638</v>
      </c>
      <c r="BZ112" s="431">
        <v>-12033.09469949742</v>
      </c>
      <c r="CA112" s="431">
        <v>0</v>
      </c>
      <c r="CB112" s="431">
        <v>0</v>
      </c>
      <c r="CC112" s="432"/>
      <c r="CD112" s="428">
        <v>41891.467055208333</v>
      </c>
      <c r="CE112" s="433">
        <v>0.30887516912936769</v>
      </c>
      <c r="CF112" s="433">
        <v>0.21465334314226731</v>
      </c>
      <c r="CG112" s="433">
        <v>0.17822376316137725</v>
      </c>
      <c r="CH112" s="433">
        <v>0.1804430703502535</v>
      </c>
      <c r="CI112" s="433">
        <v>0.1647718856491506</v>
      </c>
      <c r="CJ112" s="433">
        <v>0.27010074318834371</v>
      </c>
      <c r="CK112" s="433">
        <v>0.26007046015078716</v>
      </c>
      <c r="CL112" s="433">
        <v>0.2795059670458605</v>
      </c>
      <c r="CM112" s="433">
        <v>0.2017515561404124</v>
      </c>
      <c r="CN112" s="433">
        <v>0.20249405129474354</v>
      </c>
      <c r="CO112" s="433">
        <v>0.62842859560263786</v>
      </c>
      <c r="CP112" s="433">
        <v>0.66510138936101393</v>
      </c>
      <c r="CQ112" s="433">
        <v>0.70349513193076929</v>
      </c>
      <c r="CR112" s="433">
        <v>0.39067782389425465</v>
      </c>
      <c r="CS112" s="433">
        <v>0.37407164929552272</v>
      </c>
      <c r="CT112" s="433">
        <v>0.447221292916757</v>
      </c>
      <c r="CU112" s="433">
        <v>0.3622790598707698</v>
      </c>
      <c r="CV112" s="433">
        <v>0.47428587647615433</v>
      </c>
      <c r="CW112" s="433">
        <v>0.45146578363252743</v>
      </c>
      <c r="CX112" s="433">
        <v>0.38013063472405745</v>
      </c>
      <c r="CY112" s="433">
        <v>0.38191095173995354</v>
      </c>
      <c r="CZ112" s="433">
        <v>0.29816004259848461</v>
      </c>
      <c r="DA112" s="433">
        <v>0.25104840798869349</v>
      </c>
      <c r="DB112" s="433">
        <v>0.742578194815812</v>
      </c>
      <c r="DC112" s="433">
        <v>0.29816004259848461</v>
      </c>
      <c r="DD112" s="433">
        <v>0.25104840798869349</v>
      </c>
      <c r="DE112" s="433">
        <v>0.33514434285463313</v>
      </c>
      <c r="DF112" s="433">
        <v>0.40997005857291635</v>
      </c>
      <c r="DG112" s="433">
        <v>0.35850475717306551</v>
      </c>
      <c r="DH112" s="433">
        <v>0.32111778921197004</v>
      </c>
      <c r="DI112" s="433">
        <v>0.37098831221773337</v>
      </c>
      <c r="DJ112" s="433">
        <v>0.33543004792329517</v>
      </c>
      <c r="DK112" s="433">
        <v>0.29332207405068994</v>
      </c>
      <c r="DL112" s="433">
        <v>0.26273273662797553</v>
      </c>
      <c r="DM112" s="433">
        <v>0.40997005857291635</v>
      </c>
      <c r="DN112" s="433">
        <v>0.31496538305707616</v>
      </c>
      <c r="DO112" s="433">
        <v>0</v>
      </c>
      <c r="DP112" s="433">
        <v>0</v>
      </c>
      <c r="DR112" s="409" t="s">
        <v>2542</v>
      </c>
      <c r="DS112" s="409" t="s">
        <v>2651</v>
      </c>
    </row>
    <row r="113" spans="2:123" s="1471" customFormat="1">
      <c r="B113" s="428">
        <v>41892.35458298611</v>
      </c>
      <c r="C113" s="429">
        <v>1.3947365632122337</v>
      </c>
      <c r="D113" s="429">
        <v>1.3804439017779833</v>
      </c>
      <c r="E113" s="429">
        <v>1.4339786276461584</v>
      </c>
      <c r="F113" s="429">
        <v>1.3370667796073237</v>
      </c>
      <c r="G113" s="429">
        <v>1.473628583691897</v>
      </c>
      <c r="H113" s="429">
        <v>1.3834063430081989</v>
      </c>
      <c r="I113" s="429">
        <v>1.4838529806225134</v>
      </c>
      <c r="J113" s="429">
        <v>1.5246524059080038</v>
      </c>
      <c r="K113" s="429">
        <v>1.3725417759801939</v>
      </c>
      <c r="L113" s="429">
        <v>1.5167761983074772</v>
      </c>
      <c r="M113" s="429">
        <v>1.2336025782998221</v>
      </c>
      <c r="N113" s="429">
        <v>1.2017822611358697</v>
      </c>
      <c r="O113" s="429">
        <v>1.0256386919783269</v>
      </c>
      <c r="P113" s="429">
        <v>1.1628610407844722</v>
      </c>
      <c r="Q113" s="429">
        <v>973.0827776475461</v>
      </c>
      <c r="R113" s="429">
        <v>-18.340521737963059</v>
      </c>
      <c r="S113" s="429">
        <v>68.829413027509233</v>
      </c>
      <c r="T113" s="429">
        <v>2583.6319457362097</v>
      </c>
      <c r="U113" s="429">
        <v>1396.6873465602393</v>
      </c>
      <c r="V113" s="429">
        <v>1725.8221194310449</v>
      </c>
      <c r="W113" s="429">
        <v>1036.6699442285292</v>
      </c>
      <c r="X113" s="429">
        <v>50.740689054794998</v>
      </c>
      <c r="Y113" s="429">
        <v>53.401778355516257</v>
      </c>
      <c r="Z113" s="429">
        <v>53.816186844641962</v>
      </c>
      <c r="AA113" s="429">
        <v>47.566438861229891</v>
      </c>
      <c r="AB113" s="429">
        <v>49.743693743638204</v>
      </c>
      <c r="AC113" s="429">
        <v>50.548727696867267</v>
      </c>
      <c r="AD113" s="429">
        <v>8.1862032024090823</v>
      </c>
      <c r="AE113" s="429">
        <v>8.1023614952014267</v>
      </c>
      <c r="AF113" s="429">
        <v>8.1923125878553478</v>
      </c>
      <c r="AG113" s="429">
        <v>8.8779907645057285</v>
      </c>
      <c r="AH113" s="429">
        <v>7.9189653457424178</v>
      </c>
      <c r="AI113" s="429">
        <v>7.7858369301201442</v>
      </c>
      <c r="AJ113" s="429">
        <v>8.0313342935818497</v>
      </c>
      <c r="AK113" s="429">
        <v>8.8141424189992819</v>
      </c>
      <c r="AL113" s="429">
        <v>1285.7532319083987</v>
      </c>
      <c r="AM113" s="429">
        <v>0</v>
      </c>
      <c r="AN113" s="429">
        <v>0</v>
      </c>
      <c r="AO113" s="432"/>
      <c r="AP113" s="428">
        <v>41892.35458298611</v>
      </c>
      <c r="AQ113" s="431">
        <v>92.51932172539064</v>
      </c>
      <c r="AR113" s="431">
        <v>122.95919239400237</v>
      </c>
      <c r="AS113" s="431">
        <v>47.829626663609609</v>
      </c>
      <c r="AT113" s="431">
        <v>38.534804231018988</v>
      </c>
      <c r="AU113" s="431">
        <v>42.791674101907383</v>
      </c>
      <c r="AV113" s="431">
        <v>42.010592298912364</v>
      </c>
      <c r="AW113" s="431">
        <v>-1.0392267659548533</v>
      </c>
      <c r="AX113" s="431">
        <v>14.254006938435836</v>
      </c>
      <c r="AY113" s="431">
        <v>117.03442954201576</v>
      </c>
      <c r="AZ113" s="431">
        <v>12.585378684796332</v>
      </c>
      <c r="BA113" s="431">
        <v>2.1254037771214698</v>
      </c>
      <c r="BB113" s="431">
        <v>0</v>
      </c>
      <c r="BC113" s="431">
        <v>0</v>
      </c>
      <c r="BD113" s="431">
        <v>78.215966131466814</v>
      </c>
      <c r="BE113" s="431">
        <v>347832.78842051688</v>
      </c>
      <c r="BF113" s="431">
        <v>2872.2935899959207</v>
      </c>
      <c r="BG113" s="431">
        <v>-3143.7324884513982</v>
      </c>
      <c r="BH113" s="431">
        <v>370664.81830616703</v>
      </c>
      <c r="BI113" s="431">
        <v>366148.65349028149</v>
      </c>
      <c r="BJ113" s="431">
        <v>-12666.722540876313</v>
      </c>
      <c r="BK113" s="431">
        <v>384344.25954432116</v>
      </c>
      <c r="BL113" s="431">
        <v>2961.4750274779412</v>
      </c>
      <c r="BM113" s="431">
        <v>-102.45069079789147</v>
      </c>
      <c r="BN113" s="431">
        <v>0</v>
      </c>
      <c r="BO113" s="431">
        <v>2423.0250224819515</v>
      </c>
      <c r="BP113" s="431">
        <v>-83.823292471002119</v>
      </c>
      <c r="BQ113" s="431">
        <v>1861.3450318789291</v>
      </c>
      <c r="BR113" s="431">
        <v>1068.0885217541268</v>
      </c>
      <c r="BS113" s="431">
        <v>478.78469961107407</v>
      </c>
      <c r="BT113" s="431">
        <v>1090.9803605600571</v>
      </c>
      <c r="BU113" s="431">
        <v>146.73731212667536</v>
      </c>
      <c r="BV113" s="431">
        <v>1115.8275831646952</v>
      </c>
      <c r="BW113" s="431">
        <v>501.12746557918939</v>
      </c>
      <c r="BX113" s="431">
        <v>1136.3387908577236</v>
      </c>
      <c r="BY113" s="431">
        <v>858.32891012668847</v>
      </c>
      <c r="BZ113" s="431">
        <v>-12033.09469949742</v>
      </c>
      <c r="CA113" s="431">
        <v>0</v>
      </c>
      <c r="CB113" s="431">
        <v>0</v>
      </c>
      <c r="CC113" s="432"/>
      <c r="CD113" s="428">
        <v>41892.35458298611</v>
      </c>
      <c r="CE113" s="433">
        <v>0.30887516912936769</v>
      </c>
      <c r="CF113" s="433">
        <v>0.21465334314226731</v>
      </c>
      <c r="CG113" s="433">
        <v>0.17822376316137725</v>
      </c>
      <c r="CH113" s="433">
        <v>0.1804430703502535</v>
      </c>
      <c r="CI113" s="433">
        <v>0.1647718856491506</v>
      </c>
      <c r="CJ113" s="433">
        <v>0.27010074318834371</v>
      </c>
      <c r="CK113" s="433">
        <v>0.26007046015078716</v>
      </c>
      <c r="CL113" s="433">
        <v>0.2795059670458605</v>
      </c>
      <c r="CM113" s="433">
        <v>0.2017515561404124</v>
      </c>
      <c r="CN113" s="433">
        <v>0.20249405129474354</v>
      </c>
      <c r="CO113" s="433">
        <v>0.62842859560263786</v>
      </c>
      <c r="CP113" s="433">
        <v>0.66510138936101393</v>
      </c>
      <c r="CQ113" s="433">
        <v>0.70349513193076929</v>
      </c>
      <c r="CR113" s="433">
        <v>0.39067782389425465</v>
      </c>
      <c r="CS113" s="433">
        <v>0.37407164929552272</v>
      </c>
      <c r="CT113" s="433">
        <v>0.447221292916757</v>
      </c>
      <c r="CU113" s="433">
        <v>0.3622790598707698</v>
      </c>
      <c r="CV113" s="433">
        <v>0.47428587647615433</v>
      </c>
      <c r="CW113" s="433">
        <v>0.45146578363252743</v>
      </c>
      <c r="CX113" s="433">
        <v>0.38013063472405745</v>
      </c>
      <c r="CY113" s="433">
        <v>0.38191095173995354</v>
      </c>
      <c r="CZ113" s="433">
        <v>0.29816004259848461</v>
      </c>
      <c r="DA113" s="433">
        <v>0.25104840798869349</v>
      </c>
      <c r="DB113" s="433">
        <v>0.742578194815812</v>
      </c>
      <c r="DC113" s="433">
        <v>0.29816004259848461</v>
      </c>
      <c r="DD113" s="433">
        <v>0.25104840798869349</v>
      </c>
      <c r="DE113" s="433">
        <v>0.33514434285463313</v>
      </c>
      <c r="DF113" s="433">
        <v>0.40997005857291635</v>
      </c>
      <c r="DG113" s="433">
        <v>0.35850475717306551</v>
      </c>
      <c r="DH113" s="433">
        <v>0.32111778921197004</v>
      </c>
      <c r="DI113" s="433">
        <v>0.37098831221773337</v>
      </c>
      <c r="DJ113" s="433">
        <v>0.33543004792329517</v>
      </c>
      <c r="DK113" s="433">
        <v>0.29332207405068994</v>
      </c>
      <c r="DL113" s="433">
        <v>0.26273273662797553</v>
      </c>
      <c r="DM113" s="433">
        <v>0.40997005857291635</v>
      </c>
      <c r="DN113" s="433">
        <v>0.31496538305707616</v>
      </c>
      <c r="DO113" s="433">
        <v>0</v>
      </c>
      <c r="DP113" s="433">
        <v>0</v>
      </c>
      <c r="DR113" s="409" t="s">
        <v>2701</v>
      </c>
      <c r="DS113" s="409" t="s">
        <v>2702</v>
      </c>
    </row>
    <row r="114" spans="2:123" s="1471" customFormat="1">
      <c r="B114" s="428">
        <v>41892.48037986111</v>
      </c>
      <c r="C114" s="429">
        <v>1.4282749283099454</v>
      </c>
      <c r="D114" s="429">
        <v>1.433537449067831</v>
      </c>
      <c r="E114" s="429">
        <v>1.4567648364673231</v>
      </c>
      <c r="F114" s="429">
        <v>1.3546660352177509</v>
      </c>
      <c r="G114" s="429">
        <v>1.4856320093768611</v>
      </c>
      <c r="H114" s="429">
        <v>1.3917877151934028</v>
      </c>
      <c r="I114" s="429">
        <v>1.4711091214533691</v>
      </c>
      <c r="J114" s="429">
        <v>1.5265376511934561</v>
      </c>
      <c r="K114" s="429">
        <v>1.377005147194482</v>
      </c>
      <c r="L114" s="429">
        <v>1.5220182501492041</v>
      </c>
      <c r="M114" s="429">
        <v>1.24331062679701</v>
      </c>
      <c r="N114" s="429">
        <v>1.2142002568068775</v>
      </c>
      <c r="O114" s="429">
        <v>1.0340553595309836</v>
      </c>
      <c r="P114" s="429">
        <v>1.1837557721292313</v>
      </c>
      <c r="Q114" s="429">
        <v>1093.4834616048436</v>
      </c>
      <c r="R114" s="429">
        <v>59.688662330784332</v>
      </c>
      <c r="S114" s="429">
        <v>65.652622370867647</v>
      </c>
      <c r="T114" s="429">
        <v>2825.2219644903244</v>
      </c>
      <c r="U114" s="429">
        <v>1523.4279810773537</v>
      </c>
      <c r="V114" s="429">
        <v>1677.6447451924573</v>
      </c>
      <c r="W114" s="429">
        <v>1058.1960122792127</v>
      </c>
      <c r="X114" s="429">
        <v>51.765789708617575</v>
      </c>
      <c r="Y114" s="429">
        <v>53.012111237156027</v>
      </c>
      <c r="Z114" s="429">
        <v>54.263106420161471</v>
      </c>
      <c r="AA114" s="429">
        <v>48.405157577993819</v>
      </c>
      <c r="AB114" s="429">
        <v>49.42487519225255</v>
      </c>
      <c r="AC114" s="429">
        <v>50.696136750588032</v>
      </c>
      <c r="AD114" s="429">
        <v>8.5518105603325392</v>
      </c>
      <c r="AE114" s="429">
        <v>8.1938797965575318</v>
      </c>
      <c r="AF114" s="429">
        <v>8.2346232074869796</v>
      </c>
      <c r="AG114" s="429">
        <v>8.8976919291692944</v>
      </c>
      <c r="AH114" s="429">
        <v>8.3003807159900482</v>
      </c>
      <c r="AI114" s="429">
        <v>7.8813512609206668</v>
      </c>
      <c r="AJ114" s="429">
        <v>8.0754178646269317</v>
      </c>
      <c r="AK114" s="429">
        <v>9.1075388576513063</v>
      </c>
      <c r="AL114" s="429">
        <v>1239.985835905585</v>
      </c>
      <c r="AM114" s="429">
        <v>0</v>
      </c>
      <c r="AN114" s="429">
        <v>0</v>
      </c>
      <c r="AO114" s="432"/>
      <c r="AP114" s="428">
        <v>41892.48037986111</v>
      </c>
      <c r="AQ114" s="431">
        <v>93.115572163111594</v>
      </c>
      <c r="AR114" s="431">
        <v>124.35148379730329</v>
      </c>
      <c r="AS114" s="431">
        <v>48.122007858302808</v>
      </c>
      <c r="AT114" s="431">
        <v>38.827185425712173</v>
      </c>
      <c r="AU114" s="431">
        <v>43.084055296600567</v>
      </c>
      <c r="AV114" s="431">
        <v>42.010592298912364</v>
      </c>
      <c r="AW114" s="431">
        <v>-1.0392267659548533</v>
      </c>
      <c r="AX114" s="431">
        <v>14.254006938435836</v>
      </c>
      <c r="AY114" s="431">
        <v>117.03442954201576</v>
      </c>
      <c r="AZ114" s="431">
        <v>12.585378684796332</v>
      </c>
      <c r="BA114" s="431">
        <v>2.1254037771214698</v>
      </c>
      <c r="BB114" s="431">
        <v>0</v>
      </c>
      <c r="BC114" s="431">
        <v>0</v>
      </c>
      <c r="BD114" s="431">
        <v>79.107421085544118</v>
      </c>
      <c r="BE114" s="431">
        <v>350126.22064869007</v>
      </c>
      <c r="BF114" s="431">
        <v>8150.3037933058504</v>
      </c>
      <c r="BG114" s="431">
        <v>-3143.7324884513982</v>
      </c>
      <c r="BH114" s="431">
        <v>382645.72866345476</v>
      </c>
      <c r="BI114" s="431">
        <v>368562.85120300995</v>
      </c>
      <c r="BJ114" s="431">
        <v>-12666.722540876313</v>
      </c>
      <c r="BK114" s="431">
        <v>384495.27377550275</v>
      </c>
      <c r="BL114" s="431">
        <v>2981.0014852963359</v>
      </c>
      <c r="BM114" s="431">
        <v>-102.45069079789147</v>
      </c>
      <c r="BN114" s="431">
        <v>0</v>
      </c>
      <c r="BO114" s="431">
        <v>2439.0012152424561</v>
      </c>
      <c r="BP114" s="431">
        <v>-83.823292471002119</v>
      </c>
      <c r="BQ114" s="431">
        <v>1862.6169584558716</v>
      </c>
      <c r="BR114" s="431">
        <v>1075.0451937174334</v>
      </c>
      <c r="BS114" s="431">
        <v>478.78469961107407</v>
      </c>
      <c r="BT114" s="431">
        <v>1090.9803605600571</v>
      </c>
      <c r="BU114" s="431">
        <v>146.73731212667536</v>
      </c>
      <c r="BV114" s="431">
        <v>1123.0840558247526</v>
      </c>
      <c r="BW114" s="431">
        <v>501.12746557918939</v>
      </c>
      <c r="BX114" s="431">
        <v>1136.3387908577236</v>
      </c>
      <c r="BY114" s="431">
        <v>863.91081217288638</v>
      </c>
      <c r="BZ114" s="431">
        <v>-12033.09469949742</v>
      </c>
      <c r="CA114" s="431">
        <v>0</v>
      </c>
      <c r="CB114" s="431">
        <v>0</v>
      </c>
      <c r="CC114" s="432"/>
      <c r="CD114" s="428">
        <v>41892.48037986111</v>
      </c>
      <c r="CE114" s="433">
        <v>0.30887516912936769</v>
      </c>
      <c r="CF114" s="433">
        <v>0.21465334314226731</v>
      </c>
      <c r="CG114" s="433">
        <v>0.17822376316137725</v>
      </c>
      <c r="CH114" s="433">
        <v>0.1804430703502535</v>
      </c>
      <c r="CI114" s="433">
        <v>0.1647718856491506</v>
      </c>
      <c r="CJ114" s="433">
        <v>0.27010074318834371</v>
      </c>
      <c r="CK114" s="433">
        <v>0.26007046015078716</v>
      </c>
      <c r="CL114" s="433">
        <v>0.2795059670458605</v>
      </c>
      <c r="CM114" s="433">
        <v>0.2017515561404124</v>
      </c>
      <c r="CN114" s="433">
        <v>0.20249405129474354</v>
      </c>
      <c r="CO114" s="433">
        <v>0.62842859560263786</v>
      </c>
      <c r="CP114" s="433">
        <v>0.66510138936101393</v>
      </c>
      <c r="CQ114" s="433">
        <v>0.70349513193076929</v>
      </c>
      <c r="CR114" s="433">
        <v>0.39067782389425465</v>
      </c>
      <c r="CS114" s="433">
        <v>0.37407164929552272</v>
      </c>
      <c r="CT114" s="433">
        <v>0.447221292916757</v>
      </c>
      <c r="CU114" s="433">
        <v>0.3622790598707698</v>
      </c>
      <c r="CV114" s="433">
        <v>0.47428587647615433</v>
      </c>
      <c r="CW114" s="433">
        <v>0.45146578363252743</v>
      </c>
      <c r="CX114" s="433">
        <v>0.38013063472405745</v>
      </c>
      <c r="CY114" s="433">
        <v>0.38191095173995354</v>
      </c>
      <c r="CZ114" s="433">
        <v>0.29816004259848461</v>
      </c>
      <c r="DA114" s="433">
        <v>0.25104840798869349</v>
      </c>
      <c r="DB114" s="433">
        <v>0.742578194815812</v>
      </c>
      <c r="DC114" s="433">
        <v>0.29816004259848461</v>
      </c>
      <c r="DD114" s="433">
        <v>0.25104840798869349</v>
      </c>
      <c r="DE114" s="433">
        <v>0.33514434285463313</v>
      </c>
      <c r="DF114" s="433">
        <v>0.40997005857291635</v>
      </c>
      <c r="DG114" s="433">
        <v>0.35850475717306551</v>
      </c>
      <c r="DH114" s="433">
        <v>0.32111778921197004</v>
      </c>
      <c r="DI114" s="433">
        <v>0.37098831221773337</v>
      </c>
      <c r="DJ114" s="433">
        <v>0.33543004792329517</v>
      </c>
      <c r="DK114" s="433">
        <v>0.29332207405068994</v>
      </c>
      <c r="DL114" s="433">
        <v>0.26273273662797553</v>
      </c>
      <c r="DM114" s="433">
        <v>0.40997005857291635</v>
      </c>
      <c r="DN114" s="433">
        <v>0.31496538305707616</v>
      </c>
      <c r="DO114" s="433">
        <v>0</v>
      </c>
      <c r="DP114" s="433">
        <v>0</v>
      </c>
      <c r="DR114" s="409" t="s">
        <v>2704</v>
      </c>
      <c r="DS114" s="409" t="s">
        <v>2705</v>
      </c>
    </row>
    <row r="115" spans="2:123" s="1471" customFormat="1">
      <c r="B115" s="428">
        <v>41892.605940856483</v>
      </c>
      <c r="C115" s="429">
        <v>1.4282749283099454</v>
      </c>
      <c r="D115" s="429">
        <v>1.433537449067831</v>
      </c>
      <c r="E115" s="429">
        <v>1.4567648364673231</v>
      </c>
      <c r="F115" s="429">
        <v>1.3546660352177509</v>
      </c>
      <c r="G115" s="429">
        <v>1.4856320093768611</v>
      </c>
      <c r="H115" s="429">
        <v>1.3917877151934028</v>
      </c>
      <c r="I115" s="429">
        <v>1.4711091214533691</v>
      </c>
      <c r="J115" s="429">
        <v>1.5265376511934561</v>
      </c>
      <c r="K115" s="429">
        <v>1.377005147194482</v>
      </c>
      <c r="L115" s="429">
        <v>1.5220182501492041</v>
      </c>
      <c r="M115" s="429">
        <v>1.24331062679701</v>
      </c>
      <c r="N115" s="429">
        <v>1.2142002568068775</v>
      </c>
      <c r="O115" s="429">
        <v>1.0340553595309836</v>
      </c>
      <c r="P115" s="429">
        <v>1.1837557721292313</v>
      </c>
      <c r="Q115" s="429">
        <v>1093.4834616048436</v>
      </c>
      <c r="R115" s="429">
        <v>59.688662330784332</v>
      </c>
      <c r="S115" s="429">
        <v>65.652622370867647</v>
      </c>
      <c r="T115" s="429">
        <v>2825.2219644903244</v>
      </c>
      <c r="U115" s="429">
        <v>1523.4279810773537</v>
      </c>
      <c r="V115" s="429">
        <v>1677.6447451924573</v>
      </c>
      <c r="W115" s="429">
        <v>1058.1960122792127</v>
      </c>
      <c r="X115" s="429">
        <v>51.765789708617575</v>
      </c>
      <c r="Y115" s="429">
        <v>53.012111237156027</v>
      </c>
      <c r="Z115" s="429">
        <v>54.263106420161471</v>
      </c>
      <c r="AA115" s="429">
        <v>48.405157577993819</v>
      </c>
      <c r="AB115" s="429">
        <v>49.42487519225255</v>
      </c>
      <c r="AC115" s="429">
        <v>50.696136750588032</v>
      </c>
      <c r="AD115" s="429">
        <v>8.5518105603325392</v>
      </c>
      <c r="AE115" s="429">
        <v>8.1938797965575318</v>
      </c>
      <c r="AF115" s="429">
        <v>8.2346232074869796</v>
      </c>
      <c r="AG115" s="429">
        <v>8.8976919291692944</v>
      </c>
      <c r="AH115" s="429">
        <v>8.3003807159900482</v>
      </c>
      <c r="AI115" s="429">
        <v>7.8813512609206668</v>
      </c>
      <c r="AJ115" s="429">
        <v>8.0754178646269317</v>
      </c>
      <c r="AK115" s="429">
        <v>9.1075388576513063</v>
      </c>
      <c r="AL115" s="429">
        <v>1239.985835905585</v>
      </c>
      <c r="AM115" s="429">
        <v>1.273822167951562</v>
      </c>
      <c r="AN115" s="429">
        <v>0</v>
      </c>
      <c r="AO115" s="432"/>
      <c r="AP115" s="428">
        <v>41892.605940856483</v>
      </c>
      <c r="AQ115" s="431">
        <v>93.115572163111594</v>
      </c>
      <c r="AR115" s="431">
        <v>124.35148379730329</v>
      </c>
      <c r="AS115" s="431">
        <v>48.122007858302808</v>
      </c>
      <c r="AT115" s="431">
        <v>38.827185425712173</v>
      </c>
      <c r="AU115" s="431">
        <v>43.084055296600567</v>
      </c>
      <c r="AV115" s="431">
        <v>42.010592298912364</v>
      </c>
      <c r="AW115" s="431">
        <v>-1.0392267659548533</v>
      </c>
      <c r="AX115" s="431">
        <v>14.254006938435836</v>
      </c>
      <c r="AY115" s="431">
        <v>117.03442954201576</v>
      </c>
      <c r="AZ115" s="431">
        <v>12.585378684796332</v>
      </c>
      <c r="BA115" s="431">
        <v>2.1254037771214698</v>
      </c>
      <c r="BB115" s="431">
        <v>0</v>
      </c>
      <c r="BC115" s="431">
        <v>0</v>
      </c>
      <c r="BD115" s="431">
        <v>79.107421085544118</v>
      </c>
      <c r="BE115" s="431">
        <v>350126.22064869007</v>
      </c>
      <c r="BF115" s="431">
        <v>8150.3037933058504</v>
      </c>
      <c r="BG115" s="431">
        <v>-3143.7324884513982</v>
      </c>
      <c r="BH115" s="431">
        <v>382645.72866345476</v>
      </c>
      <c r="BI115" s="431">
        <v>368562.85120300995</v>
      </c>
      <c r="BJ115" s="431">
        <v>-12666.722540876313</v>
      </c>
      <c r="BK115" s="431">
        <v>384495.27377550275</v>
      </c>
      <c r="BL115" s="431">
        <v>2981.0014852963359</v>
      </c>
      <c r="BM115" s="431">
        <v>-102.45069079789147</v>
      </c>
      <c r="BN115" s="431">
        <v>0</v>
      </c>
      <c r="BO115" s="431">
        <v>2439.0012152424561</v>
      </c>
      <c r="BP115" s="431">
        <v>-83.823292471002119</v>
      </c>
      <c r="BQ115" s="431">
        <v>1862.6169584558716</v>
      </c>
      <c r="BR115" s="431">
        <v>1075.0451937174334</v>
      </c>
      <c r="BS115" s="431">
        <v>478.78469961107407</v>
      </c>
      <c r="BT115" s="431">
        <v>1090.9803605600571</v>
      </c>
      <c r="BU115" s="431">
        <v>146.73731212667536</v>
      </c>
      <c r="BV115" s="431">
        <v>1123.0840558247526</v>
      </c>
      <c r="BW115" s="431">
        <v>501.12746557918939</v>
      </c>
      <c r="BX115" s="431">
        <v>1136.3387908577236</v>
      </c>
      <c r="BY115" s="431">
        <v>863.91081217288638</v>
      </c>
      <c r="BZ115" s="431">
        <v>-12033.09469949742</v>
      </c>
      <c r="CA115" s="431">
        <v>0</v>
      </c>
      <c r="CB115" s="431">
        <v>0</v>
      </c>
      <c r="CC115" s="432"/>
      <c r="CD115" s="428">
        <v>41892.605940856483</v>
      </c>
      <c r="CE115" s="433">
        <v>0.30887516912936769</v>
      </c>
      <c r="CF115" s="433">
        <v>0.21465334314226731</v>
      </c>
      <c r="CG115" s="433">
        <v>0.17822376316137725</v>
      </c>
      <c r="CH115" s="433">
        <v>0.1804430703502535</v>
      </c>
      <c r="CI115" s="433">
        <v>0.1647718856491506</v>
      </c>
      <c r="CJ115" s="433">
        <v>0.27010074318834371</v>
      </c>
      <c r="CK115" s="433">
        <v>0.26007046015078716</v>
      </c>
      <c r="CL115" s="433">
        <v>0.2795059670458605</v>
      </c>
      <c r="CM115" s="433">
        <v>0.2017515561404124</v>
      </c>
      <c r="CN115" s="433">
        <v>0.20249405129474354</v>
      </c>
      <c r="CO115" s="433">
        <v>0.62842859560263786</v>
      </c>
      <c r="CP115" s="433">
        <v>0.66510138936101393</v>
      </c>
      <c r="CQ115" s="433">
        <v>0.70349513193076929</v>
      </c>
      <c r="CR115" s="433">
        <v>0.39067782389425465</v>
      </c>
      <c r="CS115" s="433">
        <v>0.37407164929552272</v>
      </c>
      <c r="CT115" s="433">
        <v>0.447221292916757</v>
      </c>
      <c r="CU115" s="433">
        <v>0.3622790598707698</v>
      </c>
      <c r="CV115" s="433">
        <v>0.47428587647615433</v>
      </c>
      <c r="CW115" s="433">
        <v>0.45146578363252743</v>
      </c>
      <c r="CX115" s="433">
        <v>0.38013063472405745</v>
      </c>
      <c r="CY115" s="433">
        <v>0.38191095173995354</v>
      </c>
      <c r="CZ115" s="433">
        <v>0.29816004259848461</v>
      </c>
      <c r="DA115" s="433">
        <v>0.25104840798869349</v>
      </c>
      <c r="DB115" s="433">
        <v>0.742578194815812</v>
      </c>
      <c r="DC115" s="433">
        <v>0.29816004259848461</v>
      </c>
      <c r="DD115" s="433">
        <v>0.25104840798869349</v>
      </c>
      <c r="DE115" s="433">
        <v>0.33514434285463313</v>
      </c>
      <c r="DF115" s="433">
        <v>0.40997005857291635</v>
      </c>
      <c r="DG115" s="433">
        <v>0.35850475717306551</v>
      </c>
      <c r="DH115" s="433">
        <v>0.32111778921197004</v>
      </c>
      <c r="DI115" s="433">
        <v>0.37098831221773337</v>
      </c>
      <c r="DJ115" s="433">
        <v>0.33543004792329517</v>
      </c>
      <c r="DK115" s="433">
        <v>0.29332207405068994</v>
      </c>
      <c r="DL115" s="433">
        <v>0.26273273662797553</v>
      </c>
      <c r="DM115" s="433">
        <v>0.40997005857291635</v>
      </c>
      <c r="DN115" s="433">
        <v>0.31496538305707616</v>
      </c>
      <c r="DO115" s="433">
        <v>0.47682248462293253</v>
      </c>
      <c r="DP115" s="433">
        <v>0</v>
      </c>
      <c r="DR115" s="409" t="s">
        <v>2542</v>
      </c>
      <c r="DS115" s="409" t="s">
        <v>2716</v>
      </c>
    </row>
    <row r="116" spans="2:123" s="1471" customFormat="1">
      <c r="B116" s="428"/>
      <c r="C116" s="429"/>
      <c r="D116" s="429"/>
      <c r="E116" s="429"/>
      <c r="F116" s="429"/>
      <c r="G116" s="429"/>
      <c r="H116" s="429"/>
      <c r="I116" s="429"/>
      <c r="J116" s="429"/>
      <c r="K116" s="429"/>
      <c r="L116" s="429"/>
      <c r="M116" s="429"/>
      <c r="N116" s="429"/>
      <c r="O116" s="429"/>
      <c r="P116" s="429"/>
      <c r="Q116" s="429"/>
      <c r="R116" s="429"/>
      <c r="S116" s="429"/>
      <c r="T116" s="429"/>
      <c r="U116" s="429"/>
      <c r="V116" s="429"/>
      <c r="W116" s="429"/>
      <c r="X116" s="429"/>
      <c r="Y116" s="429"/>
      <c r="Z116" s="429"/>
      <c r="AA116" s="429"/>
      <c r="AB116" s="429"/>
      <c r="AC116" s="429"/>
      <c r="AD116" s="429"/>
      <c r="AE116" s="429"/>
      <c r="AF116" s="429"/>
      <c r="AG116" s="429"/>
      <c r="AH116" s="429"/>
      <c r="AI116" s="429"/>
      <c r="AJ116" s="429"/>
      <c r="AK116" s="429"/>
      <c r="AL116" s="429"/>
      <c r="AM116" s="429"/>
      <c r="AN116" s="429"/>
      <c r="AO116" s="432"/>
      <c r="AP116" s="428"/>
      <c r="AQ116" s="431"/>
      <c r="AR116" s="431"/>
      <c r="AS116" s="431"/>
      <c r="AT116" s="431"/>
      <c r="AU116" s="431"/>
      <c r="AV116" s="431"/>
      <c r="AW116" s="431"/>
      <c r="AX116" s="431"/>
      <c r="AY116" s="431"/>
      <c r="AZ116" s="431"/>
      <c r="BA116" s="431"/>
      <c r="BB116" s="431"/>
      <c r="BC116" s="431"/>
      <c r="BD116" s="431"/>
      <c r="BE116" s="431"/>
      <c r="BF116" s="431"/>
      <c r="BG116" s="431"/>
      <c r="BH116" s="431"/>
      <c r="BI116" s="431"/>
      <c r="BJ116" s="431"/>
      <c r="BK116" s="431"/>
      <c r="BL116" s="431"/>
      <c r="BM116" s="431"/>
      <c r="BN116" s="431"/>
      <c r="BO116" s="431"/>
      <c r="BP116" s="431"/>
      <c r="BQ116" s="431"/>
      <c r="BR116" s="431"/>
      <c r="BS116" s="431"/>
      <c r="BT116" s="431"/>
      <c r="BU116" s="431"/>
      <c r="BV116" s="431"/>
      <c r="BW116" s="431"/>
      <c r="BX116" s="431"/>
      <c r="BY116" s="431"/>
      <c r="BZ116" s="431"/>
      <c r="CA116" s="431"/>
      <c r="CB116" s="431"/>
      <c r="CC116" s="432"/>
      <c r="CD116" s="428"/>
      <c r="CE116" s="433"/>
      <c r="CF116" s="433"/>
      <c r="CG116" s="433"/>
      <c r="CH116" s="433"/>
      <c r="CI116" s="433"/>
      <c r="CJ116" s="433"/>
      <c r="CK116" s="433"/>
      <c r="CL116" s="433"/>
      <c r="CM116" s="433"/>
      <c r="CN116" s="433"/>
      <c r="CO116" s="433"/>
      <c r="CP116" s="433"/>
      <c r="CQ116" s="433"/>
      <c r="CR116" s="433"/>
      <c r="CS116" s="433"/>
      <c r="CT116" s="433"/>
      <c r="CU116" s="433"/>
      <c r="CV116" s="433"/>
      <c r="CW116" s="433"/>
      <c r="CX116" s="433"/>
      <c r="CY116" s="433"/>
      <c r="CZ116" s="433"/>
      <c r="DA116" s="433"/>
      <c r="DB116" s="433"/>
      <c r="DC116" s="433"/>
      <c r="DD116" s="433"/>
      <c r="DE116" s="433"/>
      <c r="DF116" s="433"/>
      <c r="DG116" s="433"/>
      <c r="DH116" s="433"/>
      <c r="DI116" s="433"/>
      <c r="DJ116" s="433"/>
      <c r="DK116" s="433"/>
      <c r="DL116" s="433"/>
      <c r="DM116" s="433"/>
      <c r="DN116" s="433"/>
      <c r="DO116" s="433"/>
      <c r="DP116" s="433"/>
      <c r="DR116" s="409"/>
      <c r="DS116" s="409"/>
    </row>
    <row r="117" spans="2:123" s="1471" customFormat="1">
      <c r="B117" s="428"/>
      <c r="C117" s="429"/>
      <c r="D117" s="429"/>
      <c r="E117" s="429"/>
      <c r="F117" s="429"/>
      <c r="G117" s="429"/>
      <c r="H117" s="429"/>
      <c r="I117" s="429"/>
      <c r="J117" s="429"/>
      <c r="K117" s="429"/>
      <c r="L117" s="429"/>
      <c r="M117" s="429"/>
      <c r="N117" s="429"/>
      <c r="O117" s="429"/>
      <c r="P117" s="429"/>
      <c r="Q117" s="429"/>
      <c r="R117" s="429"/>
      <c r="S117" s="429"/>
      <c r="T117" s="429"/>
      <c r="U117" s="429"/>
      <c r="V117" s="429"/>
      <c r="W117" s="429"/>
      <c r="X117" s="429"/>
      <c r="Y117" s="429"/>
      <c r="Z117" s="429"/>
      <c r="AA117" s="429"/>
      <c r="AB117" s="429"/>
      <c r="AC117" s="429"/>
      <c r="AD117" s="429"/>
      <c r="AE117" s="429"/>
      <c r="AF117" s="429"/>
      <c r="AG117" s="429"/>
      <c r="AH117" s="429"/>
      <c r="AI117" s="429"/>
      <c r="AJ117" s="429"/>
      <c r="AK117" s="429"/>
      <c r="AL117" s="429"/>
      <c r="AM117" s="429"/>
      <c r="AN117" s="429"/>
      <c r="AO117" s="432"/>
      <c r="AP117" s="428"/>
      <c r="AQ117" s="431"/>
      <c r="AR117" s="431"/>
      <c r="AS117" s="431"/>
      <c r="AT117" s="431"/>
      <c r="AU117" s="431"/>
      <c r="AV117" s="431"/>
      <c r="AW117" s="431"/>
      <c r="AX117" s="431"/>
      <c r="AY117" s="431"/>
      <c r="AZ117" s="431"/>
      <c r="BA117" s="431"/>
      <c r="BB117" s="431"/>
      <c r="BC117" s="431"/>
      <c r="BD117" s="431"/>
      <c r="BE117" s="431"/>
      <c r="BF117" s="431"/>
      <c r="BG117" s="431"/>
      <c r="BH117" s="431"/>
      <c r="BI117" s="431"/>
      <c r="BJ117" s="431"/>
      <c r="BK117" s="431"/>
      <c r="BL117" s="431"/>
      <c r="BM117" s="431"/>
      <c r="BN117" s="431"/>
      <c r="BO117" s="431"/>
      <c r="BP117" s="431"/>
      <c r="BQ117" s="431"/>
      <c r="BR117" s="431"/>
      <c r="BS117" s="431"/>
      <c r="BT117" s="431"/>
      <c r="BU117" s="431"/>
      <c r="BV117" s="431"/>
      <c r="BW117" s="431"/>
      <c r="BX117" s="431"/>
      <c r="BY117" s="431"/>
      <c r="BZ117" s="431"/>
      <c r="CA117" s="431"/>
      <c r="CB117" s="431"/>
      <c r="CC117" s="432"/>
      <c r="CD117" s="428"/>
      <c r="CE117" s="433"/>
      <c r="CF117" s="433"/>
      <c r="CG117" s="433"/>
      <c r="CH117" s="433"/>
      <c r="CI117" s="433"/>
      <c r="CJ117" s="433"/>
      <c r="CK117" s="433"/>
      <c r="CL117" s="433"/>
      <c r="CM117" s="433"/>
      <c r="CN117" s="433"/>
      <c r="CO117" s="433"/>
      <c r="CP117" s="433"/>
      <c r="CQ117" s="433"/>
      <c r="CR117" s="433"/>
      <c r="CS117" s="433"/>
      <c r="CT117" s="433"/>
      <c r="CU117" s="433"/>
      <c r="CV117" s="433"/>
      <c r="CW117" s="433"/>
      <c r="CX117" s="433"/>
      <c r="CY117" s="433"/>
      <c r="CZ117" s="433"/>
      <c r="DA117" s="433"/>
      <c r="DB117" s="433"/>
      <c r="DC117" s="433"/>
      <c r="DD117" s="433"/>
      <c r="DE117" s="433"/>
      <c r="DF117" s="433"/>
      <c r="DG117" s="433"/>
      <c r="DH117" s="433"/>
      <c r="DI117" s="433"/>
      <c r="DJ117" s="433"/>
      <c r="DK117" s="433"/>
      <c r="DL117" s="433"/>
      <c r="DM117" s="433"/>
      <c r="DN117" s="433"/>
      <c r="DO117" s="433"/>
      <c r="DP117" s="433"/>
      <c r="DR117" s="409"/>
      <c r="DS117" s="409"/>
    </row>
    <row r="118" spans="2:123" s="1471" customFormat="1">
      <c r="B118" s="428"/>
      <c r="C118" s="429"/>
      <c r="D118" s="429"/>
      <c r="E118" s="429"/>
      <c r="F118" s="429"/>
      <c r="G118" s="429"/>
      <c r="H118" s="429"/>
      <c r="I118" s="429"/>
      <c r="J118" s="429"/>
      <c r="K118" s="429"/>
      <c r="L118" s="429"/>
      <c r="M118" s="429"/>
      <c r="N118" s="429"/>
      <c r="O118" s="429"/>
      <c r="P118" s="429"/>
      <c r="Q118" s="429"/>
      <c r="R118" s="429"/>
      <c r="S118" s="429"/>
      <c r="T118" s="429"/>
      <c r="U118" s="429"/>
      <c r="V118" s="429"/>
      <c r="W118" s="429"/>
      <c r="X118" s="429"/>
      <c r="Y118" s="429"/>
      <c r="Z118" s="429"/>
      <c r="AA118" s="429"/>
      <c r="AB118" s="429"/>
      <c r="AC118" s="429"/>
      <c r="AD118" s="429"/>
      <c r="AE118" s="429"/>
      <c r="AF118" s="429"/>
      <c r="AG118" s="429"/>
      <c r="AH118" s="429"/>
      <c r="AI118" s="429"/>
      <c r="AJ118" s="429"/>
      <c r="AK118" s="429"/>
      <c r="AL118" s="429"/>
      <c r="AM118" s="429"/>
      <c r="AN118" s="429"/>
      <c r="AO118" s="432"/>
      <c r="AP118" s="428"/>
      <c r="AQ118" s="431"/>
      <c r="AR118" s="431"/>
      <c r="AS118" s="431"/>
      <c r="AT118" s="431"/>
      <c r="AU118" s="431"/>
      <c r="AV118" s="431"/>
      <c r="AW118" s="431"/>
      <c r="AX118" s="431"/>
      <c r="AY118" s="431"/>
      <c r="AZ118" s="431"/>
      <c r="BA118" s="431"/>
      <c r="BB118" s="431"/>
      <c r="BC118" s="431"/>
      <c r="BD118" s="431"/>
      <c r="BE118" s="431"/>
      <c r="BF118" s="431"/>
      <c r="BG118" s="431"/>
      <c r="BH118" s="431"/>
      <c r="BI118" s="431"/>
      <c r="BJ118" s="431"/>
      <c r="BK118" s="431"/>
      <c r="BL118" s="431"/>
      <c r="BM118" s="431"/>
      <c r="BN118" s="431"/>
      <c r="BO118" s="431"/>
      <c r="BP118" s="431"/>
      <c r="BQ118" s="431"/>
      <c r="BR118" s="431"/>
      <c r="BS118" s="431"/>
      <c r="BT118" s="431"/>
      <c r="BU118" s="431"/>
      <c r="BV118" s="431"/>
      <c r="BW118" s="431"/>
      <c r="BX118" s="431"/>
      <c r="BY118" s="431"/>
      <c r="BZ118" s="431"/>
      <c r="CA118" s="431"/>
      <c r="CB118" s="431"/>
      <c r="CC118" s="432"/>
      <c r="CD118" s="428"/>
      <c r="CE118" s="433"/>
      <c r="CF118" s="433"/>
      <c r="CG118" s="433"/>
      <c r="CH118" s="433"/>
      <c r="CI118" s="433"/>
      <c r="CJ118" s="433"/>
      <c r="CK118" s="433"/>
      <c r="CL118" s="433"/>
      <c r="CM118" s="433"/>
      <c r="CN118" s="433"/>
      <c r="CO118" s="433"/>
      <c r="CP118" s="433"/>
      <c r="CQ118" s="433"/>
      <c r="CR118" s="433"/>
      <c r="CS118" s="433"/>
      <c r="CT118" s="433"/>
      <c r="CU118" s="433"/>
      <c r="CV118" s="433"/>
      <c r="CW118" s="433"/>
      <c r="CX118" s="433"/>
      <c r="CY118" s="433"/>
      <c r="CZ118" s="433"/>
      <c r="DA118" s="433"/>
      <c r="DB118" s="433"/>
      <c r="DC118" s="433"/>
      <c r="DD118" s="433"/>
      <c r="DE118" s="433"/>
      <c r="DF118" s="433"/>
      <c r="DG118" s="433"/>
      <c r="DH118" s="433"/>
      <c r="DI118" s="433"/>
      <c r="DJ118" s="433"/>
      <c r="DK118" s="433"/>
      <c r="DL118" s="433"/>
      <c r="DM118" s="433"/>
      <c r="DN118" s="433"/>
      <c r="DO118" s="433"/>
      <c r="DP118" s="433"/>
      <c r="DR118" s="409"/>
      <c r="DS118" s="409"/>
    </row>
    <row r="119" spans="2:123" s="1471" customFormat="1">
      <c r="B119" s="428"/>
      <c r="C119" s="429"/>
      <c r="D119" s="429"/>
      <c r="E119" s="429"/>
      <c r="F119" s="429"/>
      <c r="G119" s="429"/>
      <c r="H119" s="429"/>
      <c r="I119" s="429"/>
      <c r="J119" s="429"/>
      <c r="K119" s="429"/>
      <c r="L119" s="429"/>
      <c r="M119" s="429"/>
      <c r="N119" s="429"/>
      <c r="O119" s="429"/>
      <c r="P119" s="429"/>
      <c r="Q119" s="429"/>
      <c r="R119" s="429"/>
      <c r="S119" s="429"/>
      <c r="T119" s="429"/>
      <c r="U119" s="429"/>
      <c r="V119" s="429"/>
      <c r="W119" s="429"/>
      <c r="X119" s="429"/>
      <c r="Y119" s="429"/>
      <c r="Z119" s="429"/>
      <c r="AA119" s="429"/>
      <c r="AB119" s="429"/>
      <c r="AC119" s="429"/>
      <c r="AD119" s="429"/>
      <c r="AE119" s="429"/>
      <c r="AF119" s="429"/>
      <c r="AG119" s="429"/>
      <c r="AH119" s="429"/>
      <c r="AI119" s="429"/>
      <c r="AJ119" s="429"/>
      <c r="AK119" s="429"/>
      <c r="AL119" s="429"/>
      <c r="AM119" s="429"/>
      <c r="AN119" s="429"/>
      <c r="AO119" s="432"/>
      <c r="AP119" s="428"/>
      <c r="AQ119" s="431"/>
      <c r="AR119" s="431"/>
      <c r="AS119" s="431"/>
      <c r="AT119" s="431"/>
      <c r="AU119" s="431"/>
      <c r="AV119" s="431"/>
      <c r="AW119" s="431"/>
      <c r="AX119" s="431"/>
      <c r="AY119" s="431"/>
      <c r="AZ119" s="431"/>
      <c r="BA119" s="431"/>
      <c r="BB119" s="431"/>
      <c r="BC119" s="431"/>
      <c r="BD119" s="431"/>
      <c r="BE119" s="431"/>
      <c r="BF119" s="431"/>
      <c r="BG119" s="431"/>
      <c r="BH119" s="431"/>
      <c r="BI119" s="431"/>
      <c r="BJ119" s="431"/>
      <c r="BK119" s="431"/>
      <c r="BL119" s="431"/>
      <c r="BM119" s="431"/>
      <c r="BN119" s="431"/>
      <c r="BO119" s="431"/>
      <c r="BP119" s="431"/>
      <c r="BQ119" s="431"/>
      <c r="BR119" s="431"/>
      <c r="BS119" s="431"/>
      <c r="BT119" s="431"/>
      <c r="BU119" s="431"/>
      <c r="BV119" s="431"/>
      <c r="BW119" s="431"/>
      <c r="BX119" s="431"/>
      <c r="BY119" s="431"/>
      <c r="BZ119" s="431"/>
      <c r="CA119" s="431"/>
      <c r="CB119" s="431"/>
      <c r="CC119" s="432"/>
      <c r="CD119" s="428"/>
      <c r="CE119" s="433"/>
      <c r="CF119" s="433"/>
      <c r="CG119" s="433"/>
      <c r="CH119" s="433"/>
      <c r="CI119" s="433"/>
      <c r="CJ119" s="433"/>
      <c r="CK119" s="433"/>
      <c r="CL119" s="433"/>
      <c r="CM119" s="433"/>
      <c r="CN119" s="433"/>
      <c r="CO119" s="433"/>
      <c r="CP119" s="433"/>
      <c r="CQ119" s="433"/>
      <c r="CR119" s="433"/>
      <c r="CS119" s="433"/>
      <c r="CT119" s="433"/>
      <c r="CU119" s="433"/>
      <c r="CV119" s="433"/>
      <c r="CW119" s="433"/>
      <c r="CX119" s="433"/>
      <c r="CY119" s="433"/>
      <c r="CZ119" s="433"/>
      <c r="DA119" s="433"/>
      <c r="DB119" s="433"/>
      <c r="DC119" s="433"/>
      <c r="DD119" s="433"/>
      <c r="DE119" s="433"/>
      <c r="DF119" s="433"/>
      <c r="DG119" s="433"/>
      <c r="DH119" s="433"/>
      <c r="DI119" s="433"/>
      <c r="DJ119" s="433"/>
      <c r="DK119" s="433"/>
      <c r="DL119" s="433"/>
      <c r="DM119" s="433"/>
      <c r="DN119" s="433"/>
      <c r="DO119" s="433"/>
      <c r="DP119" s="433"/>
      <c r="DR119" s="409"/>
      <c r="DS119" s="409"/>
    </row>
    <row r="120" spans="2:123" s="1471" customFormat="1">
      <c r="B120" s="428"/>
      <c r="C120" s="429"/>
      <c r="D120" s="429"/>
      <c r="E120" s="429"/>
      <c r="F120" s="429"/>
      <c r="G120" s="429"/>
      <c r="H120" s="429"/>
      <c r="I120" s="429"/>
      <c r="J120" s="429"/>
      <c r="K120" s="429"/>
      <c r="L120" s="429"/>
      <c r="M120" s="429"/>
      <c r="N120" s="429"/>
      <c r="O120" s="429"/>
      <c r="P120" s="429"/>
      <c r="Q120" s="429"/>
      <c r="R120" s="429"/>
      <c r="S120" s="429"/>
      <c r="T120" s="429"/>
      <c r="U120" s="429"/>
      <c r="V120" s="429"/>
      <c r="W120" s="429"/>
      <c r="X120" s="429"/>
      <c r="Y120" s="429"/>
      <c r="Z120" s="429"/>
      <c r="AA120" s="429"/>
      <c r="AB120" s="429"/>
      <c r="AC120" s="429"/>
      <c r="AD120" s="429"/>
      <c r="AE120" s="429"/>
      <c r="AF120" s="429"/>
      <c r="AG120" s="429"/>
      <c r="AH120" s="429"/>
      <c r="AI120" s="429"/>
      <c r="AJ120" s="429"/>
      <c r="AK120" s="429"/>
      <c r="AL120" s="429"/>
      <c r="AM120" s="429"/>
      <c r="AN120" s="429"/>
      <c r="AO120" s="432"/>
      <c r="AP120" s="428"/>
      <c r="AQ120" s="431"/>
      <c r="AR120" s="431"/>
      <c r="AS120" s="431"/>
      <c r="AT120" s="431"/>
      <c r="AU120" s="431"/>
      <c r="AV120" s="431"/>
      <c r="AW120" s="431"/>
      <c r="AX120" s="431"/>
      <c r="AY120" s="431"/>
      <c r="AZ120" s="431"/>
      <c r="BA120" s="431"/>
      <c r="BB120" s="431"/>
      <c r="BC120" s="431"/>
      <c r="BD120" s="431"/>
      <c r="BE120" s="431"/>
      <c r="BF120" s="431"/>
      <c r="BG120" s="431"/>
      <c r="BH120" s="431"/>
      <c r="BI120" s="431"/>
      <c r="BJ120" s="431"/>
      <c r="BK120" s="431"/>
      <c r="BL120" s="431"/>
      <c r="BM120" s="431"/>
      <c r="BN120" s="431"/>
      <c r="BO120" s="431"/>
      <c r="BP120" s="431"/>
      <c r="BQ120" s="431"/>
      <c r="BR120" s="431"/>
      <c r="BS120" s="431"/>
      <c r="BT120" s="431"/>
      <c r="BU120" s="431"/>
      <c r="BV120" s="431"/>
      <c r="BW120" s="431"/>
      <c r="BX120" s="431"/>
      <c r="BY120" s="431"/>
      <c r="BZ120" s="431"/>
      <c r="CA120" s="431"/>
      <c r="CB120" s="431"/>
      <c r="CC120" s="432"/>
      <c r="CD120" s="428"/>
      <c r="CE120" s="433"/>
      <c r="CF120" s="433"/>
      <c r="CG120" s="433"/>
      <c r="CH120" s="433"/>
      <c r="CI120" s="433"/>
      <c r="CJ120" s="433"/>
      <c r="CK120" s="433"/>
      <c r="CL120" s="433"/>
      <c r="CM120" s="433"/>
      <c r="CN120" s="433"/>
      <c r="CO120" s="433"/>
      <c r="CP120" s="433"/>
      <c r="CQ120" s="433"/>
      <c r="CR120" s="433"/>
      <c r="CS120" s="433"/>
      <c r="CT120" s="433"/>
      <c r="CU120" s="433"/>
      <c r="CV120" s="433"/>
      <c r="CW120" s="433"/>
      <c r="CX120" s="433"/>
      <c r="CY120" s="433"/>
      <c r="CZ120" s="433"/>
      <c r="DA120" s="433"/>
      <c r="DB120" s="433"/>
      <c r="DC120" s="433"/>
      <c r="DD120" s="433"/>
      <c r="DE120" s="433"/>
      <c r="DF120" s="433"/>
      <c r="DG120" s="433"/>
      <c r="DH120" s="433"/>
      <c r="DI120" s="433"/>
      <c r="DJ120" s="433"/>
      <c r="DK120" s="433"/>
      <c r="DL120" s="433"/>
      <c r="DM120" s="433"/>
      <c r="DN120" s="433"/>
      <c r="DO120" s="433"/>
      <c r="DP120" s="433"/>
      <c r="DR120" s="409"/>
      <c r="DS120" s="409"/>
    </row>
    <row r="121" spans="2:123" s="1471" customFormat="1">
      <c r="B121" s="428"/>
      <c r="C121" s="429"/>
      <c r="D121" s="429"/>
      <c r="E121" s="429"/>
      <c r="F121" s="429"/>
      <c r="G121" s="429"/>
      <c r="H121" s="429"/>
      <c r="I121" s="429"/>
      <c r="J121" s="429"/>
      <c r="K121" s="429"/>
      <c r="L121" s="429"/>
      <c r="M121" s="429"/>
      <c r="N121" s="429"/>
      <c r="O121" s="429"/>
      <c r="P121" s="429"/>
      <c r="Q121" s="429"/>
      <c r="R121" s="429"/>
      <c r="S121" s="429"/>
      <c r="T121" s="429"/>
      <c r="U121" s="429"/>
      <c r="V121" s="429"/>
      <c r="W121" s="429"/>
      <c r="X121" s="429"/>
      <c r="Y121" s="429"/>
      <c r="Z121" s="429"/>
      <c r="AA121" s="429"/>
      <c r="AB121" s="429"/>
      <c r="AC121" s="429"/>
      <c r="AD121" s="429"/>
      <c r="AE121" s="429"/>
      <c r="AF121" s="429"/>
      <c r="AG121" s="429"/>
      <c r="AH121" s="429"/>
      <c r="AI121" s="429"/>
      <c r="AJ121" s="429"/>
      <c r="AK121" s="429"/>
      <c r="AL121" s="429"/>
      <c r="AM121" s="429"/>
      <c r="AN121" s="429"/>
      <c r="AO121" s="432"/>
      <c r="AP121" s="428"/>
      <c r="AQ121" s="431"/>
      <c r="AR121" s="431"/>
      <c r="AS121" s="431"/>
      <c r="AT121" s="431"/>
      <c r="AU121" s="431"/>
      <c r="AV121" s="431"/>
      <c r="AW121" s="431"/>
      <c r="AX121" s="431"/>
      <c r="AY121" s="431"/>
      <c r="AZ121" s="431"/>
      <c r="BA121" s="431"/>
      <c r="BB121" s="431"/>
      <c r="BC121" s="431"/>
      <c r="BD121" s="431"/>
      <c r="BE121" s="431"/>
      <c r="BF121" s="431"/>
      <c r="BG121" s="431"/>
      <c r="BH121" s="431"/>
      <c r="BI121" s="431"/>
      <c r="BJ121" s="431"/>
      <c r="BK121" s="431"/>
      <c r="BL121" s="431"/>
      <c r="BM121" s="431"/>
      <c r="BN121" s="431"/>
      <c r="BO121" s="431"/>
      <c r="BP121" s="431"/>
      <c r="BQ121" s="431"/>
      <c r="BR121" s="431"/>
      <c r="BS121" s="431"/>
      <c r="BT121" s="431"/>
      <c r="BU121" s="431"/>
      <c r="BV121" s="431"/>
      <c r="BW121" s="431"/>
      <c r="BX121" s="431"/>
      <c r="BY121" s="431"/>
      <c r="BZ121" s="431"/>
      <c r="CA121" s="431"/>
      <c r="CB121" s="431"/>
      <c r="CC121" s="432"/>
      <c r="CD121" s="428"/>
      <c r="CE121" s="433"/>
      <c r="CF121" s="433"/>
      <c r="CG121" s="433"/>
      <c r="CH121" s="433"/>
      <c r="CI121" s="433"/>
      <c r="CJ121" s="433"/>
      <c r="CK121" s="433"/>
      <c r="CL121" s="433"/>
      <c r="CM121" s="433"/>
      <c r="CN121" s="433"/>
      <c r="CO121" s="433"/>
      <c r="CP121" s="433"/>
      <c r="CQ121" s="433"/>
      <c r="CR121" s="433"/>
      <c r="CS121" s="433"/>
      <c r="CT121" s="433"/>
      <c r="CU121" s="433"/>
      <c r="CV121" s="433"/>
      <c r="CW121" s="433"/>
      <c r="CX121" s="433"/>
      <c r="CY121" s="433"/>
      <c r="CZ121" s="433"/>
      <c r="DA121" s="433"/>
      <c r="DB121" s="433"/>
      <c r="DC121" s="433"/>
      <c r="DD121" s="433"/>
      <c r="DE121" s="433"/>
      <c r="DF121" s="433"/>
      <c r="DG121" s="433"/>
      <c r="DH121" s="433"/>
      <c r="DI121" s="433"/>
      <c r="DJ121" s="433"/>
      <c r="DK121" s="433"/>
      <c r="DL121" s="433"/>
      <c r="DM121" s="433"/>
      <c r="DN121" s="433"/>
      <c r="DO121" s="433"/>
      <c r="DP121" s="433"/>
      <c r="DR121" s="409"/>
      <c r="DS121" s="409"/>
    </row>
    <row r="122" spans="2:123" s="1471" customFormat="1">
      <c r="B122" s="428"/>
      <c r="C122" s="429"/>
      <c r="D122" s="429"/>
      <c r="E122" s="429"/>
      <c r="F122" s="429"/>
      <c r="G122" s="429"/>
      <c r="H122" s="429"/>
      <c r="I122" s="429"/>
      <c r="J122" s="429"/>
      <c r="K122" s="429"/>
      <c r="L122" s="429"/>
      <c r="M122" s="429"/>
      <c r="N122" s="429"/>
      <c r="O122" s="429"/>
      <c r="P122" s="429"/>
      <c r="Q122" s="429"/>
      <c r="R122" s="429"/>
      <c r="S122" s="429"/>
      <c r="T122" s="429"/>
      <c r="U122" s="429"/>
      <c r="V122" s="429"/>
      <c r="W122" s="429"/>
      <c r="X122" s="429"/>
      <c r="Y122" s="429"/>
      <c r="Z122" s="429"/>
      <c r="AA122" s="429"/>
      <c r="AB122" s="429"/>
      <c r="AC122" s="429"/>
      <c r="AD122" s="429"/>
      <c r="AE122" s="429"/>
      <c r="AF122" s="429"/>
      <c r="AG122" s="429"/>
      <c r="AH122" s="429"/>
      <c r="AI122" s="429"/>
      <c r="AJ122" s="429"/>
      <c r="AK122" s="429"/>
      <c r="AL122" s="429"/>
      <c r="AM122" s="429"/>
      <c r="AN122" s="429"/>
      <c r="AO122" s="432"/>
      <c r="AP122" s="428"/>
      <c r="AQ122" s="431"/>
      <c r="AR122" s="431"/>
      <c r="AS122" s="431"/>
      <c r="AT122" s="431"/>
      <c r="AU122" s="431"/>
      <c r="AV122" s="431"/>
      <c r="AW122" s="431"/>
      <c r="AX122" s="431"/>
      <c r="AY122" s="431"/>
      <c r="AZ122" s="431"/>
      <c r="BA122" s="431"/>
      <c r="BB122" s="431"/>
      <c r="BC122" s="431"/>
      <c r="BD122" s="431"/>
      <c r="BE122" s="431"/>
      <c r="BF122" s="431"/>
      <c r="BG122" s="431"/>
      <c r="BH122" s="431"/>
      <c r="BI122" s="431"/>
      <c r="BJ122" s="431"/>
      <c r="BK122" s="431"/>
      <c r="BL122" s="431"/>
      <c r="BM122" s="431"/>
      <c r="BN122" s="431"/>
      <c r="BO122" s="431"/>
      <c r="BP122" s="431"/>
      <c r="BQ122" s="431"/>
      <c r="BR122" s="431"/>
      <c r="BS122" s="431"/>
      <c r="BT122" s="431"/>
      <c r="BU122" s="431"/>
      <c r="BV122" s="431"/>
      <c r="BW122" s="431"/>
      <c r="BX122" s="431"/>
      <c r="BY122" s="431"/>
      <c r="BZ122" s="431"/>
      <c r="CA122" s="431"/>
      <c r="CB122" s="431"/>
      <c r="CC122" s="432"/>
      <c r="CD122" s="428"/>
      <c r="CE122" s="433"/>
      <c r="CF122" s="433"/>
      <c r="CG122" s="433"/>
      <c r="CH122" s="433"/>
      <c r="CI122" s="433"/>
      <c r="CJ122" s="433"/>
      <c r="CK122" s="433"/>
      <c r="CL122" s="433"/>
      <c r="CM122" s="433"/>
      <c r="CN122" s="433"/>
      <c r="CO122" s="433"/>
      <c r="CP122" s="433"/>
      <c r="CQ122" s="433"/>
      <c r="CR122" s="433"/>
      <c r="CS122" s="433"/>
      <c r="CT122" s="433"/>
      <c r="CU122" s="433"/>
      <c r="CV122" s="433"/>
      <c r="CW122" s="433"/>
      <c r="CX122" s="433"/>
      <c r="CY122" s="433"/>
      <c r="CZ122" s="433"/>
      <c r="DA122" s="433"/>
      <c r="DB122" s="433"/>
      <c r="DC122" s="433"/>
      <c r="DD122" s="433"/>
      <c r="DE122" s="433"/>
      <c r="DF122" s="433"/>
      <c r="DG122" s="433"/>
      <c r="DH122" s="433"/>
      <c r="DI122" s="433"/>
      <c r="DJ122" s="433"/>
      <c r="DK122" s="433"/>
      <c r="DL122" s="433"/>
      <c r="DM122" s="433"/>
      <c r="DN122" s="433"/>
      <c r="DO122" s="433"/>
      <c r="DP122" s="433"/>
      <c r="DR122" s="409"/>
      <c r="DS122" s="409"/>
    </row>
    <row r="123" spans="2:123" s="1471" customFormat="1">
      <c r="B123" s="428"/>
      <c r="C123" s="429"/>
      <c r="D123" s="429"/>
      <c r="E123" s="429"/>
      <c r="F123" s="429"/>
      <c r="G123" s="429"/>
      <c r="H123" s="429"/>
      <c r="I123" s="429"/>
      <c r="J123" s="429"/>
      <c r="K123" s="429"/>
      <c r="L123" s="429"/>
      <c r="M123" s="429"/>
      <c r="N123" s="429"/>
      <c r="O123" s="429"/>
      <c r="P123" s="429"/>
      <c r="Q123" s="429"/>
      <c r="R123" s="429"/>
      <c r="S123" s="429"/>
      <c r="T123" s="429"/>
      <c r="U123" s="429"/>
      <c r="V123" s="429"/>
      <c r="W123" s="429"/>
      <c r="X123" s="429"/>
      <c r="Y123" s="429"/>
      <c r="Z123" s="429"/>
      <c r="AA123" s="429"/>
      <c r="AB123" s="429"/>
      <c r="AC123" s="429"/>
      <c r="AD123" s="429"/>
      <c r="AE123" s="429"/>
      <c r="AF123" s="429"/>
      <c r="AG123" s="429"/>
      <c r="AH123" s="429"/>
      <c r="AI123" s="429"/>
      <c r="AJ123" s="429"/>
      <c r="AK123" s="429"/>
      <c r="AL123" s="429"/>
      <c r="AM123" s="429"/>
      <c r="AN123" s="429"/>
      <c r="AO123" s="432"/>
      <c r="AP123" s="428"/>
      <c r="AQ123" s="431"/>
      <c r="AR123" s="431"/>
      <c r="AS123" s="431"/>
      <c r="AT123" s="431"/>
      <c r="AU123" s="431"/>
      <c r="AV123" s="431"/>
      <c r="AW123" s="431"/>
      <c r="AX123" s="431"/>
      <c r="AY123" s="431"/>
      <c r="AZ123" s="431"/>
      <c r="BA123" s="431"/>
      <c r="BB123" s="431"/>
      <c r="BC123" s="431"/>
      <c r="BD123" s="431"/>
      <c r="BE123" s="431"/>
      <c r="BF123" s="431"/>
      <c r="BG123" s="431"/>
      <c r="BH123" s="431"/>
      <c r="BI123" s="431"/>
      <c r="BJ123" s="431"/>
      <c r="BK123" s="431"/>
      <c r="BL123" s="431"/>
      <c r="BM123" s="431"/>
      <c r="BN123" s="431"/>
      <c r="BO123" s="431"/>
      <c r="BP123" s="431"/>
      <c r="BQ123" s="431"/>
      <c r="BR123" s="431"/>
      <c r="BS123" s="431"/>
      <c r="BT123" s="431"/>
      <c r="BU123" s="431"/>
      <c r="BV123" s="431"/>
      <c r="BW123" s="431"/>
      <c r="BX123" s="431"/>
      <c r="BY123" s="431"/>
      <c r="BZ123" s="431"/>
      <c r="CA123" s="431"/>
      <c r="CB123" s="431"/>
      <c r="CC123" s="432"/>
      <c r="CD123" s="428"/>
      <c r="CE123" s="433"/>
      <c r="CF123" s="433"/>
      <c r="CG123" s="433"/>
      <c r="CH123" s="433"/>
      <c r="CI123" s="433"/>
      <c r="CJ123" s="433"/>
      <c r="CK123" s="433"/>
      <c r="CL123" s="433"/>
      <c r="CM123" s="433"/>
      <c r="CN123" s="433"/>
      <c r="CO123" s="433"/>
      <c r="CP123" s="433"/>
      <c r="CQ123" s="433"/>
      <c r="CR123" s="433"/>
      <c r="CS123" s="433"/>
      <c r="CT123" s="433"/>
      <c r="CU123" s="433"/>
      <c r="CV123" s="433"/>
      <c r="CW123" s="433"/>
      <c r="CX123" s="433"/>
      <c r="CY123" s="433"/>
      <c r="CZ123" s="433"/>
      <c r="DA123" s="433"/>
      <c r="DB123" s="433"/>
      <c r="DC123" s="433"/>
      <c r="DD123" s="433"/>
      <c r="DE123" s="433"/>
      <c r="DF123" s="433"/>
      <c r="DG123" s="433"/>
      <c r="DH123" s="433"/>
      <c r="DI123" s="433"/>
      <c r="DJ123" s="433"/>
      <c r="DK123" s="433"/>
      <c r="DL123" s="433"/>
      <c r="DM123" s="433"/>
      <c r="DN123" s="433"/>
      <c r="DO123" s="433"/>
      <c r="DP123" s="433"/>
      <c r="DR123" s="409"/>
      <c r="DS123" s="409"/>
    </row>
    <row r="124" spans="2:123" s="1471" customFormat="1">
      <c r="B124" s="428"/>
      <c r="C124" s="429"/>
      <c r="D124" s="429"/>
      <c r="E124" s="429"/>
      <c r="F124" s="429"/>
      <c r="G124" s="429"/>
      <c r="H124" s="429"/>
      <c r="I124" s="429"/>
      <c r="J124" s="429"/>
      <c r="K124" s="429"/>
      <c r="L124" s="429"/>
      <c r="M124" s="429"/>
      <c r="N124" s="429"/>
      <c r="O124" s="429"/>
      <c r="P124" s="429"/>
      <c r="Q124" s="429"/>
      <c r="R124" s="429"/>
      <c r="S124" s="429"/>
      <c r="T124" s="429"/>
      <c r="U124" s="429"/>
      <c r="V124" s="429"/>
      <c r="W124" s="429"/>
      <c r="X124" s="429"/>
      <c r="Y124" s="429"/>
      <c r="Z124" s="429"/>
      <c r="AA124" s="429"/>
      <c r="AB124" s="429"/>
      <c r="AC124" s="429"/>
      <c r="AD124" s="429"/>
      <c r="AE124" s="429"/>
      <c r="AF124" s="429"/>
      <c r="AG124" s="429"/>
      <c r="AH124" s="429"/>
      <c r="AI124" s="429"/>
      <c r="AJ124" s="429"/>
      <c r="AK124" s="429"/>
      <c r="AL124" s="429"/>
      <c r="AM124" s="429"/>
      <c r="AN124" s="429"/>
      <c r="AO124" s="432"/>
      <c r="AP124" s="428"/>
      <c r="AQ124" s="431"/>
      <c r="AR124" s="431"/>
      <c r="AS124" s="431"/>
      <c r="AT124" s="431"/>
      <c r="AU124" s="431"/>
      <c r="AV124" s="431"/>
      <c r="AW124" s="431"/>
      <c r="AX124" s="431"/>
      <c r="AY124" s="431"/>
      <c r="AZ124" s="431"/>
      <c r="BA124" s="431"/>
      <c r="BB124" s="431"/>
      <c r="BC124" s="431"/>
      <c r="BD124" s="431"/>
      <c r="BE124" s="431"/>
      <c r="BF124" s="431"/>
      <c r="BG124" s="431"/>
      <c r="BH124" s="431"/>
      <c r="BI124" s="431"/>
      <c r="BJ124" s="431"/>
      <c r="BK124" s="431"/>
      <c r="BL124" s="431"/>
      <c r="BM124" s="431"/>
      <c r="BN124" s="431"/>
      <c r="BO124" s="431"/>
      <c r="BP124" s="431"/>
      <c r="BQ124" s="431"/>
      <c r="BR124" s="431"/>
      <c r="BS124" s="431"/>
      <c r="BT124" s="431"/>
      <c r="BU124" s="431"/>
      <c r="BV124" s="431"/>
      <c r="BW124" s="431"/>
      <c r="BX124" s="431"/>
      <c r="BY124" s="431"/>
      <c r="BZ124" s="431"/>
      <c r="CA124" s="431"/>
      <c r="CB124" s="431"/>
      <c r="CC124" s="432"/>
      <c r="CD124" s="428"/>
      <c r="CE124" s="433"/>
      <c r="CF124" s="433"/>
      <c r="CG124" s="433"/>
      <c r="CH124" s="433"/>
      <c r="CI124" s="433"/>
      <c r="CJ124" s="433"/>
      <c r="CK124" s="433"/>
      <c r="CL124" s="433"/>
      <c r="CM124" s="433"/>
      <c r="CN124" s="433"/>
      <c r="CO124" s="433"/>
      <c r="CP124" s="433"/>
      <c r="CQ124" s="433"/>
      <c r="CR124" s="433"/>
      <c r="CS124" s="433"/>
      <c r="CT124" s="433"/>
      <c r="CU124" s="433"/>
      <c r="CV124" s="433"/>
      <c r="CW124" s="433"/>
      <c r="CX124" s="433"/>
      <c r="CY124" s="433"/>
      <c r="CZ124" s="433"/>
      <c r="DA124" s="433"/>
      <c r="DB124" s="433"/>
      <c r="DC124" s="433"/>
      <c r="DD124" s="433"/>
      <c r="DE124" s="433"/>
      <c r="DF124" s="433"/>
      <c r="DG124" s="433"/>
      <c r="DH124" s="433"/>
      <c r="DI124" s="433"/>
      <c r="DJ124" s="433"/>
      <c r="DK124" s="433"/>
      <c r="DL124" s="433"/>
      <c r="DM124" s="433"/>
      <c r="DN124" s="433"/>
      <c r="DO124" s="433"/>
      <c r="DP124" s="433"/>
      <c r="DR124" s="409"/>
      <c r="DS124" s="409"/>
    </row>
    <row r="125" spans="2:123" s="1471" customFormat="1">
      <c r="B125" s="428"/>
      <c r="C125" s="429"/>
      <c r="D125" s="429"/>
      <c r="E125" s="429"/>
      <c r="F125" s="429"/>
      <c r="G125" s="429"/>
      <c r="H125" s="429"/>
      <c r="I125" s="429"/>
      <c r="J125" s="429"/>
      <c r="K125" s="429"/>
      <c r="L125" s="429"/>
      <c r="M125" s="429"/>
      <c r="N125" s="429"/>
      <c r="O125" s="429"/>
      <c r="P125" s="429"/>
      <c r="Q125" s="429"/>
      <c r="R125" s="429"/>
      <c r="S125" s="429"/>
      <c r="T125" s="429"/>
      <c r="U125" s="429"/>
      <c r="V125" s="429"/>
      <c r="W125" s="429"/>
      <c r="X125" s="429"/>
      <c r="Y125" s="429"/>
      <c r="Z125" s="429"/>
      <c r="AA125" s="429"/>
      <c r="AB125" s="429"/>
      <c r="AC125" s="429"/>
      <c r="AD125" s="429"/>
      <c r="AE125" s="429"/>
      <c r="AF125" s="429"/>
      <c r="AG125" s="429"/>
      <c r="AH125" s="429"/>
      <c r="AI125" s="429"/>
      <c r="AJ125" s="429"/>
      <c r="AK125" s="429"/>
      <c r="AL125" s="429"/>
      <c r="AM125" s="429"/>
      <c r="AN125" s="429"/>
      <c r="AO125" s="432"/>
      <c r="AP125" s="428"/>
      <c r="AQ125" s="431"/>
      <c r="AR125" s="431"/>
      <c r="AS125" s="431"/>
      <c r="AT125" s="431"/>
      <c r="AU125" s="431"/>
      <c r="AV125" s="431"/>
      <c r="AW125" s="431"/>
      <c r="AX125" s="431"/>
      <c r="AY125" s="431"/>
      <c r="AZ125" s="431"/>
      <c r="BA125" s="431"/>
      <c r="BB125" s="431"/>
      <c r="BC125" s="431"/>
      <c r="BD125" s="431"/>
      <c r="BE125" s="431"/>
      <c r="BF125" s="431"/>
      <c r="BG125" s="431"/>
      <c r="BH125" s="431"/>
      <c r="BI125" s="431"/>
      <c r="BJ125" s="431"/>
      <c r="BK125" s="431"/>
      <c r="BL125" s="431"/>
      <c r="BM125" s="431"/>
      <c r="BN125" s="431"/>
      <c r="BO125" s="431"/>
      <c r="BP125" s="431"/>
      <c r="BQ125" s="431"/>
      <c r="BR125" s="431"/>
      <c r="BS125" s="431"/>
      <c r="BT125" s="431"/>
      <c r="BU125" s="431"/>
      <c r="BV125" s="431"/>
      <c r="BW125" s="431"/>
      <c r="BX125" s="431"/>
      <c r="BY125" s="431"/>
      <c r="BZ125" s="431"/>
      <c r="CA125" s="431"/>
      <c r="CB125" s="431"/>
      <c r="CC125" s="432"/>
      <c r="CD125" s="428"/>
      <c r="CE125" s="433"/>
      <c r="CF125" s="433"/>
      <c r="CG125" s="433"/>
      <c r="CH125" s="433"/>
      <c r="CI125" s="433"/>
      <c r="CJ125" s="433"/>
      <c r="CK125" s="433"/>
      <c r="CL125" s="433"/>
      <c r="CM125" s="433"/>
      <c r="CN125" s="433"/>
      <c r="CO125" s="433"/>
      <c r="CP125" s="433"/>
      <c r="CQ125" s="433"/>
      <c r="CR125" s="433"/>
      <c r="CS125" s="433"/>
      <c r="CT125" s="433"/>
      <c r="CU125" s="433"/>
      <c r="CV125" s="433"/>
      <c r="CW125" s="433"/>
      <c r="CX125" s="433"/>
      <c r="CY125" s="433"/>
      <c r="CZ125" s="433"/>
      <c r="DA125" s="433"/>
      <c r="DB125" s="433"/>
      <c r="DC125" s="433"/>
      <c r="DD125" s="433"/>
      <c r="DE125" s="433"/>
      <c r="DF125" s="433"/>
      <c r="DG125" s="433"/>
      <c r="DH125" s="433"/>
      <c r="DI125" s="433"/>
      <c r="DJ125" s="433"/>
      <c r="DK125" s="433"/>
      <c r="DL125" s="433"/>
      <c r="DM125" s="433"/>
      <c r="DN125" s="433"/>
      <c r="DO125" s="433"/>
      <c r="DP125" s="433"/>
      <c r="DR125" s="409"/>
      <c r="DS125" s="409"/>
    </row>
    <row r="126" spans="2:123" s="1471" customFormat="1">
      <c r="B126" s="428"/>
      <c r="C126" s="429"/>
      <c r="D126" s="429"/>
      <c r="E126" s="429"/>
      <c r="F126" s="429"/>
      <c r="G126" s="429"/>
      <c r="H126" s="429"/>
      <c r="I126" s="429"/>
      <c r="J126" s="429"/>
      <c r="K126" s="429"/>
      <c r="L126" s="429"/>
      <c r="M126" s="429"/>
      <c r="N126" s="429"/>
      <c r="O126" s="429"/>
      <c r="P126" s="429"/>
      <c r="Q126" s="429"/>
      <c r="R126" s="429"/>
      <c r="S126" s="429"/>
      <c r="T126" s="429"/>
      <c r="U126" s="429"/>
      <c r="V126" s="429"/>
      <c r="W126" s="429"/>
      <c r="X126" s="429"/>
      <c r="Y126" s="429"/>
      <c r="Z126" s="429"/>
      <c r="AA126" s="429"/>
      <c r="AB126" s="429"/>
      <c r="AC126" s="429"/>
      <c r="AD126" s="429"/>
      <c r="AE126" s="429"/>
      <c r="AF126" s="429"/>
      <c r="AG126" s="429"/>
      <c r="AH126" s="429"/>
      <c r="AI126" s="429"/>
      <c r="AJ126" s="429"/>
      <c r="AK126" s="429"/>
      <c r="AL126" s="429"/>
      <c r="AM126" s="429"/>
      <c r="AN126" s="429"/>
      <c r="AO126" s="432"/>
      <c r="AP126" s="428"/>
      <c r="AQ126" s="431"/>
      <c r="AR126" s="431"/>
      <c r="AS126" s="431"/>
      <c r="AT126" s="431"/>
      <c r="AU126" s="431"/>
      <c r="AV126" s="431"/>
      <c r="AW126" s="431"/>
      <c r="AX126" s="431"/>
      <c r="AY126" s="431"/>
      <c r="AZ126" s="431"/>
      <c r="BA126" s="431"/>
      <c r="BB126" s="431"/>
      <c r="BC126" s="431"/>
      <c r="BD126" s="431"/>
      <c r="BE126" s="431"/>
      <c r="BF126" s="431"/>
      <c r="BG126" s="431"/>
      <c r="BH126" s="431"/>
      <c r="BI126" s="431"/>
      <c r="BJ126" s="431"/>
      <c r="BK126" s="431"/>
      <c r="BL126" s="431"/>
      <c r="BM126" s="431"/>
      <c r="BN126" s="431"/>
      <c r="BO126" s="431"/>
      <c r="BP126" s="431"/>
      <c r="BQ126" s="431"/>
      <c r="BR126" s="431"/>
      <c r="BS126" s="431"/>
      <c r="BT126" s="431"/>
      <c r="BU126" s="431"/>
      <c r="BV126" s="431"/>
      <c r="BW126" s="431"/>
      <c r="BX126" s="431"/>
      <c r="BY126" s="431"/>
      <c r="BZ126" s="431"/>
      <c r="CA126" s="431"/>
      <c r="CB126" s="431"/>
      <c r="CC126" s="432"/>
      <c r="CD126" s="428"/>
      <c r="CE126" s="433"/>
      <c r="CF126" s="433"/>
      <c r="CG126" s="433"/>
      <c r="CH126" s="433"/>
      <c r="CI126" s="433"/>
      <c r="CJ126" s="433"/>
      <c r="CK126" s="433"/>
      <c r="CL126" s="433"/>
      <c r="CM126" s="433"/>
      <c r="CN126" s="433"/>
      <c r="CO126" s="433"/>
      <c r="CP126" s="433"/>
      <c r="CQ126" s="433"/>
      <c r="CR126" s="433"/>
      <c r="CS126" s="433"/>
      <c r="CT126" s="433"/>
      <c r="CU126" s="433"/>
      <c r="CV126" s="433"/>
      <c r="CW126" s="433"/>
      <c r="CX126" s="433"/>
      <c r="CY126" s="433"/>
      <c r="CZ126" s="433"/>
      <c r="DA126" s="433"/>
      <c r="DB126" s="433"/>
      <c r="DC126" s="433"/>
      <c r="DD126" s="433"/>
      <c r="DE126" s="433"/>
      <c r="DF126" s="433"/>
      <c r="DG126" s="433"/>
      <c r="DH126" s="433"/>
      <c r="DI126" s="433"/>
      <c r="DJ126" s="433"/>
      <c r="DK126" s="433"/>
      <c r="DL126" s="433"/>
      <c r="DM126" s="433"/>
      <c r="DN126" s="433"/>
      <c r="DO126" s="433"/>
      <c r="DP126" s="433"/>
      <c r="DR126" s="409"/>
      <c r="DS126" s="409"/>
    </row>
    <row r="127" spans="2:123" s="1471" customFormat="1">
      <c r="B127" s="428"/>
      <c r="C127" s="429"/>
      <c r="D127" s="429"/>
      <c r="E127" s="429"/>
      <c r="F127" s="429"/>
      <c r="G127" s="429"/>
      <c r="H127" s="429"/>
      <c r="I127" s="429"/>
      <c r="J127" s="429"/>
      <c r="K127" s="429"/>
      <c r="L127" s="429"/>
      <c r="M127" s="429"/>
      <c r="N127" s="429"/>
      <c r="O127" s="429"/>
      <c r="P127" s="429"/>
      <c r="Q127" s="429"/>
      <c r="R127" s="429"/>
      <c r="S127" s="429"/>
      <c r="T127" s="429"/>
      <c r="U127" s="429"/>
      <c r="V127" s="429"/>
      <c r="W127" s="429"/>
      <c r="X127" s="429"/>
      <c r="Y127" s="429"/>
      <c r="Z127" s="429"/>
      <c r="AA127" s="429"/>
      <c r="AB127" s="429"/>
      <c r="AC127" s="429"/>
      <c r="AD127" s="429"/>
      <c r="AE127" s="429"/>
      <c r="AF127" s="429"/>
      <c r="AG127" s="429"/>
      <c r="AH127" s="429"/>
      <c r="AI127" s="429"/>
      <c r="AJ127" s="429"/>
      <c r="AK127" s="429"/>
      <c r="AL127" s="429"/>
      <c r="AM127" s="429"/>
      <c r="AN127" s="429"/>
      <c r="AO127" s="432"/>
      <c r="AP127" s="428"/>
      <c r="AQ127" s="431"/>
      <c r="AR127" s="431"/>
      <c r="AS127" s="431"/>
      <c r="AT127" s="431"/>
      <c r="AU127" s="431"/>
      <c r="AV127" s="431"/>
      <c r="AW127" s="431"/>
      <c r="AX127" s="431"/>
      <c r="AY127" s="431"/>
      <c r="AZ127" s="431"/>
      <c r="BA127" s="431"/>
      <c r="BB127" s="431"/>
      <c r="BC127" s="431"/>
      <c r="BD127" s="431"/>
      <c r="BE127" s="431"/>
      <c r="BF127" s="431"/>
      <c r="BG127" s="431"/>
      <c r="BH127" s="431"/>
      <c r="BI127" s="431"/>
      <c r="BJ127" s="431"/>
      <c r="BK127" s="431"/>
      <c r="BL127" s="431"/>
      <c r="BM127" s="431"/>
      <c r="BN127" s="431"/>
      <c r="BO127" s="431"/>
      <c r="BP127" s="431"/>
      <c r="BQ127" s="431"/>
      <c r="BR127" s="431"/>
      <c r="BS127" s="431"/>
      <c r="BT127" s="431"/>
      <c r="BU127" s="431"/>
      <c r="BV127" s="431"/>
      <c r="BW127" s="431"/>
      <c r="BX127" s="431"/>
      <c r="BY127" s="431"/>
      <c r="BZ127" s="431"/>
      <c r="CA127" s="431"/>
      <c r="CB127" s="431"/>
      <c r="CC127" s="432"/>
      <c r="CD127" s="428"/>
      <c r="CE127" s="433"/>
      <c r="CF127" s="433"/>
      <c r="CG127" s="433"/>
      <c r="CH127" s="433"/>
      <c r="CI127" s="433"/>
      <c r="CJ127" s="433"/>
      <c r="CK127" s="433"/>
      <c r="CL127" s="433"/>
      <c r="CM127" s="433"/>
      <c r="CN127" s="433"/>
      <c r="CO127" s="433"/>
      <c r="CP127" s="433"/>
      <c r="CQ127" s="433"/>
      <c r="CR127" s="433"/>
      <c r="CS127" s="433"/>
      <c r="CT127" s="433"/>
      <c r="CU127" s="433"/>
      <c r="CV127" s="433"/>
      <c r="CW127" s="433"/>
      <c r="CX127" s="433"/>
      <c r="CY127" s="433"/>
      <c r="CZ127" s="433"/>
      <c r="DA127" s="433"/>
      <c r="DB127" s="433"/>
      <c r="DC127" s="433"/>
      <c r="DD127" s="433"/>
      <c r="DE127" s="433"/>
      <c r="DF127" s="433"/>
      <c r="DG127" s="433"/>
      <c r="DH127" s="433"/>
      <c r="DI127" s="433"/>
      <c r="DJ127" s="433"/>
      <c r="DK127" s="433"/>
      <c r="DL127" s="433"/>
      <c r="DM127" s="433"/>
      <c r="DN127" s="433"/>
      <c r="DO127" s="433"/>
      <c r="DP127" s="433"/>
      <c r="DR127" s="409"/>
      <c r="DS127" s="409"/>
    </row>
    <row r="128" spans="2:123" s="1471" customFormat="1">
      <c r="B128" s="428"/>
      <c r="C128" s="429"/>
      <c r="D128" s="429"/>
      <c r="E128" s="429"/>
      <c r="F128" s="429"/>
      <c r="G128" s="429"/>
      <c r="H128" s="429"/>
      <c r="I128" s="429"/>
      <c r="J128" s="429"/>
      <c r="K128" s="429"/>
      <c r="L128" s="429"/>
      <c r="M128" s="429"/>
      <c r="N128" s="429"/>
      <c r="O128" s="429"/>
      <c r="P128" s="429"/>
      <c r="Q128" s="429"/>
      <c r="R128" s="429"/>
      <c r="S128" s="429"/>
      <c r="T128" s="429"/>
      <c r="U128" s="429"/>
      <c r="V128" s="429"/>
      <c r="W128" s="429"/>
      <c r="X128" s="429"/>
      <c r="Y128" s="429"/>
      <c r="Z128" s="429"/>
      <c r="AA128" s="429"/>
      <c r="AB128" s="429"/>
      <c r="AC128" s="429"/>
      <c r="AD128" s="429"/>
      <c r="AE128" s="429"/>
      <c r="AF128" s="429"/>
      <c r="AG128" s="429"/>
      <c r="AH128" s="429"/>
      <c r="AI128" s="429"/>
      <c r="AJ128" s="429"/>
      <c r="AK128" s="429"/>
      <c r="AL128" s="429"/>
      <c r="AM128" s="429"/>
      <c r="AN128" s="429"/>
      <c r="AO128" s="432"/>
      <c r="AP128" s="428"/>
      <c r="AQ128" s="431"/>
      <c r="AR128" s="431"/>
      <c r="AS128" s="431"/>
      <c r="AT128" s="431"/>
      <c r="AU128" s="431"/>
      <c r="AV128" s="431"/>
      <c r="AW128" s="431"/>
      <c r="AX128" s="431"/>
      <c r="AY128" s="431"/>
      <c r="AZ128" s="431"/>
      <c r="BA128" s="431"/>
      <c r="BB128" s="431"/>
      <c r="BC128" s="431"/>
      <c r="BD128" s="431"/>
      <c r="BE128" s="431"/>
      <c r="BF128" s="431"/>
      <c r="BG128" s="431"/>
      <c r="BH128" s="431"/>
      <c r="BI128" s="431"/>
      <c r="BJ128" s="431"/>
      <c r="BK128" s="431"/>
      <c r="BL128" s="431"/>
      <c r="BM128" s="431"/>
      <c r="BN128" s="431"/>
      <c r="BO128" s="431"/>
      <c r="BP128" s="431"/>
      <c r="BQ128" s="431"/>
      <c r="BR128" s="431"/>
      <c r="BS128" s="431"/>
      <c r="BT128" s="431"/>
      <c r="BU128" s="431"/>
      <c r="BV128" s="431"/>
      <c r="BW128" s="431"/>
      <c r="BX128" s="431"/>
      <c r="BY128" s="431"/>
      <c r="BZ128" s="431"/>
      <c r="CA128" s="431"/>
      <c r="CB128" s="431"/>
      <c r="CC128" s="432"/>
      <c r="CD128" s="428"/>
      <c r="CE128" s="433"/>
      <c r="CF128" s="433"/>
      <c r="CG128" s="433"/>
      <c r="CH128" s="433"/>
      <c r="CI128" s="433"/>
      <c r="CJ128" s="433"/>
      <c r="CK128" s="433"/>
      <c r="CL128" s="433"/>
      <c r="CM128" s="433"/>
      <c r="CN128" s="433"/>
      <c r="CO128" s="433"/>
      <c r="CP128" s="433"/>
      <c r="CQ128" s="433"/>
      <c r="CR128" s="433"/>
      <c r="CS128" s="433"/>
      <c r="CT128" s="433"/>
      <c r="CU128" s="433"/>
      <c r="CV128" s="433"/>
      <c r="CW128" s="433"/>
      <c r="CX128" s="433"/>
      <c r="CY128" s="433"/>
      <c r="CZ128" s="433"/>
      <c r="DA128" s="433"/>
      <c r="DB128" s="433"/>
      <c r="DC128" s="433"/>
      <c r="DD128" s="433"/>
      <c r="DE128" s="433"/>
      <c r="DF128" s="433"/>
      <c r="DG128" s="433"/>
      <c r="DH128" s="433"/>
      <c r="DI128" s="433"/>
      <c r="DJ128" s="433"/>
      <c r="DK128" s="433"/>
      <c r="DL128" s="433"/>
      <c r="DM128" s="433"/>
      <c r="DN128" s="433"/>
      <c r="DO128" s="433"/>
      <c r="DP128" s="433"/>
      <c r="DR128" s="409"/>
      <c r="DS128" s="409"/>
    </row>
    <row r="129" spans="2:123" s="1471" customFormat="1">
      <c r="B129" s="428"/>
      <c r="C129" s="429"/>
      <c r="D129" s="429"/>
      <c r="E129" s="429"/>
      <c r="F129" s="429"/>
      <c r="G129" s="429"/>
      <c r="H129" s="429"/>
      <c r="I129" s="429"/>
      <c r="J129" s="429"/>
      <c r="K129" s="429"/>
      <c r="L129" s="429"/>
      <c r="M129" s="429"/>
      <c r="N129" s="429"/>
      <c r="O129" s="429"/>
      <c r="P129" s="429"/>
      <c r="Q129" s="429"/>
      <c r="R129" s="429"/>
      <c r="S129" s="429"/>
      <c r="T129" s="429"/>
      <c r="U129" s="429"/>
      <c r="V129" s="429"/>
      <c r="W129" s="429"/>
      <c r="X129" s="429"/>
      <c r="Y129" s="429"/>
      <c r="Z129" s="429"/>
      <c r="AA129" s="429"/>
      <c r="AB129" s="429"/>
      <c r="AC129" s="429"/>
      <c r="AD129" s="429"/>
      <c r="AE129" s="429"/>
      <c r="AF129" s="429"/>
      <c r="AG129" s="429"/>
      <c r="AH129" s="429"/>
      <c r="AI129" s="429"/>
      <c r="AJ129" s="429"/>
      <c r="AK129" s="429"/>
      <c r="AL129" s="429"/>
      <c r="AM129" s="429"/>
      <c r="AN129" s="429"/>
      <c r="AO129" s="432"/>
      <c r="AP129" s="428"/>
      <c r="AQ129" s="431"/>
      <c r="AR129" s="431"/>
      <c r="AS129" s="431"/>
      <c r="AT129" s="431"/>
      <c r="AU129" s="431"/>
      <c r="AV129" s="431"/>
      <c r="AW129" s="431"/>
      <c r="AX129" s="431"/>
      <c r="AY129" s="431"/>
      <c r="AZ129" s="431"/>
      <c r="BA129" s="431"/>
      <c r="BB129" s="431"/>
      <c r="BC129" s="431"/>
      <c r="BD129" s="431"/>
      <c r="BE129" s="431"/>
      <c r="BF129" s="431"/>
      <c r="BG129" s="431"/>
      <c r="BH129" s="431"/>
      <c r="BI129" s="431"/>
      <c r="BJ129" s="431"/>
      <c r="BK129" s="431"/>
      <c r="BL129" s="431"/>
      <c r="BM129" s="431"/>
      <c r="BN129" s="431"/>
      <c r="BO129" s="431"/>
      <c r="BP129" s="431"/>
      <c r="BQ129" s="431"/>
      <c r="BR129" s="431"/>
      <c r="BS129" s="431"/>
      <c r="BT129" s="431"/>
      <c r="BU129" s="431"/>
      <c r="BV129" s="431"/>
      <c r="BW129" s="431"/>
      <c r="BX129" s="431"/>
      <c r="BY129" s="431"/>
      <c r="BZ129" s="431"/>
      <c r="CA129" s="431"/>
      <c r="CB129" s="431"/>
      <c r="CC129" s="432"/>
      <c r="CD129" s="428"/>
      <c r="CE129" s="433"/>
      <c r="CF129" s="433"/>
      <c r="CG129" s="433"/>
      <c r="CH129" s="433"/>
      <c r="CI129" s="433"/>
      <c r="CJ129" s="433"/>
      <c r="CK129" s="433"/>
      <c r="CL129" s="433"/>
      <c r="CM129" s="433"/>
      <c r="CN129" s="433"/>
      <c r="CO129" s="433"/>
      <c r="CP129" s="433"/>
      <c r="CQ129" s="433"/>
      <c r="CR129" s="433"/>
      <c r="CS129" s="433"/>
      <c r="CT129" s="433"/>
      <c r="CU129" s="433"/>
      <c r="CV129" s="433"/>
      <c r="CW129" s="433"/>
      <c r="CX129" s="433"/>
      <c r="CY129" s="433"/>
      <c r="CZ129" s="433"/>
      <c r="DA129" s="433"/>
      <c r="DB129" s="433"/>
      <c r="DC129" s="433"/>
      <c r="DD129" s="433"/>
      <c r="DE129" s="433"/>
      <c r="DF129" s="433"/>
      <c r="DG129" s="433"/>
      <c r="DH129" s="433"/>
      <c r="DI129" s="433"/>
      <c r="DJ129" s="433"/>
      <c r="DK129" s="433"/>
      <c r="DL129" s="433"/>
      <c r="DM129" s="433"/>
      <c r="DN129" s="433"/>
      <c r="DO129" s="433"/>
      <c r="DP129" s="433"/>
      <c r="DR129" s="409"/>
      <c r="DS129" s="409"/>
    </row>
    <row r="130" spans="2:123" s="1471" customFormat="1">
      <c r="B130" s="428"/>
      <c r="C130" s="429"/>
      <c r="D130" s="429"/>
      <c r="E130" s="429"/>
      <c r="F130" s="429"/>
      <c r="G130" s="429"/>
      <c r="H130" s="429"/>
      <c r="I130" s="429"/>
      <c r="J130" s="429"/>
      <c r="K130" s="429"/>
      <c r="L130" s="429"/>
      <c r="M130" s="429"/>
      <c r="N130" s="429"/>
      <c r="O130" s="429"/>
      <c r="P130" s="429"/>
      <c r="Q130" s="429"/>
      <c r="R130" s="429"/>
      <c r="S130" s="429"/>
      <c r="T130" s="429"/>
      <c r="U130" s="429"/>
      <c r="V130" s="429"/>
      <c r="W130" s="429"/>
      <c r="X130" s="429"/>
      <c r="Y130" s="429"/>
      <c r="Z130" s="429"/>
      <c r="AA130" s="429"/>
      <c r="AB130" s="429"/>
      <c r="AC130" s="429"/>
      <c r="AD130" s="429"/>
      <c r="AE130" s="429"/>
      <c r="AF130" s="429"/>
      <c r="AG130" s="429"/>
      <c r="AH130" s="429"/>
      <c r="AI130" s="429"/>
      <c r="AJ130" s="429"/>
      <c r="AK130" s="429"/>
      <c r="AL130" s="429"/>
      <c r="AM130" s="429"/>
      <c r="AN130" s="429"/>
      <c r="AO130" s="432"/>
      <c r="AP130" s="428"/>
      <c r="AQ130" s="431"/>
      <c r="AR130" s="431"/>
      <c r="AS130" s="431"/>
      <c r="AT130" s="431"/>
      <c r="AU130" s="431"/>
      <c r="AV130" s="431"/>
      <c r="AW130" s="431"/>
      <c r="AX130" s="431"/>
      <c r="AY130" s="431"/>
      <c r="AZ130" s="431"/>
      <c r="BA130" s="431"/>
      <c r="BB130" s="431"/>
      <c r="BC130" s="431"/>
      <c r="BD130" s="431"/>
      <c r="BE130" s="431"/>
      <c r="BF130" s="431"/>
      <c r="BG130" s="431"/>
      <c r="BH130" s="431"/>
      <c r="BI130" s="431"/>
      <c r="BJ130" s="431"/>
      <c r="BK130" s="431"/>
      <c r="BL130" s="431"/>
      <c r="BM130" s="431"/>
      <c r="BN130" s="431"/>
      <c r="BO130" s="431"/>
      <c r="BP130" s="431"/>
      <c r="BQ130" s="431"/>
      <c r="BR130" s="431"/>
      <c r="BS130" s="431"/>
      <c r="BT130" s="431"/>
      <c r="BU130" s="431"/>
      <c r="BV130" s="431"/>
      <c r="BW130" s="431"/>
      <c r="BX130" s="431"/>
      <c r="BY130" s="431"/>
      <c r="BZ130" s="431"/>
      <c r="CA130" s="431"/>
      <c r="CB130" s="431"/>
      <c r="CC130" s="432"/>
      <c r="CD130" s="428"/>
      <c r="CE130" s="433"/>
      <c r="CF130" s="433"/>
      <c r="CG130" s="433"/>
      <c r="CH130" s="433"/>
      <c r="CI130" s="433"/>
      <c r="CJ130" s="433"/>
      <c r="CK130" s="433"/>
      <c r="CL130" s="433"/>
      <c r="CM130" s="433"/>
      <c r="CN130" s="433"/>
      <c r="CO130" s="433"/>
      <c r="CP130" s="433"/>
      <c r="CQ130" s="433"/>
      <c r="CR130" s="433"/>
      <c r="CS130" s="433"/>
      <c r="CT130" s="433"/>
      <c r="CU130" s="433"/>
      <c r="CV130" s="433"/>
      <c r="CW130" s="433"/>
      <c r="CX130" s="433"/>
      <c r="CY130" s="433"/>
      <c r="CZ130" s="433"/>
      <c r="DA130" s="433"/>
      <c r="DB130" s="433"/>
      <c r="DC130" s="433"/>
      <c r="DD130" s="433"/>
      <c r="DE130" s="433"/>
      <c r="DF130" s="433"/>
      <c r="DG130" s="433"/>
      <c r="DH130" s="433"/>
      <c r="DI130" s="433"/>
      <c r="DJ130" s="433"/>
      <c r="DK130" s="433"/>
      <c r="DL130" s="433"/>
      <c r="DM130" s="433"/>
      <c r="DN130" s="433"/>
      <c r="DO130" s="433"/>
      <c r="DP130" s="433"/>
      <c r="DR130" s="409"/>
      <c r="DS130" s="409"/>
    </row>
  </sheetData>
  <conditionalFormatting sqref="B26:DP105 B107:DP130">
    <cfRule type="expression" dxfId="19" priority="19">
      <formula>IF(B26&lt;&gt;B27,TRUE,FALSE)</formula>
    </cfRule>
  </conditionalFormatting>
  <conditionalFormatting sqref="C62:DP74 C27:DP60">
    <cfRule type="expression" dxfId="18" priority="18">
      <formula>IF(ABS(C26/C27-1)&gt;0.01,TRUE,FALSE)</formula>
    </cfRule>
  </conditionalFormatting>
  <conditionalFormatting sqref="B61:DP61">
    <cfRule type="expression" dxfId="17" priority="17">
      <formula>IF(B61&lt;&gt;B62,TRUE,FALSE)</formula>
    </cfRule>
  </conditionalFormatting>
  <conditionalFormatting sqref="C61:DP61">
    <cfRule type="expression" dxfId="16" priority="16">
      <formula>IF(ABS(C60/C61-1)&gt;0.01,TRUE,FALSE)</formula>
    </cfRule>
  </conditionalFormatting>
  <conditionalFormatting sqref="C16">
    <cfRule type="expression" dxfId="15" priority="15">
      <formula>IF(C16&lt;&gt;0,TRUE,FALSE)</formula>
    </cfRule>
  </conditionalFormatting>
  <conditionalFormatting sqref="D16:E16 T16:AN16 G16 I16:R16">
    <cfRule type="expression" dxfId="14" priority="14">
      <formula>IF(D16&lt;&gt;0,TRUE,FALSE)</formula>
    </cfRule>
  </conditionalFormatting>
  <conditionalFormatting sqref="AQ16">
    <cfRule type="expression" dxfId="13" priority="13">
      <formula>IF(AQ16&lt;&gt;0,TRUE,FALSE)</formula>
    </cfRule>
  </conditionalFormatting>
  <conditionalFormatting sqref="AR16:AS16 BH16:CB16 AU16 AW16:BF16">
    <cfRule type="expression" dxfId="12" priority="12">
      <formula>IF(AR16&lt;&gt;0,TRUE,FALSE)</formula>
    </cfRule>
  </conditionalFormatting>
  <conditionalFormatting sqref="CE16">
    <cfRule type="expression" dxfId="11" priority="11">
      <formula>IF(CE16&lt;&gt;0,TRUE,FALSE)</formula>
    </cfRule>
  </conditionalFormatting>
  <conditionalFormatting sqref="CF16:CG16 CV16:DP16 CI16 CK16:CT16">
    <cfRule type="expression" dxfId="10" priority="10">
      <formula>IF(CF16&lt;&gt;0,TRUE,FALSE)</formula>
    </cfRule>
  </conditionalFormatting>
  <conditionalFormatting sqref="S16">
    <cfRule type="expression" dxfId="9" priority="9">
      <formula>IF(S16&lt;&gt;0,TRUE,FALSE)</formula>
    </cfRule>
  </conditionalFormatting>
  <conditionalFormatting sqref="BG16">
    <cfRule type="expression" dxfId="8" priority="8">
      <formula>IF(BG16&lt;&gt;0,TRUE,FALSE)</formula>
    </cfRule>
  </conditionalFormatting>
  <conditionalFormatting sqref="CU16">
    <cfRule type="expression" dxfId="7" priority="7">
      <formula>IF(CU16&lt;&gt;0,TRUE,FALSE)</formula>
    </cfRule>
  </conditionalFormatting>
  <conditionalFormatting sqref="F16">
    <cfRule type="expression" dxfId="6" priority="6">
      <formula>IF(F16&lt;&gt;0,TRUE,FALSE)</formula>
    </cfRule>
  </conditionalFormatting>
  <conditionalFormatting sqref="AT16">
    <cfRule type="expression" dxfId="5" priority="5">
      <formula>IF(AT16&lt;&gt;0,TRUE,FALSE)</formula>
    </cfRule>
  </conditionalFormatting>
  <conditionalFormatting sqref="CH16">
    <cfRule type="expression" dxfId="4" priority="4">
      <formula>IF(CH16&lt;&gt;0,TRUE,FALSE)</formula>
    </cfRule>
  </conditionalFormatting>
  <conditionalFormatting sqref="H16">
    <cfRule type="expression" dxfId="3" priority="3">
      <formula>IF(H16&lt;&gt;0,TRUE,FALSE)</formula>
    </cfRule>
  </conditionalFormatting>
  <conditionalFormatting sqref="AV16">
    <cfRule type="expression" dxfId="2" priority="2">
      <formula>IF(AV16&lt;&gt;0,TRUE,FALSE)</formula>
    </cfRule>
  </conditionalFormatting>
  <conditionalFormatting sqref="CJ16">
    <cfRule type="expression" dxfId="1" priority="1">
      <formula>IF(CJ16&lt;&gt;0,TRUE,FALSE)</formula>
    </cfRule>
  </conditionalFormatting>
  <conditionalFormatting sqref="B106:DP106">
    <cfRule type="expression" dxfId="0" priority="48">
      <formula>IF(B106&lt;&gt;#REF!,TRUE,FALSE)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63585" r:id="rId3" name="Drop Down 1">
              <controlPr defaultSize="0" autoLine="0" autoPict="0">
                <anchor moveWithCells="1">
                  <from>
                    <xdr:col>16</xdr:col>
                    <xdr:colOff>352425</xdr:colOff>
                    <xdr:row>0</xdr:row>
                    <xdr:rowOff>38100</xdr:rowOff>
                  </from>
                  <to>
                    <xdr:col>19</xdr:col>
                    <xdr:colOff>133350</xdr:colOff>
                    <xdr:row>0</xdr:row>
                    <xdr:rowOff>238125</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tabColor rgb="FF00B0F0"/>
  </sheetPr>
  <dimension ref="A1:S179"/>
  <sheetViews>
    <sheetView zoomScale="80" zoomScaleNormal="80" workbookViewId="0">
      <selection activeCell="D105" sqref="D105:G105"/>
    </sheetView>
  </sheetViews>
  <sheetFormatPr defaultRowHeight="12.75"/>
  <cols>
    <col min="1" max="1" width="3.28515625" style="530" customWidth="1"/>
    <col min="2" max="2" width="36" style="530" customWidth="1"/>
    <col min="3" max="3" width="16.5703125" style="530" customWidth="1"/>
    <col min="4" max="8" width="15.7109375" style="530" customWidth="1"/>
    <col min="9" max="9" width="7.28515625" style="530" customWidth="1"/>
    <col min="10" max="10" width="12.7109375" style="530" customWidth="1"/>
    <col min="11" max="17" width="9.140625" style="530"/>
    <col min="18" max="19" width="9.42578125" style="530" bestFit="1" customWidth="1"/>
    <col min="20" max="16384" width="9.140625" style="530"/>
  </cols>
  <sheetData>
    <row r="1" spans="1:19" s="465" customFormat="1" ht="21">
      <c r="B1" s="465" t="s">
        <v>1169</v>
      </c>
      <c r="Q1" s="467">
        <f ca="1">'Log2015'!M1</f>
        <v>-8.0112614142160741</v>
      </c>
      <c r="R1" s="468">
        <f ca="1">'Log2015'!N1</f>
        <v>-160807.124977848</v>
      </c>
    </row>
    <row r="2" spans="1:19">
      <c r="B2" s="530" t="s">
        <v>1170</v>
      </c>
      <c r="Q2" s="958">
        <f ca="1">Q1</f>
        <v>-8.0112614142160741</v>
      </c>
      <c r="R2" s="958">
        <f ca="1">R1</f>
        <v>-160807.124977848</v>
      </c>
      <c r="S2" s="959">
        <f>S1</f>
        <v>0</v>
      </c>
    </row>
    <row r="3" spans="1:19">
      <c r="A3" s="530" t="s">
        <v>1078</v>
      </c>
    </row>
    <row r="4" spans="1:19">
      <c r="B4" s="960" t="s">
        <v>81</v>
      </c>
    </row>
    <row r="5" spans="1:19" ht="13.5" thickBot="1"/>
    <row r="6" spans="1:19">
      <c r="B6" s="961" t="s">
        <v>137</v>
      </c>
      <c r="C6" s="962"/>
      <c r="D6" s="962"/>
      <c r="E6" s="962"/>
      <c r="F6" s="962"/>
      <c r="G6" s="962"/>
      <c r="H6" s="962"/>
      <c r="I6" s="962"/>
      <c r="J6" s="962"/>
      <c r="K6" s="962"/>
      <c r="L6" s="962"/>
      <c r="M6" s="962"/>
      <c r="N6" s="963"/>
    </row>
    <row r="7" spans="1:19">
      <c r="B7" s="964"/>
      <c r="C7" s="555"/>
      <c r="D7" s="555"/>
      <c r="E7" s="555"/>
      <c r="F7" s="555"/>
      <c r="G7" s="555"/>
      <c r="H7" s="555"/>
      <c r="I7" s="555"/>
      <c r="J7" s="555"/>
      <c r="K7" s="555"/>
      <c r="L7" s="555"/>
      <c r="M7" s="555"/>
      <c r="N7" s="965"/>
    </row>
    <row r="8" spans="1:19">
      <c r="B8" s="964"/>
      <c r="C8" s="555"/>
      <c r="D8" s="555"/>
      <c r="E8" s="555"/>
      <c r="F8" s="555"/>
      <c r="G8" s="555"/>
      <c r="H8" s="555"/>
      <c r="I8" s="555"/>
      <c r="J8" s="555"/>
      <c r="K8" s="555"/>
      <c r="L8" s="555"/>
      <c r="M8" s="555"/>
      <c r="N8" s="965"/>
    </row>
    <row r="9" spans="1:19">
      <c r="B9" s="964"/>
      <c r="C9" s="555"/>
      <c r="D9" s="555"/>
      <c r="E9" s="555"/>
      <c r="F9" s="555"/>
      <c r="G9" s="555"/>
      <c r="H9" s="555"/>
      <c r="I9" s="555"/>
      <c r="J9" s="555"/>
      <c r="K9" s="555"/>
      <c r="L9" s="555"/>
      <c r="M9" s="555"/>
      <c r="N9" s="965"/>
    </row>
    <row r="10" spans="1:19">
      <c r="B10" s="964"/>
      <c r="C10" s="555"/>
      <c r="D10" s="555"/>
      <c r="E10" s="555"/>
      <c r="F10" s="555"/>
      <c r="G10" s="555"/>
      <c r="H10" s="555"/>
      <c r="I10" s="555"/>
      <c r="J10" s="555"/>
      <c r="K10" s="555"/>
      <c r="L10" s="555"/>
      <c r="M10" s="555"/>
      <c r="N10" s="965"/>
    </row>
    <row r="11" spans="1:19">
      <c r="B11" s="964" t="s">
        <v>138</v>
      </c>
      <c r="C11" s="966" t="s">
        <v>1171</v>
      </c>
      <c r="D11" s="555"/>
      <c r="E11" s="555"/>
      <c r="F11" s="555"/>
      <c r="G11" s="555"/>
      <c r="H11" s="555"/>
      <c r="I11" s="555"/>
      <c r="J11" s="555"/>
      <c r="K11" s="555"/>
      <c r="L11" s="555"/>
      <c r="M11" s="555"/>
      <c r="N11" s="965"/>
    </row>
    <row r="12" spans="1:19">
      <c r="B12" s="964"/>
      <c r="C12" s="555"/>
      <c r="D12" s="555"/>
      <c r="E12" s="555"/>
      <c r="F12" s="555"/>
      <c r="G12" s="555"/>
      <c r="H12" s="555"/>
      <c r="I12" s="555"/>
      <c r="J12" s="555"/>
      <c r="K12" s="555"/>
      <c r="L12" s="555"/>
      <c r="M12" s="555"/>
      <c r="N12" s="965"/>
    </row>
    <row r="13" spans="1:19">
      <c r="B13" s="964" t="s">
        <v>140</v>
      </c>
      <c r="C13" s="555" t="s">
        <v>1172</v>
      </c>
      <c r="D13" s="555"/>
      <c r="E13" s="555"/>
      <c r="F13" s="555"/>
      <c r="G13" s="555"/>
      <c r="H13" s="555"/>
      <c r="I13" s="555"/>
      <c r="J13" s="555"/>
      <c r="K13" s="555"/>
      <c r="L13" s="555"/>
      <c r="M13" s="555"/>
      <c r="N13" s="965"/>
    </row>
    <row r="14" spans="1:19">
      <c r="B14" s="964"/>
      <c r="C14" s="555"/>
      <c r="D14" s="555"/>
      <c r="E14" s="555"/>
      <c r="F14" s="555"/>
      <c r="G14" s="555"/>
      <c r="H14" s="555"/>
      <c r="I14" s="555"/>
      <c r="J14" s="555"/>
      <c r="K14" s="555"/>
      <c r="L14" s="555"/>
      <c r="M14" s="555"/>
      <c r="N14" s="965"/>
    </row>
    <row r="15" spans="1:19">
      <c r="B15" s="964" t="s">
        <v>141</v>
      </c>
      <c r="C15" s="555"/>
      <c r="D15" s="555"/>
      <c r="E15" s="555"/>
      <c r="F15" s="555"/>
      <c r="G15" s="555"/>
      <c r="H15" s="555"/>
      <c r="I15" s="555"/>
      <c r="J15" s="555"/>
      <c r="K15" s="555"/>
      <c r="L15" s="555"/>
      <c r="M15" s="555"/>
      <c r="N15" s="965"/>
    </row>
    <row r="16" spans="1:19">
      <c r="B16" s="964"/>
      <c r="C16" s="555"/>
      <c r="D16" s="555"/>
      <c r="E16" s="555"/>
      <c r="F16" s="555"/>
      <c r="G16" s="555"/>
      <c r="H16" s="555"/>
      <c r="I16" s="555"/>
      <c r="J16" s="555"/>
      <c r="K16" s="555"/>
      <c r="L16" s="555"/>
      <c r="M16" s="555"/>
      <c r="N16" s="965"/>
    </row>
    <row r="17" spans="2:14">
      <c r="B17" s="964" t="s">
        <v>142</v>
      </c>
      <c r="C17" s="555"/>
      <c r="D17" s="555"/>
      <c r="E17" s="555"/>
      <c r="F17" s="555"/>
      <c r="G17" s="555"/>
      <c r="H17" s="555"/>
      <c r="I17" s="555"/>
      <c r="J17" s="555"/>
      <c r="K17" s="555"/>
      <c r="L17" s="555"/>
      <c r="M17" s="555"/>
      <c r="N17" s="965"/>
    </row>
    <row r="18" spans="2:14">
      <c r="B18" s="964"/>
      <c r="C18" s="555"/>
      <c r="D18" s="555"/>
      <c r="E18" s="555"/>
      <c r="F18" s="555"/>
      <c r="G18" s="555"/>
      <c r="H18" s="555"/>
      <c r="I18" s="555"/>
      <c r="J18" s="555"/>
      <c r="K18" s="555"/>
      <c r="L18" s="555"/>
      <c r="M18" s="555"/>
      <c r="N18" s="965"/>
    </row>
    <row r="19" spans="2:14">
      <c r="B19" s="964" t="s">
        <v>2131</v>
      </c>
      <c r="C19" s="1693" t="s">
        <v>2121</v>
      </c>
      <c r="D19" s="555"/>
      <c r="E19" s="555"/>
      <c r="F19" s="555"/>
      <c r="G19" s="555"/>
      <c r="H19" s="555"/>
      <c r="I19" s="555"/>
      <c r="J19" s="555"/>
      <c r="K19" s="555"/>
      <c r="L19" s="555"/>
      <c r="M19" s="555"/>
      <c r="N19" s="965"/>
    </row>
    <row r="20" spans="2:14">
      <c r="B20" s="964"/>
      <c r="C20" s="555"/>
      <c r="D20" s="555"/>
      <c r="E20" s="555"/>
      <c r="F20" s="555"/>
      <c r="G20" s="555"/>
      <c r="H20" s="555"/>
      <c r="I20" s="555"/>
      <c r="J20" s="555"/>
      <c r="K20" s="555"/>
      <c r="L20" s="555"/>
      <c r="M20" s="555"/>
      <c r="N20" s="965"/>
    </row>
    <row r="21" spans="2:14">
      <c r="B21" s="964"/>
      <c r="C21" s="555"/>
      <c r="D21" s="555"/>
      <c r="E21" s="555"/>
      <c r="F21" s="555"/>
      <c r="G21" s="555"/>
      <c r="H21" s="555"/>
      <c r="I21" s="555"/>
      <c r="J21" s="555"/>
      <c r="K21" s="555"/>
      <c r="L21" s="555"/>
      <c r="M21" s="555"/>
      <c r="N21" s="965"/>
    </row>
    <row r="22" spans="2:14">
      <c r="B22" s="964" t="s">
        <v>143</v>
      </c>
      <c r="C22" s="555"/>
      <c r="D22" s="555"/>
      <c r="E22" s="555"/>
      <c r="F22" s="555"/>
      <c r="G22" s="555"/>
      <c r="H22" s="555"/>
      <c r="I22" s="555"/>
      <c r="J22" s="555"/>
      <c r="K22" s="555"/>
      <c r="L22" s="555"/>
      <c r="M22" s="555"/>
      <c r="N22" s="965"/>
    </row>
    <row r="23" spans="2:14">
      <c r="B23" s="964"/>
      <c r="C23" s="555"/>
      <c r="D23" s="555"/>
      <c r="E23" s="555"/>
      <c r="F23" s="555"/>
      <c r="G23" s="555"/>
      <c r="H23" s="555"/>
      <c r="I23" s="555"/>
      <c r="J23" s="555"/>
      <c r="K23" s="555"/>
      <c r="L23" s="555"/>
      <c r="M23" s="555"/>
      <c r="N23" s="965"/>
    </row>
    <row r="24" spans="2:14" ht="13.5" thickBot="1">
      <c r="B24" s="967"/>
      <c r="C24" s="968"/>
      <c r="D24" s="968"/>
      <c r="E24" s="968"/>
      <c r="F24" s="968"/>
      <c r="G24" s="968"/>
      <c r="H24" s="968"/>
      <c r="I24" s="968"/>
      <c r="J24" s="968"/>
      <c r="K24" s="968"/>
      <c r="L24" s="968"/>
      <c r="M24" s="968"/>
      <c r="N24" s="969"/>
    </row>
    <row r="25" spans="2:14">
      <c r="F25" s="529"/>
      <c r="G25" s="529"/>
      <c r="H25" s="529"/>
    </row>
    <row r="26" spans="2:14">
      <c r="B26" s="960" t="s">
        <v>144</v>
      </c>
    </row>
    <row r="27" spans="2:14" ht="13.5" thickBot="1"/>
    <row r="28" spans="2:14">
      <c r="B28" s="961"/>
      <c r="C28" s="970"/>
      <c r="D28" s="962"/>
      <c r="E28" s="962"/>
      <c r="F28" s="962"/>
      <c r="G28" s="962"/>
      <c r="H28" s="962"/>
      <c r="I28" s="962"/>
      <c r="J28" s="963"/>
    </row>
    <row r="29" spans="2:14">
      <c r="B29" s="971"/>
      <c r="C29" s="972" t="s">
        <v>70</v>
      </c>
      <c r="D29" s="973">
        <v>2015</v>
      </c>
      <c r="E29" s="973">
        <v>2020</v>
      </c>
      <c r="F29" s="973">
        <v>2035</v>
      </c>
      <c r="G29" s="973">
        <v>2050</v>
      </c>
      <c r="H29" s="973" t="s">
        <v>978</v>
      </c>
      <c r="I29" s="556" t="s">
        <v>145</v>
      </c>
      <c r="J29" s="974" t="s">
        <v>146</v>
      </c>
    </row>
    <row r="30" spans="2:14">
      <c r="B30" s="975" t="s">
        <v>147</v>
      </c>
      <c r="C30" s="976"/>
      <c r="D30" s="977"/>
      <c r="E30" s="977"/>
      <c r="F30" s="977"/>
      <c r="G30" s="977"/>
      <c r="H30" s="977"/>
      <c r="I30" s="555"/>
      <c r="J30" s="965"/>
    </row>
    <row r="31" spans="2:14">
      <c r="B31" s="964" t="s">
        <v>148</v>
      </c>
      <c r="C31" s="976" t="s">
        <v>1173</v>
      </c>
      <c r="D31" s="1348">
        <f>1/D161</f>
        <v>1</v>
      </c>
      <c r="E31" s="1348">
        <f>$D31</f>
        <v>1</v>
      </c>
      <c r="F31" s="1348">
        <f>$D31</f>
        <v>1</v>
      </c>
      <c r="G31" s="1348">
        <f>$D31</f>
        <v>1</v>
      </c>
      <c r="H31" s="1333"/>
      <c r="I31" s="555"/>
      <c r="J31" s="965"/>
    </row>
    <row r="32" spans="2:14">
      <c r="B32" s="964" t="s">
        <v>67</v>
      </c>
      <c r="C32" s="976" t="s">
        <v>1174</v>
      </c>
      <c r="D32" s="979">
        <f>D159/D158</f>
        <v>37.299999999999997</v>
      </c>
      <c r="E32" s="978">
        <f t="shared" ref="E32:G34" si="0">$D32</f>
        <v>37.299999999999997</v>
      </c>
      <c r="F32" s="978">
        <f t="shared" si="0"/>
        <v>37.299999999999997</v>
      </c>
      <c r="G32" s="978">
        <f t="shared" si="0"/>
        <v>37.299999999999997</v>
      </c>
      <c r="H32" s="978"/>
      <c r="I32" s="555"/>
      <c r="J32" s="965"/>
    </row>
    <row r="33" spans="2:10">
      <c r="B33" s="964" t="s">
        <v>149</v>
      </c>
      <c r="C33" s="976" t="s">
        <v>1175</v>
      </c>
      <c r="D33" s="1396">
        <f>D158</f>
        <v>200000</v>
      </c>
      <c r="E33" s="1396">
        <f t="shared" si="0"/>
        <v>200000</v>
      </c>
      <c r="F33" s="1396">
        <f t="shared" si="0"/>
        <v>200000</v>
      </c>
      <c r="G33" s="1396">
        <f t="shared" si="0"/>
        <v>200000</v>
      </c>
      <c r="H33" s="1397"/>
      <c r="I33" s="1107"/>
      <c r="J33" s="965"/>
    </row>
    <row r="34" spans="2:10">
      <c r="B34" s="964" t="s">
        <v>150</v>
      </c>
      <c r="C34" s="976" t="s">
        <v>34</v>
      </c>
      <c r="D34" s="1332">
        <f>20</f>
        <v>20</v>
      </c>
      <c r="E34" s="1332">
        <f t="shared" si="0"/>
        <v>20</v>
      </c>
      <c r="F34" s="1332">
        <f t="shared" si="0"/>
        <v>20</v>
      </c>
      <c r="G34" s="1332">
        <f t="shared" si="0"/>
        <v>20</v>
      </c>
      <c r="H34" s="1332"/>
      <c r="I34" s="555"/>
      <c r="J34" s="965" t="s">
        <v>1087</v>
      </c>
    </row>
    <row r="35" spans="2:10">
      <c r="B35" s="964"/>
      <c r="C35" s="981"/>
      <c r="D35" s="982"/>
      <c r="E35" s="983"/>
      <c r="F35" s="983"/>
      <c r="G35" s="983"/>
      <c r="H35" s="983"/>
      <c r="I35" s="555"/>
      <c r="J35" s="965"/>
    </row>
    <row r="36" spans="2:10">
      <c r="B36" s="975" t="s">
        <v>151</v>
      </c>
      <c r="C36" s="981"/>
      <c r="D36" s="982"/>
      <c r="E36" s="983"/>
      <c r="F36" s="983"/>
      <c r="G36" s="983"/>
      <c r="H36" s="983"/>
      <c r="I36" s="555"/>
      <c r="J36" s="965"/>
    </row>
    <row r="37" spans="2:10">
      <c r="B37" s="964" t="str">
        <f>ProcessEnergy!B35</f>
        <v xml:space="preserve">Green diesel </v>
      </c>
      <c r="C37" s="976" t="s">
        <v>463</v>
      </c>
      <c r="D37" s="984"/>
      <c r="E37" s="984"/>
      <c r="F37" s="984"/>
      <c r="G37" s="984"/>
      <c r="H37" s="984"/>
      <c r="I37" s="555"/>
      <c r="J37" s="965"/>
    </row>
    <row r="38" spans="2:10">
      <c r="B38" s="985" t="str">
        <f>ProcessEnergy!B36</f>
        <v>Green gasoline</v>
      </c>
      <c r="C38" s="976"/>
      <c r="D38" s="984"/>
      <c r="E38" s="984"/>
      <c r="F38" s="984"/>
      <c r="G38" s="984"/>
      <c r="H38" s="984"/>
      <c r="I38" s="555"/>
      <c r="J38" s="965"/>
    </row>
    <row r="39" spans="2:10">
      <c r="B39" s="985" t="str">
        <f>ProcessEnergy!B37</f>
        <v>Electricity - balancing</v>
      </c>
      <c r="C39" s="976"/>
      <c r="D39" s="984"/>
      <c r="E39" s="984"/>
      <c r="F39" s="984"/>
      <c r="G39" s="984"/>
      <c r="H39" s="984"/>
      <c r="I39" s="555"/>
      <c r="J39" s="965"/>
    </row>
    <row r="40" spans="2:10">
      <c r="B40" s="985" t="str">
        <f>ProcessEnergy!B38</f>
        <v>Electricity  - continous</v>
      </c>
      <c r="C40" s="976"/>
      <c r="D40" s="984"/>
      <c r="E40" s="984"/>
      <c r="F40" s="984"/>
      <c r="G40" s="984"/>
      <c r="H40" s="984"/>
      <c r="I40" s="555"/>
      <c r="J40" s="965"/>
    </row>
    <row r="41" spans="2:10">
      <c r="B41" s="985" t="str">
        <f>ProcessEnergy!B39</f>
        <v>Elec/heat fuel</v>
      </c>
      <c r="C41" s="976"/>
      <c r="D41" s="984"/>
      <c r="E41" s="984"/>
      <c r="F41" s="984"/>
      <c r="G41" s="984"/>
      <c r="H41" s="984"/>
      <c r="I41" s="555"/>
      <c r="J41" s="965"/>
    </row>
    <row r="42" spans="2:10">
      <c r="B42" s="985" t="str">
        <f>ProcessEnergy!B40</f>
        <v>Biogas (100% CH4)</v>
      </c>
      <c r="C42" s="976"/>
      <c r="D42" s="984"/>
      <c r="E42" s="984"/>
      <c r="F42" s="984"/>
      <c r="G42" s="984"/>
      <c r="H42" s="984"/>
      <c r="I42" s="555"/>
      <c r="J42" s="965"/>
    </row>
    <row r="43" spans="2:10">
      <c r="B43" s="985" t="str">
        <f>ProcessEnergy!B41</f>
        <v>District heating</v>
      </c>
      <c r="C43" s="976"/>
      <c r="D43" s="984"/>
      <c r="E43" s="984"/>
      <c r="F43" s="984"/>
      <c r="G43" s="984"/>
      <c r="H43" s="978"/>
      <c r="I43" s="555"/>
      <c r="J43" s="965"/>
    </row>
    <row r="44" spans="2:10">
      <c r="B44" s="985" t="str">
        <f>ProcessEnergy!B42</f>
        <v>&lt;empty&gt;</v>
      </c>
      <c r="C44" s="976"/>
      <c r="D44" s="984"/>
      <c r="E44" s="984"/>
      <c r="F44" s="984"/>
      <c r="G44" s="984"/>
      <c r="H44" s="978"/>
      <c r="I44" s="555"/>
      <c r="J44" s="965"/>
    </row>
    <row r="45" spans="2:10">
      <c r="B45" s="985" t="str">
        <f>ProcessEnergy!B43</f>
        <v>&lt;empty&gt;</v>
      </c>
      <c r="C45" s="976"/>
      <c r="D45" s="984"/>
      <c r="E45" s="984"/>
      <c r="F45" s="984"/>
      <c r="G45" s="984"/>
      <c r="H45" s="978"/>
      <c r="I45" s="555"/>
      <c r="J45" s="965"/>
    </row>
    <row r="46" spans="2:10">
      <c r="B46" s="985" t="str">
        <f>ProcessEnergy!B44</f>
        <v>&lt;empty&gt;</v>
      </c>
      <c r="C46" s="976"/>
      <c r="D46" s="984"/>
      <c r="E46" s="984"/>
      <c r="F46" s="984"/>
      <c r="G46" s="984"/>
      <c r="H46" s="978"/>
      <c r="I46" s="555"/>
      <c r="J46" s="965"/>
    </row>
    <row r="47" spans="2:10">
      <c r="B47" s="985" t="str">
        <f>ProcessEnergy!B45</f>
        <v>&lt;empty&gt;</v>
      </c>
      <c r="C47" s="976"/>
      <c r="D47" s="984"/>
      <c r="E47" s="984"/>
      <c r="F47" s="984"/>
      <c r="G47" s="984"/>
      <c r="H47" s="978"/>
      <c r="I47" s="555"/>
      <c r="J47" s="965"/>
    </row>
    <row r="48" spans="2:10">
      <c r="B48" s="985" t="str">
        <f>ProcessEnergy!B46</f>
        <v>&lt;empty&gt;</v>
      </c>
      <c r="C48" s="976"/>
      <c r="D48" s="984"/>
      <c r="E48" s="984"/>
      <c r="F48" s="984"/>
      <c r="G48" s="984"/>
      <c r="H48" s="978"/>
      <c r="I48" s="555"/>
      <c r="J48" s="965"/>
    </row>
    <row r="49" spans="2:10">
      <c r="B49" s="985" t="str">
        <f>ProcessEnergy!B47</f>
        <v>&lt;empty&gt;</v>
      </c>
      <c r="C49" s="976" t="s">
        <v>1176</v>
      </c>
      <c r="D49" s="984">
        <f>D167/D160</f>
        <v>0.05</v>
      </c>
      <c r="E49" s="984">
        <f>$D$49</f>
        <v>0.05</v>
      </c>
      <c r="F49" s="984">
        <f t="shared" ref="F49:G49" si="1">$D$49</f>
        <v>0.05</v>
      </c>
      <c r="G49" s="984">
        <f t="shared" si="1"/>
        <v>0.05</v>
      </c>
      <c r="H49" s="978"/>
      <c r="I49" s="555"/>
      <c r="J49" s="965"/>
    </row>
    <row r="50" spans="2:10">
      <c r="B50" s="985" t="str">
        <f>ProcessEnergy!B48</f>
        <v>Glycerol</v>
      </c>
      <c r="C50" s="976"/>
      <c r="D50" s="984"/>
      <c r="E50" s="984"/>
      <c r="F50" s="984"/>
      <c r="G50" s="984"/>
      <c r="H50" s="978"/>
      <c r="I50" s="555"/>
      <c r="J50" s="965"/>
    </row>
    <row r="51" spans="2:10">
      <c r="B51" s="985" t="str">
        <f>ProcessEnergy!B49</f>
        <v>&lt;empty&gt;</v>
      </c>
      <c r="C51" s="976"/>
      <c r="D51" s="984"/>
      <c r="E51" s="984"/>
      <c r="F51" s="984"/>
      <c r="G51" s="984"/>
      <c r="H51" s="978"/>
      <c r="I51" s="555"/>
      <c r="J51" s="965"/>
    </row>
    <row r="52" spans="2:10">
      <c r="B52" s="985" t="str">
        <f>ProcessEnergy!B51</f>
        <v>Fodder (wheat like)</v>
      </c>
      <c r="C52" s="976"/>
      <c r="D52" s="984"/>
      <c r="E52" s="984"/>
      <c r="F52" s="984"/>
      <c r="G52" s="984"/>
      <c r="H52" s="984"/>
      <c r="I52" s="555"/>
      <c r="J52" s="965"/>
    </row>
    <row r="53" spans="2:10">
      <c r="B53" s="985" t="str">
        <f>ProcessEnergy!B52</f>
        <v>Rape seed cake</v>
      </c>
      <c r="C53" s="976"/>
      <c r="D53" s="984"/>
      <c r="E53" s="984"/>
      <c r="F53" s="984"/>
      <c r="G53" s="984"/>
      <c r="H53" s="984"/>
      <c r="I53" s="555"/>
      <c r="J53" s="965"/>
    </row>
    <row r="54" spans="2:10">
      <c r="B54" s="985" t="str">
        <f>ProcessEnergy!B53</f>
        <v>&lt;empty&gt;</v>
      </c>
      <c r="C54" s="976" t="s">
        <v>1176</v>
      </c>
      <c r="D54" s="537">
        <f>D162/D160</f>
        <v>0.1</v>
      </c>
      <c r="E54" s="1344">
        <f>D54</f>
        <v>0.1</v>
      </c>
      <c r="F54" s="1344">
        <f t="shared" ref="F54:G54" si="2">E54</f>
        <v>0.1</v>
      </c>
      <c r="G54" s="1344">
        <f t="shared" si="2"/>
        <v>0.1</v>
      </c>
      <c r="H54" s="984"/>
      <c r="I54" s="555"/>
      <c r="J54" s="965"/>
    </row>
    <row r="55" spans="2:10">
      <c r="B55" s="985" t="str">
        <f>ProcessEnergy!B54</f>
        <v>DDGS</v>
      </c>
      <c r="C55" s="976"/>
      <c r="D55" s="984"/>
      <c r="E55" s="984"/>
      <c r="F55" s="984"/>
      <c r="G55" s="984"/>
      <c r="H55" s="984"/>
      <c r="I55" s="555"/>
      <c r="J55" s="965"/>
    </row>
    <row r="56" spans="2:10">
      <c r="B56" s="964"/>
      <c r="C56" s="976"/>
      <c r="D56" s="984"/>
      <c r="E56" s="984"/>
      <c r="F56" s="984"/>
      <c r="G56" s="984"/>
      <c r="H56" s="984"/>
      <c r="I56" s="555"/>
      <c r="J56" s="965"/>
    </row>
    <row r="57" spans="2:10">
      <c r="B57" s="975" t="s">
        <v>873</v>
      </c>
      <c r="C57" s="976"/>
      <c r="D57" s="984"/>
      <c r="E57" s="984"/>
      <c r="F57" s="984"/>
      <c r="G57" s="984"/>
      <c r="H57" s="984"/>
      <c r="I57" s="555"/>
      <c r="J57" s="965"/>
    </row>
    <row r="58" spans="2:10">
      <c r="B58" s="964" t="str">
        <f>ProcessEnergy!B5</f>
        <v>EL - peakload</v>
      </c>
      <c r="C58" s="976" t="s">
        <v>1177</v>
      </c>
      <c r="D58" s="993">
        <f>D165/D160</f>
        <v>6.0000000000000001E-3</v>
      </c>
      <c r="E58" s="978">
        <f>$D58</f>
        <v>6.0000000000000001E-3</v>
      </c>
      <c r="F58" s="978">
        <f>$D58</f>
        <v>6.0000000000000001E-3</v>
      </c>
      <c r="G58" s="978">
        <f>$D58</f>
        <v>6.0000000000000001E-3</v>
      </c>
      <c r="H58" s="984"/>
      <c r="I58" s="555"/>
      <c r="J58" s="965"/>
    </row>
    <row r="59" spans="2:10">
      <c r="B59" s="964" t="str">
        <f>ProcessEnergy!B6</f>
        <v>El - baseload</v>
      </c>
      <c r="C59" s="976" t="s">
        <v>877</v>
      </c>
      <c r="D59" s="993"/>
      <c r="E59" s="984"/>
      <c r="F59" s="984"/>
      <c r="G59" s="984"/>
      <c r="H59" s="984"/>
      <c r="I59" s="555"/>
      <c r="J59" s="965"/>
    </row>
    <row r="60" spans="2:10">
      <c r="B60" s="964" t="str">
        <f>ProcessEnergy!B7</f>
        <v xml:space="preserve">Varme </v>
      </c>
      <c r="C60" s="976" t="s">
        <v>1177</v>
      </c>
      <c r="D60" s="993">
        <f>D166/D160</f>
        <v>0.04</v>
      </c>
      <c r="E60" s="978">
        <f>$D60</f>
        <v>0.04</v>
      </c>
      <c r="F60" s="978">
        <f>$D60</f>
        <v>0.04</v>
      </c>
      <c r="G60" s="978">
        <f>$D60</f>
        <v>0.04</v>
      </c>
      <c r="H60" s="984"/>
      <c r="I60" s="555"/>
      <c r="J60" s="965"/>
    </row>
    <row r="61" spans="2:10">
      <c r="B61" s="964" t="str">
        <f>ProcessEnergy!B8</f>
        <v>Damp</v>
      </c>
      <c r="C61" s="976" t="s">
        <v>877</v>
      </c>
      <c r="D61" s="984"/>
      <c r="E61" s="984"/>
      <c r="F61" s="984"/>
      <c r="G61" s="984"/>
      <c r="H61" s="984"/>
      <c r="I61" s="555"/>
      <c r="J61" s="965"/>
    </row>
    <row r="62" spans="2:10">
      <c r="B62" s="964" t="str">
        <f>ProcessEnergy!B9</f>
        <v xml:space="preserve">Olie </v>
      </c>
      <c r="C62" s="976" t="s">
        <v>877</v>
      </c>
      <c r="D62" s="984"/>
      <c r="E62" s="984"/>
      <c r="F62" s="984"/>
      <c r="G62" s="984"/>
      <c r="H62" s="984"/>
      <c r="I62" s="555"/>
      <c r="J62" s="965"/>
    </row>
    <row r="63" spans="2:10">
      <c r="B63" s="964" t="str">
        <f>ProcessEnergy!B10</f>
        <v>Kul</v>
      </c>
      <c r="C63" s="976" t="s">
        <v>877</v>
      </c>
      <c r="D63" s="984"/>
      <c r="E63" s="984"/>
      <c r="F63" s="984"/>
      <c r="G63" s="984"/>
      <c r="H63" s="984"/>
      <c r="I63" s="555"/>
      <c r="J63" s="965"/>
    </row>
    <row r="64" spans="2:10">
      <c r="B64" s="964" t="str">
        <f>ProcessEnergy!B11</f>
        <v>Naturgas kedel</v>
      </c>
      <c r="C64" s="976" t="s">
        <v>877</v>
      </c>
      <c r="D64" s="984"/>
      <c r="E64" s="984"/>
      <c r="F64" s="984"/>
      <c r="G64" s="984"/>
      <c r="H64" s="984"/>
      <c r="I64" s="555"/>
      <c r="J64" s="965"/>
    </row>
    <row r="65" spans="2:10">
      <c r="B65" s="964" t="str">
        <f>ProcessEnergy!B12</f>
        <v>Gylle</v>
      </c>
      <c r="C65" s="976" t="s">
        <v>877</v>
      </c>
      <c r="D65" s="984"/>
      <c r="E65" s="984"/>
      <c r="F65" s="984"/>
      <c r="G65" s="984"/>
      <c r="H65" s="984"/>
      <c r="I65" s="555"/>
      <c r="J65" s="965"/>
    </row>
    <row r="66" spans="2:10">
      <c r="B66" s="964" t="str">
        <f>ProcessEnergy!B13</f>
        <v>Affald</v>
      </c>
      <c r="C66" s="976" t="s">
        <v>877</v>
      </c>
      <c r="D66" s="984"/>
      <c r="E66" s="984"/>
      <c r="F66" s="984"/>
      <c r="G66" s="984"/>
      <c r="H66" s="984"/>
      <c r="I66" s="555"/>
      <c r="J66" s="965"/>
    </row>
    <row r="67" spans="2:10">
      <c r="B67" s="964" t="str">
        <f>ProcessEnergy!B14</f>
        <v>Hydrogen</v>
      </c>
      <c r="C67" s="976" t="s">
        <v>877</v>
      </c>
      <c r="D67" s="984"/>
      <c r="E67" s="984"/>
      <c r="F67" s="984"/>
      <c r="G67" s="984"/>
      <c r="H67" s="984"/>
      <c r="I67" s="555"/>
      <c r="J67" s="965"/>
    </row>
    <row r="68" spans="2:10">
      <c r="B68" s="964" t="str">
        <f>ProcessEnergy!B15</f>
        <v>Biomasse</v>
      </c>
      <c r="C68" s="976" t="s">
        <v>877</v>
      </c>
      <c r="D68" s="984"/>
      <c r="E68" s="984"/>
      <c r="F68" s="984"/>
      <c r="G68" s="984"/>
      <c r="H68" s="984"/>
      <c r="I68" s="555"/>
      <c r="J68" s="965"/>
    </row>
    <row r="69" spans="2:10">
      <c r="B69" s="964" t="str">
        <f>ProcessEnergy!B16</f>
        <v>Methanol</v>
      </c>
      <c r="C69" s="976" t="s">
        <v>725</v>
      </c>
      <c r="D69" s="984"/>
      <c r="E69" s="984"/>
      <c r="F69" s="984"/>
      <c r="G69" s="984"/>
      <c r="H69" s="984"/>
      <c r="I69" s="555"/>
      <c r="J69" s="965"/>
    </row>
    <row r="70" spans="2:10">
      <c r="B70" s="964" t="str">
        <f>ProcessEnergy!B17</f>
        <v>&lt;empty&gt;</v>
      </c>
      <c r="C70" s="976"/>
      <c r="D70" s="984"/>
      <c r="E70" s="984"/>
      <c r="F70" s="984"/>
      <c r="G70" s="984"/>
      <c r="H70" s="984"/>
      <c r="I70" s="555"/>
      <c r="J70" s="965"/>
    </row>
    <row r="71" spans="2:10">
      <c r="B71" s="964" t="str">
        <f>ProcessEnergy!B18</f>
        <v>&lt;empty&gt;</v>
      </c>
      <c r="C71" s="976"/>
      <c r="D71" s="984"/>
      <c r="E71" s="984"/>
      <c r="F71" s="984"/>
      <c r="G71" s="984"/>
      <c r="H71" s="984"/>
      <c r="I71" s="555"/>
      <c r="J71" s="965"/>
    </row>
    <row r="72" spans="2:10">
      <c r="B72" s="964" t="str">
        <f>ProcessEnergy!B19</f>
        <v>&lt;empty&gt;</v>
      </c>
      <c r="C72" s="976"/>
      <c r="D72" s="984"/>
      <c r="E72" s="984"/>
      <c r="F72" s="984"/>
      <c r="G72" s="984"/>
      <c r="H72" s="984"/>
      <c r="I72" s="555"/>
      <c r="J72" s="965"/>
    </row>
    <row r="73" spans="2:10">
      <c r="B73" s="964" t="str">
        <f>ProcessEnergy!B20</f>
        <v>&lt;empty&gt;</v>
      </c>
      <c r="C73" s="976"/>
      <c r="D73" s="984"/>
      <c r="E73" s="984"/>
      <c r="F73" s="984"/>
      <c r="G73" s="984"/>
      <c r="H73" s="984"/>
      <c r="I73" s="555"/>
      <c r="J73" s="965"/>
    </row>
    <row r="74" spans="2:10">
      <c r="B74" s="964" t="str">
        <f>ProcessEnergy!B21</f>
        <v>&lt;empty&gt;</v>
      </c>
      <c r="C74" s="976"/>
      <c r="D74" s="984"/>
      <c r="E74" s="984"/>
      <c r="F74" s="984"/>
      <c r="G74" s="984"/>
      <c r="H74" s="984"/>
      <c r="I74" s="555"/>
      <c r="J74" s="965"/>
    </row>
    <row r="75" spans="2:10">
      <c r="B75" s="964" t="str">
        <f>ProcessEnergy!B22</f>
        <v>&lt;empty&gt;</v>
      </c>
      <c r="C75" s="976"/>
      <c r="D75" s="984"/>
      <c r="E75" s="984"/>
      <c r="F75" s="984"/>
      <c r="G75" s="984"/>
      <c r="H75" s="984"/>
      <c r="I75" s="555"/>
      <c r="J75" s="965"/>
    </row>
    <row r="76" spans="2:10">
      <c r="B76" s="964" t="str">
        <f>ProcessEnergy!B23</f>
        <v>&lt;empty&gt;</v>
      </c>
      <c r="C76" s="976"/>
      <c r="D76" s="984"/>
      <c r="E76" s="984"/>
      <c r="F76" s="984"/>
      <c r="G76" s="984"/>
      <c r="H76" s="984"/>
      <c r="I76" s="555"/>
      <c r="J76" s="965"/>
    </row>
    <row r="77" spans="2:10">
      <c r="B77" s="964" t="str">
        <f>ProcessEnergy!B24</f>
        <v>&lt;empty&gt;</v>
      </c>
      <c r="C77" s="976" t="s">
        <v>1177</v>
      </c>
      <c r="D77" s="993">
        <f>D162/D160</f>
        <v>0.1</v>
      </c>
      <c r="E77" s="978">
        <f>$D77</f>
        <v>0.1</v>
      </c>
      <c r="F77" s="978">
        <f>$D77</f>
        <v>0.1</v>
      </c>
      <c r="G77" s="978">
        <f>$D77</f>
        <v>0.1</v>
      </c>
      <c r="H77" s="984"/>
      <c r="I77" s="555"/>
      <c r="J77" s="965"/>
    </row>
    <row r="78" spans="2:10">
      <c r="B78" s="964"/>
      <c r="C78" s="976"/>
      <c r="D78" s="984"/>
      <c r="E78" s="984"/>
      <c r="F78" s="984"/>
      <c r="G78" s="984"/>
      <c r="H78" s="984"/>
      <c r="I78" s="555"/>
      <c r="J78" s="965"/>
    </row>
    <row r="79" spans="2:10">
      <c r="B79" s="964"/>
      <c r="C79" s="976"/>
      <c r="D79" s="984"/>
      <c r="E79" s="984"/>
      <c r="F79" s="984"/>
      <c r="G79" s="984"/>
      <c r="H79" s="984"/>
      <c r="I79" s="555"/>
      <c r="J79" s="965"/>
    </row>
    <row r="80" spans="2:10">
      <c r="B80" s="964"/>
      <c r="C80" s="976"/>
      <c r="D80" s="986"/>
      <c r="E80" s="986"/>
      <c r="F80" s="986"/>
      <c r="G80" s="986"/>
      <c r="H80" s="986"/>
      <c r="I80" s="555"/>
      <c r="J80" s="965"/>
    </row>
    <row r="81" spans="1:17">
      <c r="B81" s="975" t="s">
        <v>152</v>
      </c>
      <c r="C81" s="976"/>
      <c r="D81" s="986"/>
      <c r="E81" s="986"/>
      <c r="F81" s="986"/>
      <c r="G81" s="986"/>
      <c r="H81" s="986"/>
      <c r="I81" s="555"/>
      <c r="J81" s="965"/>
    </row>
    <row r="82" spans="1:17">
      <c r="A82" s="530">
        <v>4</v>
      </c>
      <c r="B82" s="964" t="s">
        <v>462</v>
      </c>
      <c r="C82" s="976" t="s">
        <v>725</v>
      </c>
      <c r="D82" s="1633">
        <v>1</v>
      </c>
      <c r="E82" s="978">
        <f t="shared" ref="E82:G88" si="3">$D82</f>
        <v>1</v>
      </c>
      <c r="F82" s="978">
        <f t="shared" si="3"/>
        <v>1</v>
      </c>
      <c r="G82" s="978">
        <f t="shared" si="3"/>
        <v>1</v>
      </c>
      <c r="H82" s="978"/>
      <c r="I82" s="555"/>
      <c r="J82" s="965"/>
    </row>
    <row r="83" spans="1:17">
      <c r="B83" s="964" t="s">
        <v>153</v>
      </c>
      <c r="C83" s="976" t="s">
        <v>725</v>
      </c>
      <c r="D83" s="987">
        <f>D82*(D58+D60+D77)</f>
        <v>0.14600000000000002</v>
      </c>
      <c r="E83" s="978">
        <f t="shared" si="3"/>
        <v>0.14600000000000002</v>
      </c>
      <c r="F83" s="978">
        <f t="shared" si="3"/>
        <v>0.14600000000000002</v>
      </c>
      <c r="G83" s="978">
        <f t="shared" si="3"/>
        <v>0.14600000000000002</v>
      </c>
      <c r="H83" s="1334"/>
      <c r="I83" s="555"/>
      <c r="J83" s="965"/>
    </row>
    <row r="84" spans="1:17">
      <c r="B84" s="964" t="s">
        <v>154</v>
      </c>
      <c r="C84" s="976" t="s">
        <v>725</v>
      </c>
      <c r="D84" s="987">
        <f>D82*D54</f>
        <v>0.1</v>
      </c>
      <c r="E84" s="978">
        <f t="shared" si="3"/>
        <v>0.1</v>
      </c>
      <c r="F84" s="978">
        <f t="shared" si="3"/>
        <v>0.1</v>
      </c>
      <c r="G84" s="978">
        <f t="shared" si="3"/>
        <v>0.1</v>
      </c>
      <c r="H84" s="978"/>
      <c r="I84" s="555"/>
      <c r="J84" s="965"/>
    </row>
    <row r="85" spans="1:17">
      <c r="B85" s="964" t="s">
        <v>1136</v>
      </c>
      <c r="C85" s="976" t="s">
        <v>725</v>
      </c>
      <c r="D85" s="987">
        <f>(1/D160)*D82</f>
        <v>1</v>
      </c>
      <c r="E85" s="978">
        <f t="shared" si="3"/>
        <v>1</v>
      </c>
      <c r="F85" s="978">
        <f t="shared" si="3"/>
        <v>1</v>
      </c>
      <c r="G85" s="978">
        <f t="shared" si="3"/>
        <v>1</v>
      </c>
      <c r="H85" s="978"/>
      <c r="I85" s="555"/>
      <c r="J85" s="965"/>
    </row>
    <row r="86" spans="1:17">
      <c r="B86" s="985" t="s">
        <v>155</v>
      </c>
      <c r="C86" s="976" t="s">
        <v>725</v>
      </c>
      <c r="D86" s="987">
        <f>SUM(D82:D83)-SUM(D84:D85)</f>
        <v>4.5999999999999819E-2</v>
      </c>
      <c r="E86" s="978">
        <f t="shared" si="3"/>
        <v>4.5999999999999819E-2</v>
      </c>
      <c r="F86" s="978">
        <f t="shared" si="3"/>
        <v>4.5999999999999819E-2</v>
      </c>
      <c r="G86" s="978">
        <f t="shared" si="3"/>
        <v>4.5999999999999819E-2</v>
      </c>
      <c r="H86" s="978"/>
      <c r="I86" s="555"/>
      <c r="J86" s="965"/>
    </row>
    <row r="87" spans="1:17">
      <c r="B87" s="985" t="s">
        <v>156</v>
      </c>
      <c r="C87" s="988" t="s">
        <v>726</v>
      </c>
      <c r="D87" s="1349">
        <f>SUM(D84:D85)/SUM(D82:D83)</f>
        <v>0.95986038394415374</v>
      </c>
      <c r="E87" s="1350">
        <f t="shared" si="3"/>
        <v>0.95986038394415374</v>
      </c>
      <c r="F87" s="1350">
        <f t="shared" si="3"/>
        <v>0.95986038394415374</v>
      </c>
      <c r="G87" s="1350">
        <f t="shared" si="3"/>
        <v>0.95986038394415374</v>
      </c>
      <c r="H87" s="990"/>
      <c r="J87" s="965" t="s">
        <v>1754</v>
      </c>
    </row>
    <row r="88" spans="1:17">
      <c r="B88" s="1336" t="s">
        <v>1747</v>
      </c>
      <c r="C88" s="1351" t="s">
        <v>1747</v>
      </c>
      <c r="D88" s="1037">
        <f>D169/100</f>
        <v>0.95599999999999996</v>
      </c>
      <c r="E88" s="978">
        <f t="shared" si="3"/>
        <v>0.95599999999999996</v>
      </c>
      <c r="F88" s="978">
        <f t="shared" si="3"/>
        <v>0.95599999999999996</v>
      </c>
      <c r="G88" s="978">
        <f t="shared" si="3"/>
        <v>0.95599999999999996</v>
      </c>
      <c r="H88" s="990"/>
      <c r="I88" s="555"/>
      <c r="J88" s="965"/>
      <c r="N88" s="557"/>
    </row>
    <row r="89" spans="1:17">
      <c r="B89" s="975" t="s">
        <v>2116</v>
      </c>
      <c r="C89" s="976"/>
      <c r="D89" s="983"/>
      <c r="E89" s="983"/>
      <c r="F89" s="983"/>
      <c r="G89" s="983"/>
      <c r="H89" s="983"/>
      <c r="I89" s="555"/>
      <c r="J89" s="965"/>
      <c r="N89" s="991"/>
      <c r="O89" s="991"/>
      <c r="P89" s="991"/>
      <c r="Q89" s="991"/>
    </row>
    <row r="90" spans="1:17">
      <c r="B90" s="964" t="s">
        <v>157</v>
      </c>
      <c r="C90" s="976" t="s">
        <v>61</v>
      </c>
      <c r="D90" s="992">
        <f ca="1">HLOOKUP($H99,Supplementary!$C$44:$AF$46,3,FALSE)*D99*D$110</f>
        <v>260302242.74297556</v>
      </c>
      <c r="E90" s="992">
        <f ca="1">HLOOKUP($H99,Supplementary!$C$44:$AF$46,3,FALSE)*E99*E$110</f>
        <v>247287130.60582677</v>
      </c>
      <c r="F90" s="992">
        <f ca="1">HLOOKUP($H99,Supplementary!$C$44:$AF$46,3,FALSE)*F99*F$110</f>
        <v>223176635.37175864</v>
      </c>
      <c r="G90" s="992">
        <f ca="1">HLOOKUP($H99,Supplementary!$C$44:$AF$46,3,FALSE)*G99*G$110</f>
        <v>181778764.36426851</v>
      </c>
      <c r="H90" s="555">
        <f t="shared" ref="H90:H96" si="4">priceYear</f>
        <v>2015</v>
      </c>
      <c r="I90" s="555"/>
      <c r="J90" s="965"/>
      <c r="N90" s="991"/>
      <c r="O90" s="991"/>
      <c r="P90" s="991"/>
      <c r="Q90" s="991"/>
    </row>
    <row r="91" spans="1:17">
      <c r="B91" s="964" t="s">
        <v>160</v>
      </c>
      <c r="C91" s="976" t="s">
        <v>464</v>
      </c>
      <c r="D91" s="555">
        <f ca="1">SUM(D92:D96)</f>
        <v>-6.8882906737517535</v>
      </c>
      <c r="E91" s="555">
        <f ca="1">SUM(E92:E96)</f>
        <v>-7.0798327212737249</v>
      </c>
      <c r="F91" s="555">
        <f ca="1">SUM(F92:F96)</f>
        <v>-7.434664364308178</v>
      </c>
      <c r="G91" s="555">
        <f ca="1">SUM(G92:G96)</f>
        <v>-8.0439125130961013</v>
      </c>
      <c r="H91" s="555">
        <f t="shared" si="4"/>
        <v>2015</v>
      </c>
      <c r="I91" s="555"/>
      <c r="J91" s="965"/>
      <c r="N91" s="991"/>
      <c r="O91" s="991"/>
      <c r="P91" s="991"/>
      <c r="Q91" s="991"/>
    </row>
    <row r="92" spans="1:17">
      <c r="B92" s="995" t="s">
        <v>162</v>
      </c>
      <c r="C92" s="976" t="s">
        <v>464</v>
      </c>
      <c r="D92" s="992">
        <f ca="1">HLOOKUP($H101,Supplementary!$C$44:$AF$46,3,FALSE)*D101*D$110</f>
        <v>2.7999095722836076</v>
      </c>
      <c r="E92" s="555">
        <f ca="1">HLOOKUP($H101,Supplementary!$C$44:$AF$46,3,FALSE)*E101*E$110</f>
        <v>2.659914093669427</v>
      </c>
      <c r="F92" s="555">
        <f ca="1">HLOOKUP($H101,Supplementary!$C$44:$AF$46,3,FALSE)*F101*F$110</f>
        <v>2.4005724695366579</v>
      </c>
      <c r="G92" s="555">
        <f ca="1">HLOOKUP($H101,Supplementary!$C$44:$AF$46,3,FALSE)*G101*G$110</f>
        <v>1.9552812800155424</v>
      </c>
      <c r="H92" s="555">
        <f t="shared" si="4"/>
        <v>2015</v>
      </c>
      <c r="I92" s="555"/>
      <c r="J92" s="965"/>
      <c r="N92" s="991"/>
      <c r="O92" s="991"/>
      <c r="P92" s="991"/>
      <c r="Q92" s="991"/>
    </row>
    <row r="93" spans="1:17">
      <c r="B93" s="995" t="s">
        <v>163</v>
      </c>
      <c r="C93" s="976" t="s">
        <v>464</v>
      </c>
      <c r="D93" s="992">
        <f ca="1">HLOOKUP($H102,Supplementary!$C$44:$AF$46,3,FALSE)*D102*D$110</f>
        <v>1.0309313781558256</v>
      </c>
      <c r="E93" s="555">
        <f ca="1">HLOOKUP($H102,Supplementary!$C$44:$AF$46,3,FALSE)*E102*E$110</f>
        <v>0.97938480924803428</v>
      </c>
      <c r="F93" s="555">
        <f ca="1">HLOOKUP($H102,Supplementary!$C$44:$AF$46,3,FALSE)*F102*F$110</f>
        <v>0.88389479034635088</v>
      </c>
      <c r="G93" s="555">
        <f ca="1">HLOOKUP($H102,Supplementary!$C$44:$AF$46,3,FALSE)*G102*G$110</f>
        <v>0.71993783107954246</v>
      </c>
      <c r="H93" s="555">
        <f t="shared" si="4"/>
        <v>2015</v>
      </c>
      <c r="I93" s="555"/>
      <c r="J93" s="965"/>
      <c r="N93" s="991"/>
      <c r="O93" s="991"/>
      <c r="P93" s="991"/>
      <c r="Q93" s="991"/>
    </row>
    <row r="94" spans="1:17">
      <c r="B94" s="995" t="s">
        <v>164</v>
      </c>
      <c r="C94" s="976" t="s">
        <v>464</v>
      </c>
      <c r="D94" s="992">
        <f>HLOOKUP($H103,Supplementary!$C$44:$AF$46,3,FALSE)*D103</f>
        <v>0</v>
      </c>
      <c r="E94" s="555">
        <f>HLOOKUP($H103,Supplementary!$C$44:$AF$46,3,FALSE)*E103</f>
        <v>0</v>
      </c>
      <c r="F94" s="555">
        <f>HLOOKUP($H103,Supplementary!$C$44:$AF$46,3,FALSE)*F103</f>
        <v>0</v>
      </c>
      <c r="G94" s="555">
        <f>HLOOKUP($H103,Supplementary!$C$44:$AF$46,3,FALSE)*G103</f>
        <v>0</v>
      </c>
      <c r="H94" s="555">
        <f t="shared" si="4"/>
        <v>2015</v>
      </c>
      <c r="I94" s="555"/>
      <c r="J94" s="965"/>
      <c r="N94" s="991"/>
      <c r="O94" s="991"/>
      <c r="P94" s="991"/>
      <c r="Q94" s="991"/>
    </row>
    <row r="95" spans="1:17">
      <c r="B95" s="995" t="s">
        <v>264</v>
      </c>
      <c r="C95" s="976" t="s">
        <v>464</v>
      </c>
      <c r="D95" s="992">
        <f ca="1">HLOOKUP($H104,Supplementary!$C$44:$AF$46,3,FALSE)*D104*D$110</f>
        <v>0</v>
      </c>
      <c r="E95" s="555">
        <f ca="1">HLOOKUP($H104,Supplementary!$C$44:$AF$46,3,FALSE)*E104*E$110</f>
        <v>0</v>
      </c>
      <c r="F95" s="555">
        <f ca="1">HLOOKUP($H104,Supplementary!$C$44:$AF$46,3,FALSE)*F104*F$110</f>
        <v>0</v>
      </c>
      <c r="G95" s="555">
        <f ca="1">HLOOKUP($H104,Supplementary!$C$44:$AF$46,3,FALSE)*G104*G$110</f>
        <v>0</v>
      </c>
      <c r="H95" s="555">
        <f t="shared" si="4"/>
        <v>2015</v>
      </c>
      <c r="I95" s="555"/>
      <c r="J95" s="965"/>
      <c r="N95" s="991"/>
      <c r="O95" s="991"/>
      <c r="P95" s="991"/>
      <c r="Q95" s="991"/>
    </row>
    <row r="96" spans="1:17">
      <c r="B96" s="995" t="s">
        <v>165</v>
      </c>
      <c r="C96" s="976" t="s">
        <v>464</v>
      </c>
      <c r="D96" s="992">
        <f ca="1">HLOOKUP($H105,Supplementary!$C$44:$AF$46,3,FALSE)*D105</f>
        <v>-10.719131624191187</v>
      </c>
      <c r="E96" s="555">
        <f ca="1">HLOOKUP($H105,Supplementary!$C$44:$AF$46,3,FALSE)*E105</f>
        <v>-10.719131624191187</v>
      </c>
      <c r="F96" s="555">
        <f ca="1">HLOOKUP($H105,Supplementary!$C$44:$AF$46,3,FALSE)*F105</f>
        <v>-10.719131624191187</v>
      </c>
      <c r="G96" s="555">
        <f ca="1">HLOOKUP($H105,Supplementary!$C$44:$AF$46,3,FALSE)*G105</f>
        <v>-10.719131624191187</v>
      </c>
      <c r="H96" s="555">
        <f t="shared" si="4"/>
        <v>2015</v>
      </c>
      <c r="I96" s="555"/>
      <c r="J96" s="965"/>
      <c r="N96" s="991"/>
      <c r="O96" s="991"/>
      <c r="P96" s="991"/>
      <c r="Q96" s="991"/>
    </row>
    <row r="97" spans="1:17">
      <c r="B97" s="975"/>
      <c r="C97" s="976"/>
      <c r="D97" s="992"/>
      <c r="E97" s="983"/>
      <c r="F97" s="983"/>
      <c r="G97" s="983"/>
      <c r="H97" s="983"/>
      <c r="I97" s="555"/>
      <c r="J97" s="965"/>
      <c r="N97" s="991"/>
      <c r="O97" s="991"/>
      <c r="P97" s="991"/>
      <c r="Q97" s="991"/>
    </row>
    <row r="98" spans="1:17">
      <c r="B98" s="975" t="s">
        <v>2117</v>
      </c>
      <c r="C98" s="976"/>
      <c r="D98" s="992"/>
      <c r="E98" s="983"/>
      <c r="F98" s="983"/>
      <c r="G98" s="983"/>
      <c r="H98" s="983"/>
      <c r="I98" s="555"/>
      <c r="J98" s="965"/>
      <c r="N98" s="991"/>
      <c r="O98" s="991"/>
      <c r="P98" s="991"/>
      <c r="Q98" s="991"/>
    </row>
    <row r="99" spans="1:17">
      <c r="B99" s="964" t="s">
        <v>157</v>
      </c>
      <c r="C99" s="976" t="s">
        <v>61</v>
      </c>
      <c r="D99" s="992">
        <f>D159*D177*dkkPerEUR</f>
        <v>244538800.00000003</v>
      </c>
      <c r="E99" s="992">
        <f t="shared" ref="E99:G102" si="5">$D99</f>
        <v>244538800.00000003</v>
      </c>
      <c r="F99" s="992">
        <f t="shared" si="5"/>
        <v>244538800.00000003</v>
      </c>
      <c r="G99" s="992">
        <f t="shared" si="5"/>
        <v>244538800.00000003</v>
      </c>
      <c r="H99" s="1668">
        <v>2011</v>
      </c>
      <c r="I99" s="555"/>
      <c r="J99" s="965"/>
      <c r="N99" s="991"/>
      <c r="O99" s="991"/>
      <c r="P99" s="991"/>
      <c r="Q99" s="991"/>
    </row>
    <row r="100" spans="1:17">
      <c r="B100" s="964" t="s">
        <v>160</v>
      </c>
      <c r="C100" s="976" t="s">
        <v>464</v>
      </c>
      <c r="D100" s="993">
        <f ca="1">SUM(D101:D105)</f>
        <v>-6.4711479918891381</v>
      </c>
      <c r="E100" s="978">
        <f t="shared" ca="1" si="5"/>
        <v>-6.4711479918891381</v>
      </c>
      <c r="F100" s="978">
        <f t="shared" ca="1" si="5"/>
        <v>-6.4711479918891381</v>
      </c>
      <c r="G100" s="978">
        <f t="shared" ca="1" si="5"/>
        <v>-6.4711479918891381</v>
      </c>
      <c r="H100" s="1668">
        <v>2011</v>
      </c>
      <c r="I100" s="994"/>
      <c r="J100" s="965"/>
      <c r="N100" s="991"/>
      <c r="O100" s="991"/>
      <c r="P100" s="991"/>
      <c r="Q100" s="991"/>
    </row>
    <row r="101" spans="1:17">
      <c r="B101" s="995" t="s">
        <v>162</v>
      </c>
      <c r="C101" s="976" t="s">
        <v>464</v>
      </c>
      <c r="D101" s="480">
        <f ca="1">-PMT(rSØK,20,D99)/D159</f>
        <v>2.6303520081108616</v>
      </c>
      <c r="E101" s="978">
        <f t="shared" ca="1" si="5"/>
        <v>2.6303520081108616</v>
      </c>
      <c r="F101" s="978">
        <f t="shared" ca="1" si="5"/>
        <v>2.6303520081108616</v>
      </c>
      <c r="G101" s="978">
        <f t="shared" ca="1" si="5"/>
        <v>2.6303520081108616</v>
      </c>
      <c r="H101" s="1668">
        <v>2011</v>
      </c>
      <c r="I101" s="994"/>
      <c r="J101" s="965"/>
      <c r="N101" s="991"/>
      <c r="O101" s="991"/>
      <c r="P101" s="991"/>
      <c r="Q101" s="991"/>
    </row>
    <row r="102" spans="1:17">
      <c r="B102" s="995" t="s">
        <v>163</v>
      </c>
      <c r="C102" s="976" t="s">
        <v>464</v>
      </c>
      <c r="D102" s="480">
        <f>IF(D141&gt;0,D177*D141*dkkPerEUR,D178*dkkPerEUR)</f>
        <v>0.96850000000000003</v>
      </c>
      <c r="E102" s="480">
        <f t="shared" si="5"/>
        <v>0.96850000000000003</v>
      </c>
      <c r="F102" s="480">
        <f t="shared" si="5"/>
        <v>0.96850000000000003</v>
      </c>
      <c r="G102" s="480">
        <f t="shared" si="5"/>
        <v>0.96850000000000003</v>
      </c>
      <c r="H102" s="1668">
        <v>2011</v>
      </c>
      <c r="I102" s="555"/>
      <c r="J102" s="965"/>
      <c r="N102" s="991"/>
      <c r="O102" s="991"/>
      <c r="P102" s="991"/>
      <c r="Q102" s="991"/>
    </row>
    <row r="103" spans="1:17">
      <c r="A103" s="530">
        <v>6</v>
      </c>
      <c r="B103" s="995" t="s">
        <v>164</v>
      </c>
      <c r="C103" s="976" t="s">
        <v>464</v>
      </c>
      <c r="D103" s="997"/>
      <c r="E103" s="997"/>
      <c r="F103" s="997"/>
      <c r="G103" s="997"/>
      <c r="H103" s="1668">
        <v>2011</v>
      </c>
      <c r="I103" s="555"/>
      <c r="J103" s="965"/>
      <c r="N103" s="991"/>
      <c r="O103" s="991"/>
      <c r="P103" s="991"/>
      <c r="Q103" s="991"/>
    </row>
    <row r="104" spans="1:17">
      <c r="B104" s="995" t="s">
        <v>264</v>
      </c>
      <c r="C104" s="976" t="s">
        <v>464</v>
      </c>
      <c r="D104" s="997"/>
      <c r="E104" s="997"/>
      <c r="F104" s="997"/>
      <c r="G104" s="997"/>
      <c r="H104" s="1668">
        <v>2011</v>
      </c>
      <c r="I104" s="555"/>
      <c r="J104" s="965"/>
      <c r="N104" s="991"/>
      <c r="O104" s="991"/>
      <c r="P104" s="991"/>
      <c r="Q104" s="991"/>
    </row>
    <row r="105" spans="1:17">
      <c r="B105" s="995" t="s">
        <v>165</v>
      </c>
      <c r="C105" s="976" t="s">
        <v>464</v>
      </c>
      <c r="D105" s="996">
        <f ca="1">-SUMPRODUCT(D36:D55,ProcessEnergy!M34:M53)/D85</f>
        <v>-10.07</v>
      </c>
      <c r="E105" s="996">
        <f ca="1">-SUMPRODUCT(E36:E55,ProcessEnergy!N34:N53)/E85</f>
        <v>-10.07</v>
      </c>
      <c r="F105" s="996">
        <f ca="1">-SUMPRODUCT(F36:F55,ProcessEnergy!O34:O53)/F85</f>
        <v>-10.07</v>
      </c>
      <c r="G105" s="996">
        <f ca="1">-SUMPRODUCT(G36:G55,ProcessEnergy!P34:P53)/G85</f>
        <v>-10.07</v>
      </c>
      <c r="H105" s="1668">
        <v>2011</v>
      </c>
      <c r="I105" s="555"/>
      <c r="J105" s="965"/>
      <c r="N105" s="991"/>
      <c r="O105" s="991"/>
      <c r="P105" s="991"/>
      <c r="Q105" s="991"/>
    </row>
    <row r="106" spans="1:17">
      <c r="B106" s="995"/>
      <c r="C106" s="976"/>
      <c r="D106" s="2311"/>
      <c r="E106" s="2311"/>
      <c r="F106" s="2311"/>
      <c r="G106" s="2311"/>
      <c r="H106" s="983"/>
      <c r="I106" s="994"/>
      <c r="J106" s="965"/>
      <c r="N106" s="991"/>
      <c r="O106" s="991"/>
      <c r="P106" s="991"/>
      <c r="Q106" s="991"/>
    </row>
    <row r="107" spans="1:17">
      <c r="B107" s="975" t="s">
        <v>2113</v>
      </c>
      <c r="C107" s="976"/>
      <c r="D107" s="983"/>
      <c r="E107" s="983"/>
      <c r="F107" s="983"/>
      <c r="G107" s="983"/>
      <c r="H107" s="983"/>
      <c r="I107" s="994"/>
      <c r="J107" s="965"/>
      <c r="N107" s="991"/>
      <c r="O107" s="991"/>
      <c r="P107" s="991"/>
      <c r="Q107" s="991"/>
    </row>
    <row r="108" spans="1:17">
      <c r="B108" s="995" t="s">
        <v>2114</v>
      </c>
      <c r="C108" s="976"/>
      <c r="D108" s="1696">
        <v>0.95</v>
      </c>
      <c r="E108" s="1696">
        <v>0.95</v>
      </c>
      <c r="F108" s="1696">
        <v>0.95</v>
      </c>
      <c r="G108" s="1696">
        <v>0.95</v>
      </c>
      <c r="H108" s="983"/>
      <c r="I108" s="994"/>
      <c r="J108" s="965"/>
      <c r="N108" s="991"/>
      <c r="O108" s="991"/>
      <c r="P108" s="991"/>
      <c r="Q108" s="991"/>
    </row>
    <row r="109" spans="1:17">
      <c r="B109" s="995" t="s">
        <v>2666</v>
      </c>
      <c r="C109" s="976"/>
      <c r="D109" s="478">
        <f ca="1">OFFSET(Supplementary!C$237,MATCH($C$19,Supplementary!$B$238:$B$241,0),0)</f>
        <v>1</v>
      </c>
      <c r="E109" s="478">
        <f ca="1">OFFSET(Supplementary!D$237,MATCH($C$19,Supplementary!$B$238:$B$241,0),0)</f>
        <v>2</v>
      </c>
      <c r="F109" s="478">
        <f ca="1">OFFSET(Supplementary!E$237,MATCH($C$19,Supplementary!$B$238:$B$241,0),0)</f>
        <v>4</v>
      </c>
      <c r="G109" s="478">
        <f ca="1">OFFSET(Supplementary!F$237,MATCH($C$19,Supplementary!$B$238:$B$241,0),0)</f>
        <v>8</v>
      </c>
      <c r="H109" s="983"/>
      <c r="I109" s="994"/>
      <c r="J109" s="965"/>
      <c r="N109" s="991"/>
      <c r="O109" s="991"/>
      <c r="P109" s="991"/>
      <c r="Q109" s="991"/>
    </row>
    <row r="110" spans="1:17">
      <c r="B110" s="995" t="s">
        <v>2115</v>
      </c>
      <c r="C110" s="976"/>
      <c r="D110" s="1698">
        <f ca="1">1*D108^(D109-1)</f>
        <v>1</v>
      </c>
      <c r="E110" s="1698">
        <f ca="1">1*E108^(E109-1)</f>
        <v>0.95</v>
      </c>
      <c r="F110" s="1698">
        <f ca="1">1*F108^(F109-1)</f>
        <v>0.85737499999999989</v>
      </c>
      <c r="G110" s="1698">
        <f ca="1">1*G108^(G109-1)</f>
        <v>0.69833729609374995</v>
      </c>
      <c r="H110" s="983"/>
      <c r="I110" s="994"/>
      <c r="J110" s="965"/>
      <c r="N110" s="991"/>
      <c r="O110" s="991"/>
      <c r="P110" s="991"/>
      <c r="Q110" s="991"/>
    </row>
    <row r="111" spans="1:17">
      <c r="B111" s="995"/>
      <c r="C111" s="976"/>
      <c r="D111" s="983"/>
      <c r="E111" s="983"/>
      <c r="F111" s="983"/>
      <c r="G111" s="983"/>
      <c r="H111" s="983"/>
      <c r="I111" s="994"/>
      <c r="J111" s="965"/>
      <c r="N111" s="991"/>
      <c r="O111" s="991"/>
      <c r="P111" s="991"/>
      <c r="Q111" s="991"/>
    </row>
    <row r="112" spans="1:17">
      <c r="B112" s="975" t="s">
        <v>166</v>
      </c>
      <c r="C112" s="976"/>
      <c r="D112" s="983"/>
      <c r="E112" s="983"/>
      <c r="F112" s="983"/>
      <c r="G112" s="983"/>
      <c r="H112" s="983"/>
      <c r="I112" s="994"/>
      <c r="J112" s="965"/>
      <c r="N112" s="998"/>
      <c r="O112" s="998"/>
      <c r="P112" s="998"/>
      <c r="Q112" s="991"/>
    </row>
    <row r="113" spans="2:17">
      <c r="B113" s="964" t="s">
        <v>24</v>
      </c>
      <c r="C113" s="976" t="s">
        <v>465</v>
      </c>
      <c r="D113" s="999">
        <v>0</v>
      </c>
      <c r="E113" s="999">
        <v>0</v>
      </c>
      <c r="F113" s="999">
        <v>0</v>
      </c>
      <c r="G113" s="999"/>
      <c r="H113" s="999"/>
      <c r="I113" s="1335" t="s">
        <v>1747</v>
      </c>
      <c r="J113" s="965"/>
      <c r="N113" s="991"/>
      <c r="O113" s="991"/>
      <c r="P113" s="991"/>
      <c r="Q113" s="991"/>
    </row>
    <row r="114" spans="2:17">
      <c r="B114" s="964" t="s">
        <v>27</v>
      </c>
      <c r="C114" s="976" t="s">
        <v>465</v>
      </c>
      <c r="D114" s="999">
        <v>0</v>
      </c>
      <c r="E114" s="999">
        <v>0</v>
      </c>
      <c r="F114" s="999">
        <v>0</v>
      </c>
      <c r="G114" s="999"/>
      <c r="H114" s="999"/>
      <c r="I114" s="1335" t="s">
        <v>1747</v>
      </c>
      <c r="J114" s="965"/>
      <c r="N114" s="991"/>
      <c r="O114" s="991"/>
      <c r="P114" s="991"/>
      <c r="Q114" s="991"/>
    </row>
    <row r="115" spans="2:17">
      <c r="B115" s="964" t="s">
        <v>28</v>
      </c>
      <c r="C115" s="976" t="s">
        <v>465</v>
      </c>
      <c r="D115" s="999">
        <v>0</v>
      </c>
      <c r="E115" s="999">
        <v>0</v>
      </c>
      <c r="F115" s="999">
        <v>0</v>
      </c>
      <c r="G115" s="999"/>
      <c r="H115" s="999"/>
      <c r="I115" s="1335" t="s">
        <v>1747</v>
      </c>
      <c r="J115" s="965"/>
      <c r="N115" s="991"/>
      <c r="O115" s="991"/>
      <c r="P115" s="991"/>
      <c r="Q115" s="991"/>
    </row>
    <row r="116" spans="2:17">
      <c r="B116" s="964" t="s">
        <v>26</v>
      </c>
      <c r="C116" s="976" t="s">
        <v>465</v>
      </c>
      <c r="D116" s="999">
        <v>0</v>
      </c>
      <c r="E116" s="999">
        <v>0</v>
      </c>
      <c r="F116" s="999">
        <v>0</v>
      </c>
      <c r="G116" s="999"/>
      <c r="H116" s="999"/>
      <c r="I116" s="1335" t="s">
        <v>1747</v>
      </c>
      <c r="J116" s="965"/>
      <c r="N116" s="991"/>
      <c r="O116" s="991"/>
      <c r="P116" s="991"/>
      <c r="Q116" s="991"/>
    </row>
    <row r="117" spans="2:17">
      <c r="B117" s="964" t="s">
        <v>167</v>
      </c>
      <c r="C117" s="976" t="s">
        <v>465</v>
      </c>
      <c r="D117" s="999">
        <v>0</v>
      </c>
      <c r="E117" s="999">
        <v>0</v>
      </c>
      <c r="F117" s="999">
        <v>0</v>
      </c>
      <c r="G117" s="999"/>
      <c r="H117" s="999"/>
      <c r="I117" s="1335" t="s">
        <v>1747</v>
      </c>
      <c r="J117" s="965"/>
      <c r="N117" s="998"/>
      <c r="O117" s="998"/>
      <c r="P117" s="998"/>
      <c r="Q117" s="998"/>
    </row>
    <row r="118" spans="2:17">
      <c r="B118" s="964" t="s">
        <v>45</v>
      </c>
      <c r="C118" s="976" t="s">
        <v>465</v>
      </c>
      <c r="D118" s="1000"/>
      <c r="E118" s="1000"/>
      <c r="F118" s="1000"/>
      <c r="G118" s="1000"/>
      <c r="H118" s="1000"/>
      <c r="I118" s="555"/>
      <c r="J118" s="965"/>
    </row>
    <row r="119" spans="2:17" ht="13.5" thickBot="1">
      <c r="B119" s="1001"/>
      <c r="C119" s="1002"/>
      <c r="D119" s="1003"/>
      <c r="E119" s="968"/>
      <c r="F119" s="968"/>
      <c r="G119" s="968"/>
      <c r="H119" s="968"/>
      <c r="I119" s="1004"/>
      <c r="J119" s="969"/>
    </row>
    <row r="122" spans="2:17" ht="18.75">
      <c r="B122" s="1005" t="s">
        <v>172</v>
      </c>
    </row>
    <row r="123" spans="2:17" ht="15.75">
      <c r="B123" s="1006"/>
      <c r="D123" s="1007"/>
    </row>
    <row r="124" spans="2:17">
      <c r="B124" s="555"/>
      <c r="C124" s="555"/>
      <c r="D124" s="555"/>
      <c r="E124" s="555"/>
      <c r="F124" s="555"/>
      <c r="G124" s="555"/>
      <c r="H124" s="555"/>
      <c r="I124" s="555"/>
      <c r="J124" s="555"/>
      <c r="K124" s="555"/>
      <c r="L124" s="555"/>
    </row>
    <row r="125" spans="2:17">
      <c r="B125" s="555"/>
      <c r="C125" s="977"/>
      <c r="D125" s="977"/>
      <c r="E125" s="977"/>
      <c r="F125" s="977"/>
      <c r="G125" s="977"/>
      <c r="H125" s="977"/>
      <c r="I125" s="555"/>
      <c r="J125" s="977"/>
      <c r="K125" s="977"/>
      <c r="L125" s="977"/>
    </row>
    <row r="126" spans="2:17">
      <c r="B126" s="555"/>
      <c r="C126" s="555"/>
      <c r="D126" s="993"/>
      <c r="E126" s="993"/>
      <c r="F126" s="993"/>
      <c r="G126" s="993"/>
      <c r="H126" s="993"/>
      <c r="I126" s="555"/>
      <c r="J126" s="993"/>
      <c r="K126" s="993"/>
      <c r="L126" s="993"/>
    </row>
    <row r="127" spans="2:17">
      <c r="B127" s="555"/>
      <c r="C127" s="555"/>
      <c r="D127" s="993"/>
      <c r="E127" s="993"/>
      <c r="F127" s="993"/>
      <c r="G127" s="993"/>
      <c r="H127" s="993"/>
      <c r="I127" s="555"/>
      <c r="J127" s="993"/>
      <c r="K127" s="993"/>
      <c r="L127" s="993"/>
    </row>
    <row r="128" spans="2:17">
      <c r="B128" s="555"/>
      <c r="C128" s="555"/>
      <c r="D128" s="993"/>
      <c r="E128" s="993"/>
      <c r="F128" s="993"/>
      <c r="G128" s="993"/>
      <c r="H128" s="993"/>
      <c r="I128" s="555"/>
      <c r="J128" s="993"/>
      <c r="K128" s="993"/>
      <c r="L128" s="993"/>
    </row>
    <row r="129" spans="2:12">
      <c r="B129" s="555"/>
      <c r="C129" s="555"/>
      <c r="D129" s="993"/>
      <c r="E129" s="993"/>
      <c r="F129" s="993"/>
      <c r="G129" s="993"/>
      <c r="H129" s="993"/>
      <c r="I129" s="555"/>
      <c r="J129" s="993"/>
      <c r="K129" s="993"/>
      <c r="L129" s="993"/>
    </row>
    <row r="130" spans="2:12">
      <c r="B130" s="555"/>
      <c r="C130" s="555"/>
      <c r="D130" s="993"/>
      <c r="E130" s="993"/>
      <c r="F130" s="993"/>
      <c r="G130" s="993"/>
      <c r="H130" s="993"/>
      <c r="I130" s="555"/>
      <c r="J130" s="993"/>
      <c r="K130" s="993"/>
      <c r="L130" s="993"/>
    </row>
    <row r="131" spans="2:12">
      <c r="B131" s="555"/>
      <c r="C131" s="555"/>
      <c r="D131" s="993"/>
      <c r="E131" s="993"/>
      <c r="F131" s="993"/>
      <c r="G131" s="993"/>
      <c r="H131" s="993"/>
      <c r="I131" s="555"/>
      <c r="J131" s="993"/>
      <c r="K131" s="993"/>
      <c r="L131" s="993"/>
    </row>
    <row r="132" spans="2:12">
      <c r="B132" s="555"/>
      <c r="C132" s="555"/>
      <c r="D132" s="993"/>
      <c r="E132" s="993"/>
      <c r="F132" s="993"/>
      <c r="G132" s="993"/>
      <c r="H132" s="993"/>
      <c r="I132" s="555"/>
      <c r="J132" s="993"/>
      <c r="K132" s="993"/>
      <c r="L132" s="993"/>
    </row>
    <row r="135" spans="2:12" ht="18.75">
      <c r="B135" s="1005" t="s">
        <v>168</v>
      </c>
    </row>
    <row r="136" spans="2:12" ht="15.75">
      <c r="B136" s="1006"/>
    </row>
    <row r="137" spans="2:12" ht="13.5" thickBot="1">
      <c r="B137" s="555"/>
      <c r="C137" s="555"/>
      <c r="D137" s="555"/>
      <c r="E137" s="555"/>
      <c r="F137" s="555"/>
      <c r="G137" s="555"/>
      <c r="H137" s="555"/>
      <c r="I137" s="555"/>
    </row>
    <row r="138" spans="2:12">
      <c r="B138" s="1008"/>
      <c r="C138" s="1009" t="s">
        <v>70</v>
      </c>
      <c r="D138" s="1010">
        <v>2015</v>
      </c>
      <c r="E138" s="1009">
        <v>2020</v>
      </c>
      <c r="F138" s="1009">
        <v>2035</v>
      </c>
      <c r="G138" s="1009"/>
      <c r="H138" s="1009"/>
      <c r="I138" s="1011" t="s">
        <v>145</v>
      </c>
      <c r="J138" s="1012" t="s">
        <v>146</v>
      </c>
    </row>
    <row r="139" spans="2:12">
      <c r="B139" s="964"/>
      <c r="C139" s="977"/>
      <c r="D139" s="1013"/>
      <c r="E139" s="1014"/>
      <c r="F139" s="1014"/>
      <c r="G139" s="1014"/>
      <c r="H139" s="1014"/>
      <c r="I139" s="555"/>
      <c r="J139" s="965"/>
    </row>
    <row r="140" spans="2:12">
      <c r="B140" s="964"/>
      <c r="C140" s="977"/>
      <c r="D140" s="1015"/>
      <c r="E140" s="1016"/>
      <c r="F140" s="1016"/>
      <c r="G140" s="1016"/>
      <c r="H140" s="1016"/>
      <c r="I140" s="555"/>
      <c r="J140" s="965"/>
    </row>
    <row r="141" spans="2:12">
      <c r="B141" s="964"/>
      <c r="C141" s="977"/>
      <c r="D141" s="1017"/>
      <c r="E141" s="1018"/>
      <c r="F141" s="1018"/>
      <c r="G141" s="1018"/>
      <c r="H141" s="1018"/>
      <c r="I141" s="555"/>
      <c r="J141" s="965"/>
    </row>
    <row r="142" spans="2:12">
      <c r="B142" s="964"/>
      <c r="C142" s="977"/>
      <c r="D142" s="1015"/>
      <c r="E142" s="1016"/>
      <c r="F142" s="1016"/>
      <c r="G142" s="1016"/>
      <c r="H142" s="1016"/>
      <c r="I142" s="555"/>
      <c r="J142" s="965"/>
    </row>
    <row r="143" spans="2:12">
      <c r="B143" s="964"/>
      <c r="C143" s="977"/>
      <c r="D143" s="1015"/>
      <c r="E143" s="1016"/>
      <c r="F143" s="1016"/>
      <c r="G143" s="1016"/>
      <c r="H143" s="1016"/>
      <c r="I143" s="555"/>
      <c r="J143" s="965"/>
    </row>
    <row r="144" spans="2:12">
      <c r="B144" s="964" t="s">
        <v>22</v>
      </c>
      <c r="C144" s="977" t="s">
        <v>249</v>
      </c>
      <c r="D144" s="1019"/>
      <c r="E144" s="979"/>
      <c r="F144" s="979"/>
      <c r="G144" s="979"/>
      <c r="H144" s="979"/>
      <c r="I144" s="555"/>
      <c r="J144" s="965"/>
    </row>
    <row r="145" spans="2:10">
      <c r="B145" s="964"/>
      <c r="C145" s="976"/>
      <c r="D145" s="1016"/>
      <c r="E145" s="1016"/>
      <c r="F145" s="1016"/>
      <c r="G145" s="1016"/>
      <c r="H145" s="1016"/>
      <c r="I145" s="555"/>
      <c r="J145" s="965"/>
    </row>
    <row r="146" spans="2:10" ht="13.5" thickBot="1">
      <c r="B146" s="967"/>
      <c r="C146" s="1020"/>
      <c r="D146" s="1021"/>
      <c r="E146" s="1021"/>
      <c r="F146" s="1021"/>
      <c r="G146" s="1021"/>
      <c r="H146" s="1021"/>
      <c r="I146" s="968"/>
      <c r="J146" s="969"/>
    </row>
    <row r="154" spans="2:10" ht="13.5" thickBot="1">
      <c r="B154" s="555"/>
      <c r="C154" s="968"/>
    </row>
    <row r="155" spans="2:10" ht="18.75">
      <c r="B155" s="1041" t="s">
        <v>1178</v>
      </c>
      <c r="C155" s="1042"/>
      <c r="D155" s="1025"/>
      <c r="E155" s="1025"/>
      <c r="F155" s="1025"/>
      <c r="G155" s="1025"/>
      <c r="H155" s="1025"/>
      <c r="I155" s="1025"/>
      <c r="J155" s="1026"/>
    </row>
    <row r="156" spans="2:10" ht="15">
      <c r="B156" s="1026"/>
      <c r="C156" s="1027"/>
      <c r="D156" s="1028">
        <v>2015</v>
      </c>
      <c r="E156" s="1028">
        <v>2020</v>
      </c>
      <c r="F156" s="1028">
        <v>2035</v>
      </c>
      <c r="G156" s="1028">
        <v>2050</v>
      </c>
      <c r="H156" s="1028"/>
      <c r="I156" s="1028" t="s">
        <v>1098</v>
      </c>
      <c r="J156" s="1338"/>
    </row>
    <row r="157" spans="2:10" ht="15">
      <c r="B157" s="1043" t="s">
        <v>1099</v>
      </c>
      <c r="C157" s="1044"/>
      <c r="D157" s="1027"/>
      <c r="E157" s="1027"/>
      <c r="F157" s="1027"/>
      <c r="G157" s="1027"/>
      <c r="H157" s="1027"/>
      <c r="I157" s="1027"/>
      <c r="J157" s="1026"/>
    </row>
    <row r="158" spans="2:10" ht="15">
      <c r="B158" s="1026" t="s">
        <v>1179</v>
      </c>
      <c r="C158" s="1027"/>
      <c r="D158" s="1368">
        <v>200000</v>
      </c>
      <c r="E158" s="1284" t="s">
        <v>1101</v>
      </c>
      <c r="F158" s="1031"/>
      <c r="G158" s="1031"/>
      <c r="H158" s="1031"/>
      <c r="I158" s="1032" t="s">
        <v>1754</v>
      </c>
      <c r="J158" s="1339"/>
    </row>
    <row r="159" spans="2:10" ht="15">
      <c r="B159" s="1026" t="s">
        <v>1180</v>
      </c>
      <c r="C159" s="1027"/>
      <c r="D159" s="1368">
        <v>7460000</v>
      </c>
      <c r="E159" s="1284" t="s">
        <v>1101</v>
      </c>
      <c r="F159" s="1031"/>
      <c r="G159" s="1031"/>
      <c r="H159" s="1031"/>
      <c r="I159" s="1032"/>
      <c r="J159" s="1339"/>
    </row>
    <row r="160" spans="2:10" ht="15">
      <c r="B160" s="1026" t="s">
        <v>1181</v>
      </c>
      <c r="C160" s="1027"/>
      <c r="D160" s="1372">
        <v>1</v>
      </c>
      <c r="E160" s="1284" t="s">
        <v>1101</v>
      </c>
      <c r="F160" s="1031"/>
      <c r="G160" s="1031"/>
      <c r="H160" s="1031"/>
      <c r="I160" s="1032"/>
      <c r="J160" s="1339"/>
    </row>
    <row r="161" spans="2:10" ht="15">
      <c r="B161" s="1026" t="s">
        <v>1182</v>
      </c>
      <c r="C161" s="1027"/>
      <c r="D161" s="1372">
        <v>1</v>
      </c>
      <c r="E161" s="1284" t="s">
        <v>1101</v>
      </c>
      <c r="F161" s="1031"/>
      <c r="G161" s="1031"/>
      <c r="H161" s="1031"/>
      <c r="I161" s="1032"/>
      <c r="J161" s="1339"/>
    </row>
    <row r="162" spans="2:10" ht="15">
      <c r="B162" s="1026" t="s">
        <v>1183</v>
      </c>
      <c r="C162" s="1027"/>
      <c r="D162" s="1372">
        <v>0.1</v>
      </c>
      <c r="E162" s="1284" t="s">
        <v>1101</v>
      </c>
      <c r="F162" s="1031"/>
      <c r="G162" s="1031"/>
      <c r="H162" s="1031"/>
      <c r="I162" s="1032"/>
      <c r="J162" s="1339"/>
    </row>
    <row r="163" spans="2:10" ht="15">
      <c r="B163" s="1026" t="s">
        <v>1184</v>
      </c>
      <c r="C163" s="1027"/>
      <c r="D163" s="1372">
        <v>0.11</v>
      </c>
      <c r="E163" s="1284" t="s">
        <v>1101</v>
      </c>
      <c r="F163" s="1031"/>
      <c r="G163" s="1031"/>
      <c r="H163" s="1031"/>
      <c r="I163" s="1032"/>
      <c r="J163" s="1339"/>
    </row>
    <row r="164" spans="2:10" ht="15">
      <c r="B164" s="1026" t="s">
        <v>1185</v>
      </c>
      <c r="C164" s="1027"/>
      <c r="D164" s="1372">
        <v>1.1000000000000001</v>
      </c>
      <c r="E164" s="1284" t="s">
        <v>1101</v>
      </c>
      <c r="F164" s="1031"/>
      <c r="G164" s="1031"/>
      <c r="H164" s="1031"/>
      <c r="I164" s="1032"/>
      <c r="J164" s="1339"/>
    </row>
    <row r="165" spans="2:10" ht="15">
      <c r="B165" s="1026" t="s">
        <v>1186</v>
      </c>
      <c r="C165" s="1027"/>
      <c r="D165" s="1372">
        <v>6.0000000000000001E-3</v>
      </c>
      <c r="E165" s="1284" t="s">
        <v>1101</v>
      </c>
      <c r="F165" s="1031"/>
      <c r="G165" s="1031"/>
      <c r="H165" s="1031"/>
      <c r="I165" s="1032"/>
      <c r="J165" s="1339"/>
    </row>
    <row r="166" spans="2:10" ht="15">
      <c r="B166" s="1026" t="s">
        <v>1187</v>
      </c>
      <c r="C166" s="1027"/>
      <c r="D166" s="1372">
        <v>0.04</v>
      </c>
      <c r="E166" s="1284" t="s">
        <v>1101</v>
      </c>
      <c r="F166" s="1031"/>
      <c r="G166" s="1031"/>
      <c r="H166" s="1031"/>
      <c r="I166" s="1032"/>
      <c r="J166" s="1339"/>
    </row>
    <row r="167" spans="2:10" ht="15">
      <c r="B167" s="1026" t="s">
        <v>1188</v>
      </c>
      <c r="C167" s="1027"/>
      <c r="D167" s="1372">
        <v>0.05</v>
      </c>
      <c r="E167" s="1284" t="s">
        <v>1101</v>
      </c>
      <c r="F167" s="1031"/>
      <c r="G167" s="1031"/>
      <c r="H167" s="1031"/>
      <c r="I167" s="1032"/>
      <c r="J167" s="1339"/>
    </row>
    <row r="168" spans="2:10" ht="15">
      <c r="B168" s="1026" t="s">
        <v>1189</v>
      </c>
      <c r="C168" s="1027"/>
      <c r="D168" s="1377">
        <v>91</v>
      </c>
      <c r="E168" s="1284" t="s">
        <v>1101</v>
      </c>
      <c r="F168" s="1031"/>
      <c r="G168" s="1031"/>
      <c r="H168" s="1031"/>
      <c r="I168" s="1032"/>
      <c r="J168" s="1339"/>
    </row>
    <row r="169" spans="2:10" ht="15">
      <c r="B169" s="1026" t="s">
        <v>1190</v>
      </c>
      <c r="C169" s="1027"/>
      <c r="D169" s="1370">
        <v>95.6</v>
      </c>
      <c r="E169" s="1284" t="s">
        <v>1101</v>
      </c>
      <c r="F169" s="1031"/>
      <c r="G169" s="1031"/>
      <c r="H169" s="1031"/>
      <c r="I169" s="1032"/>
      <c r="J169" s="1339"/>
    </row>
    <row r="170" spans="2:10" ht="15">
      <c r="B170" s="1026"/>
      <c r="C170" s="1027"/>
      <c r="D170" s="1370"/>
      <c r="E170" s="1031"/>
      <c r="F170" s="1031"/>
      <c r="G170" s="1031"/>
      <c r="H170" s="1031"/>
      <c r="I170" s="1032"/>
      <c r="J170" s="1339"/>
    </row>
    <row r="171" spans="2:10" ht="15">
      <c r="B171" s="1026"/>
      <c r="C171" s="1027"/>
      <c r="D171" s="1370"/>
      <c r="E171" s="1031"/>
      <c r="F171" s="1031"/>
      <c r="G171" s="1031"/>
      <c r="H171" s="1031"/>
      <c r="I171" s="1032"/>
      <c r="J171" s="1339"/>
    </row>
    <row r="172" spans="2:10" ht="15">
      <c r="B172" s="1026"/>
      <c r="C172" s="1027"/>
      <c r="D172" s="1370"/>
      <c r="E172" s="1031"/>
      <c r="F172" s="1031"/>
      <c r="G172" s="1031"/>
      <c r="H172" s="1031"/>
      <c r="I172" s="1032"/>
      <c r="J172" s="1339"/>
    </row>
    <row r="173" spans="2:10" ht="15">
      <c r="B173" s="1026"/>
      <c r="C173" s="1027"/>
      <c r="D173" s="1370"/>
      <c r="E173" s="1031"/>
      <c r="F173" s="1031"/>
      <c r="G173" s="1031"/>
      <c r="H173" s="1031"/>
      <c r="I173" s="1032"/>
      <c r="J173" s="1339"/>
    </row>
    <row r="174" spans="2:10" ht="15">
      <c r="B174" s="1026"/>
      <c r="C174" s="1027"/>
      <c r="D174" s="1370"/>
      <c r="E174" s="1031"/>
      <c r="F174" s="1031"/>
      <c r="G174" s="1031"/>
      <c r="H174" s="1031"/>
      <c r="I174" s="1032"/>
      <c r="J174" s="1339"/>
    </row>
    <row r="175" spans="2:10" ht="15">
      <c r="B175" s="1026"/>
      <c r="C175" s="1027"/>
      <c r="D175" s="1370"/>
      <c r="E175" s="1031"/>
      <c r="F175" s="1031"/>
      <c r="G175" s="1031"/>
      <c r="H175" s="1027"/>
      <c r="I175" s="1032"/>
      <c r="J175" s="1339"/>
    </row>
    <row r="176" spans="2:10" ht="15">
      <c r="B176" s="1029" t="s">
        <v>1109</v>
      </c>
      <c r="C176" s="1030"/>
      <c r="D176" s="1370"/>
      <c r="E176" s="1031"/>
      <c r="F176" s="1031"/>
      <c r="G176" s="1031"/>
      <c r="H176" s="1027"/>
      <c r="I176" s="1032"/>
      <c r="J176" s="1339"/>
    </row>
    <row r="177" spans="2:10" ht="15">
      <c r="B177" s="1026" t="s">
        <v>1191</v>
      </c>
      <c r="C177" s="1027"/>
      <c r="D177" s="1378">
        <v>4.4000000000000004</v>
      </c>
      <c r="E177" s="1031" t="s">
        <v>1101</v>
      </c>
      <c r="F177" s="1031"/>
      <c r="G177" s="1031"/>
      <c r="H177" s="1031"/>
      <c r="I177" s="1032"/>
      <c r="J177" s="1339"/>
    </row>
    <row r="178" spans="2:10" ht="15.75" thickBot="1">
      <c r="B178" s="1033" t="s">
        <v>1192</v>
      </c>
      <c r="C178" s="1034"/>
      <c r="D178" s="1379">
        <v>0.13</v>
      </c>
      <c r="E178" s="1035" t="s">
        <v>1101</v>
      </c>
      <c r="F178" s="1035"/>
      <c r="G178" s="1035"/>
      <c r="H178" s="1035"/>
      <c r="I178" s="1036"/>
      <c r="J178" s="1339"/>
    </row>
    <row r="179" spans="2:10">
      <c r="B179" s="530" t="str">
        <f>CONCATENATE("Source: ",Referencer!$B$48)</f>
        <v>Source: 42, FORCE, Danish Energy Agency, 2013, Technology data for advanced bioenergy fuels.</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Supplementary!$B$238:$B$241</xm:f>
          </x14:formula1>
          <xm:sqref>C19</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tabColor rgb="FF00B0F0"/>
  </sheetPr>
  <dimension ref="A1:S190"/>
  <sheetViews>
    <sheetView topLeftCell="A56" zoomScale="80" zoomScaleNormal="80" workbookViewId="0">
      <selection activeCell="D105" sqref="D105:G105"/>
    </sheetView>
  </sheetViews>
  <sheetFormatPr defaultRowHeight="12.75"/>
  <cols>
    <col min="1" max="1" width="3.28515625" style="530" customWidth="1"/>
    <col min="2" max="2" width="36" style="530" customWidth="1"/>
    <col min="3" max="3" width="16.5703125" style="530" customWidth="1"/>
    <col min="4" max="8" width="15.7109375" style="530" customWidth="1"/>
    <col min="9" max="9" width="7.28515625" style="530" customWidth="1"/>
    <col min="10" max="10" width="12.7109375" style="530" customWidth="1"/>
    <col min="11" max="14" width="9.140625" style="530"/>
    <col min="15" max="17" width="9.28515625" style="530" bestFit="1" customWidth="1"/>
    <col min="18" max="19" width="9.42578125" style="530" bestFit="1" customWidth="1"/>
    <col min="20" max="16384" width="9.140625" style="530"/>
  </cols>
  <sheetData>
    <row r="1" spans="1:19" s="465" customFormat="1" ht="21">
      <c r="B1" s="465" t="str">
        <f>B155</f>
        <v>HVO Diesel by Hydrotreatment of vegetable oil</v>
      </c>
      <c r="Q1" s="467">
        <f ca="1">'Log2015'!M1</f>
        <v>-8.0112614142160741</v>
      </c>
      <c r="R1" s="468">
        <f ca="1">'Log2015'!N1</f>
        <v>-160807.124977848</v>
      </c>
    </row>
    <row r="2" spans="1:19">
      <c r="B2" s="530" t="s">
        <v>1193</v>
      </c>
      <c r="Q2" s="958">
        <f ca="1">Q1</f>
        <v>-8.0112614142160741</v>
      </c>
      <c r="R2" s="958">
        <f ca="1">R1</f>
        <v>-160807.124977848</v>
      </c>
      <c r="S2" s="959">
        <f>S1</f>
        <v>0</v>
      </c>
    </row>
    <row r="3" spans="1:19">
      <c r="A3" s="530" t="s">
        <v>1078</v>
      </c>
    </row>
    <row r="4" spans="1:19">
      <c r="B4" s="960" t="s">
        <v>81</v>
      </c>
    </row>
    <row r="5" spans="1:19" ht="13.5" thickBot="1"/>
    <row r="6" spans="1:19">
      <c r="B6" s="961" t="s">
        <v>137</v>
      </c>
      <c r="C6" s="962"/>
      <c r="D6" s="962"/>
      <c r="E6" s="962"/>
      <c r="F6" s="962"/>
      <c r="G6" s="962"/>
      <c r="H6" s="962"/>
      <c r="I6" s="962"/>
      <c r="J6" s="962"/>
      <c r="K6" s="962"/>
      <c r="L6" s="962"/>
      <c r="M6" s="962"/>
      <c r="N6" s="963"/>
    </row>
    <row r="7" spans="1:19">
      <c r="B7" s="964"/>
      <c r="C7" s="555"/>
      <c r="D7" s="555"/>
      <c r="E7" s="555"/>
      <c r="F7" s="555"/>
      <c r="G7" s="555"/>
      <c r="H7" s="555"/>
      <c r="I7" s="555"/>
      <c r="J7" s="555"/>
      <c r="K7" s="555"/>
      <c r="L7" s="555"/>
      <c r="M7" s="555"/>
      <c r="N7" s="965"/>
    </row>
    <row r="8" spans="1:19">
      <c r="B8" s="964"/>
      <c r="C8" s="555"/>
      <c r="D8" s="555"/>
      <c r="E8" s="555"/>
      <c r="F8" s="555"/>
      <c r="G8" s="555"/>
      <c r="H8" s="555"/>
      <c r="I8" s="555"/>
      <c r="J8" s="555"/>
      <c r="K8" s="555"/>
      <c r="L8" s="555"/>
      <c r="M8" s="555"/>
      <c r="N8" s="965"/>
    </row>
    <row r="9" spans="1:19">
      <c r="B9" s="964"/>
      <c r="C9" s="555"/>
      <c r="D9" s="555"/>
      <c r="E9" s="555"/>
      <c r="F9" s="555"/>
      <c r="G9" s="555"/>
      <c r="H9" s="555"/>
      <c r="I9" s="555"/>
      <c r="J9" s="555"/>
      <c r="K9" s="555"/>
      <c r="L9" s="555"/>
      <c r="M9" s="555"/>
      <c r="N9" s="965"/>
    </row>
    <row r="10" spans="1:19">
      <c r="B10" s="964"/>
      <c r="C10" s="555"/>
      <c r="D10" s="555"/>
      <c r="E10" s="555"/>
      <c r="F10" s="555"/>
      <c r="G10" s="555"/>
      <c r="H10" s="555"/>
      <c r="I10" s="555"/>
      <c r="J10" s="555"/>
      <c r="K10" s="555"/>
      <c r="L10" s="555"/>
      <c r="M10" s="555"/>
      <c r="N10" s="965"/>
    </row>
    <row r="11" spans="1:19">
      <c r="B11" s="964" t="s">
        <v>138</v>
      </c>
      <c r="C11" s="1056" t="s">
        <v>1194</v>
      </c>
      <c r="D11" s="555"/>
      <c r="E11" s="555"/>
      <c r="F11" s="555"/>
      <c r="G11" s="555"/>
      <c r="H11" s="555"/>
      <c r="I11" s="555"/>
      <c r="J11" s="555"/>
      <c r="K11" s="555"/>
      <c r="L11" s="555"/>
      <c r="M11" s="555"/>
      <c r="N11" s="965"/>
    </row>
    <row r="12" spans="1:19">
      <c r="B12" s="964"/>
      <c r="C12" s="555"/>
      <c r="D12" s="555"/>
      <c r="E12" s="555"/>
      <c r="F12" s="555"/>
      <c r="G12" s="555"/>
      <c r="H12" s="555"/>
      <c r="I12" s="555"/>
      <c r="J12" s="555"/>
      <c r="K12" s="555"/>
      <c r="L12" s="555"/>
      <c r="M12" s="555"/>
      <c r="N12" s="965"/>
    </row>
    <row r="13" spans="1:19">
      <c r="B13" s="964" t="s">
        <v>140</v>
      </c>
      <c r="C13" s="1057" t="s">
        <v>1195</v>
      </c>
      <c r="D13" s="555"/>
      <c r="E13" s="555"/>
      <c r="F13" s="555"/>
      <c r="G13" s="555"/>
      <c r="H13" s="555"/>
      <c r="I13" s="555"/>
      <c r="J13" s="555"/>
      <c r="K13" s="555"/>
      <c r="L13" s="555"/>
      <c r="M13" s="555"/>
      <c r="N13" s="965"/>
    </row>
    <row r="14" spans="1:19">
      <c r="B14" s="964"/>
      <c r="C14" s="555"/>
      <c r="D14" s="555"/>
      <c r="E14" s="555"/>
      <c r="F14" s="555"/>
      <c r="G14" s="555"/>
      <c r="H14" s="555"/>
      <c r="I14" s="555"/>
      <c r="J14" s="555"/>
      <c r="K14" s="555"/>
      <c r="L14" s="555"/>
      <c r="M14" s="555"/>
      <c r="N14" s="965"/>
    </row>
    <row r="15" spans="1:19">
      <c r="B15" s="964" t="s">
        <v>141</v>
      </c>
      <c r="C15" s="555"/>
      <c r="D15" s="555"/>
      <c r="E15" s="555"/>
      <c r="F15" s="555"/>
      <c r="G15" s="555"/>
      <c r="H15" s="555"/>
      <c r="I15" s="555"/>
      <c r="J15" s="555"/>
      <c r="K15" s="555"/>
      <c r="L15" s="555"/>
      <c r="M15" s="555"/>
      <c r="N15" s="965"/>
    </row>
    <row r="16" spans="1:19">
      <c r="B16" s="964"/>
      <c r="C16" s="555"/>
      <c r="D16" s="555"/>
      <c r="E16" s="555"/>
      <c r="F16" s="555"/>
      <c r="G16" s="555"/>
      <c r="H16" s="555"/>
      <c r="I16" s="555"/>
      <c r="J16" s="555"/>
      <c r="K16" s="555"/>
      <c r="L16" s="555"/>
      <c r="M16" s="555"/>
      <c r="N16" s="965"/>
    </row>
    <row r="17" spans="2:14">
      <c r="B17" s="964" t="s">
        <v>142</v>
      </c>
      <c r="C17" s="555"/>
      <c r="D17" s="555"/>
      <c r="E17" s="555"/>
      <c r="F17" s="555"/>
      <c r="G17" s="555"/>
      <c r="H17" s="555"/>
      <c r="I17" s="555"/>
      <c r="J17" s="555"/>
      <c r="K17" s="555"/>
      <c r="L17" s="555"/>
      <c r="M17" s="555"/>
      <c r="N17" s="965"/>
    </row>
    <row r="18" spans="2:14">
      <c r="B18" s="964"/>
      <c r="C18" s="555"/>
      <c r="D18" s="555"/>
      <c r="E18" s="555"/>
      <c r="F18" s="555"/>
      <c r="G18" s="555"/>
      <c r="H18" s="555"/>
      <c r="I18" s="555"/>
      <c r="J18" s="555"/>
      <c r="K18" s="555"/>
      <c r="L18" s="555"/>
      <c r="M18" s="555"/>
      <c r="N18" s="965"/>
    </row>
    <row r="19" spans="2:14">
      <c r="B19" s="964" t="s">
        <v>2131</v>
      </c>
      <c r="C19" s="1693" t="s">
        <v>2121</v>
      </c>
      <c r="D19" s="555"/>
      <c r="E19" s="555"/>
      <c r="F19" s="555"/>
      <c r="G19" s="555"/>
      <c r="H19" s="555"/>
      <c r="I19" s="555"/>
      <c r="J19" s="555"/>
      <c r="K19" s="555"/>
      <c r="L19" s="555"/>
      <c r="M19" s="555"/>
      <c r="N19" s="965"/>
    </row>
    <row r="20" spans="2:14">
      <c r="B20" s="964"/>
      <c r="C20" s="555"/>
      <c r="D20" s="555"/>
      <c r="E20" s="555"/>
      <c r="F20" s="555"/>
      <c r="G20" s="555"/>
      <c r="H20" s="555"/>
      <c r="I20" s="555"/>
      <c r="J20" s="555"/>
      <c r="K20" s="555"/>
      <c r="L20" s="555"/>
      <c r="M20" s="555"/>
      <c r="N20" s="965"/>
    </row>
    <row r="21" spans="2:14">
      <c r="B21" s="964"/>
      <c r="C21" s="555"/>
      <c r="D21" s="555"/>
      <c r="E21" s="555"/>
      <c r="F21" s="555"/>
      <c r="G21" s="555"/>
      <c r="H21" s="555"/>
      <c r="I21" s="555"/>
      <c r="J21" s="555"/>
      <c r="K21" s="555"/>
      <c r="L21" s="555"/>
      <c r="M21" s="555"/>
      <c r="N21" s="965"/>
    </row>
    <row r="22" spans="2:14">
      <c r="B22" s="964" t="s">
        <v>143</v>
      </c>
      <c r="C22" s="555"/>
      <c r="D22" s="555"/>
      <c r="E22" s="555"/>
      <c r="F22" s="555"/>
      <c r="G22" s="555"/>
      <c r="H22" s="555"/>
      <c r="I22" s="555"/>
      <c r="J22" s="555"/>
      <c r="K22" s="555"/>
      <c r="L22" s="555"/>
      <c r="M22" s="555"/>
      <c r="N22" s="965"/>
    </row>
    <row r="23" spans="2:14">
      <c r="B23" s="964"/>
      <c r="C23" s="555"/>
      <c r="D23" s="555"/>
      <c r="E23" s="555"/>
      <c r="F23" s="555"/>
      <c r="G23" s="555"/>
      <c r="H23" s="555"/>
      <c r="I23" s="555"/>
      <c r="J23" s="555"/>
      <c r="K23" s="555"/>
      <c r="L23" s="555"/>
      <c r="M23" s="555"/>
      <c r="N23" s="965"/>
    </row>
    <row r="24" spans="2:14" ht="13.5" thickBot="1">
      <c r="B24" s="967"/>
      <c r="C24" s="968"/>
      <c r="D24" s="968"/>
      <c r="E24" s="968"/>
      <c r="F24" s="968"/>
      <c r="G24" s="968"/>
      <c r="H24" s="968"/>
      <c r="I24" s="968"/>
      <c r="J24" s="968"/>
      <c r="K24" s="968"/>
      <c r="L24" s="968"/>
      <c r="M24" s="968"/>
      <c r="N24" s="969"/>
    </row>
    <row r="25" spans="2:14">
      <c r="F25" s="529"/>
      <c r="G25" s="529"/>
      <c r="H25" s="529"/>
    </row>
    <row r="26" spans="2:14">
      <c r="B26" s="960" t="s">
        <v>144</v>
      </c>
    </row>
    <row r="27" spans="2:14" ht="13.5" thickBot="1"/>
    <row r="28" spans="2:14">
      <c r="B28" s="961"/>
      <c r="C28" s="970"/>
      <c r="D28" s="962"/>
      <c r="E28" s="962"/>
      <c r="F28" s="962"/>
      <c r="G28" s="962"/>
      <c r="H28" s="962"/>
      <c r="I28" s="962"/>
      <c r="J28" s="963"/>
    </row>
    <row r="29" spans="2:14">
      <c r="B29" s="971"/>
      <c r="C29" s="972" t="s">
        <v>70</v>
      </c>
      <c r="D29" s="973">
        <v>2015</v>
      </c>
      <c r="E29" s="973">
        <v>2020</v>
      </c>
      <c r="F29" s="973">
        <v>2035</v>
      </c>
      <c r="G29" s="973">
        <v>2050</v>
      </c>
      <c r="H29" s="973" t="s">
        <v>978</v>
      </c>
      <c r="I29" s="556" t="s">
        <v>145</v>
      </c>
      <c r="J29" s="974" t="s">
        <v>146</v>
      </c>
    </row>
    <row r="30" spans="2:14">
      <c r="B30" s="975" t="s">
        <v>147</v>
      </c>
      <c r="C30" s="976"/>
      <c r="D30" s="977"/>
      <c r="E30" s="977"/>
      <c r="F30" s="977"/>
      <c r="G30" s="977"/>
      <c r="H30" s="977"/>
      <c r="I30" s="555"/>
      <c r="J30" s="965"/>
    </row>
    <row r="31" spans="2:14">
      <c r="B31" s="964" t="s">
        <v>148</v>
      </c>
      <c r="C31" s="976" t="s">
        <v>1196</v>
      </c>
      <c r="D31" s="1352">
        <f>1/D161</f>
        <v>0.81300813008130079</v>
      </c>
      <c r="E31" s="1352">
        <f>$D31</f>
        <v>0.81300813008130079</v>
      </c>
      <c r="F31" s="1352">
        <f>$D31</f>
        <v>0.81300813008130079</v>
      </c>
      <c r="G31" s="1352">
        <f>$D31</f>
        <v>0.81300813008130079</v>
      </c>
      <c r="H31" s="1333"/>
      <c r="I31" s="555"/>
      <c r="J31" s="965"/>
    </row>
    <row r="32" spans="2:14">
      <c r="B32" s="964" t="s">
        <v>67</v>
      </c>
      <c r="C32" s="976" t="s">
        <v>1197</v>
      </c>
      <c r="D32" s="979">
        <f>D159/D158</f>
        <v>44</v>
      </c>
      <c r="E32" s="978">
        <f t="shared" ref="E32:G34" si="0">$D32</f>
        <v>44</v>
      </c>
      <c r="F32" s="978">
        <f t="shared" si="0"/>
        <v>44</v>
      </c>
      <c r="G32" s="978">
        <f t="shared" si="0"/>
        <v>44</v>
      </c>
      <c r="H32" s="978"/>
      <c r="I32" s="555"/>
      <c r="J32" s="965"/>
    </row>
    <row r="33" spans="2:10">
      <c r="B33" s="964" t="s">
        <v>149</v>
      </c>
      <c r="C33" s="976" t="s">
        <v>1198</v>
      </c>
      <c r="D33" s="1396">
        <f>D158</f>
        <v>800000</v>
      </c>
      <c r="E33" s="1396">
        <f t="shared" si="0"/>
        <v>800000</v>
      </c>
      <c r="F33" s="1396">
        <f t="shared" si="0"/>
        <v>800000</v>
      </c>
      <c r="G33" s="1396">
        <f t="shared" si="0"/>
        <v>800000</v>
      </c>
      <c r="H33" s="1397"/>
      <c r="I33" s="555"/>
      <c r="J33" s="965"/>
    </row>
    <row r="34" spans="2:10">
      <c r="B34" s="964" t="s">
        <v>150</v>
      </c>
      <c r="C34" s="976" t="s">
        <v>34</v>
      </c>
      <c r="D34" s="1332">
        <f>20</f>
        <v>20</v>
      </c>
      <c r="E34" s="1332">
        <f t="shared" si="0"/>
        <v>20</v>
      </c>
      <c r="F34" s="1332">
        <f t="shared" si="0"/>
        <v>20</v>
      </c>
      <c r="G34" s="1332">
        <f t="shared" si="0"/>
        <v>20</v>
      </c>
      <c r="H34" s="1332"/>
      <c r="I34" s="555"/>
      <c r="J34" s="965" t="s">
        <v>1087</v>
      </c>
    </row>
    <row r="35" spans="2:10">
      <c r="B35" s="964"/>
      <c r="C35" s="981"/>
      <c r="D35" s="982"/>
      <c r="E35" s="983"/>
      <c r="F35" s="983"/>
      <c r="G35" s="983"/>
      <c r="H35" s="983"/>
      <c r="I35" s="555"/>
      <c r="J35" s="965"/>
    </row>
    <row r="36" spans="2:10">
      <c r="B36" s="975" t="s">
        <v>151</v>
      </c>
      <c r="C36" s="981"/>
      <c r="D36" s="982"/>
      <c r="E36" s="983"/>
      <c r="F36" s="983"/>
      <c r="G36" s="983"/>
      <c r="H36" s="983"/>
      <c r="I36" s="555"/>
      <c r="J36" s="965"/>
    </row>
    <row r="37" spans="2:10">
      <c r="B37" s="964" t="str">
        <f>ProcessEnergy!B35</f>
        <v xml:space="preserve">Green diesel </v>
      </c>
      <c r="C37" s="976" t="s">
        <v>1199</v>
      </c>
      <c r="D37" s="2309">
        <f>$D$186%</f>
        <v>9.6153846153846159E-3</v>
      </c>
      <c r="E37" s="2309">
        <f>$D$186%</f>
        <v>9.6153846153846159E-3</v>
      </c>
      <c r="F37" s="2309">
        <f>$D$186%</f>
        <v>9.6153846153846159E-3</v>
      </c>
      <c r="G37" s="2309">
        <f>$D$186%</f>
        <v>9.6153846153846159E-3</v>
      </c>
      <c r="H37" s="984"/>
      <c r="I37" s="555"/>
      <c r="J37" s="965"/>
    </row>
    <row r="38" spans="2:10">
      <c r="B38" s="985" t="str">
        <f>ProcessEnergy!B36</f>
        <v>Green gasoline</v>
      </c>
      <c r="C38" s="976"/>
      <c r="D38" s="984"/>
      <c r="E38" s="984"/>
      <c r="F38" s="984"/>
      <c r="G38" s="984"/>
      <c r="H38" s="984"/>
      <c r="I38" s="555"/>
      <c r="J38" s="965"/>
    </row>
    <row r="39" spans="2:10">
      <c r="B39" s="985" t="str">
        <f>ProcessEnergy!B37</f>
        <v>Electricity - balancing</v>
      </c>
      <c r="C39" s="976"/>
      <c r="D39" s="984"/>
      <c r="E39" s="984"/>
      <c r="F39" s="984"/>
      <c r="G39" s="984"/>
      <c r="H39" s="984"/>
      <c r="I39" s="555"/>
      <c r="J39" s="965"/>
    </row>
    <row r="40" spans="2:10">
      <c r="B40" s="985" t="str">
        <f>ProcessEnergy!B38</f>
        <v>Electricity  - continous</v>
      </c>
      <c r="C40" s="976"/>
      <c r="D40" s="2309">
        <f>$D$187%</f>
        <v>2.8846153846153848E-3</v>
      </c>
      <c r="E40" s="2309">
        <f>$D$187%</f>
        <v>2.8846153846153848E-3</v>
      </c>
      <c r="F40" s="2309">
        <f>$D$187%</f>
        <v>2.8846153846153848E-3</v>
      </c>
      <c r="G40" s="2309">
        <f>$D$187%</f>
        <v>2.8846153846153848E-3</v>
      </c>
      <c r="H40" s="984"/>
      <c r="I40" s="555"/>
      <c r="J40" s="965"/>
    </row>
    <row r="41" spans="2:10">
      <c r="B41" s="985" t="str">
        <f>ProcessEnergy!B39</f>
        <v>Elec/heat fuel</v>
      </c>
      <c r="C41" s="976"/>
      <c r="D41" s="984"/>
      <c r="E41" s="984"/>
      <c r="F41" s="984"/>
      <c r="G41" s="984"/>
      <c r="H41" s="984"/>
      <c r="I41" s="555"/>
      <c r="J41" s="965"/>
    </row>
    <row r="42" spans="2:10">
      <c r="B42" s="985" t="str">
        <f>ProcessEnergy!B40</f>
        <v>Biogas (100% CH4)</v>
      </c>
      <c r="C42" s="976"/>
      <c r="D42" s="984"/>
      <c r="E42" s="984"/>
      <c r="F42" s="984"/>
      <c r="G42" s="984"/>
      <c r="H42" s="984"/>
      <c r="I42" s="555"/>
      <c r="J42" s="965"/>
    </row>
    <row r="43" spans="2:10">
      <c r="B43" s="985" t="str">
        <f>ProcessEnergy!B41</f>
        <v>District heating</v>
      </c>
      <c r="C43" s="976" t="s">
        <v>1199</v>
      </c>
      <c r="D43" s="978">
        <f>D188%</f>
        <v>1.0576923076923074E-2</v>
      </c>
      <c r="E43" s="978">
        <f>$D43</f>
        <v>1.0576923076923074E-2</v>
      </c>
      <c r="F43" s="978">
        <f>$D43</f>
        <v>1.0576923076923074E-2</v>
      </c>
      <c r="G43" s="978">
        <f>$D43</f>
        <v>1.0576923076923074E-2</v>
      </c>
      <c r="H43" s="978"/>
      <c r="I43" s="555"/>
      <c r="J43" s="965"/>
    </row>
    <row r="44" spans="2:10">
      <c r="B44" s="985" t="str">
        <f>ProcessEnergy!B42</f>
        <v>&lt;empty&gt;</v>
      </c>
      <c r="C44" s="976"/>
      <c r="D44" s="978"/>
      <c r="E44" s="978"/>
      <c r="F44" s="978"/>
      <c r="G44" s="978"/>
      <c r="H44" s="978"/>
      <c r="I44" s="555"/>
      <c r="J44" s="965"/>
    </row>
    <row r="45" spans="2:10">
      <c r="B45" s="985" t="str">
        <f>ProcessEnergy!B43</f>
        <v>&lt;empty&gt;</v>
      </c>
      <c r="C45" s="976"/>
      <c r="D45" s="978"/>
      <c r="E45" s="978"/>
      <c r="F45" s="978"/>
      <c r="G45" s="978"/>
      <c r="H45" s="978"/>
      <c r="I45" s="555"/>
      <c r="J45" s="965"/>
    </row>
    <row r="46" spans="2:10">
      <c r="B46" s="985" t="str">
        <f>ProcessEnergy!B44</f>
        <v>&lt;empty&gt;</v>
      </c>
      <c r="C46" s="976"/>
      <c r="D46" s="978"/>
      <c r="E46" s="978"/>
      <c r="F46" s="978"/>
      <c r="G46" s="978"/>
      <c r="H46" s="978"/>
      <c r="I46" s="555"/>
      <c r="J46" s="965"/>
    </row>
    <row r="47" spans="2:10">
      <c r="B47" s="985" t="str">
        <f>ProcessEnergy!B45</f>
        <v>&lt;empty&gt;</v>
      </c>
      <c r="C47" s="976"/>
      <c r="D47" s="978"/>
      <c r="E47" s="978"/>
      <c r="F47" s="978"/>
      <c r="G47" s="978"/>
      <c r="H47" s="978"/>
      <c r="I47" s="555"/>
      <c r="J47" s="965"/>
    </row>
    <row r="48" spans="2:10">
      <c r="B48" s="985" t="str">
        <f>ProcessEnergy!B46</f>
        <v>&lt;empty&gt;</v>
      </c>
      <c r="C48" s="976"/>
      <c r="D48" s="978"/>
      <c r="E48" s="978"/>
      <c r="F48" s="978"/>
      <c r="G48" s="978"/>
      <c r="H48" s="978"/>
      <c r="I48" s="555"/>
      <c r="J48" s="965"/>
    </row>
    <row r="49" spans="2:10">
      <c r="B49" s="985" t="str">
        <f>ProcessEnergy!B47</f>
        <v>&lt;empty&gt;</v>
      </c>
      <c r="C49" s="976"/>
      <c r="D49" s="978"/>
      <c r="E49" s="978"/>
      <c r="F49" s="978"/>
      <c r="G49" s="978"/>
      <c r="H49" s="978"/>
      <c r="I49" s="555"/>
      <c r="J49" s="965"/>
    </row>
    <row r="50" spans="2:10">
      <c r="B50" s="985" t="str">
        <f>ProcessEnergy!B48</f>
        <v>Glycerol</v>
      </c>
      <c r="C50" s="976"/>
      <c r="D50" s="978"/>
      <c r="E50" s="978"/>
      <c r="F50" s="978"/>
      <c r="G50" s="978"/>
      <c r="H50" s="978"/>
      <c r="I50" s="555"/>
      <c r="J50" s="965"/>
    </row>
    <row r="51" spans="2:10">
      <c r="B51" s="985" t="str">
        <f>ProcessEnergy!B49</f>
        <v>&lt;empty&gt;</v>
      </c>
      <c r="C51" s="976"/>
      <c r="D51" s="978"/>
      <c r="E51" s="978"/>
      <c r="F51" s="978"/>
      <c r="G51" s="978"/>
      <c r="H51" s="978"/>
      <c r="I51" s="555"/>
      <c r="J51" s="965"/>
    </row>
    <row r="52" spans="2:10">
      <c r="B52" s="985" t="str">
        <f>ProcessEnergy!B51</f>
        <v>Fodder (wheat like)</v>
      </c>
      <c r="C52" s="976"/>
      <c r="D52" s="984"/>
      <c r="E52" s="984"/>
      <c r="F52" s="984"/>
      <c r="G52" s="984"/>
      <c r="H52" s="984"/>
      <c r="I52" s="555"/>
      <c r="J52" s="965"/>
    </row>
    <row r="53" spans="2:10">
      <c r="B53" s="985" t="str">
        <f>ProcessEnergy!B52</f>
        <v>Rape seed cake</v>
      </c>
      <c r="C53" s="976"/>
      <c r="D53" s="984"/>
      <c r="E53" s="984"/>
      <c r="F53" s="984"/>
      <c r="G53" s="984"/>
      <c r="H53" s="984"/>
      <c r="I53" s="555"/>
      <c r="J53" s="965"/>
    </row>
    <row r="54" spans="2:10">
      <c r="B54" s="985" t="str">
        <f>ProcessEnergy!B53</f>
        <v>&lt;empty&gt;</v>
      </c>
      <c r="C54" s="976"/>
      <c r="D54" s="984"/>
      <c r="E54" s="984"/>
      <c r="F54" s="984"/>
      <c r="G54" s="984"/>
      <c r="H54" s="984"/>
      <c r="I54" s="555"/>
      <c r="J54" s="965"/>
    </row>
    <row r="55" spans="2:10">
      <c r="B55" s="985" t="str">
        <f>ProcessEnergy!B54</f>
        <v>DDGS</v>
      </c>
      <c r="C55" s="976"/>
      <c r="D55" s="978"/>
      <c r="E55" s="984"/>
      <c r="F55" s="984"/>
      <c r="G55" s="984"/>
      <c r="H55" s="984"/>
      <c r="I55" s="555"/>
      <c r="J55" s="965"/>
    </row>
    <row r="56" spans="2:10">
      <c r="B56" s="964"/>
      <c r="C56" s="976"/>
      <c r="D56" s="984"/>
      <c r="E56" s="984"/>
      <c r="F56" s="984"/>
      <c r="G56" s="984"/>
      <c r="H56" s="984"/>
      <c r="I56" s="555"/>
      <c r="J56" s="965"/>
    </row>
    <row r="57" spans="2:10">
      <c r="B57" s="975" t="s">
        <v>873</v>
      </c>
      <c r="C57" s="976"/>
      <c r="D57" s="984"/>
      <c r="E57" s="984"/>
      <c r="F57" s="984"/>
      <c r="G57" s="984"/>
      <c r="H57" s="984"/>
      <c r="I57" s="555"/>
      <c r="J57" s="965"/>
    </row>
    <row r="58" spans="2:10">
      <c r="B58" s="964" t="str">
        <f>ProcessEnergy!B5</f>
        <v>EL - peakload</v>
      </c>
      <c r="C58" s="976" t="s">
        <v>1200</v>
      </c>
      <c r="D58" s="984"/>
      <c r="E58" s="984"/>
      <c r="F58" s="984"/>
      <c r="G58" s="984"/>
      <c r="H58" s="984"/>
      <c r="I58" s="555"/>
      <c r="J58" s="965"/>
    </row>
    <row r="59" spans="2:10">
      <c r="B59" s="964" t="str">
        <f>ProcessEnergy!B6</f>
        <v>El - baseload</v>
      </c>
      <c r="C59" s="976" t="s">
        <v>877</v>
      </c>
      <c r="D59" s="984"/>
      <c r="E59" s="984"/>
      <c r="F59" s="984"/>
      <c r="G59" s="984"/>
      <c r="H59" s="984"/>
      <c r="I59" s="555"/>
      <c r="J59" s="965"/>
    </row>
    <row r="60" spans="2:10">
      <c r="B60" s="964" t="str">
        <f>ProcessEnergy!B7</f>
        <v xml:space="preserve">Varme </v>
      </c>
      <c r="C60" s="976" t="s">
        <v>877</v>
      </c>
      <c r="D60" s="984"/>
      <c r="E60" s="984"/>
      <c r="F60" s="984"/>
      <c r="G60" s="984"/>
      <c r="H60" s="984"/>
      <c r="I60" s="555"/>
      <c r="J60" s="965"/>
    </row>
    <row r="61" spans="2:10">
      <c r="B61" s="964" t="str">
        <f>ProcessEnergy!B8</f>
        <v>Damp</v>
      </c>
      <c r="C61" s="976" t="s">
        <v>877</v>
      </c>
      <c r="D61" s="984"/>
      <c r="E61" s="984"/>
      <c r="F61" s="984"/>
      <c r="G61" s="984"/>
      <c r="H61" s="984"/>
      <c r="I61" s="555"/>
      <c r="J61" s="965"/>
    </row>
    <row r="62" spans="2:10">
      <c r="B62" s="964" t="str">
        <f>ProcessEnergy!B9</f>
        <v xml:space="preserve">Olie </v>
      </c>
      <c r="C62" s="976" t="s">
        <v>877</v>
      </c>
      <c r="D62" s="984"/>
      <c r="E62" s="984"/>
      <c r="F62" s="984"/>
      <c r="G62" s="984"/>
      <c r="H62" s="984"/>
      <c r="I62" s="555"/>
      <c r="J62" s="965"/>
    </row>
    <row r="63" spans="2:10">
      <c r="B63" s="964" t="str">
        <f>ProcessEnergy!B10</f>
        <v>Kul</v>
      </c>
      <c r="C63" s="976" t="s">
        <v>877</v>
      </c>
      <c r="D63" s="984"/>
      <c r="E63" s="984"/>
      <c r="F63" s="984"/>
      <c r="G63" s="984"/>
      <c r="H63" s="984"/>
      <c r="I63" s="555"/>
      <c r="J63" s="965"/>
    </row>
    <row r="64" spans="2:10">
      <c r="B64" s="964" t="str">
        <f>ProcessEnergy!B11</f>
        <v>Naturgas kedel</v>
      </c>
      <c r="C64" s="976" t="s">
        <v>877</v>
      </c>
      <c r="D64" s="984"/>
      <c r="E64" s="984"/>
      <c r="F64" s="984"/>
      <c r="G64" s="984"/>
      <c r="H64" s="984"/>
      <c r="I64" s="555"/>
      <c r="J64" s="965"/>
    </row>
    <row r="65" spans="2:10">
      <c r="B65" s="964" t="str">
        <f>ProcessEnergy!B12</f>
        <v>Gylle</v>
      </c>
      <c r="C65" s="976" t="s">
        <v>877</v>
      </c>
      <c r="D65" s="984"/>
      <c r="E65" s="984"/>
      <c r="F65" s="984"/>
      <c r="G65" s="984"/>
      <c r="H65" s="984"/>
      <c r="I65" s="555"/>
      <c r="J65" s="965"/>
    </row>
    <row r="66" spans="2:10">
      <c r="B66" s="964" t="str">
        <f>ProcessEnergy!B13</f>
        <v>Affald</v>
      </c>
      <c r="C66" s="976" t="s">
        <v>877</v>
      </c>
      <c r="D66" s="984"/>
      <c r="E66" s="984"/>
      <c r="F66" s="984"/>
      <c r="G66" s="984"/>
      <c r="H66" s="984"/>
      <c r="I66" s="555"/>
      <c r="J66" s="965"/>
    </row>
    <row r="67" spans="2:10">
      <c r="B67" s="964" t="str">
        <f>ProcessEnergy!B14</f>
        <v>Hydrogen</v>
      </c>
      <c r="C67" s="976" t="s">
        <v>1200</v>
      </c>
      <c r="D67" s="978">
        <f>C184%</f>
        <v>8.6538461538461536E-2</v>
      </c>
      <c r="E67" s="984"/>
      <c r="F67" s="984"/>
      <c r="G67" s="984"/>
      <c r="H67" s="984"/>
      <c r="I67" s="555"/>
      <c r="J67" s="965"/>
    </row>
    <row r="68" spans="2:10">
      <c r="B68" s="964" t="str">
        <f>ProcessEnergy!B15</f>
        <v>Biomasse</v>
      </c>
      <c r="C68" s="976" t="s">
        <v>877</v>
      </c>
      <c r="D68" s="984"/>
      <c r="E68" s="984"/>
      <c r="F68" s="984"/>
      <c r="G68" s="984"/>
      <c r="H68" s="984"/>
      <c r="I68" s="555"/>
      <c r="J68" s="965"/>
    </row>
    <row r="69" spans="2:10">
      <c r="B69" s="964" t="str">
        <f>ProcessEnergy!B16</f>
        <v>Methanol</v>
      </c>
      <c r="C69" s="976"/>
      <c r="D69" s="984"/>
      <c r="E69" s="984"/>
      <c r="F69" s="984"/>
      <c r="G69" s="984"/>
      <c r="H69" s="984"/>
      <c r="I69" s="555"/>
      <c r="J69" s="965"/>
    </row>
    <row r="70" spans="2:10">
      <c r="B70" s="964" t="str">
        <f>ProcessEnergy!B17</f>
        <v>&lt;empty&gt;</v>
      </c>
      <c r="C70" s="976"/>
      <c r="D70" s="984"/>
      <c r="E70" s="984"/>
      <c r="F70" s="984"/>
      <c r="G70" s="984"/>
      <c r="H70" s="984"/>
      <c r="I70" s="555"/>
      <c r="J70" s="965"/>
    </row>
    <row r="71" spans="2:10">
      <c r="B71" s="964" t="str">
        <f>ProcessEnergy!B18</f>
        <v>&lt;empty&gt;</v>
      </c>
      <c r="C71" s="976"/>
      <c r="D71" s="984"/>
      <c r="E71" s="984"/>
      <c r="F71" s="984"/>
      <c r="G71" s="984"/>
      <c r="H71" s="984"/>
      <c r="I71" s="555"/>
      <c r="J71" s="965"/>
    </row>
    <row r="72" spans="2:10">
      <c r="B72" s="964" t="str">
        <f>ProcessEnergy!B19</f>
        <v>&lt;empty&gt;</v>
      </c>
      <c r="C72" s="976"/>
      <c r="D72" s="984"/>
      <c r="E72" s="984"/>
      <c r="F72" s="984"/>
      <c r="G72" s="984"/>
      <c r="H72" s="984"/>
      <c r="I72" s="555"/>
      <c r="J72" s="965"/>
    </row>
    <row r="73" spans="2:10">
      <c r="B73" s="964" t="str">
        <f>ProcessEnergy!B20</f>
        <v>&lt;empty&gt;</v>
      </c>
      <c r="C73" s="976"/>
      <c r="D73" s="984"/>
      <c r="E73" s="984"/>
      <c r="F73" s="984"/>
      <c r="G73" s="984"/>
      <c r="H73" s="984"/>
      <c r="I73" s="555"/>
      <c r="J73" s="965"/>
    </row>
    <row r="74" spans="2:10">
      <c r="B74" s="964" t="str">
        <f>ProcessEnergy!B21</f>
        <v>&lt;empty&gt;</v>
      </c>
      <c r="C74" s="976"/>
      <c r="D74" s="984"/>
      <c r="E74" s="984"/>
      <c r="F74" s="984"/>
      <c r="G74" s="984"/>
      <c r="H74" s="984"/>
      <c r="I74" s="555"/>
      <c r="J74" s="965"/>
    </row>
    <row r="75" spans="2:10">
      <c r="B75" s="964" t="str">
        <f>ProcessEnergy!B22</f>
        <v>&lt;empty&gt;</v>
      </c>
      <c r="C75" s="976"/>
      <c r="D75" s="984"/>
      <c r="E75" s="984"/>
      <c r="F75" s="984"/>
      <c r="G75" s="984"/>
      <c r="H75" s="984"/>
      <c r="I75" s="555"/>
      <c r="J75" s="965"/>
    </row>
    <row r="76" spans="2:10">
      <c r="B76" s="964" t="str">
        <f>ProcessEnergy!B23</f>
        <v>&lt;empty&gt;</v>
      </c>
      <c r="C76" s="976"/>
      <c r="D76" s="984"/>
      <c r="E76" s="984"/>
      <c r="F76" s="984"/>
      <c r="G76" s="984"/>
      <c r="H76" s="984"/>
      <c r="I76" s="555"/>
      <c r="J76" s="965"/>
    </row>
    <row r="77" spans="2:10">
      <c r="B77" s="964" t="str">
        <f>ProcessEnergy!B24</f>
        <v>&lt;empty&gt;</v>
      </c>
      <c r="C77" s="976" t="s">
        <v>877</v>
      </c>
      <c r="D77" s="978"/>
      <c r="E77" s="984"/>
      <c r="F77" s="984"/>
      <c r="G77" s="984"/>
      <c r="H77" s="984"/>
      <c r="I77" s="555"/>
      <c r="J77" s="965"/>
    </row>
    <row r="78" spans="2:10">
      <c r="B78" s="964"/>
      <c r="C78" s="976"/>
      <c r="D78" s="984"/>
      <c r="E78" s="984"/>
      <c r="F78" s="984"/>
      <c r="G78" s="984"/>
      <c r="H78" s="984"/>
      <c r="I78" s="555"/>
      <c r="J78" s="965"/>
    </row>
    <row r="79" spans="2:10">
      <c r="B79" s="964"/>
      <c r="C79" s="976"/>
      <c r="D79" s="984"/>
      <c r="E79" s="984"/>
      <c r="F79" s="984"/>
      <c r="G79" s="984"/>
      <c r="H79" s="984"/>
      <c r="I79" s="555"/>
      <c r="J79" s="965"/>
    </row>
    <row r="80" spans="2:10">
      <c r="B80" s="964"/>
      <c r="C80" s="976"/>
      <c r="D80" s="986"/>
      <c r="E80" s="986"/>
      <c r="F80" s="986"/>
      <c r="G80" s="986"/>
      <c r="H80" s="986"/>
      <c r="I80" s="555"/>
      <c r="J80" s="965"/>
    </row>
    <row r="81" spans="1:17">
      <c r="B81" s="975" t="s">
        <v>152</v>
      </c>
      <c r="C81" s="976"/>
      <c r="D81" s="986"/>
      <c r="E81" s="986"/>
      <c r="F81" s="986"/>
      <c r="G81" s="986"/>
      <c r="H81" s="986"/>
      <c r="I81" s="555"/>
      <c r="J81" s="965"/>
    </row>
    <row r="82" spans="1:17">
      <c r="A82" s="530">
        <v>4</v>
      </c>
      <c r="B82" s="964" t="s">
        <v>462</v>
      </c>
      <c r="C82" s="976" t="s">
        <v>725</v>
      </c>
      <c r="D82" s="1633">
        <v>1</v>
      </c>
      <c r="E82" s="978">
        <f t="shared" ref="E82:G88" si="1">$D82</f>
        <v>1</v>
      </c>
      <c r="F82" s="978">
        <f t="shared" si="1"/>
        <v>1</v>
      </c>
      <c r="G82" s="978">
        <f t="shared" si="1"/>
        <v>1</v>
      </c>
      <c r="H82" s="978"/>
      <c r="I82" s="555"/>
      <c r="J82" s="965"/>
    </row>
    <row r="83" spans="1:17">
      <c r="B83" s="964" t="s">
        <v>153</v>
      </c>
      <c r="C83" s="976" t="s">
        <v>725</v>
      </c>
      <c r="D83" s="978">
        <f>D82*SUM(D58:D77)</f>
        <v>8.6538461538461536E-2</v>
      </c>
      <c r="E83" s="978">
        <f t="shared" si="1"/>
        <v>8.6538461538461536E-2</v>
      </c>
      <c r="F83" s="978">
        <f t="shared" si="1"/>
        <v>8.6538461538461536E-2</v>
      </c>
      <c r="G83" s="978">
        <f t="shared" si="1"/>
        <v>8.6538461538461536E-2</v>
      </c>
      <c r="H83" s="1334"/>
      <c r="I83" s="555"/>
      <c r="J83" s="965"/>
    </row>
    <row r="84" spans="1:17">
      <c r="B84" s="964" t="s">
        <v>1092</v>
      </c>
      <c r="C84" s="976" t="s">
        <v>725</v>
      </c>
      <c r="D84" s="987">
        <f>D82*(D43+D37+D40)</f>
        <v>2.3076923076923075E-2</v>
      </c>
      <c r="E84" s="978">
        <f t="shared" si="1"/>
        <v>2.3076923076923075E-2</v>
      </c>
      <c r="F84" s="978">
        <f t="shared" si="1"/>
        <v>2.3076923076923075E-2</v>
      </c>
      <c r="G84" s="978">
        <f t="shared" si="1"/>
        <v>2.3076923076923075E-2</v>
      </c>
      <c r="H84" s="978"/>
      <c r="I84" s="555"/>
      <c r="J84" s="965"/>
    </row>
    <row r="85" spans="1:17">
      <c r="B85" s="964" t="s">
        <v>1201</v>
      </c>
      <c r="C85" s="976" t="s">
        <v>725</v>
      </c>
      <c r="D85" s="987">
        <f>(1/D160)*D82</f>
        <v>0.96153846153846145</v>
      </c>
      <c r="E85" s="978">
        <f t="shared" si="1"/>
        <v>0.96153846153846145</v>
      </c>
      <c r="F85" s="978">
        <f t="shared" si="1"/>
        <v>0.96153846153846145</v>
      </c>
      <c r="G85" s="978">
        <f t="shared" si="1"/>
        <v>0.96153846153846145</v>
      </c>
      <c r="H85" s="978"/>
      <c r="I85" s="555"/>
      <c r="J85" s="965"/>
    </row>
    <row r="86" spans="1:17">
      <c r="B86" s="985" t="s">
        <v>155</v>
      </c>
      <c r="C86" s="976" t="s">
        <v>725</v>
      </c>
      <c r="D86" s="987">
        <f>SUM(D82:D83)-SUM(D84:D85)</f>
        <v>0.10192307692307689</v>
      </c>
      <c r="E86" s="978">
        <f t="shared" si="1"/>
        <v>0.10192307692307689</v>
      </c>
      <c r="F86" s="978">
        <f t="shared" si="1"/>
        <v>0.10192307692307689</v>
      </c>
      <c r="G86" s="978">
        <f t="shared" si="1"/>
        <v>0.10192307692307689</v>
      </c>
      <c r="H86" s="978"/>
      <c r="I86" s="555"/>
      <c r="J86" s="965"/>
    </row>
    <row r="87" spans="1:17">
      <c r="B87" s="985" t="s">
        <v>156</v>
      </c>
      <c r="C87" s="988" t="s">
        <v>726</v>
      </c>
      <c r="D87" s="989">
        <f>SUM(D84:D85)/SUM(D82:D83)</f>
        <v>0.90619469026548671</v>
      </c>
      <c r="E87" s="990">
        <f t="shared" si="1"/>
        <v>0.90619469026548671</v>
      </c>
      <c r="F87" s="990">
        <f t="shared" si="1"/>
        <v>0.90619469026548671</v>
      </c>
      <c r="G87" s="990">
        <f t="shared" si="1"/>
        <v>0.90619469026548671</v>
      </c>
      <c r="H87" s="990"/>
      <c r="I87" s="555"/>
      <c r="J87" s="965"/>
    </row>
    <row r="88" spans="1:17">
      <c r="B88" s="964"/>
      <c r="C88" s="976"/>
      <c r="D88" s="989">
        <f>D169/100</f>
        <v>0.90799999999999992</v>
      </c>
      <c r="E88" s="990">
        <f t="shared" si="1"/>
        <v>0.90799999999999992</v>
      </c>
      <c r="F88" s="990">
        <f t="shared" si="1"/>
        <v>0.90799999999999992</v>
      </c>
      <c r="G88" s="990">
        <f t="shared" si="1"/>
        <v>0.90799999999999992</v>
      </c>
      <c r="H88" s="990"/>
      <c r="I88" s="555"/>
      <c r="J88" s="965"/>
      <c r="N88" s="557"/>
    </row>
    <row r="89" spans="1:17">
      <c r="B89" s="975" t="s">
        <v>2116</v>
      </c>
      <c r="C89" s="976"/>
      <c r="D89" s="983"/>
      <c r="E89" s="983"/>
      <c r="F89" s="983"/>
      <c r="G89" s="983"/>
      <c r="H89" s="983"/>
      <c r="I89" s="555"/>
      <c r="J89" s="965"/>
      <c r="N89" s="991"/>
      <c r="O89" s="991"/>
      <c r="P89" s="991"/>
      <c r="Q89" s="991"/>
    </row>
    <row r="90" spans="1:17">
      <c r="B90" s="964" t="s">
        <v>157</v>
      </c>
      <c r="C90" s="976" t="s">
        <v>61</v>
      </c>
      <c r="D90" s="992">
        <f ca="1">HLOOKUP($H99,Supplementary!$C$44:$AF$46,3,FALSE)*D99*D$110</f>
        <v>5415403227.038847</v>
      </c>
      <c r="E90" s="992">
        <f ca="1">HLOOKUP($H99,Supplementary!$C$44:$AF$46,3,FALSE)*E99*E$110</f>
        <v>5144633065.686904</v>
      </c>
      <c r="F90" s="992">
        <f ca="1">HLOOKUP($H99,Supplementary!$C$44:$AF$46,3,FALSE)*F99*F$110</f>
        <v>4643031341.7824306</v>
      </c>
      <c r="G90" s="992">
        <f ca="1">HLOOKUP($H99,Supplementary!$C$44:$AF$46,3,FALSE)*G99*G$110</f>
        <v>3781778046.8276763</v>
      </c>
      <c r="H90" s="555">
        <f t="shared" ref="H90:H96" si="2">priceYear</f>
        <v>2015</v>
      </c>
      <c r="I90" s="555"/>
      <c r="J90" s="965"/>
      <c r="N90" s="991"/>
      <c r="O90" s="991"/>
      <c r="P90" s="991"/>
      <c r="Q90" s="991"/>
    </row>
    <row r="91" spans="1:17">
      <c r="B91" s="964" t="s">
        <v>160</v>
      </c>
      <c r="C91" s="976" t="s">
        <v>464</v>
      </c>
      <c r="D91" s="555">
        <f ca="1">SUM(D92:D96)</f>
        <v>14.823912765776853</v>
      </c>
      <c r="E91" s="555">
        <f ca="1">SUM(E92:E96)</f>
        <v>13.838666598203273</v>
      </c>
      <c r="F91" s="555">
        <f ca="1">SUM(F92:F96)</f>
        <v>11.930803707149693</v>
      </c>
      <c r="G91" s="555">
        <f ca="1">SUM(G92:G96)</f>
        <v>9.235974091728103</v>
      </c>
      <c r="H91" s="555">
        <f t="shared" si="2"/>
        <v>2015</v>
      </c>
      <c r="I91" s="555"/>
      <c r="J91" s="965"/>
      <c r="N91" s="991"/>
      <c r="O91" s="991"/>
      <c r="P91" s="991"/>
      <c r="Q91" s="991"/>
    </row>
    <row r="92" spans="1:17">
      <c r="B92" s="995" t="s">
        <v>162</v>
      </c>
      <c r="C92" s="976" t="s">
        <v>464</v>
      </c>
      <c r="D92" s="992">
        <f ca="1">HLOOKUP($H101,Supplementary!$C$44:$AF$46,3,FALSE)*D101*D$110</f>
        <v>12.345055841432268</v>
      </c>
      <c r="E92" s="555">
        <f ca="1">HLOOKUP($H101,Supplementary!$C$44:$AF$46,3,FALSE)*E101*E$110</f>
        <v>11.727803049360654</v>
      </c>
      <c r="F92" s="555">
        <f ca="1">HLOOKUP($H101,Supplementary!$C$44:$AF$46,3,FALSE)*F101*F$110</f>
        <v>10.584342252047989</v>
      </c>
      <c r="G92" s="555">
        <f ca="1">HLOOKUP($H101,Supplementary!$C$44:$AF$46,3,FALSE)*G101*G$110</f>
        <v>8.6210129164321625</v>
      </c>
      <c r="H92" s="555">
        <f t="shared" si="2"/>
        <v>2015</v>
      </c>
      <c r="I92" s="555"/>
      <c r="J92" s="965"/>
      <c r="N92" s="991"/>
      <c r="O92" s="991"/>
      <c r="P92" s="991"/>
      <c r="Q92" s="991"/>
    </row>
    <row r="93" spans="1:17">
      <c r="B93" s="995" t="s">
        <v>163</v>
      </c>
      <c r="C93" s="976" t="s">
        <v>464</v>
      </c>
      <c r="D93" s="992">
        <f ca="1">HLOOKUP($H102,Supplementary!$C$44:$AF$46,3,FALSE)*D102*D$110</f>
        <v>4.5995399948490672</v>
      </c>
      <c r="E93" s="555">
        <f ca="1">HLOOKUP($H102,Supplementary!$C$44:$AF$46,3,FALSE)*E102*E$110</f>
        <v>4.3695629951066133</v>
      </c>
      <c r="F93" s="555">
        <f ca="1">HLOOKUP($H102,Supplementary!$C$44:$AF$46,3,FALSE)*F102*F$110</f>
        <v>3.9435306030837185</v>
      </c>
      <c r="G93" s="555">
        <f ca="1">HLOOKUP($H102,Supplementary!$C$44:$AF$46,3,FALSE)*G102*G$110</f>
        <v>3.2120303232779581</v>
      </c>
      <c r="H93" s="555">
        <f t="shared" si="2"/>
        <v>2015</v>
      </c>
      <c r="I93" s="555"/>
      <c r="J93" s="965"/>
      <c r="N93" s="991"/>
      <c r="O93" s="991"/>
      <c r="P93" s="991"/>
      <c r="Q93" s="991"/>
    </row>
    <row r="94" spans="1:17">
      <c r="B94" s="995" t="s">
        <v>164</v>
      </c>
      <c r="C94" s="976" t="s">
        <v>464</v>
      </c>
      <c r="D94" s="992">
        <f>HLOOKUP($H103,Supplementary!$C$44:$AF$46,3,FALSE)*D103</f>
        <v>0</v>
      </c>
      <c r="E94" s="555">
        <f>HLOOKUP($H103,Supplementary!$C$44:$AF$46,3,FALSE)*E103</f>
        <v>0</v>
      </c>
      <c r="F94" s="555">
        <f>HLOOKUP($H103,Supplementary!$C$44:$AF$46,3,FALSE)*F103</f>
        <v>0</v>
      </c>
      <c r="G94" s="555">
        <f>HLOOKUP($H103,Supplementary!$C$44:$AF$46,3,FALSE)*G103</f>
        <v>0</v>
      </c>
      <c r="H94" s="555">
        <f t="shared" si="2"/>
        <v>2015</v>
      </c>
      <c r="I94" s="555"/>
      <c r="J94" s="965"/>
      <c r="N94" s="991"/>
      <c r="O94" s="991"/>
      <c r="P94" s="991"/>
      <c r="Q94" s="991"/>
    </row>
    <row r="95" spans="1:17">
      <c r="B95" s="995" t="s">
        <v>264</v>
      </c>
      <c r="C95" s="976" t="s">
        <v>464</v>
      </c>
      <c r="D95" s="992">
        <f ca="1">HLOOKUP($H104,Supplementary!$C$44:$AF$46,3,FALSE)*D104*D$110</f>
        <v>0</v>
      </c>
      <c r="E95" s="555">
        <f ca="1">HLOOKUP($H104,Supplementary!$C$44:$AF$46,3,FALSE)*E104*E$110</f>
        <v>0</v>
      </c>
      <c r="F95" s="555">
        <f ca="1">HLOOKUP($H104,Supplementary!$C$44:$AF$46,3,FALSE)*F104*F$110</f>
        <v>0</v>
      </c>
      <c r="G95" s="555">
        <f ca="1">HLOOKUP($H104,Supplementary!$C$44:$AF$46,3,FALSE)*G104*G$110</f>
        <v>0</v>
      </c>
      <c r="H95" s="555">
        <f t="shared" si="2"/>
        <v>2015</v>
      </c>
      <c r="I95" s="555"/>
      <c r="J95" s="965"/>
      <c r="N95" s="991"/>
      <c r="O95" s="991"/>
      <c r="P95" s="991"/>
      <c r="Q95" s="991"/>
    </row>
    <row r="96" spans="1:17">
      <c r="B96" s="995" t="s">
        <v>165</v>
      </c>
      <c r="C96" s="976" t="s">
        <v>464</v>
      </c>
      <c r="D96" s="992">
        <f ca="1">HLOOKUP($H105,Supplementary!$C$44:$AF$46,3,FALSE)*D105</f>
        <v>-2.1206830705044846</v>
      </c>
      <c r="E96" s="555">
        <f ca="1">HLOOKUP($H105,Supplementary!$C$44:$AF$46,3,FALSE)*E105</f>
        <v>-2.2586994462639951</v>
      </c>
      <c r="F96" s="555">
        <f ca="1">HLOOKUP($H105,Supplementary!$C$44:$AF$46,3,FALSE)*F105</f>
        <v>-2.5970691479820163</v>
      </c>
      <c r="G96" s="555">
        <f ca="1">HLOOKUP($H105,Supplementary!$C$44:$AF$46,3,FALSE)*G105</f>
        <v>-2.5970691479820163</v>
      </c>
      <c r="H96" s="555">
        <f t="shared" si="2"/>
        <v>2015</v>
      </c>
      <c r="I96" s="555"/>
      <c r="J96" s="965"/>
      <c r="N96" s="991"/>
      <c r="O96" s="991"/>
      <c r="P96" s="991"/>
      <c r="Q96" s="991"/>
    </row>
    <row r="97" spans="1:17">
      <c r="B97" s="975"/>
      <c r="C97" s="976"/>
      <c r="D97" s="992"/>
      <c r="E97" s="983"/>
      <c r="F97" s="983"/>
      <c r="G97" s="983"/>
      <c r="H97" s="983"/>
      <c r="I97" s="555"/>
      <c r="J97" s="965"/>
      <c r="N97" s="991"/>
      <c r="O97" s="991"/>
      <c r="P97" s="991"/>
      <c r="Q97" s="991"/>
    </row>
    <row r="98" spans="1:17">
      <c r="B98" s="975" t="s">
        <v>2117</v>
      </c>
      <c r="C98" s="976"/>
      <c r="D98" s="992"/>
      <c r="E98" s="983"/>
      <c r="F98" s="983"/>
      <c r="G98" s="983"/>
      <c r="H98" s="983"/>
      <c r="I98" s="555"/>
      <c r="J98" s="965"/>
      <c r="N98" s="991"/>
      <c r="O98" s="991"/>
      <c r="P98" s="991"/>
      <c r="Q98" s="991"/>
    </row>
    <row r="99" spans="1:17">
      <c r="B99" s="964" t="s">
        <v>157</v>
      </c>
      <c r="C99" s="976" t="s">
        <v>61</v>
      </c>
      <c r="D99" s="992">
        <f>D159*D177*dkkPerEUR</f>
        <v>5087456000</v>
      </c>
      <c r="E99" s="992">
        <f t="shared" ref="E99:G102" si="3">$D99</f>
        <v>5087456000</v>
      </c>
      <c r="F99" s="992">
        <f t="shared" si="3"/>
        <v>5087456000</v>
      </c>
      <c r="G99" s="992">
        <f t="shared" si="3"/>
        <v>5087456000</v>
      </c>
      <c r="H99" s="1668">
        <v>2011</v>
      </c>
      <c r="I99" s="555"/>
      <c r="J99" s="965"/>
      <c r="N99" s="991"/>
      <c r="O99" s="991"/>
      <c r="P99" s="991"/>
      <c r="Q99" s="991"/>
    </row>
    <row r="100" spans="1:17">
      <c r="B100" s="964" t="s">
        <v>160</v>
      </c>
      <c r="C100" s="976" t="s">
        <v>464</v>
      </c>
      <c r="D100" s="993">
        <f ca="1">SUM(D101:D105)</f>
        <v>13.926202866515935</v>
      </c>
      <c r="E100" s="978">
        <f t="shared" ca="1" si="3"/>
        <v>13.926202866515935</v>
      </c>
      <c r="F100" s="978">
        <f t="shared" ca="1" si="3"/>
        <v>13.926202866515935</v>
      </c>
      <c r="G100" s="978">
        <f t="shared" ca="1" si="3"/>
        <v>13.926202866515935</v>
      </c>
      <c r="H100" s="1668">
        <v>2011</v>
      </c>
      <c r="I100" s="994"/>
      <c r="J100" s="965"/>
      <c r="N100" s="991"/>
      <c r="O100" s="991"/>
      <c r="P100" s="991"/>
      <c r="Q100" s="991"/>
    </row>
    <row r="101" spans="1:17">
      <c r="B101" s="995" t="s">
        <v>162</v>
      </c>
      <c r="C101" s="976" t="s">
        <v>464</v>
      </c>
      <c r="D101" s="480">
        <f ca="1">-PMT(rSØK,20,D99)/D159</f>
        <v>11.597461126670616</v>
      </c>
      <c r="E101" s="978">
        <f t="shared" ca="1" si="3"/>
        <v>11.597461126670616</v>
      </c>
      <c r="F101" s="978">
        <f t="shared" ca="1" si="3"/>
        <v>11.597461126670616</v>
      </c>
      <c r="G101" s="978">
        <f t="shared" ca="1" si="3"/>
        <v>11.597461126670616</v>
      </c>
      <c r="H101" s="1668">
        <v>2011</v>
      </c>
      <c r="I101" s="994"/>
      <c r="J101" s="965"/>
      <c r="N101" s="991"/>
      <c r="O101" s="991"/>
      <c r="P101" s="991"/>
      <c r="Q101" s="991"/>
    </row>
    <row r="102" spans="1:17">
      <c r="B102" s="995" t="s">
        <v>163</v>
      </c>
      <c r="C102" s="976" t="s">
        <v>464</v>
      </c>
      <c r="D102" s="480">
        <f>IF(D141&gt;0,D177*D141*dkkPerEUR,D178*dkkPerEUR)</f>
        <v>4.3209999999999997</v>
      </c>
      <c r="E102" s="480">
        <f t="shared" si="3"/>
        <v>4.3209999999999997</v>
      </c>
      <c r="F102" s="480">
        <f t="shared" si="3"/>
        <v>4.3209999999999997</v>
      </c>
      <c r="G102" s="480">
        <f t="shared" si="3"/>
        <v>4.3209999999999997</v>
      </c>
      <c r="H102" s="1668">
        <v>2011</v>
      </c>
      <c r="I102" s="555"/>
      <c r="J102" s="965"/>
      <c r="N102" s="991"/>
      <c r="O102" s="991"/>
      <c r="P102" s="991"/>
      <c r="Q102" s="991"/>
    </row>
    <row r="103" spans="1:17">
      <c r="A103" s="530">
        <v>6</v>
      </c>
      <c r="B103" s="995" t="s">
        <v>164</v>
      </c>
      <c r="C103" s="976" t="s">
        <v>464</v>
      </c>
      <c r="D103" s="997"/>
      <c r="E103" s="997"/>
      <c r="F103" s="997"/>
      <c r="G103" s="997"/>
      <c r="H103" s="1668">
        <v>2011</v>
      </c>
      <c r="I103" s="555"/>
      <c r="J103" s="965"/>
      <c r="N103" s="991"/>
      <c r="O103" s="991"/>
      <c r="P103" s="991"/>
      <c r="Q103" s="991"/>
    </row>
    <row r="104" spans="1:17">
      <c r="B104" s="995" t="s">
        <v>264</v>
      </c>
      <c r="C104" s="976" t="s">
        <v>464</v>
      </c>
      <c r="D104" s="997"/>
      <c r="E104" s="997"/>
      <c r="F104" s="997"/>
      <c r="G104" s="997"/>
      <c r="H104" s="1668">
        <v>2011</v>
      </c>
      <c r="I104" s="555"/>
      <c r="J104" s="965"/>
      <c r="N104" s="991"/>
      <c r="O104" s="991"/>
      <c r="P104" s="991"/>
      <c r="Q104" s="991"/>
    </row>
    <row r="105" spans="1:17">
      <c r="B105" s="995" t="s">
        <v>165</v>
      </c>
      <c r="C105" s="976" t="s">
        <v>464</v>
      </c>
      <c r="D105" s="996">
        <f ca="1">-SUMPRODUCT(D36:D55,ProcessEnergy!M34:M53)/D85</f>
        <v>-1.9922582601546817</v>
      </c>
      <c r="E105" s="996">
        <f ca="1">-SUMPRODUCT(E36:E55,ProcessEnergy!N34:N53)/E85</f>
        <v>-2.1219166086688173</v>
      </c>
      <c r="F105" s="996">
        <f ca="1">-SUMPRODUCT(F36:F55,ProcessEnergy!O34:O53)/F85</f>
        <v>-2.4397952406104766</v>
      </c>
      <c r="G105" s="996">
        <f ca="1">-SUMPRODUCT(G36:G55,ProcessEnergy!P34:P53)/G85</f>
        <v>-2.4397952406104766</v>
      </c>
      <c r="H105" s="1668">
        <v>2011</v>
      </c>
      <c r="I105" s="555"/>
      <c r="J105" s="965"/>
      <c r="N105" s="991"/>
      <c r="O105" s="991"/>
      <c r="P105" s="991"/>
      <c r="Q105" s="991"/>
    </row>
    <row r="106" spans="1:17">
      <c r="B106" s="995"/>
      <c r="C106" s="976"/>
      <c r="D106" s="2311"/>
      <c r="E106" s="2311"/>
      <c r="F106" s="2311"/>
      <c r="G106" s="2311"/>
      <c r="H106" s="983"/>
      <c r="I106" s="994"/>
      <c r="J106" s="965"/>
      <c r="N106" s="991"/>
      <c r="O106" s="991"/>
      <c r="P106" s="991"/>
      <c r="Q106" s="991"/>
    </row>
    <row r="107" spans="1:17">
      <c r="B107" s="975" t="s">
        <v>2113</v>
      </c>
      <c r="C107" s="976"/>
      <c r="D107" s="983"/>
      <c r="E107" s="983"/>
      <c r="F107" s="983"/>
      <c r="G107" s="983"/>
      <c r="H107" s="983"/>
      <c r="I107" s="994"/>
      <c r="J107" s="965"/>
      <c r="N107" s="991"/>
      <c r="O107" s="991"/>
      <c r="P107" s="991"/>
      <c r="Q107" s="991"/>
    </row>
    <row r="108" spans="1:17">
      <c r="B108" s="995" t="s">
        <v>2114</v>
      </c>
      <c r="C108" s="976"/>
      <c r="D108" s="1696">
        <v>0.95</v>
      </c>
      <c r="E108" s="1696">
        <v>0.95</v>
      </c>
      <c r="F108" s="1696">
        <v>0.95</v>
      </c>
      <c r="G108" s="1696">
        <v>0.95</v>
      </c>
      <c r="H108" s="983"/>
      <c r="I108" s="994"/>
      <c r="J108" s="965"/>
      <c r="N108" s="991"/>
      <c r="O108" s="991"/>
      <c r="P108" s="991"/>
      <c r="Q108" s="991"/>
    </row>
    <row r="109" spans="1:17">
      <c r="B109" s="995" t="s">
        <v>2666</v>
      </c>
      <c r="C109" s="976"/>
      <c r="D109" s="478">
        <f ca="1">OFFSET(Supplementary!C$237,MATCH($C$19,Supplementary!$B$238:$B$241,0),0)</f>
        <v>1</v>
      </c>
      <c r="E109" s="478">
        <f ca="1">OFFSET(Supplementary!D$237,MATCH($C$19,Supplementary!$B$238:$B$241,0),0)</f>
        <v>2</v>
      </c>
      <c r="F109" s="478">
        <f ca="1">OFFSET(Supplementary!E$237,MATCH($C$19,Supplementary!$B$238:$B$241,0),0)</f>
        <v>4</v>
      </c>
      <c r="G109" s="478">
        <f ca="1">OFFSET(Supplementary!F$237,MATCH($C$19,Supplementary!$B$238:$B$241,0),0)</f>
        <v>8</v>
      </c>
      <c r="H109" s="983"/>
      <c r="I109" s="994"/>
      <c r="J109" s="965"/>
      <c r="N109" s="991"/>
      <c r="O109" s="991"/>
      <c r="P109" s="991"/>
      <c r="Q109" s="991"/>
    </row>
    <row r="110" spans="1:17">
      <c r="B110" s="995" t="s">
        <v>2115</v>
      </c>
      <c r="C110" s="976"/>
      <c r="D110" s="1698">
        <f ca="1">1*D108^(D109-1)</f>
        <v>1</v>
      </c>
      <c r="E110" s="1698">
        <f ca="1">1*E108^(E109-1)</f>
        <v>0.95</v>
      </c>
      <c r="F110" s="1698">
        <f ca="1">1*F108^(F109-1)</f>
        <v>0.85737499999999989</v>
      </c>
      <c r="G110" s="1698">
        <f ca="1">1*G108^(G109-1)</f>
        <v>0.69833729609374995</v>
      </c>
      <c r="H110" s="983"/>
      <c r="I110" s="994"/>
      <c r="J110" s="965"/>
      <c r="N110" s="991"/>
      <c r="O110" s="991"/>
      <c r="P110" s="991"/>
      <c r="Q110" s="991"/>
    </row>
    <row r="111" spans="1:17">
      <c r="B111" s="995"/>
      <c r="C111" s="976"/>
      <c r="D111" s="983"/>
      <c r="E111" s="983"/>
      <c r="F111" s="983"/>
      <c r="G111" s="983"/>
      <c r="H111" s="983"/>
      <c r="I111" s="994"/>
      <c r="J111" s="965"/>
      <c r="N111" s="991"/>
      <c r="O111" s="991"/>
      <c r="P111" s="991"/>
      <c r="Q111" s="991"/>
    </row>
    <row r="112" spans="1:17">
      <c r="B112" s="975" t="s">
        <v>166</v>
      </c>
      <c r="C112" s="976"/>
      <c r="D112" s="983"/>
      <c r="E112" s="983"/>
      <c r="F112" s="983"/>
      <c r="G112" s="983"/>
      <c r="H112" s="983"/>
      <c r="I112" s="994"/>
      <c r="J112" s="965"/>
      <c r="N112" s="998"/>
      <c r="O112" s="998"/>
      <c r="P112" s="998"/>
      <c r="Q112" s="991"/>
    </row>
    <row r="113" spans="2:17">
      <c r="B113" s="964" t="s">
        <v>24</v>
      </c>
      <c r="C113" s="976" t="s">
        <v>465</v>
      </c>
      <c r="D113" s="999">
        <v>0</v>
      </c>
      <c r="E113" s="999">
        <v>0</v>
      </c>
      <c r="F113" s="999">
        <v>0</v>
      </c>
      <c r="G113" s="999"/>
      <c r="H113" s="999"/>
      <c r="I113" s="1335" t="s">
        <v>1747</v>
      </c>
      <c r="J113" s="965"/>
      <c r="N113" s="991"/>
      <c r="O113" s="991"/>
      <c r="P113" s="991"/>
      <c r="Q113" s="991"/>
    </row>
    <row r="114" spans="2:17">
      <c r="B114" s="964" t="s">
        <v>27</v>
      </c>
      <c r="C114" s="976" t="s">
        <v>465</v>
      </c>
      <c r="D114" s="999">
        <v>0</v>
      </c>
      <c r="E114" s="999">
        <v>0</v>
      </c>
      <c r="F114" s="999">
        <v>0</v>
      </c>
      <c r="G114" s="999"/>
      <c r="H114" s="999"/>
      <c r="I114" s="1335" t="s">
        <v>1747</v>
      </c>
      <c r="J114" s="965"/>
      <c r="N114" s="991"/>
      <c r="O114" s="991"/>
      <c r="P114" s="991"/>
      <c r="Q114" s="991"/>
    </row>
    <row r="115" spans="2:17">
      <c r="B115" s="964" t="s">
        <v>28</v>
      </c>
      <c r="C115" s="976" t="s">
        <v>465</v>
      </c>
      <c r="D115" s="999">
        <v>0</v>
      </c>
      <c r="E115" s="999">
        <v>0</v>
      </c>
      <c r="F115" s="999">
        <v>0</v>
      </c>
      <c r="G115" s="999"/>
      <c r="H115" s="999"/>
      <c r="I115" s="1335" t="s">
        <v>1747</v>
      </c>
      <c r="J115" s="965"/>
      <c r="N115" s="991"/>
      <c r="O115" s="991"/>
      <c r="P115" s="991"/>
      <c r="Q115" s="991"/>
    </row>
    <row r="116" spans="2:17">
      <c r="B116" s="964" t="s">
        <v>26</v>
      </c>
      <c r="C116" s="976" t="s">
        <v>465</v>
      </c>
      <c r="D116" s="999">
        <v>0</v>
      </c>
      <c r="E116" s="999">
        <v>0</v>
      </c>
      <c r="F116" s="999">
        <v>0</v>
      </c>
      <c r="G116" s="999"/>
      <c r="H116" s="999"/>
      <c r="I116" s="1335" t="s">
        <v>1747</v>
      </c>
      <c r="J116" s="965"/>
      <c r="N116" s="991"/>
      <c r="O116" s="991"/>
      <c r="P116" s="991"/>
      <c r="Q116" s="991"/>
    </row>
    <row r="117" spans="2:17">
      <c r="B117" s="964" t="s">
        <v>167</v>
      </c>
      <c r="C117" s="976" t="s">
        <v>465</v>
      </c>
      <c r="D117" s="999">
        <v>0</v>
      </c>
      <c r="E117" s="999">
        <v>0</v>
      </c>
      <c r="F117" s="999">
        <v>0</v>
      </c>
      <c r="G117" s="999"/>
      <c r="H117" s="999"/>
      <c r="I117" s="1335" t="s">
        <v>1747</v>
      </c>
      <c r="J117" s="965"/>
      <c r="N117" s="998"/>
      <c r="O117" s="998"/>
      <c r="P117" s="998"/>
      <c r="Q117" s="998"/>
    </row>
    <row r="118" spans="2:17">
      <c r="B118" s="964" t="s">
        <v>45</v>
      </c>
      <c r="C118" s="976" t="s">
        <v>465</v>
      </c>
      <c r="D118" s="1000"/>
      <c r="E118" s="1000"/>
      <c r="F118" s="1000"/>
      <c r="G118" s="1000"/>
      <c r="H118" s="1000"/>
      <c r="I118" s="555"/>
      <c r="J118" s="965"/>
    </row>
    <row r="119" spans="2:17" ht="13.5" thickBot="1">
      <c r="B119" s="1001"/>
      <c r="C119" s="1002"/>
      <c r="D119" s="1003"/>
      <c r="E119" s="968"/>
      <c r="F119" s="968"/>
      <c r="G119" s="968"/>
      <c r="H119" s="968"/>
      <c r="I119" s="1004"/>
      <c r="J119" s="969"/>
    </row>
    <row r="122" spans="2:17" ht="18.75">
      <c r="B122" s="1005" t="s">
        <v>172</v>
      </c>
    </row>
    <row r="123" spans="2:17" ht="15.75">
      <c r="B123" s="1006"/>
      <c r="D123" s="1007"/>
    </row>
    <row r="124" spans="2:17">
      <c r="B124" s="555"/>
      <c r="C124" s="555"/>
      <c r="D124" s="555"/>
      <c r="E124" s="555"/>
      <c r="F124" s="555"/>
      <c r="G124" s="555"/>
      <c r="H124" s="555"/>
      <c r="I124" s="555"/>
      <c r="J124" s="555"/>
      <c r="K124" s="555"/>
      <c r="L124" s="555"/>
    </row>
    <row r="125" spans="2:17">
      <c r="B125" s="555"/>
      <c r="C125" s="977"/>
      <c r="D125" s="977"/>
      <c r="E125" s="977"/>
      <c r="F125" s="977"/>
      <c r="G125" s="977"/>
      <c r="H125" s="977"/>
      <c r="I125" s="555"/>
      <c r="J125" s="977"/>
      <c r="K125" s="977"/>
      <c r="L125" s="977"/>
    </row>
    <row r="126" spans="2:17">
      <c r="B126" s="555"/>
      <c r="C126" s="555"/>
      <c r="D126" s="993"/>
      <c r="E126" s="993"/>
      <c r="F126" s="993"/>
      <c r="G126" s="993"/>
      <c r="H126" s="993"/>
      <c r="I126" s="555"/>
      <c r="J126" s="993"/>
      <c r="K126" s="993"/>
      <c r="L126" s="993"/>
    </row>
    <row r="127" spans="2:17">
      <c r="B127" s="555"/>
      <c r="C127" s="555"/>
      <c r="D127" s="993"/>
      <c r="E127" s="993"/>
      <c r="F127" s="993"/>
      <c r="G127" s="993"/>
      <c r="H127" s="993"/>
      <c r="I127" s="555"/>
      <c r="J127" s="993"/>
      <c r="K127" s="993"/>
      <c r="L127" s="993"/>
    </row>
    <row r="128" spans="2:17">
      <c r="B128" s="555"/>
      <c r="C128" s="555"/>
      <c r="D128" s="993"/>
      <c r="E128" s="993"/>
      <c r="F128" s="993"/>
      <c r="G128" s="993"/>
      <c r="H128" s="993"/>
      <c r="I128" s="555"/>
      <c r="J128" s="993"/>
      <c r="K128" s="993"/>
      <c r="L128" s="993"/>
    </row>
    <row r="129" spans="2:12">
      <c r="D129" s="993"/>
      <c r="E129" s="993"/>
      <c r="F129" s="993"/>
      <c r="G129" s="993"/>
      <c r="H129" s="993"/>
      <c r="I129" s="555"/>
      <c r="J129" s="993"/>
      <c r="K129" s="993"/>
      <c r="L129" s="993"/>
    </row>
    <row r="130" spans="2:12">
      <c r="D130" s="993"/>
      <c r="E130" s="993"/>
      <c r="F130" s="993"/>
      <c r="G130" s="993"/>
      <c r="H130" s="993"/>
      <c r="I130" s="555"/>
      <c r="J130" s="993"/>
      <c r="K130" s="993"/>
      <c r="L130" s="993"/>
    </row>
    <row r="131" spans="2:12">
      <c r="B131" s="555"/>
      <c r="C131" s="555"/>
      <c r="D131" s="993"/>
      <c r="E131" s="993"/>
      <c r="F131" s="993"/>
      <c r="G131" s="993"/>
      <c r="H131" s="993"/>
      <c r="I131" s="555"/>
      <c r="J131" s="993"/>
      <c r="K131" s="993"/>
      <c r="L131" s="993"/>
    </row>
    <row r="132" spans="2:12">
      <c r="B132" s="555"/>
      <c r="C132" s="555"/>
      <c r="D132" s="993"/>
      <c r="E132" s="993"/>
      <c r="F132" s="993"/>
      <c r="G132" s="993"/>
      <c r="H132" s="993"/>
      <c r="I132" s="555"/>
      <c r="J132" s="993"/>
      <c r="K132" s="993"/>
      <c r="L132" s="993"/>
    </row>
    <row r="133" spans="2:12">
      <c r="D133" s="993"/>
    </row>
    <row r="135" spans="2:12" ht="18.75">
      <c r="B135" s="1005" t="s">
        <v>168</v>
      </c>
    </row>
    <row r="136" spans="2:12" ht="15.75">
      <c r="B136" s="1006"/>
    </row>
    <row r="137" spans="2:12" ht="13.5" thickBot="1">
      <c r="B137" s="555"/>
      <c r="C137" s="555"/>
      <c r="D137" s="555"/>
      <c r="E137" s="555"/>
      <c r="F137" s="555"/>
      <c r="G137" s="555"/>
      <c r="H137" s="555"/>
      <c r="I137" s="555"/>
    </row>
    <row r="138" spans="2:12">
      <c r="B138" s="1008"/>
      <c r="C138" s="1009" t="s">
        <v>70</v>
      </c>
      <c r="D138" s="1010">
        <v>2015</v>
      </c>
      <c r="E138" s="1009">
        <v>2020</v>
      </c>
      <c r="F138" s="1009">
        <v>2035</v>
      </c>
      <c r="G138" s="1009"/>
      <c r="H138" s="1009"/>
      <c r="I138" s="1011" t="s">
        <v>145</v>
      </c>
      <c r="J138" s="1012" t="s">
        <v>146</v>
      </c>
    </row>
    <row r="139" spans="2:12">
      <c r="B139" s="964"/>
      <c r="C139" s="977"/>
      <c r="D139" s="1013"/>
      <c r="E139" s="1014"/>
      <c r="F139" s="1014"/>
      <c r="G139" s="1014"/>
      <c r="H139" s="1014"/>
      <c r="I139" s="555"/>
      <c r="J139" s="965"/>
    </row>
    <row r="140" spans="2:12">
      <c r="B140" s="964"/>
      <c r="C140" s="977"/>
      <c r="D140" s="1015"/>
      <c r="E140" s="1016"/>
      <c r="F140" s="1016"/>
      <c r="G140" s="1016"/>
      <c r="H140" s="1016"/>
      <c r="I140" s="555"/>
      <c r="J140" s="965"/>
    </row>
    <row r="141" spans="2:12">
      <c r="B141" s="1336" t="s">
        <v>1747</v>
      </c>
      <c r="C141" s="1353" t="s">
        <v>1747</v>
      </c>
      <c r="D141" s="1017"/>
      <c r="E141" s="1018"/>
      <c r="F141" s="1018"/>
      <c r="G141" s="1018"/>
      <c r="H141" s="1018"/>
      <c r="I141" s="1335" t="s">
        <v>1747</v>
      </c>
      <c r="J141" s="965"/>
    </row>
    <row r="142" spans="2:12">
      <c r="B142" s="964"/>
      <c r="C142" s="977"/>
      <c r="D142" s="1015"/>
      <c r="E142" s="1016"/>
      <c r="F142" s="1016"/>
      <c r="G142" s="1016"/>
      <c r="H142" s="1016"/>
      <c r="I142" s="555"/>
      <c r="J142" s="965"/>
    </row>
    <row r="143" spans="2:12">
      <c r="B143" s="964"/>
      <c r="C143" s="977"/>
      <c r="D143" s="1015"/>
      <c r="E143" s="1016"/>
      <c r="F143" s="1016"/>
      <c r="G143" s="1016"/>
      <c r="H143" s="1016"/>
      <c r="I143" s="555"/>
      <c r="J143" s="965"/>
    </row>
    <row r="144" spans="2:12">
      <c r="B144" s="964" t="s">
        <v>22</v>
      </c>
      <c r="C144" s="977" t="s">
        <v>249</v>
      </c>
      <c r="D144" s="1019"/>
      <c r="E144" s="979"/>
      <c r="F144" s="979"/>
      <c r="G144" s="979"/>
      <c r="H144" s="979"/>
      <c r="I144" s="555"/>
      <c r="J144" s="965"/>
    </row>
    <row r="145" spans="2:11">
      <c r="B145" s="964"/>
      <c r="C145" s="976"/>
      <c r="D145" s="1016"/>
      <c r="E145" s="1016"/>
      <c r="F145" s="1016"/>
      <c r="G145" s="1016"/>
      <c r="H145" s="1016"/>
      <c r="I145" s="555"/>
      <c r="J145" s="965"/>
    </row>
    <row r="146" spans="2:11" ht="13.5" thickBot="1">
      <c r="B146" s="967"/>
      <c r="C146" s="1020"/>
      <c r="D146" s="1021"/>
      <c r="E146" s="1021"/>
      <c r="F146" s="1021"/>
      <c r="G146" s="1021"/>
      <c r="H146" s="1021"/>
      <c r="I146" s="968"/>
      <c r="J146" s="969"/>
    </row>
    <row r="149" spans="2:11" ht="13.5" thickBot="1"/>
    <row r="150" spans="2:11">
      <c r="B150" s="1040"/>
      <c r="C150" s="1340"/>
      <c r="D150" s="1064" t="s">
        <v>1098</v>
      </c>
    </row>
    <row r="151" spans="2:11">
      <c r="B151" s="1065" t="s">
        <v>1095</v>
      </c>
      <c r="C151" s="1367">
        <v>0</v>
      </c>
      <c r="D151" s="1067" t="s">
        <v>1756</v>
      </c>
    </row>
    <row r="152" spans="2:11" ht="13.5" thickBot="1">
      <c r="B152" s="1022" t="s">
        <v>1202</v>
      </c>
      <c r="C152" s="1341">
        <f>D189/100</f>
        <v>9.9961538461538504E-2</v>
      </c>
      <c r="D152" s="1342" t="s">
        <v>1755</v>
      </c>
    </row>
    <row r="153" spans="2:11">
      <c r="B153" s="530" t="str">
        <f>CONCATENATE("Source: ",Referencer!$B$48)</f>
        <v>Source: 42, FORCE, Danish Energy Agency, 2013, Technology data for advanced bioenergy fuels.</v>
      </c>
    </row>
    <row r="154" spans="2:11" ht="13.5" thickBot="1"/>
    <row r="155" spans="2:11" ht="18.75">
      <c r="B155" s="1023" t="s">
        <v>1203</v>
      </c>
      <c r="C155" s="1024"/>
      <c r="D155" s="1024"/>
      <c r="E155" s="1024"/>
      <c r="F155" s="1024"/>
      <c r="G155" s="1024"/>
      <c r="H155" s="1025"/>
      <c r="I155" s="1024"/>
      <c r="J155" s="1354"/>
      <c r="K155" s="1355"/>
    </row>
    <row r="156" spans="2:11" ht="15">
      <c r="B156" s="1026"/>
      <c r="C156" s="1027"/>
      <c r="D156" s="1028">
        <v>2015</v>
      </c>
      <c r="E156" s="1030">
        <v>2020</v>
      </c>
      <c r="F156" s="1028">
        <v>2035</v>
      </c>
      <c r="G156" s="1030">
        <v>2050</v>
      </c>
      <c r="H156" s="1028"/>
      <c r="I156" s="1028" t="s">
        <v>1098</v>
      </c>
      <c r="J156" s="1029"/>
      <c r="K156" s="1028"/>
    </row>
    <row r="157" spans="2:11" ht="15">
      <c r="B157" s="1029" t="s">
        <v>1099</v>
      </c>
      <c r="C157" s="1030"/>
      <c r="D157" s="1030"/>
      <c r="E157" s="1030"/>
      <c r="F157" s="1030"/>
      <c r="G157" s="1030"/>
      <c r="H157" s="1027"/>
      <c r="I157" s="1030"/>
      <c r="J157" s="1029"/>
      <c r="K157" s="1027"/>
    </row>
    <row r="158" spans="2:11" ht="15">
      <c r="B158" s="1026" t="s">
        <v>1204</v>
      </c>
      <c r="C158" s="1027"/>
      <c r="D158" s="1368">
        <v>800000</v>
      </c>
      <c r="E158" s="1027" t="s">
        <v>1101</v>
      </c>
      <c r="F158" s="1027"/>
      <c r="G158" s="1027"/>
      <c r="H158" s="1031"/>
      <c r="I158" s="1027"/>
      <c r="J158" s="1026"/>
      <c r="K158" s="1027"/>
    </row>
    <row r="159" spans="2:11" ht="15">
      <c r="B159" s="1026" t="s">
        <v>1205</v>
      </c>
      <c r="C159" s="1027"/>
      <c r="D159" s="1368">
        <v>35200000</v>
      </c>
      <c r="E159" s="1027" t="s">
        <v>1101</v>
      </c>
      <c r="F159" s="1027"/>
      <c r="G159" s="1027"/>
      <c r="H159" s="1031"/>
      <c r="I159" s="1027"/>
      <c r="J159" s="1026"/>
      <c r="K159" s="1027"/>
    </row>
    <row r="160" spans="2:11" ht="15">
      <c r="B160" s="1026" t="s">
        <v>1206</v>
      </c>
      <c r="C160" s="1027"/>
      <c r="D160" s="1373">
        <v>1.04</v>
      </c>
      <c r="E160" s="1027" t="s">
        <v>1101</v>
      </c>
      <c r="F160" s="1027"/>
      <c r="G160" s="1027"/>
      <c r="H160" s="1031"/>
      <c r="I160" s="1027"/>
      <c r="J160" s="1026"/>
      <c r="K160" s="1027"/>
    </row>
    <row r="161" spans="2:11" ht="15">
      <c r="B161" s="1026" t="s">
        <v>1207</v>
      </c>
      <c r="C161" s="1027"/>
      <c r="D161" s="1373">
        <v>1.23</v>
      </c>
      <c r="E161" s="1027" t="s">
        <v>1101</v>
      </c>
      <c r="F161" s="1027"/>
      <c r="G161" s="1027"/>
      <c r="H161" s="1031"/>
      <c r="I161" s="1027"/>
      <c r="J161" s="1026"/>
      <c r="K161" s="1027"/>
    </row>
    <row r="162" spans="2:11" ht="15">
      <c r="B162" s="1026" t="s">
        <v>1208</v>
      </c>
      <c r="C162" s="1027"/>
      <c r="D162" s="1373">
        <v>0.09</v>
      </c>
      <c r="E162" s="1027" t="s">
        <v>1101</v>
      </c>
      <c r="F162" s="1027"/>
      <c r="G162" s="1027"/>
      <c r="H162" s="1031"/>
      <c r="I162" s="1027"/>
      <c r="J162" s="1026"/>
      <c r="K162" s="1027"/>
    </row>
    <row r="163" spans="2:11" ht="15">
      <c r="B163" s="1026" t="s">
        <v>1209</v>
      </c>
      <c r="C163" s="1027"/>
      <c r="D163" s="1373">
        <v>3.1E-2</v>
      </c>
      <c r="E163" s="1027" t="s">
        <v>1101</v>
      </c>
      <c r="F163" s="1027"/>
      <c r="G163" s="1027"/>
      <c r="H163" s="1031"/>
      <c r="I163" s="1027"/>
      <c r="J163" s="1026"/>
      <c r="K163" s="1027"/>
    </row>
    <row r="164" spans="2:11" ht="15">
      <c r="B164" s="1026" t="s">
        <v>1210</v>
      </c>
      <c r="C164" s="1027"/>
      <c r="D164" s="1373">
        <v>1.1299999999999999</v>
      </c>
      <c r="E164" s="1027" t="s">
        <v>1101</v>
      </c>
      <c r="F164" s="1027"/>
      <c r="G164" s="1027"/>
      <c r="H164" s="1031"/>
      <c r="I164" s="1027"/>
      <c r="J164" s="1026"/>
      <c r="K164" s="1027"/>
    </row>
    <row r="165" spans="2:11" ht="15">
      <c r="B165" s="1026" t="s">
        <v>1211</v>
      </c>
      <c r="C165" s="1027"/>
      <c r="D165" s="1373">
        <v>0.01</v>
      </c>
      <c r="E165" s="1027" t="s">
        <v>1101</v>
      </c>
      <c r="F165" s="1027"/>
      <c r="G165" s="1027"/>
      <c r="H165" s="1031"/>
      <c r="I165" s="1027"/>
      <c r="J165" s="1026"/>
      <c r="K165" s="1027"/>
    </row>
    <row r="166" spans="2:11" ht="15">
      <c r="B166" s="1026" t="s">
        <v>1212</v>
      </c>
      <c r="C166" s="1027"/>
      <c r="D166" s="1373">
        <v>3.0000000000000001E-3</v>
      </c>
      <c r="E166" s="1027" t="s">
        <v>1101</v>
      </c>
      <c r="F166" s="1027"/>
      <c r="G166" s="1027"/>
      <c r="H166" s="1031"/>
      <c r="I166" s="1027"/>
      <c r="J166" s="1026"/>
      <c r="K166" s="1027"/>
    </row>
    <row r="167" spans="2:11" ht="15">
      <c r="B167" s="1026" t="s">
        <v>1213</v>
      </c>
      <c r="C167" s="1027"/>
      <c r="D167" s="1373">
        <v>1.0999999999999999E-2</v>
      </c>
      <c r="E167" s="1027" t="s">
        <v>1101</v>
      </c>
      <c r="F167" s="1027"/>
      <c r="G167" s="1027"/>
      <c r="H167" s="1031"/>
      <c r="I167" s="1027"/>
      <c r="J167" s="1026"/>
      <c r="K167" s="1027"/>
    </row>
    <row r="168" spans="2:11" ht="15">
      <c r="B168" s="1026" t="s">
        <v>1214</v>
      </c>
      <c r="C168" s="1027"/>
      <c r="D168" s="1370">
        <v>88.6</v>
      </c>
      <c r="E168" s="1027" t="s">
        <v>1101</v>
      </c>
      <c r="F168" s="1027"/>
      <c r="G168" s="1027"/>
      <c r="H168" s="1031"/>
      <c r="I168" s="1027"/>
      <c r="J168" s="1026"/>
      <c r="K168" s="1027"/>
    </row>
    <row r="169" spans="2:11" ht="15">
      <c r="B169" s="1026" t="s">
        <v>1215</v>
      </c>
      <c r="C169" s="1027"/>
      <c r="D169" s="1370">
        <v>90.8</v>
      </c>
      <c r="E169" s="1027" t="s">
        <v>1101</v>
      </c>
      <c r="F169" s="1027"/>
      <c r="G169" s="1027"/>
      <c r="H169" s="1031"/>
      <c r="I169" s="1027"/>
      <c r="J169" s="1026"/>
      <c r="K169" s="1027"/>
    </row>
    <row r="170" spans="2:11" ht="15">
      <c r="B170" s="1026"/>
      <c r="C170" s="1027"/>
      <c r="D170" s="1370"/>
      <c r="E170" s="1027"/>
      <c r="F170" s="1027"/>
      <c r="G170" s="1027"/>
      <c r="H170" s="1031"/>
      <c r="I170" s="1027"/>
      <c r="J170" s="1026"/>
      <c r="K170" s="1027"/>
    </row>
    <row r="171" spans="2:11" ht="15">
      <c r="B171" s="1026"/>
      <c r="C171" s="1027"/>
      <c r="D171" s="1370"/>
      <c r="E171" s="1027"/>
      <c r="F171" s="1027"/>
      <c r="G171" s="1027"/>
      <c r="H171" s="1031"/>
      <c r="I171" s="1027"/>
      <c r="J171" s="1026"/>
      <c r="K171" s="1027"/>
    </row>
    <row r="172" spans="2:11" ht="15">
      <c r="B172" s="1026"/>
      <c r="C172" s="1027"/>
      <c r="D172" s="1370"/>
      <c r="E172" s="1027"/>
      <c r="F172" s="1027"/>
      <c r="G172" s="1027"/>
      <c r="H172" s="1031"/>
      <c r="I172" s="1027"/>
      <c r="J172" s="1026"/>
      <c r="K172" s="1027"/>
    </row>
    <row r="173" spans="2:11" ht="15">
      <c r="B173" s="1026"/>
      <c r="C173" s="1027"/>
      <c r="D173" s="1370"/>
      <c r="E173" s="1027"/>
      <c r="F173" s="1027"/>
      <c r="G173" s="1027"/>
      <c r="H173" s="1031"/>
      <c r="I173" s="1027"/>
      <c r="J173" s="1026"/>
      <c r="K173" s="1027"/>
    </row>
    <row r="174" spans="2:11" ht="15">
      <c r="B174" s="1026"/>
      <c r="C174" s="1027"/>
      <c r="D174" s="1370"/>
      <c r="E174" s="1027"/>
      <c r="F174" s="1027"/>
      <c r="G174" s="1027"/>
      <c r="H174" s="1031"/>
      <c r="I174" s="1027"/>
      <c r="J174" s="1026"/>
      <c r="K174" s="1027"/>
    </row>
    <row r="175" spans="2:11" ht="15">
      <c r="B175" s="1026"/>
      <c r="C175" s="1027"/>
      <c r="D175" s="1370"/>
      <c r="E175" s="1027"/>
      <c r="F175" s="1027"/>
      <c r="G175" s="1027"/>
      <c r="H175" s="1027"/>
      <c r="I175" s="1027"/>
      <c r="J175" s="1026"/>
      <c r="K175" s="1027"/>
    </row>
    <row r="176" spans="2:11" ht="15">
      <c r="B176" s="1029" t="s">
        <v>1109</v>
      </c>
      <c r="C176" s="1030"/>
      <c r="D176" s="1370"/>
      <c r="E176" s="1030"/>
      <c r="F176" s="1027"/>
      <c r="G176" s="1030"/>
      <c r="H176" s="1027"/>
      <c r="I176" s="1027"/>
      <c r="J176" s="1029"/>
      <c r="K176" s="1027"/>
    </row>
    <row r="177" spans="2:11" ht="15">
      <c r="B177" s="1026" t="s">
        <v>1216</v>
      </c>
      <c r="C177" s="1027"/>
      <c r="D177" s="1370">
        <v>19.399999999999999</v>
      </c>
      <c r="E177" s="1027" t="s">
        <v>1101</v>
      </c>
      <c r="F177" s="1027"/>
      <c r="G177" s="1027"/>
      <c r="H177" s="1031"/>
      <c r="I177" s="1027"/>
      <c r="J177" s="1026"/>
      <c r="K177" s="1027"/>
    </row>
    <row r="178" spans="2:11" ht="15.75" thickBot="1">
      <c r="B178" s="1033" t="s">
        <v>1217</v>
      </c>
      <c r="C178" s="1034"/>
      <c r="D178" s="1374">
        <v>0.57999999999999996</v>
      </c>
      <c r="E178" s="1034" t="s">
        <v>1101</v>
      </c>
      <c r="F178" s="1034"/>
      <c r="G178" s="1034"/>
      <c r="H178" s="1035"/>
      <c r="I178" s="1034"/>
      <c r="J178" s="1026"/>
      <c r="K178" s="1027"/>
    </row>
    <row r="179" spans="2:11">
      <c r="B179" s="530" t="str">
        <f>CONCATENATE("Source: ",Referencer!$B$48)</f>
        <v>Source: 42, FORCE, Danish Energy Agency, 2013, Technology data for advanced bioenergy fuels.</v>
      </c>
    </row>
    <row r="181" spans="2:11" ht="13.5" thickBot="1"/>
    <row r="182" spans="2:11" ht="13.5" thickBot="1">
      <c r="B182" s="1045" t="s">
        <v>1218</v>
      </c>
      <c r="C182" s="1046" t="s">
        <v>1152</v>
      </c>
      <c r="D182" s="1047" t="s">
        <v>1153</v>
      </c>
      <c r="E182" s="1045" t="s">
        <v>1098</v>
      </c>
    </row>
    <row r="183" spans="2:11">
      <c r="B183" s="1048" t="s">
        <v>1194</v>
      </c>
      <c r="C183" s="1376">
        <v>100</v>
      </c>
      <c r="D183" s="1049"/>
      <c r="E183" s="1356" t="s">
        <v>1757</v>
      </c>
    </row>
    <row r="184" spans="2:11">
      <c r="B184" s="1050" t="s">
        <v>596</v>
      </c>
      <c r="C184" s="1051">
        <f>D162/D160*100</f>
        <v>8.6538461538461533</v>
      </c>
      <c r="D184" s="1052"/>
      <c r="E184" s="1356"/>
    </row>
    <row r="185" spans="2:11">
      <c r="B185" s="1050" t="s">
        <v>1195</v>
      </c>
      <c r="C185" s="1051"/>
      <c r="D185" s="1052">
        <f>1/D160*100</f>
        <v>96.153846153846146</v>
      </c>
      <c r="E185" s="1356"/>
    </row>
    <row r="186" spans="2:11">
      <c r="B186" s="1050" t="s">
        <v>945</v>
      </c>
      <c r="C186" s="1051"/>
      <c r="D186" s="1052">
        <f>D165/D160*100</f>
        <v>0.96153846153846156</v>
      </c>
      <c r="E186" s="1356"/>
    </row>
    <row r="187" spans="2:11">
      <c r="B187" s="1050" t="s">
        <v>951</v>
      </c>
      <c r="C187" s="1051"/>
      <c r="D187" s="1052">
        <f>D166/D160*100</f>
        <v>0.28846153846153849</v>
      </c>
      <c r="E187" s="1356"/>
    </row>
    <row r="188" spans="2:11">
      <c r="B188" s="1050" t="s">
        <v>964</v>
      </c>
      <c r="C188" s="1051"/>
      <c r="D188" s="1052">
        <f>D167/D160*100</f>
        <v>1.0576923076923075</v>
      </c>
      <c r="E188" s="1356"/>
    </row>
    <row r="189" spans="2:11" ht="13.5" thickBot="1">
      <c r="B189" s="1053" t="s">
        <v>1155</v>
      </c>
      <c r="C189" s="1054"/>
      <c r="D189" s="1055">
        <f>(100-D169)*SUM(C183:C184)/100</f>
        <v>9.9961538461538506</v>
      </c>
      <c r="E189" s="1357"/>
    </row>
    <row r="190" spans="2:11">
      <c r="B190" s="530" t="str">
        <f>CONCATENATE("Source: ",Referencer!$B$48)</f>
        <v>Source: 42, FORCE, Danish Energy Agency, 2013, Technology data for advanced bioenergy fuels.</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Supplementary!$B$238:$B$241</xm:f>
          </x14:formula1>
          <xm:sqref>C19</xm:sqref>
        </x14:dataValidation>
      </x14:dataValidation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tabColor rgb="FF00B0F0"/>
  </sheetPr>
  <dimension ref="A1:S192"/>
  <sheetViews>
    <sheetView topLeftCell="A56" zoomScale="80" zoomScaleNormal="80" workbookViewId="0">
      <selection activeCell="D105" sqref="D105:G105"/>
    </sheetView>
  </sheetViews>
  <sheetFormatPr defaultRowHeight="12.75"/>
  <cols>
    <col min="1" max="1" width="3.28515625" style="530" customWidth="1"/>
    <col min="2" max="2" width="36" style="530" customWidth="1"/>
    <col min="3" max="3" width="16.5703125" style="530" customWidth="1"/>
    <col min="4" max="4" width="18.5703125" style="530" customWidth="1"/>
    <col min="5" max="5" width="22.7109375" style="530" customWidth="1"/>
    <col min="6" max="8" width="15.7109375" style="530" customWidth="1"/>
    <col min="9" max="9" width="7.28515625" style="530" customWidth="1"/>
    <col min="10" max="10" width="12.7109375" style="530" customWidth="1"/>
    <col min="11" max="14" width="9.140625" style="530"/>
    <col min="15" max="17" width="9.28515625" style="530" bestFit="1" customWidth="1"/>
    <col min="18" max="19" width="9.42578125" style="530" bestFit="1" customWidth="1"/>
    <col min="20" max="16384" width="9.140625" style="530"/>
  </cols>
  <sheetData>
    <row r="1" spans="1:19" s="465" customFormat="1" ht="21">
      <c r="B1" s="465" t="str">
        <f>B155</f>
        <v>Diesel by MOGD technology</v>
      </c>
      <c r="Q1" s="467">
        <f ca="1">'Log2015'!M1</f>
        <v>-8.0112614142160741</v>
      </c>
      <c r="R1" s="468">
        <f ca="1">'Log2015'!N1</f>
        <v>-160807.124977848</v>
      </c>
    </row>
    <row r="2" spans="1:19">
      <c r="B2" s="530" t="s">
        <v>1237</v>
      </c>
      <c r="Q2" s="958">
        <f ca="1">Q1</f>
        <v>-8.0112614142160741</v>
      </c>
      <c r="R2" s="958">
        <f ca="1">R1</f>
        <v>-160807.124977848</v>
      </c>
      <c r="S2" s="959">
        <f>S1</f>
        <v>0</v>
      </c>
    </row>
    <row r="3" spans="1:19">
      <c r="A3" s="530" t="s">
        <v>1078</v>
      </c>
    </row>
    <row r="4" spans="1:19">
      <c r="B4" s="960" t="s">
        <v>81</v>
      </c>
    </row>
    <row r="5" spans="1:19" ht="13.5" thickBot="1"/>
    <row r="6" spans="1:19">
      <c r="B6" s="961" t="s">
        <v>137</v>
      </c>
      <c r="C6" s="962"/>
      <c r="D6" s="962"/>
      <c r="E6" s="962"/>
      <c r="F6" s="962"/>
      <c r="G6" s="962"/>
      <c r="H6" s="962"/>
      <c r="I6" s="962"/>
      <c r="J6" s="962"/>
      <c r="K6" s="962"/>
      <c r="L6" s="962"/>
      <c r="M6" s="962"/>
      <c r="N6" s="963"/>
    </row>
    <row r="7" spans="1:19">
      <c r="B7" s="964"/>
      <c r="C7" s="555"/>
      <c r="D7" s="555"/>
      <c r="E7" s="555"/>
      <c r="F7" s="555"/>
      <c r="G7" s="555"/>
      <c r="H7" s="555"/>
      <c r="I7" s="555"/>
      <c r="J7" s="555"/>
      <c r="K7" s="555"/>
      <c r="L7" s="555"/>
      <c r="M7" s="555"/>
      <c r="N7" s="965"/>
    </row>
    <row r="8" spans="1:19">
      <c r="B8" s="964"/>
      <c r="C8" s="555"/>
      <c r="D8" s="555"/>
      <c r="E8" s="555"/>
      <c r="F8" s="555"/>
      <c r="G8" s="555"/>
      <c r="H8" s="555"/>
      <c r="I8" s="555"/>
      <c r="J8" s="555"/>
      <c r="K8" s="555"/>
      <c r="L8" s="555"/>
      <c r="M8" s="555"/>
      <c r="N8" s="965"/>
    </row>
    <row r="9" spans="1:19">
      <c r="B9" s="964"/>
      <c r="C9" s="555"/>
      <c r="D9" s="555"/>
      <c r="E9" s="555"/>
      <c r="F9" s="555"/>
      <c r="G9" s="555"/>
      <c r="H9" s="555"/>
      <c r="I9" s="555"/>
      <c r="J9" s="555"/>
      <c r="K9" s="555"/>
      <c r="L9" s="555"/>
      <c r="M9" s="555"/>
      <c r="N9" s="965"/>
    </row>
    <row r="10" spans="1:19">
      <c r="B10" s="964"/>
      <c r="C10" s="555"/>
      <c r="D10" s="555"/>
      <c r="E10" s="555"/>
      <c r="F10" s="555"/>
      <c r="G10" s="555"/>
      <c r="H10" s="555"/>
      <c r="I10" s="555"/>
      <c r="J10" s="555"/>
      <c r="K10" s="555"/>
      <c r="L10" s="555"/>
      <c r="M10" s="555"/>
      <c r="N10" s="965"/>
    </row>
    <row r="11" spans="1:19">
      <c r="B11" s="964" t="s">
        <v>138</v>
      </c>
      <c r="C11" s="1056" t="s">
        <v>1080</v>
      </c>
      <c r="D11" s="555"/>
      <c r="E11" s="555"/>
      <c r="F11" s="555"/>
      <c r="G11" s="555"/>
      <c r="H11" s="555"/>
      <c r="I11" s="555"/>
      <c r="J11" s="555"/>
      <c r="K11" s="555"/>
      <c r="L11" s="555"/>
      <c r="M11" s="555"/>
      <c r="N11" s="965"/>
    </row>
    <row r="12" spans="1:19">
      <c r="B12" s="964"/>
      <c r="C12" s="555"/>
      <c r="D12" s="555"/>
      <c r="E12" s="555"/>
      <c r="F12" s="555"/>
      <c r="G12" s="555"/>
      <c r="H12" s="555"/>
      <c r="I12" s="555"/>
      <c r="J12" s="555"/>
      <c r="K12" s="555"/>
      <c r="L12" s="555"/>
      <c r="M12" s="555"/>
      <c r="N12" s="965"/>
    </row>
    <row r="13" spans="1:19">
      <c r="B13" s="964" t="s">
        <v>140</v>
      </c>
      <c r="C13" s="1057" t="s">
        <v>2</v>
      </c>
      <c r="D13" s="555"/>
      <c r="E13" s="555"/>
      <c r="F13" s="555"/>
      <c r="G13" s="555"/>
      <c r="H13" s="555"/>
      <c r="I13" s="555"/>
      <c r="J13" s="555"/>
      <c r="K13" s="555"/>
      <c r="L13" s="555"/>
      <c r="M13" s="555"/>
      <c r="N13" s="965"/>
    </row>
    <row r="14" spans="1:19">
      <c r="B14" s="964"/>
      <c r="C14" s="555"/>
      <c r="D14" s="555"/>
      <c r="E14" s="555"/>
      <c r="F14" s="555"/>
      <c r="G14" s="555"/>
      <c r="H14" s="555"/>
      <c r="I14" s="555"/>
      <c r="J14" s="555"/>
      <c r="K14" s="555"/>
      <c r="L14" s="555"/>
      <c r="M14" s="555"/>
      <c r="N14" s="965"/>
    </row>
    <row r="15" spans="1:19">
      <c r="B15" s="964" t="s">
        <v>141</v>
      </c>
      <c r="C15" s="555"/>
      <c r="D15" s="555"/>
      <c r="E15" s="555"/>
      <c r="F15" s="555"/>
      <c r="G15" s="555"/>
      <c r="H15" s="555"/>
      <c r="I15" s="555"/>
      <c r="J15" s="555"/>
      <c r="K15" s="555"/>
      <c r="L15" s="555"/>
      <c r="M15" s="555"/>
      <c r="N15" s="965"/>
    </row>
    <row r="16" spans="1:19">
      <c r="B16" s="964"/>
      <c r="C16" s="555"/>
      <c r="D16" s="555"/>
      <c r="E16" s="555"/>
      <c r="F16" s="555"/>
      <c r="G16" s="555"/>
      <c r="H16" s="555"/>
      <c r="I16" s="555"/>
      <c r="J16" s="555"/>
      <c r="K16" s="555"/>
      <c r="L16" s="555"/>
      <c r="M16" s="555"/>
      <c r="N16" s="965"/>
    </row>
    <row r="17" spans="2:14">
      <c r="B17" s="964" t="s">
        <v>142</v>
      </c>
      <c r="C17" s="555"/>
      <c r="D17" s="555"/>
      <c r="E17" s="555"/>
      <c r="F17" s="555"/>
      <c r="G17" s="555"/>
      <c r="H17" s="555"/>
      <c r="I17" s="555"/>
      <c r="J17" s="555"/>
      <c r="K17" s="555"/>
      <c r="L17" s="555"/>
      <c r="M17" s="555"/>
      <c r="N17" s="965"/>
    </row>
    <row r="18" spans="2:14">
      <c r="B18" s="964"/>
      <c r="C18" s="555"/>
      <c r="D18" s="555"/>
      <c r="E18" s="555"/>
      <c r="F18" s="555"/>
      <c r="G18" s="555"/>
      <c r="H18" s="555"/>
      <c r="I18" s="555"/>
      <c r="J18" s="555"/>
      <c r="K18" s="555"/>
      <c r="L18" s="555"/>
      <c r="M18" s="555"/>
      <c r="N18" s="965"/>
    </row>
    <row r="19" spans="2:14">
      <c r="B19" s="964" t="s">
        <v>2131</v>
      </c>
      <c r="C19" s="1693" t="s">
        <v>2121</v>
      </c>
      <c r="D19" s="555"/>
      <c r="E19" s="555"/>
      <c r="F19" s="555"/>
      <c r="G19" s="555"/>
      <c r="H19" s="555"/>
      <c r="I19" s="555"/>
      <c r="J19" s="555"/>
      <c r="K19" s="555"/>
      <c r="L19" s="555"/>
      <c r="M19" s="555"/>
      <c r="N19" s="965"/>
    </row>
    <row r="20" spans="2:14">
      <c r="B20" s="964"/>
      <c r="C20" s="555"/>
      <c r="D20" s="555"/>
      <c r="E20" s="555"/>
      <c r="F20" s="555"/>
      <c r="G20" s="555"/>
      <c r="H20" s="555"/>
      <c r="I20" s="555"/>
      <c r="J20" s="555"/>
      <c r="K20" s="555"/>
      <c r="L20" s="555"/>
      <c r="M20" s="555"/>
      <c r="N20" s="965"/>
    </row>
    <row r="21" spans="2:14">
      <c r="B21" s="964"/>
      <c r="C21" s="555"/>
      <c r="D21" s="555"/>
      <c r="E21" s="555"/>
      <c r="F21" s="555"/>
      <c r="G21" s="555"/>
      <c r="H21" s="555"/>
      <c r="I21" s="555"/>
      <c r="J21" s="555"/>
      <c r="K21" s="555"/>
      <c r="L21" s="555"/>
      <c r="M21" s="555"/>
      <c r="N21" s="965"/>
    </row>
    <row r="22" spans="2:14">
      <c r="B22" s="964" t="s">
        <v>143</v>
      </c>
      <c r="C22" s="555"/>
      <c r="D22" s="555"/>
      <c r="E22" s="555"/>
      <c r="F22" s="555"/>
      <c r="G22" s="555"/>
      <c r="H22" s="555"/>
      <c r="I22" s="555"/>
      <c r="J22" s="555"/>
      <c r="K22" s="555"/>
      <c r="L22" s="555"/>
      <c r="M22" s="555"/>
      <c r="N22" s="965"/>
    </row>
    <row r="23" spans="2:14">
      <c r="B23" s="964"/>
      <c r="C23" s="555"/>
      <c r="D23" s="555"/>
      <c r="E23" s="555"/>
      <c r="F23" s="555"/>
      <c r="G23" s="555"/>
      <c r="H23" s="555"/>
      <c r="I23" s="555"/>
      <c r="J23" s="555"/>
      <c r="K23" s="555"/>
      <c r="L23" s="555"/>
      <c r="M23" s="555"/>
      <c r="N23" s="965"/>
    </row>
    <row r="24" spans="2:14" ht="13.5" thickBot="1">
      <c r="B24" s="967"/>
      <c r="C24" s="968"/>
      <c r="D24" s="968"/>
      <c r="E24" s="968"/>
      <c r="F24" s="968"/>
      <c r="G24" s="968"/>
      <c r="H24" s="968"/>
      <c r="I24" s="968"/>
      <c r="J24" s="968"/>
      <c r="K24" s="968"/>
      <c r="L24" s="968"/>
      <c r="M24" s="968"/>
      <c r="N24" s="969"/>
    </row>
    <row r="25" spans="2:14">
      <c r="F25" s="529"/>
      <c r="G25" s="529"/>
      <c r="H25" s="529"/>
    </row>
    <row r="26" spans="2:14">
      <c r="B26" s="960" t="s">
        <v>144</v>
      </c>
    </row>
    <row r="27" spans="2:14" ht="13.5" thickBot="1"/>
    <row r="28" spans="2:14">
      <c r="B28" s="961"/>
      <c r="C28" s="970"/>
      <c r="D28" s="962"/>
      <c r="E28" s="962"/>
      <c r="F28" s="962"/>
      <c r="G28" s="962"/>
      <c r="H28" s="962"/>
      <c r="I28" s="962"/>
      <c r="J28" s="963"/>
    </row>
    <row r="29" spans="2:14">
      <c r="B29" s="971"/>
      <c r="C29" s="972" t="s">
        <v>70</v>
      </c>
      <c r="D29" s="973">
        <v>2015</v>
      </c>
      <c r="E29" s="973">
        <v>2020</v>
      </c>
      <c r="F29" s="973">
        <v>2035</v>
      </c>
      <c r="G29" s="973">
        <v>2050</v>
      </c>
      <c r="H29" s="973" t="s">
        <v>978</v>
      </c>
      <c r="I29" s="556" t="s">
        <v>145</v>
      </c>
      <c r="J29" s="974" t="s">
        <v>146</v>
      </c>
    </row>
    <row r="30" spans="2:14">
      <c r="B30" s="975" t="s">
        <v>147</v>
      </c>
      <c r="C30" s="976"/>
      <c r="D30" s="977"/>
      <c r="E30" s="977"/>
      <c r="F30" s="977"/>
      <c r="G30" s="977"/>
      <c r="H30" s="977"/>
      <c r="I30" s="555"/>
      <c r="J30" s="965"/>
    </row>
    <row r="31" spans="2:14">
      <c r="B31" s="964" t="s">
        <v>148</v>
      </c>
      <c r="C31" s="976" t="s">
        <v>1238</v>
      </c>
      <c r="D31" s="1333">
        <f>1/D161</f>
        <v>0.37037037037037035</v>
      </c>
      <c r="E31" s="1333">
        <f>$D31</f>
        <v>0.37037037037037035</v>
      </c>
      <c r="F31" s="1333">
        <f>$D31</f>
        <v>0.37037037037037035</v>
      </c>
      <c r="G31" s="1333">
        <f>$D31</f>
        <v>0.37037037037037035</v>
      </c>
      <c r="H31" s="1333"/>
      <c r="I31" s="1358"/>
      <c r="J31" s="965"/>
    </row>
    <row r="32" spans="2:14">
      <c r="B32" s="964" t="s">
        <v>67</v>
      </c>
      <c r="C32" s="976" t="s">
        <v>1223</v>
      </c>
      <c r="D32" s="979">
        <f>D159/D158</f>
        <v>44</v>
      </c>
      <c r="E32" s="978">
        <f t="shared" ref="E32:G34" si="0">$D32</f>
        <v>44</v>
      </c>
      <c r="F32" s="978">
        <f t="shared" si="0"/>
        <v>44</v>
      </c>
      <c r="G32" s="978">
        <f t="shared" si="0"/>
        <v>44</v>
      </c>
      <c r="H32" s="978"/>
      <c r="I32" s="555"/>
      <c r="J32" s="965"/>
    </row>
    <row r="33" spans="2:10">
      <c r="B33" s="964" t="s">
        <v>149</v>
      </c>
      <c r="C33" s="976" t="s">
        <v>1224</v>
      </c>
      <c r="D33" s="1396">
        <f>D158</f>
        <v>120000</v>
      </c>
      <c r="E33" s="1396">
        <f t="shared" si="0"/>
        <v>120000</v>
      </c>
      <c r="F33" s="1396">
        <f t="shared" si="0"/>
        <v>120000</v>
      </c>
      <c r="G33" s="1396">
        <f t="shared" si="0"/>
        <v>120000</v>
      </c>
      <c r="H33" s="1397"/>
      <c r="I33" s="555"/>
      <c r="J33" s="965"/>
    </row>
    <row r="34" spans="2:10">
      <c r="B34" s="964" t="s">
        <v>150</v>
      </c>
      <c r="C34" s="976" t="s">
        <v>34</v>
      </c>
      <c r="D34" s="1360">
        <f>20</f>
        <v>20</v>
      </c>
      <c r="E34" s="1360">
        <f t="shared" si="0"/>
        <v>20</v>
      </c>
      <c r="F34" s="1360">
        <f t="shared" si="0"/>
        <v>20</v>
      </c>
      <c r="G34" s="1360">
        <f t="shared" si="0"/>
        <v>20</v>
      </c>
      <c r="H34" s="1332"/>
      <c r="I34" s="555"/>
      <c r="J34" s="965" t="s">
        <v>1087</v>
      </c>
    </row>
    <row r="35" spans="2:10">
      <c r="B35" s="964"/>
      <c r="C35" s="981"/>
      <c r="D35" s="982"/>
      <c r="E35" s="983"/>
      <c r="F35" s="983"/>
      <c r="G35" s="983"/>
      <c r="H35" s="983"/>
      <c r="I35" s="555"/>
      <c r="J35" s="965"/>
    </row>
    <row r="36" spans="2:10">
      <c r="B36" s="975" t="s">
        <v>151</v>
      </c>
      <c r="C36" s="981"/>
      <c r="D36" s="982"/>
      <c r="E36" s="983"/>
      <c r="F36" s="983"/>
      <c r="G36" s="983"/>
      <c r="H36" s="983"/>
      <c r="I36" s="555"/>
      <c r="J36" s="965"/>
    </row>
    <row r="37" spans="2:10">
      <c r="B37" s="964" t="str">
        <f>ProcessEnergy!B35</f>
        <v xml:space="preserve">Green diesel </v>
      </c>
      <c r="C37" s="976" t="s">
        <v>1239</v>
      </c>
      <c r="D37" s="978"/>
      <c r="E37" s="984"/>
      <c r="F37" s="984"/>
      <c r="G37" s="984"/>
      <c r="H37" s="984"/>
      <c r="I37" s="555"/>
      <c r="J37" s="965"/>
    </row>
    <row r="38" spans="2:10">
      <c r="B38" s="985" t="str">
        <f>ProcessEnergy!B36</f>
        <v>Green gasoline</v>
      </c>
      <c r="C38" s="976" t="s">
        <v>1239</v>
      </c>
      <c r="D38" s="2309">
        <f>$D$190%+$D$189%</f>
        <v>0.15000000000000002</v>
      </c>
      <c r="E38" s="2309">
        <f>D38</f>
        <v>0.15000000000000002</v>
      </c>
      <c r="F38" s="2309">
        <f>E38</f>
        <v>0.15000000000000002</v>
      </c>
      <c r="G38" s="2309">
        <f>F38</f>
        <v>0.15000000000000002</v>
      </c>
      <c r="H38" s="984"/>
      <c r="I38" s="555" t="s">
        <v>2437</v>
      </c>
      <c r="J38" s="965" t="s">
        <v>2439</v>
      </c>
    </row>
    <row r="39" spans="2:10">
      <c r="B39" s="985" t="str">
        <f>ProcessEnergy!B37</f>
        <v>Electricity - balancing</v>
      </c>
      <c r="C39" s="976"/>
      <c r="D39" s="984"/>
      <c r="E39" s="984"/>
      <c r="F39" s="984"/>
      <c r="G39" s="984"/>
      <c r="H39" s="984"/>
      <c r="I39" s="555"/>
      <c r="J39" s="965"/>
    </row>
    <row r="40" spans="2:10">
      <c r="B40" s="985" t="str">
        <f>ProcessEnergy!B38</f>
        <v>Electricity  - continous</v>
      </c>
      <c r="C40" s="976"/>
      <c r="D40" s="984"/>
      <c r="E40" s="984"/>
      <c r="F40" s="984"/>
      <c r="G40" s="984"/>
      <c r="H40" s="984"/>
      <c r="I40" s="555"/>
      <c r="J40" s="965"/>
    </row>
    <row r="41" spans="2:10">
      <c r="B41" s="985" t="str">
        <f>ProcessEnergy!B39</f>
        <v>Elec/heat fuel</v>
      </c>
      <c r="C41" s="976"/>
      <c r="D41" s="984"/>
      <c r="E41" s="984"/>
      <c r="F41" s="984"/>
      <c r="G41" s="984"/>
      <c r="H41" s="984"/>
      <c r="I41" s="555"/>
      <c r="J41" s="965"/>
    </row>
    <row r="42" spans="2:10">
      <c r="B42" s="985" t="str">
        <f>ProcessEnergy!B40</f>
        <v>Biogas (100% CH4)</v>
      </c>
      <c r="C42" s="976"/>
      <c r="D42" s="984"/>
      <c r="E42" s="984"/>
      <c r="F42" s="984"/>
      <c r="G42" s="984"/>
      <c r="H42" s="984"/>
      <c r="I42" s="555"/>
      <c r="J42" s="965"/>
    </row>
    <row r="43" spans="2:10">
      <c r="B43" s="985" t="str">
        <f>ProcessEnergy!B41</f>
        <v>District heating</v>
      </c>
      <c r="C43" s="976" t="s">
        <v>1239</v>
      </c>
      <c r="D43" s="978">
        <f>C151*C152</f>
        <v>0</v>
      </c>
      <c r="E43" s="978">
        <f>$D43</f>
        <v>0</v>
      </c>
      <c r="F43" s="978">
        <f>$D43</f>
        <v>0</v>
      </c>
      <c r="G43" s="978">
        <f>$D43</f>
        <v>0</v>
      </c>
      <c r="H43" s="978"/>
      <c r="I43" s="555"/>
      <c r="J43" s="965"/>
    </row>
    <row r="44" spans="2:10">
      <c r="B44" s="985" t="str">
        <f>ProcessEnergy!B42</f>
        <v>&lt;empty&gt;</v>
      </c>
      <c r="C44" s="976"/>
      <c r="D44" s="978"/>
      <c r="E44" s="978"/>
      <c r="F44" s="978"/>
      <c r="G44" s="978"/>
      <c r="H44" s="978"/>
      <c r="I44" s="555"/>
      <c r="J44" s="965"/>
    </row>
    <row r="45" spans="2:10">
      <c r="B45" s="985" t="str">
        <f>ProcessEnergy!B43</f>
        <v>&lt;empty&gt;</v>
      </c>
      <c r="C45" s="976"/>
      <c r="D45" s="978"/>
      <c r="E45" s="978"/>
      <c r="F45" s="978"/>
      <c r="G45" s="978"/>
      <c r="H45" s="978"/>
      <c r="I45" s="555"/>
      <c r="J45" s="965"/>
    </row>
    <row r="46" spans="2:10">
      <c r="B46" s="985" t="str">
        <f>ProcessEnergy!B44</f>
        <v>&lt;empty&gt;</v>
      </c>
      <c r="C46" s="976"/>
      <c r="D46" s="978"/>
      <c r="E46" s="978"/>
      <c r="F46" s="978"/>
      <c r="G46" s="978"/>
      <c r="H46" s="978"/>
      <c r="I46" s="555"/>
      <c r="J46" s="965"/>
    </row>
    <row r="47" spans="2:10">
      <c r="B47" s="985" t="str">
        <f>ProcessEnergy!B45</f>
        <v>&lt;empty&gt;</v>
      </c>
      <c r="C47" s="976"/>
      <c r="D47" s="978"/>
      <c r="E47" s="978"/>
      <c r="F47" s="978"/>
      <c r="G47" s="978"/>
      <c r="H47" s="978"/>
      <c r="I47" s="555"/>
      <c r="J47" s="965"/>
    </row>
    <row r="48" spans="2:10">
      <c r="B48" s="985" t="str">
        <f>ProcessEnergy!B46</f>
        <v>&lt;empty&gt;</v>
      </c>
      <c r="C48" s="976"/>
      <c r="D48" s="978"/>
      <c r="E48" s="978"/>
      <c r="F48" s="978"/>
      <c r="G48" s="978"/>
      <c r="H48" s="978"/>
      <c r="I48" s="555"/>
      <c r="J48" s="965"/>
    </row>
    <row r="49" spans="2:10">
      <c r="B49" s="985" t="str">
        <f>ProcessEnergy!B47</f>
        <v>&lt;empty&gt;</v>
      </c>
      <c r="C49" s="976"/>
      <c r="D49" s="978"/>
      <c r="E49" s="978"/>
      <c r="F49" s="978"/>
      <c r="G49" s="978"/>
      <c r="H49" s="978"/>
      <c r="I49" s="555"/>
      <c r="J49" s="965"/>
    </row>
    <row r="50" spans="2:10">
      <c r="B50" s="985" t="str">
        <f>ProcessEnergy!B48</f>
        <v>Glycerol</v>
      </c>
      <c r="C50" s="976"/>
      <c r="D50" s="978"/>
      <c r="E50" s="978"/>
      <c r="F50" s="978"/>
      <c r="G50" s="978"/>
      <c r="H50" s="978"/>
      <c r="I50" s="555"/>
      <c r="J50" s="965"/>
    </row>
    <row r="51" spans="2:10">
      <c r="B51" s="985" t="str">
        <f>ProcessEnergy!B49</f>
        <v>&lt;empty&gt;</v>
      </c>
      <c r="C51" s="976"/>
      <c r="D51" s="978"/>
      <c r="E51" s="978"/>
      <c r="F51" s="978"/>
      <c r="G51" s="978"/>
      <c r="H51" s="978"/>
      <c r="I51" s="555"/>
      <c r="J51" s="965"/>
    </row>
    <row r="52" spans="2:10">
      <c r="B52" s="985" t="str">
        <f>ProcessEnergy!B51</f>
        <v>Fodder (wheat like)</v>
      </c>
      <c r="C52" s="976"/>
      <c r="D52" s="984"/>
      <c r="E52" s="984"/>
      <c r="F52" s="984"/>
      <c r="G52" s="984"/>
      <c r="H52" s="984"/>
      <c r="I52" s="555"/>
      <c r="J52" s="965"/>
    </row>
    <row r="53" spans="2:10">
      <c r="B53" s="985" t="str">
        <f>ProcessEnergy!B52</f>
        <v>Rape seed cake</v>
      </c>
      <c r="C53" s="976"/>
      <c r="D53" s="984"/>
      <c r="E53" s="984"/>
      <c r="F53" s="984"/>
      <c r="G53" s="984"/>
      <c r="H53" s="984"/>
      <c r="I53" s="555"/>
      <c r="J53" s="965"/>
    </row>
    <row r="54" spans="2:10">
      <c r="B54" s="985" t="str">
        <f>ProcessEnergy!B53</f>
        <v>&lt;empty&gt;</v>
      </c>
      <c r="C54" s="976"/>
      <c r="D54" s="978"/>
      <c r="E54" s="984"/>
      <c r="F54" s="984"/>
      <c r="G54" s="984"/>
      <c r="H54" s="984"/>
      <c r="I54" s="555"/>
      <c r="J54" s="965"/>
    </row>
    <row r="55" spans="2:10">
      <c r="B55" s="985" t="str">
        <f>ProcessEnergy!B54</f>
        <v>DDGS</v>
      </c>
      <c r="C55" s="976"/>
      <c r="D55" s="978"/>
      <c r="E55" s="984"/>
      <c r="F55" s="984"/>
      <c r="G55" s="984"/>
      <c r="H55" s="984"/>
      <c r="I55" s="555"/>
      <c r="J55" s="965"/>
    </row>
    <row r="56" spans="2:10">
      <c r="B56" s="964"/>
      <c r="C56" s="976"/>
      <c r="D56" s="984"/>
      <c r="E56" s="984"/>
      <c r="F56" s="984"/>
      <c r="G56" s="984"/>
      <c r="H56" s="984"/>
      <c r="I56" s="555"/>
      <c r="J56" s="965"/>
    </row>
    <row r="57" spans="2:10">
      <c r="B57" s="975" t="s">
        <v>873</v>
      </c>
      <c r="C57" s="976"/>
      <c r="D57" s="984"/>
      <c r="E57" s="984"/>
      <c r="F57" s="984"/>
      <c r="G57" s="984"/>
      <c r="H57" s="984"/>
      <c r="I57" s="555"/>
      <c r="J57" s="965"/>
    </row>
    <row r="58" spans="2:10">
      <c r="B58" s="964" t="str">
        <f>ProcessEnergy!B5</f>
        <v>EL - peakload</v>
      </c>
      <c r="C58" s="976" t="s">
        <v>1239</v>
      </c>
      <c r="D58" s="978">
        <f>C186%</f>
        <v>5.0000000000000001E-3</v>
      </c>
      <c r="E58" s="984"/>
      <c r="F58" s="984"/>
      <c r="G58" s="984"/>
      <c r="H58" s="984"/>
      <c r="I58" s="555"/>
      <c r="J58" s="965"/>
    </row>
    <row r="59" spans="2:10">
      <c r="B59" s="964" t="str">
        <f>ProcessEnergy!B6</f>
        <v>El - baseload</v>
      </c>
      <c r="C59" s="976" t="s">
        <v>877</v>
      </c>
      <c r="D59" s="978"/>
      <c r="E59" s="984"/>
      <c r="F59" s="984"/>
      <c r="G59" s="984"/>
      <c r="H59" s="984"/>
      <c r="I59" s="555"/>
      <c r="J59" s="965"/>
    </row>
    <row r="60" spans="2:10">
      <c r="B60" s="964" t="str">
        <f>ProcessEnergy!B7</f>
        <v xml:space="preserve">Varme </v>
      </c>
      <c r="C60" s="976" t="s">
        <v>877</v>
      </c>
      <c r="D60" s="978">
        <f>C187%</f>
        <v>3.3333333333333333E-2</v>
      </c>
      <c r="E60" s="984"/>
      <c r="F60" s="984"/>
      <c r="G60" s="984"/>
      <c r="H60" s="984"/>
      <c r="I60" s="555"/>
      <c r="J60" s="965"/>
    </row>
    <row r="61" spans="2:10">
      <c r="B61" s="964" t="str">
        <f>ProcessEnergy!B8</f>
        <v>Damp</v>
      </c>
      <c r="C61" s="976" t="s">
        <v>877</v>
      </c>
      <c r="D61" s="978"/>
      <c r="E61" s="984"/>
      <c r="F61" s="984"/>
      <c r="G61" s="984"/>
      <c r="H61" s="984"/>
      <c r="I61" s="555"/>
      <c r="J61" s="965"/>
    </row>
    <row r="62" spans="2:10">
      <c r="B62" s="964" t="str">
        <f>ProcessEnergy!B9</f>
        <v xml:space="preserve">Olie </v>
      </c>
      <c r="C62" s="976" t="s">
        <v>877</v>
      </c>
      <c r="D62" s="978"/>
      <c r="E62" s="984"/>
      <c r="F62" s="984"/>
      <c r="G62" s="984"/>
      <c r="H62" s="984"/>
      <c r="I62" s="555"/>
      <c r="J62" s="965"/>
    </row>
    <row r="63" spans="2:10">
      <c r="B63" s="964" t="str">
        <f>ProcessEnergy!B10</f>
        <v>Kul</v>
      </c>
      <c r="C63" s="976" t="s">
        <v>877</v>
      </c>
      <c r="D63" s="978"/>
      <c r="E63" s="984"/>
      <c r="F63" s="984"/>
      <c r="G63" s="984"/>
      <c r="H63" s="984"/>
      <c r="I63" s="555"/>
      <c r="J63" s="965"/>
    </row>
    <row r="64" spans="2:10">
      <c r="B64" s="964" t="str">
        <f>ProcessEnergy!B11</f>
        <v>Naturgas kedel</v>
      </c>
      <c r="C64" s="976" t="s">
        <v>877</v>
      </c>
      <c r="D64" s="978"/>
      <c r="E64" s="984"/>
      <c r="F64" s="984"/>
      <c r="G64" s="984"/>
      <c r="H64" s="984"/>
      <c r="I64" s="555"/>
      <c r="J64" s="965"/>
    </row>
    <row r="65" spans="2:10">
      <c r="B65" s="964" t="str">
        <f>ProcessEnergy!B12</f>
        <v>Gylle</v>
      </c>
      <c r="C65" s="976" t="s">
        <v>877</v>
      </c>
      <c r="D65" s="978"/>
      <c r="E65" s="984"/>
      <c r="F65" s="984"/>
      <c r="G65" s="984"/>
      <c r="H65" s="984"/>
      <c r="I65" s="555"/>
      <c r="J65" s="965"/>
    </row>
    <row r="66" spans="2:10">
      <c r="B66" s="964" t="str">
        <f>ProcessEnergy!B13</f>
        <v>Affald</v>
      </c>
      <c r="C66" s="976" t="s">
        <v>877</v>
      </c>
      <c r="D66" s="978"/>
      <c r="E66" s="984"/>
      <c r="F66" s="984"/>
      <c r="G66" s="984"/>
      <c r="H66" s="984"/>
      <c r="I66" s="555"/>
      <c r="J66" s="965"/>
    </row>
    <row r="67" spans="2:10">
      <c r="B67" s="964" t="str">
        <f>ProcessEnergy!B14</f>
        <v>Hydrogen</v>
      </c>
      <c r="C67" s="976" t="s">
        <v>1239</v>
      </c>
      <c r="D67" s="978">
        <f>C184%</f>
        <v>3.3333333333333335E-3</v>
      </c>
      <c r="E67" s="984"/>
      <c r="F67" s="984"/>
      <c r="G67" s="984"/>
      <c r="H67" s="984"/>
      <c r="I67" s="555"/>
      <c r="J67" s="965"/>
    </row>
    <row r="68" spans="2:10">
      <c r="B68" s="964" t="str">
        <f>ProcessEnergy!B15</f>
        <v>Biomasse</v>
      </c>
      <c r="C68" s="976" t="s">
        <v>877</v>
      </c>
      <c r="D68" s="978"/>
      <c r="E68" s="984"/>
      <c r="F68" s="984"/>
      <c r="G68" s="984"/>
      <c r="H68" s="984"/>
      <c r="I68" s="555"/>
      <c r="J68" s="965"/>
    </row>
    <row r="69" spans="2:10">
      <c r="B69" s="964" t="str">
        <f>ProcessEnergy!B16</f>
        <v>Methanol</v>
      </c>
      <c r="C69" s="976"/>
      <c r="D69" s="978"/>
      <c r="E69" s="984"/>
      <c r="F69" s="984"/>
      <c r="G69" s="984"/>
      <c r="H69" s="984"/>
      <c r="I69" s="555"/>
      <c r="J69" s="965"/>
    </row>
    <row r="70" spans="2:10">
      <c r="B70" s="964" t="str">
        <f>ProcessEnergy!B17</f>
        <v>&lt;empty&gt;</v>
      </c>
      <c r="C70" s="976"/>
      <c r="D70" s="978"/>
      <c r="E70" s="984"/>
      <c r="F70" s="984"/>
      <c r="G70" s="984"/>
      <c r="H70" s="984"/>
      <c r="I70" s="555"/>
      <c r="J70" s="965"/>
    </row>
    <row r="71" spans="2:10">
      <c r="B71" s="964" t="str">
        <f>ProcessEnergy!B18</f>
        <v>&lt;empty&gt;</v>
      </c>
      <c r="C71" s="976"/>
      <c r="D71" s="978"/>
      <c r="E71" s="984"/>
      <c r="F71" s="984"/>
      <c r="G71" s="984"/>
      <c r="H71" s="984"/>
      <c r="I71" s="555"/>
      <c r="J71" s="965"/>
    </row>
    <row r="72" spans="2:10">
      <c r="B72" s="964" t="str">
        <f>ProcessEnergy!B19</f>
        <v>&lt;empty&gt;</v>
      </c>
      <c r="C72" s="976"/>
      <c r="D72" s="978"/>
      <c r="E72" s="984"/>
      <c r="F72" s="984"/>
      <c r="G72" s="984"/>
      <c r="H72" s="984"/>
      <c r="I72" s="555"/>
      <c r="J72" s="965"/>
    </row>
    <row r="73" spans="2:10">
      <c r="B73" s="964" t="str">
        <f>ProcessEnergy!B20</f>
        <v>&lt;empty&gt;</v>
      </c>
      <c r="C73" s="976"/>
      <c r="D73" s="978"/>
      <c r="E73" s="984"/>
      <c r="F73" s="984"/>
      <c r="G73" s="984"/>
      <c r="H73" s="984"/>
      <c r="I73" s="555"/>
      <c r="J73" s="965"/>
    </row>
    <row r="74" spans="2:10">
      <c r="B74" s="964" t="str">
        <f>ProcessEnergy!B21</f>
        <v>&lt;empty&gt;</v>
      </c>
      <c r="C74" s="976"/>
      <c r="D74" s="978"/>
      <c r="E74" s="984"/>
      <c r="F74" s="984"/>
      <c r="G74" s="984"/>
      <c r="H74" s="984"/>
      <c r="I74" s="555"/>
      <c r="J74" s="965"/>
    </row>
    <row r="75" spans="2:10">
      <c r="B75" s="964" t="str">
        <f>ProcessEnergy!B22</f>
        <v>&lt;empty&gt;</v>
      </c>
      <c r="C75" s="976"/>
      <c r="D75" s="978"/>
      <c r="E75" s="984"/>
      <c r="F75" s="984"/>
      <c r="G75" s="984"/>
      <c r="H75" s="984"/>
      <c r="I75" s="555"/>
      <c r="J75" s="965"/>
    </row>
    <row r="76" spans="2:10">
      <c r="B76" s="964" t="str">
        <f>ProcessEnergy!B23</f>
        <v>&lt;empty&gt;</v>
      </c>
      <c r="C76" s="976"/>
      <c r="D76" s="978"/>
      <c r="E76" s="984"/>
      <c r="F76" s="984"/>
      <c r="G76" s="984"/>
      <c r="H76" s="984"/>
      <c r="I76" s="555"/>
      <c r="J76" s="965"/>
    </row>
    <row r="77" spans="2:10">
      <c r="B77" s="964" t="str">
        <f>ProcessEnergy!B24</f>
        <v>&lt;empty&gt;</v>
      </c>
      <c r="C77" s="976" t="s">
        <v>1239</v>
      </c>
      <c r="D77" s="978">
        <f>C185%</f>
        <v>1.6666666666666666E-2</v>
      </c>
      <c r="E77" s="984"/>
      <c r="F77" s="984"/>
      <c r="G77" s="984"/>
      <c r="H77" s="984"/>
      <c r="I77" s="555"/>
      <c r="J77" s="965"/>
    </row>
    <row r="78" spans="2:10">
      <c r="B78" s="964"/>
      <c r="C78" s="976"/>
      <c r="D78" s="978"/>
      <c r="E78" s="984"/>
      <c r="F78" s="984"/>
      <c r="G78" s="984"/>
      <c r="H78" s="984"/>
      <c r="I78" s="555"/>
      <c r="J78" s="965"/>
    </row>
    <row r="79" spans="2:10">
      <c r="B79" s="964"/>
      <c r="C79" s="976"/>
      <c r="D79" s="984"/>
      <c r="E79" s="984"/>
      <c r="F79" s="984"/>
      <c r="G79" s="984"/>
      <c r="H79" s="984"/>
      <c r="I79" s="555"/>
      <c r="J79" s="965"/>
    </row>
    <row r="80" spans="2:10">
      <c r="B80" s="964"/>
      <c r="C80" s="976"/>
      <c r="D80" s="986"/>
      <c r="E80" s="986"/>
      <c r="F80" s="986"/>
      <c r="G80" s="986"/>
      <c r="H80" s="986"/>
      <c r="I80" s="555"/>
      <c r="J80" s="965"/>
    </row>
    <row r="81" spans="1:17">
      <c r="B81" s="975" t="s">
        <v>152</v>
      </c>
      <c r="C81" s="976"/>
      <c r="D81" s="986"/>
      <c r="E81" s="986"/>
      <c r="F81" s="986"/>
      <c r="G81" s="986"/>
      <c r="H81" s="986"/>
      <c r="I81" s="555"/>
      <c r="J81" s="965"/>
    </row>
    <row r="82" spans="1:17">
      <c r="A82" s="530">
        <v>4</v>
      </c>
      <c r="B82" s="964" t="s">
        <v>462</v>
      </c>
      <c r="C82" s="976" t="s">
        <v>725</v>
      </c>
      <c r="D82" s="1633">
        <v>1</v>
      </c>
      <c r="E82" s="978">
        <f t="shared" ref="E82:G88" si="1">$D82</f>
        <v>1</v>
      </c>
      <c r="F82" s="978">
        <f t="shared" si="1"/>
        <v>1</v>
      </c>
      <c r="G82" s="978">
        <f t="shared" si="1"/>
        <v>1</v>
      </c>
      <c r="H82" s="978"/>
      <c r="I82" s="555"/>
      <c r="J82" s="965"/>
    </row>
    <row r="83" spans="1:17">
      <c r="B83" s="964" t="s">
        <v>153</v>
      </c>
      <c r="C83" s="976" t="s">
        <v>725</v>
      </c>
      <c r="D83" s="978">
        <f>D82*SUM(D58:D78)</f>
        <v>5.8333333333333334E-2</v>
      </c>
      <c r="E83" s="978">
        <f t="shared" si="1"/>
        <v>5.8333333333333334E-2</v>
      </c>
      <c r="F83" s="978">
        <f t="shared" si="1"/>
        <v>5.8333333333333334E-2</v>
      </c>
      <c r="G83" s="978">
        <f t="shared" si="1"/>
        <v>5.8333333333333334E-2</v>
      </c>
      <c r="H83" s="1334"/>
      <c r="I83" s="555"/>
      <c r="J83" s="965"/>
    </row>
    <row r="84" spans="1:17">
      <c r="B84" s="964" t="s">
        <v>1092</v>
      </c>
      <c r="C84" s="976" t="s">
        <v>725</v>
      </c>
      <c r="D84" s="987">
        <f>D82*SUM(D37:D55)</f>
        <v>0.15000000000000002</v>
      </c>
      <c r="E84" s="978">
        <f t="shared" si="1"/>
        <v>0.15000000000000002</v>
      </c>
      <c r="F84" s="978">
        <f t="shared" si="1"/>
        <v>0.15000000000000002</v>
      </c>
      <c r="G84" s="978">
        <f t="shared" si="1"/>
        <v>0.15000000000000002</v>
      </c>
      <c r="H84" s="978"/>
      <c r="I84" s="555"/>
      <c r="J84" s="965"/>
    </row>
    <row r="85" spans="1:17">
      <c r="B85" s="964" t="s">
        <v>1240</v>
      </c>
      <c r="C85" s="976" t="s">
        <v>725</v>
      </c>
      <c r="D85" s="987">
        <f>(1/D160)*D82</f>
        <v>0.83333333333333337</v>
      </c>
      <c r="E85" s="978">
        <f t="shared" si="1"/>
        <v>0.83333333333333337</v>
      </c>
      <c r="F85" s="978">
        <f t="shared" si="1"/>
        <v>0.83333333333333337</v>
      </c>
      <c r="G85" s="978">
        <f t="shared" si="1"/>
        <v>0.83333333333333337</v>
      </c>
      <c r="H85" s="978"/>
      <c r="I85" s="555"/>
      <c r="J85" s="965"/>
    </row>
    <row r="86" spans="1:17">
      <c r="B86" s="985" t="s">
        <v>155</v>
      </c>
      <c r="C86" s="976" t="s">
        <v>725</v>
      </c>
      <c r="D86" s="987">
        <f>SUM(D82:D83)-SUM(D84:D85)</f>
        <v>7.4999999999999956E-2</v>
      </c>
      <c r="E86" s="978">
        <f t="shared" si="1"/>
        <v>7.4999999999999956E-2</v>
      </c>
      <c r="F86" s="978">
        <f t="shared" si="1"/>
        <v>7.4999999999999956E-2</v>
      </c>
      <c r="G86" s="978">
        <f t="shared" si="1"/>
        <v>7.4999999999999956E-2</v>
      </c>
      <c r="H86" s="978"/>
      <c r="I86" s="555"/>
      <c r="J86" s="965"/>
    </row>
    <row r="87" spans="1:17">
      <c r="B87" s="985" t="s">
        <v>156</v>
      </c>
      <c r="C87" s="988" t="s">
        <v>726</v>
      </c>
      <c r="D87" s="989">
        <f>SUM(D84:D85)/SUM(D82:D83)</f>
        <v>0.92913385826771655</v>
      </c>
      <c r="E87" s="990">
        <f t="shared" si="1"/>
        <v>0.92913385826771655</v>
      </c>
      <c r="F87" s="990">
        <f t="shared" si="1"/>
        <v>0.92913385826771655</v>
      </c>
      <c r="G87" s="990">
        <f t="shared" si="1"/>
        <v>0.92913385826771655</v>
      </c>
      <c r="H87" s="990"/>
      <c r="I87" s="555"/>
      <c r="J87" s="965"/>
    </row>
    <row r="88" spans="1:17">
      <c r="B88" s="964"/>
      <c r="C88" s="976"/>
      <c r="D88" s="989">
        <f>D172/100</f>
        <v>0.91099999999999992</v>
      </c>
      <c r="E88" s="990">
        <f t="shared" si="1"/>
        <v>0.91099999999999992</v>
      </c>
      <c r="F88" s="990">
        <f t="shared" si="1"/>
        <v>0.91099999999999992</v>
      </c>
      <c r="G88" s="990">
        <f t="shared" si="1"/>
        <v>0.91099999999999992</v>
      </c>
      <c r="H88" s="990"/>
      <c r="I88" s="555"/>
      <c r="J88" s="965"/>
      <c r="N88" s="557"/>
    </row>
    <row r="89" spans="1:17">
      <c r="B89" s="975" t="s">
        <v>2116</v>
      </c>
      <c r="C89" s="976"/>
      <c r="D89" s="983"/>
      <c r="E89" s="983"/>
      <c r="F89" s="983"/>
      <c r="G89" s="983"/>
      <c r="H89" s="983"/>
      <c r="I89" s="555"/>
      <c r="J89" s="965"/>
      <c r="N89" s="991"/>
      <c r="O89" s="991"/>
      <c r="P89" s="991"/>
      <c r="Q89" s="991"/>
    </row>
    <row r="90" spans="1:17">
      <c r="B90" s="964" t="s">
        <v>157</v>
      </c>
      <c r="C90" s="976" t="s">
        <v>61</v>
      </c>
      <c r="D90" s="992">
        <f ca="1">HLOOKUP($H99,Supplementary!$C$44:$AF$46,3,FALSE)*D99*D$110</f>
        <v>916989670.14549541</v>
      </c>
      <c r="E90" s="992">
        <f ca="1">HLOOKUP($H99,Supplementary!$C$44:$AF$46,3,FALSE)*E99*E$110</f>
        <v>871140186.63822055</v>
      </c>
      <c r="F90" s="992">
        <f ca="1">HLOOKUP($H99,Supplementary!$C$44:$AF$46,3,FALSE)*F99*F$110</f>
        <v>786204018.44099402</v>
      </c>
      <c r="G90" s="992">
        <f ca="1">HLOOKUP($H99,Supplementary!$C$44:$AF$46,3,FALSE)*G99*G$110</f>
        <v>640368086.79530489</v>
      </c>
      <c r="H90" s="555">
        <f t="shared" ref="H90:H96" si="2">priceYear</f>
        <v>2015</v>
      </c>
      <c r="I90" s="555"/>
      <c r="J90" s="965"/>
      <c r="N90" s="991"/>
      <c r="O90" s="991"/>
      <c r="P90" s="991"/>
      <c r="Q90" s="991"/>
    </row>
    <row r="91" spans="1:17">
      <c r="B91" s="964" t="s">
        <v>160</v>
      </c>
      <c r="C91" s="976" t="s">
        <v>464</v>
      </c>
      <c r="D91" s="555">
        <f ca="1">SUM(D92:D96)</f>
        <v>-4.6111933525565476</v>
      </c>
      <c r="E91" s="555">
        <f ca="1">SUM(E92:E96)</f>
        <v>-6.2427360391077364</v>
      </c>
      <c r="F91" s="555">
        <f ca="1">SUM(F92:F96)</f>
        <v>-9.7927475367732164</v>
      </c>
      <c r="G91" s="555">
        <f ca="1">SUM(G92:G96)</f>
        <v>-12.841480100195291</v>
      </c>
      <c r="H91" s="555">
        <f t="shared" si="2"/>
        <v>2015</v>
      </c>
      <c r="I91" s="555"/>
      <c r="J91" s="965"/>
      <c r="N91" s="991"/>
      <c r="O91" s="991"/>
      <c r="P91" s="991"/>
      <c r="Q91" s="991"/>
    </row>
    <row r="92" spans="1:17">
      <c r="B92" s="995" t="s">
        <v>162</v>
      </c>
      <c r="C92" s="976" t="s">
        <v>464</v>
      </c>
      <c r="D92" s="992">
        <f ca="1">HLOOKUP($H101,Supplementary!$C$44:$AF$46,3,FALSE)*D101*D$110</f>
        <v>13.935913552957041</v>
      </c>
      <c r="E92" s="555">
        <f ca="1">HLOOKUP($H101,Supplementary!$C$44:$AF$46,3,FALSE)*E101*E$110</f>
        <v>13.239117875309189</v>
      </c>
      <c r="F92" s="555">
        <f ca="1">HLOOKUP($H101,Supplementary!$C$44:$AF$46,3,FALSE)*F101*F$110</f>
        <v>11.948303882466542</v>
      </c>
      <c r="G92" s="555">
        <f ca="1">HLOOKUP($H101,Supplementary!$C$44:$AF$46,3,FALSE)*G101*G$110</f>
        <v>9.7319681891682635</v>
      </c>
      <c r="H92" s="555">
        <f t="shared" si="2"/>
        <v>2015</v>
      </c>
      <c r="I92" s="555"/>
      <c r="J92" s="965"/>
      <c r="N92" s="991"/>
      <c r="O92" s="991"/>
      <c r="P92" s="991"/>
      <c r="Q92" s="991"/>
    </row>
    <row r="93" spans="1:17">
      <c r="B93" s="995" t="s">
        <v>163</v>
      </c>
      <c r="C93" s="976" t="s">
        <v>464</v>
      </c>
      <c r="D93" s="992">
        <f ca="1">HLOOKUP($H102,Supplementary!$C$44:$AF$46,3,FALSE)*D102*D$110</f>
        <v>5.2339593044834229</v>
      </c>
      <c r="E93" s="555">
        <f ca="1">HLOOKUP($H102,Supplementary!$C$44:$AF$46,3,FALSE)*E102*E$110</f>
        <v>4.9722613392592514</v>
      </c>
      <c r="F93" s="555">
        <f ca="1">HLOOKUP($H102,Supplementary!$C$44:$AF$46,3,FALSE)*F102*F$110</f>
        <v>4.4874658586814737</v>
      </c>
      <c r="G93" s="555">
        <f ca="1">HLOOKUP($H102,Supplementary!$C$44:$AF$46,3,FALSE)*G102*G$110</f>
        <v>3.6550689885576775</v>
      </c>
      <c r="H93" s="555">
        <f t="shared" si="2"/>
        <v>2015</v>
      </c>
      <c r="I93" s="555"/>
      <c r="J93" s="965"/>
      <c r="N93" s="991"/>
      <c r="O93" s="991"/>
      <c r="P93" s="991"/>
      <c r="Q93" s="991"/>
    </row>
    <row r="94" spans="1:17">
      <c r="B94" s="995" t="s">
        <v>164</v>
      </c>
      <c r="C94" s="976" t="s">
        <v>464</v>
      </c>
      <c r="D94" s="992">
        <f>HLOOKUP($H103,Supplementary!$C$44:$AF$46,3,FALSE)*D103</f>
        <v>0</v>
      </c>
      <c r="E94" s="555">
        <f>HLOOKUP($H103,Supplementary!$C$44:$AF$46,3,FALSE)*E103</f>
        <v>0</v>
      </c>
      <c r="F94" s="555">
        <f>HLOOKUP($H103,Supplementary!$C$44:$AF$46,3,FALSE)*F103</f>
        <v>0</v>
      </c>
      <c r="G94" s="555">
        <f>HLOOKUP($H103,Supplementary!$C$44:$AF$46,3,FALSE)*G103</f>
        <v>0</v>
      </c>
      <c r="H94" s="555">
        <f t="shared" si="2"/>
        <v>2015</v>
      </c>
      <c r="I94" s="555"/>
      <c r="J94" s="965"/>
      <c r="N94" s="991"/>
      <c r="O94" s="991"/>
      <c r="P94" s="991"/>
      <c r="Q94" s="991"/>
    </row>
    <row r="95" spans="1:17">
      <c r="B95" s="995" t="s">
        <v>264</v>
      </c>
      <c r="C95" s="976" t="s">
        <v>464</v>
      </c>
      <c r="D95" s="992">
        <f ca="1">HLOOKUP($H104,Supplementary!$C$44:$AF$46,3,FALSE)*D104*D$110</f>
        <v>0</v>
      </c>
      <c r="E95" s="555">
        <f ca="1">HLOOKUP($H104,Supplementary!$C$44:$AF$46,3,FALSE)*E104*E$110</f>
        <v>0</v>
      </c>
      <c r="F95" s="555">
        <f ca="1">HLOOKUP($H104,Supplementary!$C$44:$AF$46,3,FALSE)*F104*F$110</f>
        <v>0</v>
      </c>
      <c r="G95" s="555">
        <f ca="1">HLOOKUP($H104,Supplementary!$C$44:$AF$46,3,FALSE)*G104*G$110</f>
        <v>0</v>
      </c>
      <c r="H95" s="555">
        <f t="shared" si="2"/>
        <v>2015</v>
      </c>
      <c r="I95" s="555"/>
      <c r="J95" s="965"/>
      <c r="N95" s="991"/>
      <c r="O95" s="991"/>
      <c r="P95" s="991"/>
      <c r="Q95" s="991"/>
    </row>
    <row r="96" spans="1:17">
      <c r="B96" s="995" t="s">
        <v>165</v>
      </c>
      <c r="C96" s="976" t="s">
        <v>464</v>
      </c>
      <c r="D96" s="992">
        <f ca="1">HLOOKUP($H105,Supplementary!$C$44:$AF$46,3,FALSE)*D105</f>
        <v>-23.781066209997011</v>
      </c>
      <c r="E96" s="555">
        <f ca="1">HLOOKUP($H105,Supplementary!$C$44:$AF$46,3,FALSE)*E105</f>
        <v>-24.454115253676175</v>
      </c>
      <c r="F96" s="555">
        <f ca="1">HLOOKUP($H105,Supplementary!$C$44:$AF$46,3,FALSE)*F105</f>
        <v>-26.228517277921231</v>
      </c>
      <c r="G96" s="555">
        <f ca="1">HLOOKUP($H105,Supplementary!$C$44:$AF$46,3,FALSE)*G105</f>
        <v>-26.228517277921231</v>
      </c>
      <c r="H96" s="555">
        <f t="shared" si="2"/>
        <v>2015</v>
      </c>
      <c r="I96" s="555"/>
      <c r="J96" s="965"/>
      <c r="N96" s="991"/>
      <c r="O96" s="991"/>
      <c r="P96" s="991"/>
      <c r="Q96" s="991"/>
    </row>
    <row r="97" spans="1:17">
      <c r="B97" s="975"/>
      <c r="C97" s="976"/>
      <c r="D97" s="992"/>
      <c r="E97" s="983"/>
      <c r="F97" s="983"/>
      <c r="G97" s="983"/>
      <c r="H97" s="983"/>
      <c r="I97" s="555"/>
      <c r="J97" s="965"/>
      <c r="N97" s="991"/>
      <c r="O97" s="991"/>
      <c r="P97" s="991"/>
      <c r="Q97" s="991"/>
    </row>
    <row r="98" spans="1:17">
      <c r="B98" s="975" t="s">
        <v>2117</v>
      </c>
      <c r="C98" s="976"/>
      <c r="D98" s="992"/>
      <c r="E98" s="983"/>
      <c r="F98" s="983"/>
      <c r="G98" s="983"/>
      <c r="H98" s="983"/>
      <c r="I98" s="555"/>
      <c r="J98" s="965"/>
      <c r="N98" s="991"/>
      <c r="O98" s="991"/>
      <c r="P98" s="991"/>
      <c r="Q98" s="991"/>
    </row>
    <row r="99" spans="1:17">
      <c r="B99" s="964" t="s">
        <v>157</v>
      </c>
      <c r="C99" s="976" t="s">
        <v>61</v>
      </c>
      <c r="D99" s="992">
        <f>D159*D177*dkkPerEUR</f>
        <v>861458399.99999988</v>
      </c>
      <c r="E99" s="992">
        <f t="shared" ref="E99:G102" si="3">$D99</f>
        <v>861458399.99999988</v>
      </c>
      <c r="F99" s="992">
        <f t="shared" si="3"/>
        <v>861458399.99999988</v>
      </c>
      <c r="G99" s="992">
        <f t="shared" si="3"/>
        <v>861458399.99999988</v>
      </c>
      <c r="H99" s="1668">
        <v>2011</v>
      </c>
      <c r="I99" s="555"/>
      <c r="J99" s="965"/>
      <c r="N99" s="991"/>
      <c r="O99" s="991"/>
      <c r="P99" s="991"/>
      <c r="Q99" s="991"/>
    </row>
    <row r="100" spans="1:17">
      <c r="B100" s="964" t="s">
        <v>160</v>
      </c>
      <c r="C100" s="976" t="s">
        <v>464</v>
      </c>
      <c r="D100" s="993">
        <f ca="1">SUM(D101:D105)</f>
        <v>-4.3319476510064945</v>
      </c>
      <c r="E100" s="978">
        <f t="shared" ca="1" si="3"/>
        <v>-4.3319476510064945</v>
      </c>
      <c r="F100" s="978">
        <f t="shared" ca="1" si="3"/>
        <v>-4.3319476510064945</v>
      </c>
      <c r="G100" s="978">
        <f t="shared" ca="1" si="3"/>
        <v>-4.3319476510064945</v>
      </c>
      <c r="H100" s="1668">
        <v>2011</v>
      </c>
      <c r="I100" s="994"/>
      <c r="J100" s="965"/>
      <c r="N100" s="991"/>
      <c r="O100" s="991"/>
      <c r="P100" s="991"/>
      <c r="Q100" s="991"/>
    </row>
    <row r="101" spans="1:17">
      <c r="B101" s="995" t="s">
        <v>162</v>
      </c>
      <c r="C101" s="976" t="s">
        <v>464</v>
      </c>
      <c r="D101" s="993">
        <f ca="1">-PMT(rSØK,D34,D99)/$D$159</f>
        <v>13.091979313097239</v>
      </c>
      <c r="E101" s="978">
        <f t="shared" ca="1" si="3"/>
        <v>13.091979313097239</v>
      </c>
      <c r="F101" s="978">
        <f t="shared" ca="1" si="3"/>
        <v>13.091979313097239</v>
      </c>
      <c r="G101" s="978">
        <f t="shared" ca="1" si="3"/>
        <v>13.091979313097239</v>
      </c>
      <c r="H101" s="1668">
        <v>2011</v>
      </c>
      <c r="I101" s="1335"/>
      <c r="J101" s="965"/>
      <c r="N101" s="991"/>
      <c r="O101" s="991"/>
      <c r="P101" s="991"/>
      <c r="Q101" s="991"/>
    </row>
    <row r="102" spans="1:17">
      <c r="B102" s="995" t="s">
        <v>163</v>
      </c>
      <c r="C102" s="976" t="s">
        <v>464</v>
      </c>
      <c r="D102" s="480">
        <f>IF(D141&gt;0,D177*D141*dkkPerEUR,D178*dkkPerEUR)</f>
        <v>4.9170000000000007</v>
      </c>
      <c r="E102" s="480">
        <f t="shared" si="3"/>
        <v>4.9170000000000007</v>
      </c>
      <c r="F102" s="480">
        <f t="shared" si="3"/>
        <v>4.9170000000000007</v>
      </c>
      <c r="G102" s="480">
        <f t="shared" si="3"/>
        <v>4.9170000000000007</v>
      </c>
      <c r="H102" s="1668">
        <v>2011</v>
      </c>
      <c r="I102" s="1335"/>
      <c r="J102" s="965"/>
      <c r="N102" s="991"/>
      <c r="O102" s="991"/>
      <c r="P102" s="991"/>
      <c r="Q102" s="991"/>
    </row>
    <row r="103" spans="1:17">
      <c r="A103" s="530">
        <v>6</v>
      </c>
      <c r="B103" s="995" t="s">
        <v>164</v>
      </c>
      <c r="C103" s="976" t="s">
        <v>464</v>
      </c>
      <c r="D103" s="997"/>
      <c r="E103" s="997"/>
      <c r="F103" s="997"/>
      <c r="G103" s="997"/>
      <c r="H103" s="1668">
        <v>2011</v>
      </c>
      <c r="I103" s="555"/>
      <c r="J103" s="965"/>
      <c r="N103" s="991"/>
      <c r="O103" s="991"/>
      <c r="P103" s="991"/>
      <c r="Q103" s="991"/>
    </row>
    <row r="104" spans="1:17">
      <c r="B104" s="995" t="s">
        <v>264</v>
      </c>
      <c r="C104" s="976" t="s">
        <v>464</v>
      </c>
      <c r="D104" s="997"/>
      <c r="E104" s="997"/>
      <c r="F104" s="997"/>
      <c r="G104" s="997"/>
      <c r="H104" s="1668">
        <v>2011</v>
      </c>
      <c r="I104" s="555"/>
      <c r="J104" s="965"/>
      <c r="N104" s="991"/>
      <c r="O104" s="991"/>
      <c r="P104" s="991"/>
      <c r="Q104" s="991"/>
    </row>
    <row r="105" spans="1:17">
      <c r="B105" s="995" t="s">
        <v>165</v>
      </c>
      <c r="C105" s="976" t="s">
        <v>464</v>
      </c>
      <c r="D105" s="996">
        <f ca="1">-SUMPRODUCT(D36:D55,ProcessEnergy!M34:M53)/D85</f>
        <v>-22.340926964103733</v>
      </c>
      <c r="E105" s="996">
        <f ca="1">-SUMPRODUCT(E36:E55,ProcessEnergy!N34:N53)/E85</f>
        <v>-22.973217349880258</v>
      </c>
      <c r="F105" s="996">
        <f ca="1">-SUMPRODUCT(F36:F55,ProcessEnergy!O34:O53)/F85</f>
        <v>-24.640164730563807</v>
      </c>
      <c r="G105" s="996">
        <f ca="1">-SUMPRODUCT(G36:G55,ProcessEnergy!P34:P53)/G85</f>
        <v>-24.640164730563807</v>
      </c>
      <c r="H105" s="1668">
        <v>2011</v>
      </c>
      <c r="I105" s="555"/>
      <c r="J105" s="965"/>
      <c r="N105" s="991"/>
      <c r="O105" s="991"/>
      <c r="P105" s="991"/>
      <c r="Q105" s="991"/>
    </row>
    <row r="106" spans="1:17">
      <c r="B106" s="995"/>
      <c r="C106" s="976"/>
      <c r="D106" s="2311"/>
      <c r="E106" s="2311"/>
      <c r="F106" s="2311"/>
      <c r="G106" s="2311"/>
      <c r="H106" s="983"/>
      <c r="I106" s="994"/>
      <c r="J106" s="965"/>
      <c r="N106" s="991"/>
      <c r="O106" s="991"/>
      <c r="P106" s="991"/>
      <c r="Q106" s="991"/>
    </row>
    <row r="107" spans="1:17">
      <c r="B107" s="975" t="s">
        <v>2113</v>
      </c>
      <c r="C107" s="976"/>
      <c r="D107" s="983"/>
      <c r="E107" s="983"/>
      <c r="F107" s="983"/>
      <c r="G107" s="983"/>
      <c r="H107" s="983"/>
      <c r="I107" s="994"/>
      <c r="J107" s="965"/>
      <c r="N107" s="991"/>
      <c r="O107" s="991"/>
      <c r="P107" s="991"/>
      <c r="Q107" s="991"/>
    </row>
    <row r="108" spans="1:17">
      <c r="B108" s="995" t="s">
        <v>2114</v>
      </c>
      <c r="C108" s="976"/>
      <c r="D108" s="1696">
        <v>0.95</v>
      </c>
      <c r="E108" s="1696">
        <v>0.95</v>
      </c>
      <c r="F108" s="1696">
        <v>0.95</v>
      </c>
      <c r="G108" s="1696">
        <v>0.95</v>
      </c>
      <c r="H108" s="983"/>
      <c r="I108" s="994"/>
      <c r="J108" s="965"/>
      <c r="N108" s="991"/>
      <c r="O108" s="991"/>
      <c r="P108" s="991"/>
      <c r="Q108" s="991"/>
    </row>
    <row r="109" spans="1:17">
      <c r="B109" s="995" t="s">
        <v>2666</v>
      </c>
      <c r="C109" s="976"/>
      <c r="D109" s="478">
        <f ca="1">OFFSET(Supplementary!C$237,MATCH($C$19,Supplementary!$B$238:$B$241,0),0)</f>
        <v>1</v>
      </c>
      <c r="E109" s="478">
        <f ca="1">OFFSET(Supplementary!D$237,MATCH($C$19,Supplementary!$B$238:$B$241,0),0)</f>
        <v>2</v>
      </c>
      <c r="F109" s="478">
        <f ca="1">OFFSET(Supplementary!E$237,MATCH($C$19,Supplementary!$B$238:$B$241,0),0)</f>
        <v>4</v>
      </c>
      <c r="G109" s="478">
        <f ca="1">OFFSET(Supplementary!F$237,MATCH($C$19,Supplementary!$B$238:$B$241,0),0)</f>
        <v>8</v>
      </c>
      <c r="H109" s="983"/>
      <c r="I109" s="994"/>
      <c r="J109" s="965"/>
      <c r="N109" s="991"/>
      <c r="O109" s="991"/>
      <c r="P109" s="991"/>
      <c r="Q109" s="991"/>
    </row>
    <row r="110" spans="1:17">
      <c r="B110" s="995" t="s">
        <v>2115</v>
      </c>
      <c r="C110" s="976"/>
      <c r="D110" s="1698">
        <f ca="1">1*D108^(D109-1)</f>
        <v>1</v>
      </c>
      <c r="E110" s="1698">
        <f ca="1">1*E108^(E109-1)</f>
        <v>0.95</v>
      </c>
      <c r="F110" s="1698">
        <f ca="1">1*F108^(F109-1)</f>
        <v>0.85737499999999989</v>
      </c>
      <c r="G110" s="1698">
        <f ca="1">1*G108^(G109-1)</f>
        <v>0.69833729609374995</v>
      </c>
      <c r="H110" s="983"/>
      <c r="I110" s="994"/>
      <c r="J110" s="965"/>
      <c r="N110" s="991"/>
      <c r="O110" s="991"/>
      <c r="P110" s="991"/>
      <c r="Q110" s="991"/>
    </row>
    <row r="111" spans="1:17">
      <c r="B111" s="995"/>
      <c r="C111" s="976"/>
      <c r="D111" s="983"/>
      <c r="E111" s="983"/>
      <c r="F111" s="983"/>
      <c r="G111" s="983"/>
      <c r="H111" s="983"/>
      <c r="I111" s="994"/>
      <c r="J111" s="965"/>
      <c r="N111" s="991"/>
      <c r="O111" s="991"/>
      <c r="P111" s="991"/>
      <c r="Q111" s="991"/>
    </row>
    <row r="112" spans="1:17">
      <c r="B112" s="975" t="s">
        <v>166</v>
      </c>
      <c r="C112" s="976"/>
      <c r="D112" s="983"/>
      <c r="E112" s="983"/>
      <c r="F112" s="983"/>
      <c r="G112" s="983"/>
      <c r="H112" s="983"/>
      <c r="I112" s="994"/>
      <c r="J112" s="965"/>
      <c r="N112" s="998"/>
      <c r="O112" s="998"/>
      <c r="P112" s="998"/>
      <c r="Q112" s="991"/>
    </row>
    <row r="113" spans="2:17">
      <c r="B113" s="964" t="s">
        <v>24</v>
      </c>
      <c r="C113" s="976" t="s">
        <v>465</v>
      </c>
      <c r="D113" s="999">
        <v>0</v>
      </c>
      <c r="E113" s="999">
        <v>0</v>
      </c>
      <c r="F113" s="999">
        <v>0</v>
      </c>
      <c r="G113" s="999"/>
      <c r="H113" s="999"/>
      <c r="I113" s="1335" t="s">
        <v>1747</v>
      </c>
      <c r="J113" s="965"/>
      <c r="N113" s="991"/>
      <c r="O113" s="991"/>
      <c r="P113" s="991"/>
      <c r="Q113" s="991"/>
    </row>
    <row r="114" spans="2:17">
      <c r="B114" s="964" t="s">
        <v>27</v>
      </c>
      <c r="C114" s="976" t="s">
        <v>465</v>
      </c>
      <c r="D114" s="999">
        <v>0</v>
      </c>
      <c r="E114" s="999">
        <v>0</v>
      </c>
      <c r="F114" s="999">
        <v>0</v>
      </c>
      <c r="G114" s="999"/>
      <c r="H114" s="999"/>
      <c r="I114" s="1335" t="s">
        <v>1747</v>
      </c>
      <c r="J114" s="965"/>
      <c r="N114" s="991"/>
      <c r="O114" s="991"/>
      <c r="P114" s="991"/>
      <c r="Q114" s="991"/>
    </row>
    <row r="115" spans="2:17">
      <c r="B115" s="964" t="s">
        <v>28</v>
      </c>
      <c r="C115" s="976" t="s">
        <v>465</v>
      </c>
      <c r="D115" s="999">
        <v>0</v>
      </c>
      <c r="E115" s="999">
        <v>0</v>
      </c>
      <c r="F115" s="999">
        <v>0</v>
      </c>
      <c r="G115" s="999"/>
      <c r="H115" s="999"/>
      <c r="I115" s="1335" t="s">
        <v>1747</v>
      </c>
      <c r="J115" s="965"/>
      <c r="N115" s="991"/>
      <c r="O115" s="991"/>
      <c r="P115" s="991"/>
      <c r="Q115" s="991"/>
    </row>
    <row r="116" spans="2:17">
      <c r="B116" s="964" t="s">
        <v>26</v>
      </c>
      <c r="C116" s="976" t="s">
        <v>465</v>
      </c>
      <c r="D116" s="999">
        <v>0</v>
      </c>
      <c r="E116" s="999">
        <v>0</v>
      </c>
      <c r="F116" s="999">
        <v>0</v>
      </c>
      <c r="G116" s="999"/>
      <c r="H116" s="999"/>
      <c r="I116" s="1335" t="s">
        <v>1747</v>
      </c>
      <c r="J116" s="965"/>
      <c r="N116" s="991"/>
      <c r="O116" s="991"/>
      <c r="P116" s="991"/>
      <c r="Q116" s="991"/>
    </row>
    <row r="117" spans="2:17">
      <c r="B117" s="964" t="s">
        <v>167</v>
      </c>
      <c r="C117" s="976" t="s">
        <v>465</v>
      </c>
      <c r="D117" s="999">
        <v>0</v>
      </c>
      <c r="E117" s="999">
        <v>0</v>
      </c>
      <c r="F117" s="999">
        <v>0</v>
      </c>
      <c r="G117" s="999"/>
      <c r="H117" s="999"/>
      <c r="I117" s="1335" t="s">
        <v>1747</v>
      </c>
      <c r="J117" s="965"/>
      <c r="N117" s="998"/>
      <c r="O117" s="998"/>
      <c r="P117" s="998"/>
      <c r="Q117" s="998"/>
    </row>
    <row r="118" spans="2:17">
      <c r="B118" s="964" t="s">
        <v>45</v>
      </c>
      <c r="C118" s="976" t="s">
        <v>465</v>
      </c>
      <c r="D118" s="1000"/>
      <c r="E118" s="1000"/>
      <c r="F118" s="1000"/>
      <c r="G118" s="1000"/>
      <c r="H118" s="1000"/>
      <c r="I118" s="555"/>
      <c r="J118" s="965"/>
    </row>
    <row r="119" spans="2:17" ht="13.5" thickBot="1">
      <c r="B119" s="1001"/>
      <c r="C119" s="1002"/>
      <c r="D119" s="1003"/>
      <c r="E119" s="968"/>
      <c r="F119" s="968"/>
      <c r="G119" s="968"/>
      <c r="H119" s="968"/>
      <c r="I119" s="1004"/>
      <c r="J119" s="969"/>
    </row>
    <row r="122" spans="2:17" ht="18.75">
      <c r="B122" s="1005" t="s">
        <v>172</v>
      </c>
    </row>
    <row r="123" spans="2:17" ht="15.75">
      <c r="B123" s="1006"/>
      <c r="D123" s="1007"/>
    </row>
    <row r="124" spans="2:17">
      <c r="B124" s="555"/>
      <c r="C124" s="555"/>
      <c r="D124" s="555"/>
      <c r="E124" s="555"/>
      <c r="F124" s="555"/>
      <c r="G124" s="555"/>
      <c r="H124" s="555"/>
      <c r="I124" s="555"/>
      <c r="J124" s="555"/>
      <c r="K124" s="555"/>
      <c r="L124" s="555"/>
    </row>
    <row r="125" spans="2:17">
      <c r="B125" s="555"/>
      <c r="C125" s="977"/>
      <c r="D125" s="977"/>
      <c r="E125" s="977"/>
      <c r="F125" s="977"/>
      <c r="G125" s="977"/>
      <c r="H125" s="977"/>
      <c r="I125" s="555"/>
      <c r="J125" s="977"/>
      <c r="K125" s="977"/>
      <c r="L125" s="977"/>
    </row>
    <row r="126" spans="2:17">
      <c r="B126" s="555"/>
      <c r="C126" s="555"/>
      <c r="D126" s="993"/>
      <c r="E126" s="993"/>
      <c r="F126" s="993"/>
      <c r="G126" s="993"/>
      <c r="H126" s="993"/>
      <c r="I126" s="555"/>
      <c r="J126" s="993"/>
      <c r="K126" s="993"/>
      <c r="L126" s="993"/>
    </row>
    <row r="127" spans="2:17">
      <c r="B127" s="555"/>
      <c r="C127" s="555"/>
      <c r="D127" s="993"/>
      <c r="E127" s="993"/>
      <c r="F127" s="993"/>
      <c r="G127" s="993"/>
      <c r="H127" s="993"/>
      <c r="I127" s="555"/>
      <c r="J127" s="993"/>
      <c r="K127" s="993"/>
      <c r="L127" s="993"/>
    </row>
    <row r="128" spans="2:17">
      <c r="B128" s="555"/>
      <c r="C128" s="555"/>
      <c r="D128" s="993"/>
      <c r="E128" s="993"/>
      <c r="F128" s="993"/>
      <c r="G128" s="993"/>
      <c r="H128" s="993"/>
      <c r="I128" s="555"/>
      <c r="J128" s="993"/>
      <c r="K128" s="993"/>
      <c r="L128" s="993"/>
    </row>
    <row r="129" spans="2:12">
      <c r="D129" s="993"/>
      <c r="E129" s="993"/>
      <c r="F129" s="993"/>
      <c r="G129" s="993"/>
      <c r="H129" s="993"/>
      <c r="I129" s="555"/>
      <c r="J129" s="993"/>
      <c r="K129" s="993"/>
      <c r="L129" s="993"/>
    </row>
    <row r="130" spans="2:12">
      <c r="D130" s="993"/>
      <c r="E130" s="993"/>
      <c r="F130" s="993"/>
      <c r="G130" s="993"/>
      <c r="H130" s="993"/>
      <c r="I130" s="555"/>
      <c r="J130" s="993"/>
      <c r="K130" s="993"/>
      <c r="L130" s="993"/>
    </row>
    <row r="131" spans="2:12">
      <c r="B131" s="555"/>
      <c r="C131" s="555"/>
      <c r="D131" s="993"/>
      <c r="E131" s="993"/>
      <c r="F131" s="993"/>
      <c r="G131" s="993"/>
      <c r="H131" s="993"/>
      <c r="I131" s="555"/>
      <c r="J131" s="993"/>
      <c r="K131" s="993"/>
      <c r="L131" s="993"/>
    </row>
    <row r="132" spans="2:12">
      <c r="B132" s="555"/>
      <c r="C132" s="555"/>
      <c r="D132" s="993"/>
      <c r="E132" s="993"/>
      <c r="F132" s="993"/>
      <c r="G132" s="993"/>
      <c r="H132" s="993"/>
      <c r="I132" s="555"/>
      <c r="J132" s="993"/>
      <c r="K132" s="993"/>
      <c r="L132" s="993"/>
    </row>
    <row r="133" spans="2:12">
      <c r="D133" s="993"/>
    </row>
    <row r="135" spans="2:12" ht="18.75">
      <c r="B135" s="1005" t="s">
        <v>168</v>
      </c>
    </row>
    <row r="136" spans="2:12" ht="15.75">
      <c r="B136" s="1006"/>
    </row>
    <row r="137" spans="2:12" ht="13.5" thickBot="1">
      <c r="B137" s="555"/>
      <c r="C137" s="555"/>
      <c r="D137" s="555"/>
      <c r="E137" s="555"/>
      <c r="F137" s="555"/>
      <c r="G137" s="555"/>
      <c r="H137" s="555"/>
      <c r="I137" s="555"/>
    </row>
    <row r="138" spans="2:12">
      <c r="B138" s="1008"/>
      <c r="C138" s="1009" t="s">
        <v>70</v>
      </c>
      <c r="D138" s="1010">
        <v>2015</v>
      </c>
      <c r="E138" s="1009">
        <v>2020</v>
      </c>
      <c r="F138" s="1009">
        <v>2035</v>
      </c>
      <c r="G138" s="1009"/>
      <c r="H138" s="1009"/>
      <c r="I138" s="1011" t="s">
        <v>145</v>
      </c>
      <c r="J138" s="1012" t="s">
        <v>146</v>
      </c>
    </row>
    <row r="139" spans="2:12">
      <c r="B139" s="964"/>
      <c r="C139" s="977"/>
      <c r="D139" s="1013"/>
      <c r="E139" s="1014"/>
      <c r="F139" s="1014"/>
      <c r="G139" s="1014"/>
      <c r="H139" s="1014"/>
      <c r="I139" s="555"/>
      <c r="J139" s="965"/>
    </row>
    <row r="140" spans="2:12">
      <c r="B140" s="964"/>
      <c r="C140" s="977"/>
      <c r="D140" s="1015"/>
      <c r="E140" s="1016"/>
      <c r="F140" s="1016"/>
      <c r="G140" s="1016"/>
      <c r="H140" s="1016"/>
      <c r="I140" s="555"/>
      <c r="J140" s="965"/>
    </row>
    <row r="141" spans="2:12">
      <c r="B141" s="964"/>
      <c r="C141" s="977"/>
      <c r="D141" s="1017"/>
      <c r="E141" s="1018"/>
      <c r="F141" s="1018"/>
      <c r="G141" s="1018"/>
      <c r="H141" s="1018"/>
      <c r="I141" s="1335" t="s">
        <v>1747</v>
      </c>
      <c r="J141" s="965"/>
    </row>
    <row r="142" spans="2:12">
      <c r="B142" s="964"/>
      <c r="C142" s="977"/>
      <c r="D142" s="1015"/>
      <c r="E142" s="1016"/>
      <c r="F142" s="1016"/>
      <c r="G142" s="1016"/>
      <c r="H142" s="1016"/>
      <c r="I142" s="555"/>
      <c r="J142" s="965"/>
    </row>
    <row r="143" spans="2:12">
      <c r="B143" s="964"/>
      <c r="C143" s="977"/>
      <c r="D143" s="1015"/>
      <c r="E143" s="1016"/>
      <c r="F143" s="1016"/>
      <c r="G143" s="1016"/>
      <c r="H143" s="1016"/>
      <c r="I143" s="555"/>
      <c r="J143" s="965"/>
    </row>
    <row r="144" spans="2:12">
      <c r="B144" s="964" t="s">
        <v>22</v>
      </c>
      <c r="C144" s="977" t="s">
        <v>249</v>
      </c>
      <c r="D144" s="1019"/>
      <c r="E144" s="979"/>
      <c r="F144" s="979"/>
      <c r="G144" s="979"/>
      <c r="H144" s="979"/>
      <c r="I144" s="555"/>
      <c r="J144" s="965"/>
    </row>
    <row r="145" spans="2:10">
      <c r="B145" s="964"/>
      <c r="C145" s="976"/>
      <c r="D145" s="1016"/>
      <c r="E145" s="1016"/>
      <c r="F145" s="1016"/>
      <c r="G145" s="1016"/>
      <c r="H145" s="1016"/>
      <c r="I145" s="555"/>
      <c r="J145" s="965"/>
    </row>
    <row r="146" spans="2:10" ht="13.5" thickBot="1">
      <c r="B146" s="967"/>
      <c r="C146" s="1020"/>
      <c r="D146" s="1021"/>
      <c r="E146" s="1021"/>
      <c r="F146" s="1021"/>
      <c r="G146" s="1021"/>
      <c r="H146" s="1021"/>
      <c r="I146" s="968"/>
      <c r="J146" s="969"/>
    </row>
    <row r="149" spans="2:10" ht="13.5" thickBot="1"/>
    <row r="150" spans="2:10">
      <c r="B150" s="1040"/>
      <c r="C150" s="1340"/>
      <c r="D150" s="1064"/>
    </row>
    <row r="151" spans="2:10">
      <c r="B151" s="1065" t="s">
        <v>1095</v>
      </c>
      <c r="C151" s="1367">
        <v>0</v>
      </c>
      <c r="D151" s="1067" t="s">
        <v>1760</v>
      </c>
    </row>
    <row r="152" spans="2:10" ht="13.5" thickBot="1">
      <c r="B152" s="1022" t="s">
        <v>1241</v>
      </c>
      <c r="C152" s="1341">
        <f>D191%</f>
        <v>9.4191666666666729E-2</v>
      </c>
      <c r="D152" s="1342" t="s">
        <v>1759</v>
      </c>
    </row>
    <row r="153" spans="2:10">
      <c r="B153" s="530" t="str">
        <f>CONCATENATE("Source: ",Referencer!$B$48)</f>
        <v>Source: 42, FORCE, Danish Energy Agency, 2013, Technology data for advanced bioenergy fuels.</v>
      </c>
    </row>
    <row r="154" spans="2:10" ht="13.5" thickBot="1"/>
    <row r="155" spans="2:10" ht="18.75">
      <c r="B155" s="1023" t="s">
        <v>1242</v>
      </c>
      <c r="C155" s="1024"/>
      <c r="D155" s="1025"/>
      <c r="E155" s="1025"/>
      <c r="F155" s="1025"/>
      <c r="G155" s="1025"/>
      <c r="H155" s="1025"/>
      <c r="I155" s="1025"/>
      <c r="J155" s="1026"/>
    </row>
    <row r="156" spans="2:10" ht="15">
      <c r="B156" s="1026"/>
      <c r="C156" s="1027"/>
      <c r="D156" s="1028">
        <v>2015</v>
      </c>
      <c r="E156" s="1028">
        <v>2020</v>
      </c>
      <c r="F156" s="1028">
        <v>2035</v>
      </c>
      <c r="G156" s="1028">
        <v>2050</v>
      </c>
      <c r="H156" s="1028"/>
      <c r="I156" s="1028" t="s">
        <v>1098</v>
      </c>
      <c r="J156" s="1338"/>
    </row>
    <row r="157" spans="2:10" ht="15">
      <c r="B157" s="1029" t="s">
        <v>1099</v>
      </c>
      <c r="C157" s="1030"/>
      <c r="D157" s="1027"/>
      <c r="E157" s="1027"/>
      <c r="F157" s="1027"/>
      <c r="G157" s="1027"/>
      <c r="H157" s="1027"/>
      <c r="I157" s="1027"/>
      <c r="J157" s="1026"/>
    </row>
    <row r="158" spans="2:10" ht="15">
      <c r="B158" s="1026" t="s">
        <v>1204</v>
      </c>
      <c r="C158" s="1027"/>
      <c r="D158" s="1368">
        <v>120000</v>
      </c>
      <c r="E158" s="1284" t="s">
        <v>1101</v>
      </c>
      <c r="F158" s="1031"/>
      <c r="G158" s="1031"/>
      <c r="H158" s="1031"/>
      <c r="I158" s="1032" t="s">
        <v>1759</v>
      </c>
      <c r="J158" s="1339"/>
    </row>
    <row r="159" spans="2:10" ht="15">
      <c r="B159" s="1026" t="s">
        <v>1205</v>
      </c>
      <c r="C159" s="1027"/>
      <c r="D159" s="1368">
        <v>5280000</v>
      </c>
      <c r="E159" s="1284" t="s">
        <v>1101</v>
      </c>
      <c r="F159" s="1031"/>
      <c r="G159" s="1031"/>
      <c r="H159" s="1031"/>
      <c r="I159" s="1032"/>
      <c r="J159" s="1339"/>
    </row>
    <row r="160" spans="2:10" ht="15">
      <c r="B160" s="1026" t="s">
        <v>1243</v>
      </c>
      <c r="C160" s="1027"/>
      <c r="D160" s="1375">
        <v>1.2</v>
      </c>
      <c r="E160" s="1284" t="s">
        <v>1101</v>
      </c>
      <c r="F160" s="1031"/>
      <c r="G160" s="1031"/>
      <c r="H160" s="1031"/>
      <c r="I160" s="1032"/>
      <c r="J160" s="1339"/>
    </row>
    <row r="161" spans="2:10" ht="15">
      <c r="B161" s="1026" t="s">
        <v>1244</v>
      </c>
      <c r="C161" s="1027"/>
      <c r="D161" s="1375">
        <v>2.7</v>
      </c>
      <c r="E161" s="1284" t="s">
        <v>1101</v>
      </c>
      <c r="F161" s="1031"/>
      <c r="G161" s="1031"/>
      <c r="H161" s="1031"/>
      <c r="I161" s="1032"/>
      <c r="J161" s="1339"/>
    </row>
    <row r="162" spans="2:10" ht="15">
      <c r="B162" s="1026" t="s">
        <v>1245</v>
      </c>
      <c r="C162" s="1027"/>
      <c r="D162" s="1375">
        <v>4.0000000000000001E-3</v>
      </c>
      <c r="E162" s="1284" t="s">
        <v>1101</v>
      </c>
      <c r="F162" s="1031"/>
      <c r="G162" s="1031"/>
      <c r="H162" s="1031"/>
      <c r="I162" s="1032"/>
      <c r="J162" s="1339"/>
    </row>
    <row r="163" spans="2:10" ht="15">
      <c r="B163" s="1026" t="s">
        <v>1209</v>
      </c>
      <c r="C163" s="1027"/>
      <c r="D163" s="1375">
        <v>1.4E-3</v>
      </c>
      <c r="E163" s="1284" t="s">
        <v>1101</v>
      </c>
      <c r="F163" s="1031"/>
      <c r="G163" s="1031"/>
      <c r="H163" s="1031"/>
      <c r="I163" s="1032"/>
      <c r="J163" s="1339"/>
    </row>
    <row r="164" spans="2:10" ht="15">
      <c r="B164" s="1026" t="s">
        <v>1246</v>
      </c>
      <c r="C164" s="1027"/>
      <c r="D164" s="1375">
        <v>0.02</v>
      </c>
      <c r="E164" s="1284" t="s">
        <v>1101</v>
      </c>
      <c r="F164" s="1031"/>
      <c r="G164" s="1031"/>
      <c r="H164" s="1031"/>
      <c r="I164" s="1032"/>
      <c r="J164" s="1339"/>
    </row>
    <row r="165" spans="2:10" ht="15">
      <c r="B165" s="1026" t="s">
        <v>1247</v>
      </c>
      <c r="C165" s="1027"/>
      <c r="D165" s="1375">
        <v>1.4999999999999999E-2</v>
      </c>
      <c r="E165" s="1284" t="s">
        <v>1101</v>
      </c>
      <c r="F165" s="1031"/>
      <c r="G165" s="1031"/>
      <c r="H165" s="1031"/>
      <c r="I165" s="1032"/>
      <c r="J165" s="1339"/>
    </row>
    <row r="166" spans="2:10" ht="15">
      <c r="B166" s="1026" t="s">
        <v>1210</v>
      </c>
      <c r="C166" s="1027"/>
      <c r="D166" s="1375">
        <v>1.2</v>
      </c>
      <c r="E166" s="1284" t="s">
        <v>1101</v>
      </c>
      <c r="F166" s="1031"/>
      <c r="G166" s="1031"/>
      <c r="H166" s="1031"/>
      <c r="I166" s="1032"/>
      <c r="J166" s="1339"/>
    </row>
    <row r="167" spans="2:10" ht="15">
      <c r="B167" s="1026" t="s">
        <v>1248</v>
      </c>
      <c r="C167" s="1027"/>
      <c r="D167" s="1375">
        <v>6.0000000000000001E-3</v>
      </c>
      <c r="E167" s="1284" t="s">
        <v>1101</v>
      </c>
      <c r="F167" s="1031"/>
      <c r="G167" s="1031"/>
      <c r="H167" s="1031"/>
      <c r="I167" s="1032"/>
      <c r="J167" s="1339"/>
    </row>
    <row r="168" spans="2:10" ht="15">
      <c r="B168" s="1026" t="s">
        <v>1249</v>
      </c>
      <c r="C168" s="1027"/>
      <c r="D168" s="1375">
        <v>0.04</v>
      </c>
      <c r="E168" s="1284" t="s">
        <v>1101</v>
      </c>
      <c r="F168" s="1031"/>
      <c r="G168" s="1031"/>
      <c r="H168" s="1031"/>
      <c r="I168" s="1032"/>
      <c r="J168" s="1339"/>
    </row>
    <row r="169" spans="2:10" ht="15">
      <c r="B169" s="1026" t="s">
        <v>1211</v>
      </c>
      <c r="C169" s="1027"/>
      <c r="D169" s="1375">
        <v>0.12</v>
      </c>
      <c r="E169" s="1284" t="s">
        <v>1101</v>
      </c>
      <c r="F169" s="1031"/>
      <c r="G169" s="1031"/>
      <c r="H169" s="1031"/>
      <c r="I169" s="1032"/>
      <c r="J169" s="1339"/>
    </row>
    <row r="170" spans="2:10" ht="15">
      <c r="B170" s="1026" t="s">
        <v>1250</v>
      </c>
      <c r="C170" s="1027"/>
      <c r="D170" s="1375">
        <v>0.06</v>
      </c>
      <c r="E170" s="1284" t="s">
        <v>1101</v>
      </c>
      <c r="F170" s="1031"/>
      <c r="G170" s="1031"/>
      <c r="H170" s="1031"/>
      <c r="I170" s="1032"/>
      <c r="J170" s="1339"/>
    </row>
    <row r="171" spans="2:10" ht="15">
      <c r="B171" s="1026" t="s">
        <v>1214</v>
      </c>
      <c r="C171" s="1027"/>
      <c r="D171" s="1370">
        <v>77.5</v>
      </c>
      <c r="E171" s="1284" t="s">
        <v>1101</v>
      </c>
      <c r="F171" s="1031"/>
      <c r="G171" s="1031"/>
      <c r="H171" s="1031"/>
      <c r="I171" s="1032"/>
      <c r="J171" s="1339"/>
    </row>
    <row r="172" spans="2:10" ht="15">
      <c r="B172" s="1026" t="s">
        <v>1251</v>
      </c>
      <c r="C172" s="1027"/>
      <c r="D172" s="1370">
        <v>91.1</v>
      </c>
      <c r="E172" s="1284" t="s">
        <v>1101</v>
      </c>
      <c r="F172" s="1031"/>
      <c r="G172" s="1031"/>
      <c r="H172" s="1031"/>
      <c r="I172" s="1032"/>
      <c r="J172" s="1339"/>
    </row>
    <row r="173" spans="2:10" ht="15">
      <c r="B173" s="1026"/>
      <c r="C173" s="1027"/>
      <c r="D173" s="1370"/>
      <c r="E173" s="1031"/>
      <c r="F173" s="1031"/>
      <c r="G173" s="1031"/>
      <c r="H173" s="1031"/>
      <c r="I173" s="1032"/>
      <c r="J173" s="1339"/>
    </row>
    <row r="174" spans="2:10" ht="15">
      <c r="B174" s="1026"/>
      <c r="C174" s="1027"/>
      <c r="D174" s="1370"/>
      <c r="E174" s="1031"/>
      <c r="F174" s="1031"/>
      <c r="G174" s="1031"/>
      <c r="H174" s="1031"/>
      <c r="I174" s="1032"/>
      <c r="J174" s="1339"/>
    </row>
    <row r="175" spans="2:10" ht="15">
      <c r="B175" s="1026"/>
      <c r="C175" s="1027"/>
      <c r="D175" s="1370"/>
      <c r="E175" s="1027"/>
      <c r="F175" s="1027"/>
      <c r="G175" s="1027"/>
      <c r="H175" s="1027"/>
      <c r="I175" s="1032"/>
      <c r="J175" s="1339"/>
    </row>
    <row r="176" spans="2:10" ht="15">
      <c r="B176" s="1029" t="s">
        <v>1109</v>
      </c>
      <c r="C176" s="1030"/>
      <c r="D176" s="1370"/>
      <c r="E176" s="1027"/>
      <c r="F176" s="1027"/>
      <c r="G176" s="1027"/>
      <c r="H176" s="1027"/>
      <c r="I176" s="1032"/>
      <c r="J176" s="1339"/>
    </row>
    <row r="177" spans="2:10" ht="15">
      <c r="B177" s="1026" t="s">
        <v>1235</v>
      </c>
      <c r="C177" s="1027"/>
      <c r="D177" s="1370">
        <v>21.9</v>
      </c>
      <c r="E177" s="1031" t="s">
        <v>1101</v>
      </c>
      <c r="F177" s="1031"/>
      <c r="G177" s="1031"/>
      <c r="H177" s="1031"/>
      <c r="I177" s="1032"/>
      <c r="J177" s="1339"/>
    </row>
    <row r="178" spans="2:10" ht="15.75" thickBot="1">
      <c r="B178" s="1033" t="s">
        <v>1236</v>
      </c>
      <c r="C178" s="1034"/>
      <c r="D178" s="1371">
        <v>0.66</v>
      </c>
      <c r="E178" s="1035" t="s">
        <v>1101</v>
      </c>
      <c r="F178" s="1035"/>
      <c r="G178" s="1035"/>
      <c r="H178" s="1035"/>
      <c r="I178" s="1036"/>
      <c r="J178" s="1339"/>
    </row>
    <row r="179" spans="2:10">
      <c r="B179" s="530" t="str">
        <f>CONCATENATE("Source: ",Referencer!$B$48)</f>
        <v>Source: 42, FORCE, Danish Energy Agency, 2013, Technology data for advanced bioenergy fuels.</v>
      </c>
    </row>
    <row r="181" spans="2:10" ht="13.5" thickBot="1"/>
    <row r="182" spans="2:10" ht="13.5" thickBot="1">
      <c r="B182" s="1045" t="s">
        <v>1252</v>
      </c>
      <c r="C182" s="1046" t="s">
        <v>1152</v>
      </c>
      <c r="D182" s="1361" t="s">
        <v>1153</v>
      </c>
      <c r="E182" s="1045" t="s">
        <v>1098</v>
      </c>
    </row>
    <row r="183" spans="2:10">
      <c r="B183" s="1048" t="s">
        <v>1080</v>
      </c>
      <c r="C183" s="1376">
        <v>100</v>
      </c>
      <c r="D183" s="850"/>
      <c r="E183" s="1356" t="s">
        <v>1761</v>
      </c>
    </row>
    <row r="184" spans="2:10">
      <c r="B184" s="1050" t="s">
        <v>596</v>
      </c>
      <c r="C184" s="1051">
        <f>D162/D160*100</f>
        <v>0.33333333333333337</v>
      </c>
      <c r="D184" s="1362"/>
      <c r="E184" s="1356"/>
    </row>
    <row r="185" spans="2:10">
      <c r="B185" s="1050" t="s">
        <v>1253</v>
      </c>
      <c r="C185" s="1051">
        <f>D164/D160*100</f>
        <v>1.6666666666666667</v>
      </c>
      <c r="D185" s="1362"/>
      <c r="E185" s="1356"/>
    </row>
    <row r="186" spans="2:10">
      <c r="B186" s="1050" t="s">
        <v>951</v>
      </c>
      <c r="C186" s="1051">
        <f>D167/D160*100</f>
        <v>0.5</v>
      </c>
      <c r="D186" s="1362"/>
      <c r="E186" s="1356"/>
    </row>
    <row r="187" spans="2:10">
      <c r="B187" s="1050" t="s">
        <v>1254</v>
      </c>
      <c r="C187" s="1051">
        <f>D168/D160*100</f>
        <v>3.3333333333333335</v>
      </c>
      <c r="D187" s="1362"/>
      <c r="E187" s="1356"/>
    </row>
    <row r="188" spans="2:10">
      <c r="B188" s="1050" t="s">
        <v>2</v>
      </c>
      <c r="C188" s="1051"/>
      <c r="D188" s="1362">
        <f>1/D160*100</f>
        <v>83.333333333333343</v>
      </c>
      <c r="E188" s="1356"/>
    </row>
    <row r="189" spans="2:10">
      <c r="B189" s="1050" t="s">
        <v>945</v>
      </c>
      <c r="C189" s="1051"/>
      <c r="D189" s="1279">
        <f>D169/D160*100</f>
        <v>10</v>
      </c>
      <c r="E189" s="1356"/>
    </row>
    <row r="190" spans="2:10">
      <c r="B190" s="1050" t="s">
        <v>1255</v>
      </c>
      <c r="C190" s="1051"/>
      <c r="D190" s="1279">
        <f>D170/D160*100</f>
        <v>5</v>
      </c>
      <c r="E190" s="1356"/>
    </row>
    <row r="191" spans="2:10" ht="13.5" thickBot="1">
      <c r="B191" s="1053" t="s">
        <v>1256</v>
      </c>
      <c r="C191" s="1054"/>
      <c r="D191" s="1363">
        <f>(100-D172)*SUM(C183:C187)/100</f>
        <v>9.4191666666666727</v>
      </c>
      <c r="E191" s="1357"/>
    </row>
    <row r="192" spans="2:10">
      <c r="B192" s="530" t="str">
        <f>CONCATENATE("Source: ",Referencer!$B$48)</f>
        <v>Source: 42, FORCE, Danish Energy Agency, 2013, Technology data for advanced bioenergy fuels.</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Supplementary!$B$238:$B$241</xm:f>
          </x14:formula1>
          <xm:sqref>C19</xm:sqref>
        </x14:dataValidation>
      </x14:dataValidation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tabColor rgb="FF00B0F0"/>
  </sheetPr>
  <dimension ref="A1:S189"/>
  <sheetViews>
    <sheetView topLeftCell="A56" zoomScale="80" zoomScaleNormal="80" workbookViewId="0">
      <selection activeCell="D105" sqref="D105:G105"/>
    </sheetView>
  </sheetViews>
  <sheetFormatPr defaultRowHeight="12.75"/>
  <cols>
    <col min="1" max="1" width="3.28515625" style="530" customWidth="1"/>
    <col min="2" max="2" width="36" style="530" customWidth="1"/>
    <col min="3" max="3" width="16.5703125" style="530" customWidth="1"/>
    <col min="4" max="8" width="15.7109375" style="530" customWidth="1"/>
    <col min="9" max="9" width="7.28515625" style="530" customWidth="1"/>
    <col min="10" max="10" width="12.7109375" style="530" customWidth="1"/>
    <col min="11" max="17" width="9.140625" style="530"/>
    <col min="18" max="19" width="9.42578125" style="530" bestFit="1" customWidth="1"/>
    <col min="20" max="16384" width="9.140625" style="530"/>
  </cols>
  <sheetData>
    <row r="1" spans="1:19" s="465" customFormat="1" ht="21">
      <c r="B1" s="465" t="s">
        <v>1390</v>
      </c>
      <c r="Q1" s="467">
        <f ca="1">'Log2015'!M1</f>
        <v>-8.0112614142160741</v>
      </c>
      <c r="R1" s="468">
        <f ca="1">'Log2015'!N1</f>
        <v>-160807.124977848</v>
      </c>
    </row>
    <row r="2" spans="1:19">
      <c r="B2" s="530" t="s">
        <v>1391</v>
      </c>
      <c r="Q2" s="958">
        <f ca="1">Q1</f>
        <v>-8.0112614142160741</v>
      </c>
      <c r="R2" s="958">
        <f ca="1">R1</f>
        <v>-160807.124977848</v>
      </c>
      <c r="S2" s="959">
        <f>S1</f>
        <v>0</v>
      </c>
    </row>
    <row r="3" spans="1:19">
      <c r="A3" s="530" t="s">
        <v>1078</v>
      </c>
    </row>
    <row r="4" spans="1:19">
      <c r="B4" s="960" t="s">
        <v>81</v>
      </c>
    </row>
    <row r="5" spans="1:19" ht="13.5" thickBot="1"/>
    <row r="6" spans="1:19">
      <c r="B6" s="961" t="s">
        <v>137</v>
      </c>
      <c r="C6" s="962"/>
      <c r="D6" s="962"/>
      <c r="E6" s="962"/>
      <c r="F6" s="962"/>
      <c r="G6" s="962"/>
      <c r="H6" s="962"/>
      <c r="I6" s="962"/>
      <c r="J6" s="962"/>
      <c r="K6" s="962"/>
      <c r="L6" s="962"/>
      <c r="M6" s="962"/>
      <c r="N6" s="963"/>
    </row>
    <row r="7" spans="1:19">
      <c r="B7" s="964"/>
      <c r="C7" s="555"/>
      <c r="D7" s="555"/>
      <c r="E7" s="555"/>
      <c r="F7" s="555"/>
      <c r="G7" s="555"/>
      <c r="H7" s="555"/>
      <c r="I7" s="555"/>
      <c r="J7" s="555"/>
      <c r="K7" s="555"/>
      <c r="L7" s="555"/>
      <c r="M7" s="555"/>
      <c r="N7" s="965"/>
    </row>
    <row r="8" spans="1:19">
      <c r="B8" s="964"/>
      <c r="C8" s="555"/>
      <c r="D8" s="555"/>
      <c r="E8" s="555"/>
      <c r="F8" s="555"/>
      <c r="G8" s="555"/>
      <c r="H8" s="555"/>
      <c r="I8" s="555"/>
      <c r="J8" s="555"/>
      <c r="K8" s="555"/>
      <c r="L8" s="555"/>
      <c r="M8" s="555"/>
      <c r="N8" s="965"/>
    </row>
    <row r="9" spans="1:19">
      <c r="B9" s="964"/>
      <c r="C9" s="555"/>
      <c r="D9" s="555"/>
      <c r="E9" s="555"/>
      <c r="F9" s="555"/>
      <c r="G9" s="555"/>
      <c r="H9" s="555"/>
      <c r="I9" s="555"/>
      <c r="J9" s="555"/>
      <c r="K9" s="555"/>
      <c r="L9" s="555"/>
      <c r="M9" s="555"/>
      <c r="N9" s="965"/>
    </row>
    <row r="10" spans="1:19">
      <c r="B10" s="964"/>
      <c r="C10" s="555"/>
      <c r="D10" s="555"/>
      <c r="E10" s="555"/>
      <c r="F10" s="555"/>
      <c r="G10" s="555"/>
      <c r="H10" s="555"/>
      <c r="I10" s="555"/>
      <c r="J10" s="555"/>
      <c r="K10" s="555"/>
      <c r="L10" s="555"/>
      <c r="M10" s="555"/>
      <c r="N10" s="965"/>
    </row>
    <row r="11" spans="1:19">
      <c r="B11" s="964" t="s">
        <v>138</v>
      </c>
      <c r="C11" s="966" t="s">
        <v>935</v>
      </c>
      <c r="D11" s="555"/>
      <c r="E11" s="555"/>
      <c r="F11" s="555"/>
      <c r="G11" s="555"/>
      <c r="H11" s="555"/>
      <c r="I11" s="555"/>
      <c r="J11" s="555"/>
      <c r="K11" s="555"/>
      <c r="L11" s="555"/>
      <c r="M11" s="555"/>
      <c r="N11" s="965"/>
    </row>
    <row r="12" spans="1:19">
      <c r="B12" s="964"/>
      <c r="C12" s="555"/>
      <c r="D12" s="555"/>
      <c r="E12" s="555"/>
      <c r="F12" s="555"/>
      <c r="G12" s="555"/>
      <c r="H12" s="555"/>
      <c r="I12" s="555"/>
      <c r="J12" s="555"/>
      <c r="K12" s="555"/>
      <c r="L12" s="555"/>
      <c r="M12" s="555"/>
      <c r="N12" s="965"/>
    </row>
    <row r="13" spans="1:19">
      <c r="B13" s="964" t="s">
        <v>140</v>
      </c>
      <c r="C13" s="555" t="s">
        <v>1392</v>
      </c>
      <c r="D13" s="555"/>
      <c r="E13" s="555"/>
      <c r="F13" s="555"/>
      <c r="G13" s="555"/>
      <c r="H13" s="555"/>
      <c r="I13" s="555"/>
      <c r="J13" s="555"/>
      <c r="K13" s="555"/>
      <c r="L13" s="555"/>
      <c r="M13" s="555"/>
      <c r="N13" s="965"/>
    </row>
    <row r="14" spans="1:19">
      <c r="B14" s="964"/>
      <c r="C14" s="555"/>
      <c r="D14" s="555"/>
      <c r="E14" s="555"/>
      <c r="F14" s="555"/>
      <c r="G14" s="555"/>
      <c r="H14" s="555"/>
      <c r="I14" s="555"/>
      <c r="J14" s="555"/>
      <c r="K14" s="555"/>
      <c r="L14" s="555"/>
      <c r="M14" s="555"/>
      <c r="N14" s="965"/>
    </row>
    <row r="15" spans="1:19">
      <c r="B15" s="964" t="s">
        <v>141</v>
      </c>
      <c r="C15" s="555"/>
      <c r="D15" s="555"/>
      <c r="E15" s="555"/>
      <c r="F15" s="555"/>
      <c r="G15" s="555"/>
      <c r="H15" s="555"/>
      <c r="I15" s="555"/>
      <c r="J15" s="555"/>
      <c r="K15" s="555"/>
      <c r="L15" s="555"/>
      <c r="M15" s="555"/>
      <c r="N15" s="965"/>
    </row>
    <row r="16" spans="1:19">
      <c r="B16" s="964"/>
      <c r="C16" s="555"/>
      <c r="D16" s="555"/>
      <c r="E16" s="555"/>
      <c r="F16" s="555"/>
      <c r="G16" s="555"/>
      <c r="H16" s="555"/>
      <c r="I16" s="555"/>
      <c r="J16" s="555"/>
      <c r="K16" s="555"/>
      <c r="L16" s="555"/>
      <c r="M16" s="555"/>
      <c r="N16" s="965"/>
    </row>
    <row r="17" spans="2:14">
      <c r="B17" s="964" t="s">
        <v>142</v>
      </c>
      <c r="C17" s="555"/>
      <c r="D17" s="555"/>
      <c r="E17" s="555"/>
      <c r="F17" s="555"/>
      <c r="G17" s="555"/>
      <c r="H17" s="555"/>
      <c r="I17" s="555"/>
      <c r="J17" s="555"/>
      <c r="K17" s="555"/>
      <c r="L17" s="555"/>
      <c r="M17" s="555"/>
      <c r="N17" s="965"/>
    </row>
    <row r="18" spans="2:14">
      <c r="B18" s="964"/>
      <c r="C18" s="555"/>
      <c r="D18" s="555"/>
      <c r="E18" s="555"/>
      <c r="F18" s="555"/>
      <c r="G18" s="555"/>
      <c r="H18" s="555"/>
      <c r="I18" s="555"/>
      <c r="J18" s="555"/>
      <c r="K18" s="555"/>
      <c r="L18" s="555"/>
      <c r="M18" s="555"/>
      <c r="N18" s="965"/>
    </row>
    <row r="19" spans="2:14">
      <c r="B19" s="964" t="s">
        <v>2131</v>
      </c>
      <c r="C19" s="1693" t="s">
        <v>2122</v>
      </c>
      <c r="D19" s="555"/>
      <c r="E19" s="555"/>
      <c r="F19" s="555"/>
      <c r="G19" s="555"/>
      <c r="H19" s="555"/>
      <c r="I19" s="555"/>
      <c r="J19" s="555"/>
      <c r="K19" s="555"/>
      <c r="L19" s="555"/>
      <c r="M19" s="555"/>
      <c r="N19" s="965"/>
    </row>
    <row r="20" spans="2:14">
      <c r="B20" s="964"/>
      <c r="C20" s="555"/>
      <c r="D20" s="555"/>
      <c r="E20" s="555"/>
      <c r="F20" s="555"/>
      <c r="G20" s="555"/>
      <c r="H20" s="555"/>
      <c r="I20" s="555"/>
      <c r="J20" s="555"/>
      <c r="K20" s="555"/>
      <c r="L20" s="555"/>
      <c r="M20" s="555"/>
      <c r="N20" s="965"/>
    </row>
    <row r="21" spans="2:14">
      <c r="B21" s="964"/>
      <c r="C21" s="555"/>
      <c r="D21" s="555"/>
      <c r="E21" s="555"/>
      <c r="F21" s="555"/>
      <c r="G21" s="555"/>
      <c r="H21" s="555"/>
      <c r="I21" s="555"/>
      <c r="J21" s="555"/>
      <c r="K21" s="555"/>
      <c r="L21" s="555"/>
      <c r="M21" s="555"/>
      <c r="N21" s="965"/>
    </row>
    <row r="22" spans="2:14">
      <c r="B22" s="964" t="s">
        <v>143</v>
      </c>
      <c r="C22" s="555"/>
      <c r="D22" s="555"/>
      <c r="E22" s="555"/>
      <c r="F22" s="555"/>
      <c r="G22" s="555"/>
      <c r="H22" s="555"/>
      <c r="I22" s="555"/>
      <c r="J22" s="555"/>
      <c r="K22" s="555"/>
      <c r="L22" s="555"/>
      <c r="M22" s="555"/>
      <c r="N22" s="965"/>
    </row>
    <row r="23" spans="2:14">
      <c r="B23" s="964"/>
      <c r="C23" s="555"/>
      <c r="D23" s="555"/>
      <c r="E23" s="555"/>
      <c r="F23" s="555"/>
      <c r="G23" s="555"/>
      <c r="H23" s="555"/>
      <c r="I23" s="555"/>
      <c r="J23" s="555"/>
      <c r="K23" s="555"/>
      <c r="L23" s="555"/>
      <c r="M23" s="555"/>
      <c r="N23" s="965"/>
    </row>
    <row r="24" spans="2:14" ht="13.5" thickBot="1">
      <c r="B24" s="967"/>
      <c r="C24" s="968"/>
      <c r="D24" s="968"/>
      <c r="E24" s="968"/>
      <c r="F24" s="968"/>
      <c r="G24" s="968"/>
      <c r="H24" s="968"/>
      <c r="I24" s="968"/>
      <c r="J24" s="968"/>
      <c r="K24" s="968"/>
      <c r="L24" s="968"/>
      <c r="M24" s="968"/>
      <c r="N24" s="969"/>
    </row>
    <row r="25" spans="2:14">
      <c r="F25" s="529"/>
      <c r="G25" s="529"/>
      <c r="H25" s="529"/>
    </row>
    <row r="26" spans="2:14">
      <c r="B26" s="960" t="s">
        <v>144</v>
      </c>
    </row>
    <row r="27" spans="2:14" ht="13.5" thickBot="1"/>
    <row r="28" spans="2:14">
      <c r="B28" s="961"/>
      <c r="C28" s="970"/>
      <c r="D28" s="962"/>
      <c r="E28" s="962"/>
      <c r="F28" s="962"/>
      <c r="G28" s="962"/>
      <c r="H28" s="962"/>
      <c r="I28" s="962"/>
      <c r="J28" s="963"/>
    </row>
    <row r="29" spans="2:14">
      <c r="B29" s="971"/>
      <c r="C29" s="972" t="s">
        <v>70</v>
      </c>
      <c r="D29" s="973">
        <v>2015</v>
      </c>
      <c r="E29" s="973">
        <v>2020</v>
      </c>
      <c r="F29" s="973">
        <v>2035</v>
      </c>
      <c r="G29" s="973">
        <v>2050</v>
      </c>
      <c r="H29" s="973" t="s">
        <v>978</v>
      </c>
      <c r="I29" s="556" t="s">
        <v>145</v>
      </c>
      <c r="J29" s="974" t="s">
        <v>146</v>
      </c>
    </row>
    <row r="30" spans="2:14">
      <c r="B30" s="975" t="s">
        <v>147</v>
      </c>
      <c r="C30" s="976"/>
      <c r="D30" s="977"/>
      <c r="E30" s="977"/>
      <c r="F30" s="977"/>
      <c r="G30" s="977"/>
      <c r="H30" s="977"/>
      <c r="I30" s="555"/>
      <c r="J30" s="965"/>
    </row>
    <row r="31" spans="2:14">
      <c r="B31" s="964" t="s">
        <v>148</v>
      </c>
      <c r="C31" s="976" t="s">
        <v>1393</v>
      </c>
      <c r="D31" s="1333">
        <f>1/D161</f>
        <v>0.27777777777777779</v>
      </c>
      <c r="E31" s="1333">
        <f t="shared" ref="E31:G34" si="0">$D31</f>
        <v>0.27777777777777779</v>
      </c>
      <c r="F31" s="1333">
        <f t="shared" si="0"/>
        <v>0.27777777777777779</v>
      </c>
      <c r="G31" s="1333">
        <f t="shared" si="0"/>
        <v>0.27777777777777779</v>
      </c>
      <c r="H31" s="1333"/>
      <c r="I31" s="555"/>
      <c r="J31" s="965"/>
    </row>
    <row r="32" spans="2:14">
      <c r="B32" s="964" t="s">
        <v>67</v>
      </c>
      <c r="C32" s="976" t="s">
        <v>1394</v>
      </c>
      <c r="D32" s="979">
        <f>D159/D158</f>
        <v>39.6</v>
      </c>
      <c r="E32" s="978">
        <f t="shared" si="0"/>
        <v>39.6</v>
      </c>
      <c r="F32" s="978">
        <f t="shared" si="0"/>
        <v>39.6</v>
      </c>
      <c r="G32" s="978">
        <f t="shared" si="0"/>
        <v>39.6</v>
      </c>
      <c r="H32" s="978"/>
      <c r="I32" s="555"/>
      <c r="J32" s="965"/>
    </row>
    <row r="33" spans="2:10">
      <c r="B33" s="964" t="s">
        <v>149</v>
      </c>
      <c r="C33" s="976" t="s">
        <v>1395</v>
      </c>
      <c r="D33" s="1396">
        <f>D158</f>
        <v>75000</v>
      </c>
      <c r="E33" s="1396">
        <f t="shared" si="0"/>
        <v>75000</v>
      </c>
      <c r="F33" s="1396">
        <f t="shared" si="0"/>
        <v>75000</v>
      </c>
      <c r="G33" s="1396">
        <f t="shared" si="0"/>
        <v>75000</v>
      </c>
      <c r="H33" s="1397"/>
      <c r="I33" s="555"/>
      <c r="J33" s="965"/>
    </row>
    <row r="34" spans="2:10">
      <c r="B34" s="964" t="s">
        <v>150</v>
      </c>
      <c r="C34" s="976" t="s">
        <v>34</v>
      </c>
      <c r="D34" s="1360">
        <f>20</f>
        <v>20</v>
      </c>
      <c r="E34" s="1360">
        <f t="shared" si="0"/>
        <v>20</v>
      </c>
      <c r="F34" s="1360">
        <f t="shared" si="0"/>
        <v>20</v>
      </c>
      <c r="G34" s="1360">
        <f t="shared" si="0"/>
        <v>20</v>
      </c>
      <c r="H34" s="1332"/>
      <c r="I34" s="555"/>
      <c r="J34" s="965" t="s">
        <v>1087</v>
      </c>
    </row>
    <row r="35" spans="2:10">
      <c r="B35" s="964"/>
      <c r="C35" s="981"/>
      <c r="D35" s="982"/>
      <c r="E35" s="983"/>
      <c r="F35" s="983"/>
      <c r="G35" s="983"/>
      <c r="H35" s="983"/>
      <c r="I35" s="555"/>
      <c r="J35" s="965"/>
    </row>
    <row r="36" spans="2:10">
      <c r="B36" s="975" t="s">
        <v>151</v>
      </c>
      <c r="C36" s="981"/>
      <c r="D36" s="982"/>
      <c r="E36" s="983"/>
      <c r="F36" s="983"/>
      <c r="G36" s="983"/>
      <c r="H36" s="983"/>
      <c r="I36" s="555"/>
      <c r="J36" s="965"/>
    </row>
    <row r="37" spans="2:10">
      <c r="B37" s="964" t="str">
        <f>ProcessEnergy!B35</f>
        <v xml:space="preserve">Green diesel </v>
      </c>
      <c r="C37" s="976" t="s">
        <v>463</v>
      </c>
      <c r="D37" s="984"/>
      <c r="E37" s="984"/>
      <c r="F37" s="984"/>
      <c r="G37" s="984"/>
      <c r="H37" s="984"/>
      <c r="I37" s="555"/>
      <c r="J37" s="965"/>
    </row>
    <row r="38" spans="2:10">
      <c r="B38" s="985" t="str">
        <f>ProcessEnergy!B36</f>
        <v>Green gasoline</v>
      </c>
      <c r="C38" s="976"/>
      <c r="D38" s="984"/>
      <c r="E38" s="984"/>
      <c r="F38" s="984"/>
      <c r="G38" s="984"/>
      <c r="H38" s="984"/>
      <c r="I38" s="555"/>
      <c r="J38" s="965"/>
    </row>
    <row r="39" spans="2:10">
      <c r="B39" s="985" t="str">
        <f>ProcessEnergy!B37</f>
        <v>Electricity - balancing</v>
      </c>
      <c r="C39" s="976"/>
      <c r="D39" s="984"/>
      <c r="E39" s="984"/>
      <c r="F39" s="984"/>
      <c r="G39" s="984"/>
      <c r="H39" s="984"/>
      <c r="I39" s="555"/>
      <c r="J39" s="965"/>
    </row>
    <row r="40" spans="2:10">
      <c r="B40" s="985" t="str">
        <f>ProcessEnergy!B38</f>
        <v>Electricity  - continous</v>
      </c>
      <c r="C40" s="976"/>
      <c r="D40" s="984"/>
      <c r="E40" s="984"/>
      <c r="F40" s="984"/>
      <c r="G40" s="984"/>
      <c r="H40" s="984"/>
      <c r="I40" s="555"/>
      <c r="J40" s="965"/>
    </row>
    <row r="41" spans="2:10">
      <c r="B41" s="985" t="str">
        <f>ProcessEnergy!B39</f>
        <v>Elec/heat fuel</v>
      </c>
      <c r="C41" s="976"/>
      <c r="D41" s="984"/>
      <c r="E41" s="984"/>
      <c r="F41" s="984"/>
      <c r="G41" s="984"/>
      <c r="H41" s="984"/>
      <c r="I41" s="555"/>
      <c r="J41" s="965"/>
    </row>
    <row r="42" spans="2:10">
      <c r="B42" s="985" t="str">
        <f>ProcessEnergy!B40</f>
        <v>Biogas (100% CH4)</v>
      </c>
      <c r="C42" s="976"/>
      <c r="D42" s="984"/>
      <c r="E42" s="984"/>
      <c r="F42" s="984"/>
      <c r="G42" s="984"/>
      <c r="H42" s="984"/>
      <c r="I42" s="555"/>
      <c r="J42" s="965"/>
    </row>
    <row r="43" spans="2:10">
      <c r="B43" s="985" t="str">
        <f>ProcessEnergy!B41</f>
        <v>District heating</v>
      </c>
      <c r="C43" s="976" t="s">
        <v>1396</v>
      </c>
      <c r="D43" s="307">
        <f>C150*C151+D188/100</f>
        <v>0.3468071875</v>
      </c>
      <c r="E43" s="978">
        <f>$D43</f>
        <v>0.3468071875</v>
      </c>
      <c r="F43" s="978">
        <f>$D43</f>
        <v>0.3468071875</v>
      </c>
      <c r="G43" s="978">
        <f>$D43</f>
        <v>0.3468071875</v>
      </c>
      <c r="H43" s="978"/>
      <c r="I43" s="555"/>
      <c r="J43" s="965"/>
    </row>
    <row r="44" spans="2:10">
      <c r="B44" s="985" t="str">
        <f>ProcessEnergy!B42</f>
        <v>&lt;empty&gt;</v>
      </c>
      <c r="C44" s="976"/>
      <c r="D44" s="307"/>
      <c r="E44" s="978"/>
      <c r="F44" s="978"/>
      <c r="G44" s="978"/>
      <c r="H44" s="978"/>
      <c r="I44" s="555"/>
      <c r="J44" s="965"/>
    </row>
    <row r="45" spans="2:10">
      <c r="B45" s="985" t="str">
        <f>ProcessEnergy!B43</f>
        <v>&lt;empty&gt;</v>
      </c>
      <c r="C45" s="976"/>
      <c r="D45" s="307"/>
      <c r="E45" s="978"/>
      <c r="F45" s="978"/>
      <c r="G45" s="978"/>
      <c r="H45" s="978"/>
      <c r="I45" s="555"/>
      <c r="J45" s="965"/>
    </row>
    <row r="46" spans="2:10">
      <c r="B46" s="985" t="str">
        <f>ProcessEnergy!B44</f>
        <v>&lt;empty&gt;</v>
      </c>
      <c r="C46" s="976"/>
      <c r="D46" s="307"/>
      <c r="E46" s="978"/>
      <c r="F46" s="978"/>
      <c r="G46" s="978"/>
      <c r="H46" s="978"/>
      <c r="I46" s="555"/>
      <c r="J46" s="965"/>
    </row>
    <row r="47" spans="2:10">
      <c r="B47" s="985" t="str">
        <f>ProcessEnergy!B45</f>
        <v>&lt;empty&gt;</v>
      </c>
      <c r="C47" s="976"/>
      <c r="D47" s="307"/>
      <c r="E47" s="978"/>
      <c r="F47" s="978"/>
      <c r="G47" s="978"/>
      <c r="H47" s="978"/>
      <c r="I47" s="555"/>
      <c r="J47" s="965"/>
    </row>
    <row r="48" spans="2:10">
      <c r="B48" s="985" t="str">
        <f>ProcessEnergy!B46</f>
        <v>&lt;empty&gt;</v>
      </c>
      <c r="C48" s="976"/>
      <c r="D48" s="307"/>
      <c r="E48" s="978"/>
      <c r="F48" s="978"/>
      <c r="G48" s="978"/>
      <c r="H48" s="978"/>
      <c r="I48" s="555"/>
      <c r="J48" s="965"/>
    </row>
    <row r="49" spans="2:10">
      <c r="B49" s="985" t="str">
        <f>ProcessEnergy!B47</f>
        <v>&lt;empty&gt;</v>
      </c>
      <c r="C49" s="976"/>
      <c r="D49" s="307"/>
      <c r="E49" s="978"/>
      <c r="F49" s="978"/>
      <c r="G49" s="978"/>
      <c r="H49" s="978"/>
      <c r="I49" s="555"/>
      <c r="J49" s="965"/>
    </row>
    <row r="50" spans="2:10">
      <c r="B50" s="985" t="str">
        <f>ProcessEnergy!B48</f>
        <v>Glycerol</v>
      </c>
      <c r="C50" s="976"/>
      <c r="D50" s="307"/>
      <c r="E50" s="978"/>
      <c r="F50" s="978"/>
      <c r="G50" s="978"/>
      <c r="H50" s="978"/>
      <c r="I50" s="555"/>
      <c r="J50" s="965"/>
    </row>
    <row r="51" spans="2:10">
      <c r="B51" s="985" t="str">
        <f>ProcessEnergy!B49</f>
        <v>&lt;empty&gt;</v>
      </c>
      <c r="C51" s="976"/>
      <c r="D51" s="307"/>
      <c r="E51" s="978"/>
      <c r="F51" s="978"/>
      <c r="G51" s="978"/>
      <c r="H51" s="978"/>
      <c r="I51" s="555"/>
      <c r="J51" s="965"/>
    </row>
    <row r="52" spans="2:10">
      <c r="B52" s="985" t="str">
        <f>ProcessEnergy!B51</f>
        <v>Fodder (wheat like)</v>
      </c>
      <c r="C52" s="976"/>
      <c r="D52" s="984"/>
      <c r="E52" s="984"/>
      <c r="F52" s="984"/>
      <c r="G52" s="984"/>
      <c r="H52" s="984"/>
      <c r="I52" s="555"/>
      <c r="J52" s="965"/>
    </row>
    <row r="53" spans="2:10">
      <c r="B53" s="985" t="str">
        <f>ProcessEnergy!B52</f>
        <v>Rape seed cake</v>
      </c>
      <c r="C53" s="976"/>
      <c r="D53" s="984"/>
      <c r="E53" s="984"/>
      <c r="F53" s="984"/>
      <c r="G53" s="984"/>
      <c r="H53" s="984"/>
      <c r="I53" s="555"/>
      <c r="J53" s="965"/>
    </row>
    <row r="54" spans="2:10">
      <c r="B54" s="985" t="str">
        <f>ProcessEnergy!B53</f>
        <v>&lt;empty&gt;</v>
      </c>
      <c r="C54" s="976"/>
      <c r="D54" s="984"/>
      <c r="E54" s="984"/>
      <c r="F54" s="984"/>
      <c r="G54" s="984"/>
      <c r="H54" s="984"/>
      <c r="I54" s="555"/>
      <c r="J54" s="965"/>
    </row>
    <row r="55" spans="2:10">
      <c r="B55" s="985" t="str">
        <f>ProcessEnergy!B54</f>
        <v>DDGS</v>
      </c>
      <c r="C55" s="976"/>
      <c r="D55" s="984"/>
      <c r="E55" s="984"/>
      <c r="F55" s="984"/>
      <c r="G55" s="984"/>
      <c r="H55" s="984"/>
      <c r="I55" s="555"/>
      <c r="J55" s="965"/>
    </row>
    <row r="56" spans="2:10">
      <c r="B56" s="964"/>
      <c r="C56" s="976"/>
      <c r="D56" s="984"/>
      <c r="E56" s="984"/>
      <c r="F56" s="984"/>
      <c r="G56" s="984"/>
      <c r="H56" s="984"/>
      <c r="I56" s="555"/>
      <c r="J56" s="965"/>
    </row>
    <row r="57" spans="2:10">
      <c r="B57" s="975" t="s">
        <v>873</v>
      </c>
      <c r="C57" s="976"/>
      <c r="D57" s="984"/>
      <c r="E57" s="984"/>
      <c r="F57" s="984"/>
      <c r="G57" s="984"/>
      <c r="H57" s="984"/>
      <c r="I57" s="555"/>
      <c r="J57" s="965"/>
    </row>
    <row r="58" spans="2:10">
      <c r="B58" s="964" t="str">
        <f>ProcessEnergy!B5</f>
        <v>EL - peakload</v>
      </c>
      <c r="C58" s="976" t="s">
        <v>1396</v>
      </c>
      <c r="D58" s="1364">
        <f>D165/D160</f>
        <v>9.3749999999999986E-2</v>
      </c>
      <c r="E58" s="978">
        <f>$D58</f>
        <v>9.3749999999999986E-2</v>
      </c>
      <c r="F58" s="978">
        <f>$D58</f>
        <v>9.3749999999999986E-2</v>
      </c>
      <c r="G58" s="978">
        <f>$D58</f>
        <v>9.3749999999999986E-2</v>
      </c>
      <c r="H58" s="984"/>
      <c r="I58" s="555"/>
      <c r="J58" s="965"/>
    </row>
    <row r="59" spans="2:10">
      <c r="B59" s="964" t="str">
        <f>ProcessEnergy!B6</f>
        <v>El - baseload</v>
      </c>
      <c r="C59" s="976" t="s">
        <v>877</v>
      </c>
      <c r="D59" s="984"/>
      <c r="E59" s="984"/>
      <c r="F59" s="984"/>
      <c r="G59" s="984"/>
      <c r="H59" s="984"/>
      <c r="I59" s="555"/>
      <c r="J59" s="965"/>
    </row>
    <row r="60" spans="2:10">
      <c r="B60" s="964" t="str">
        <f>ProcessEnergy!B7</f>
        <v xml:space="preserve">Varme </v>
      </c>
      <c r="C60" s="976" t="s">
        <v>877</v>
      </c>
      <c r="D60" s="984"/>
      <c r="E60" s="984"/>
      <c r="F60" s="984"/>
      <c r="G60" s="984"/>
      <c r="H60" s="984"/>
      <c r="I60" s="555"/>
      <c r="J60" s="965"/>
    </row>
    <row r="61" spans="2:10">
      <c r="B61" s="964" t="str">
        <f>ProcessEnergy!B8</f>
        <v>Damp</v>
      </c>
      <c r="C61" s="976" t="s">
        <v>877</v>
      </c>
      <c r="D61" s="984"/>
      <c r="E61" s="984"/>
      <c r="F61" s="984"/>
      <c r="G61" s="984"/>
      <c r="H61" s="984"/>
      <c r="I61" s="555"/>
      <c r="J61" s="965"/>
    </row>
    <row r="62" spans="2:10">
      <c r="B62" s="964" t="str">
        <f>ProcessEnergy!B9</f>
        <v xml:space="preserve">Olie </v>
      </c>
      <c r="C62" s="976" t="s">
        <v>877</v>
      </c>
      <c r="D62" s="984"/>
      <c r="E62" s="984"/>
      <c r="F62" s="984"/>
      <c r="G62" s="984"/>
      <c r="H62" s="984"/>
      <c r="I62" s="555"/>
      <c r="J62" s="965"/>
    </row>
    <row r="63" spans="2:10">
      <c r="B63" s="964" t="str">
        <f>ProcessEnergy!B10</f>
        <v>Kul</v>
      </c>
      <c r="C63" s="976" t="s">
        <v>877</v>
      </c>
      <c r="D63" s="984"/>
      <c r="E63" s="984"/>
      <c r="F63" s="984"/>
      <c r="G63" s="984"/>
      <c r="H63" s="984"/>
      <c r="I63" s="555"/>
      <c r="J63" s="965"/>
    </row>
    <row r="64" spans="2:10">
      <c r="B64" s="964" t="str">
        <f>ProcessEnergy!B11</f>
        <v>Naturgas kedel</v>
      </c>
      <c r="C64" s="976" t="s">
        <v>877</v>
      </c>
      <c r="D64" s="984"/>
      <c r="E64" s="984"/>
      <c r="F64" s="984"/>
      <c r="G64" s="984"/>
      <c r="H64" s="984"/>
      <c r="I64" s="555"/>
      <c r="J64" s="965"/>
    </row>
    <row r="65" spans="2:10">
      <c r="B65" s="964" t="str">
        <f>ProcessEnergy!B12</f>
        <v>Gylle</v>
      </c>
      <c r="C65" s="976" t="s">
        <v>877</v>
      </c>
      <c r="D65" s="984"/>
      <c r="E65" s="984"/>
      <c r="F65" s="984"/>
      <c r="G65" s="984"/>
      <c r="H65" s="984"/>
      <c r="I65" s="555"/>
      <c r="J65" s="965"/>
    </row>
    <row r="66" spans="2:10">
      <c r="B66" s="964" t="str">
        <f>ProcessEnergy!B13</f>
        <v>Affald</v>
      </c>
      <c r="C66" s="976" t="s">
        <v>877</v>
      </c>
      <c r="D66" s="984"/>
      <c r="E66" s="984"/>
      <c r="F66" s="984"/>
      <c r="G66" s="984"/>
      <c r="H66" s="984"/>
      <c r="I66" s="555"/>
      <c r="J66" s="965"/>
    </row>
    <row r="67" spans="2:10">
      <c r="B67" s="964" t="str">
        <f>ProcessEnergy!B14</f>
        <v>Hydrogen</v>
      </c>
      <c r="C67" s="976" t="s">
        <v>877</v>
      </c>
      <c r="D67" s="984"/>
      <c r="E67" s="984"/>
      <c r="F67" s="984"/>
      <c r="G67" s="984"/>
      <c r="H67" s="984"/>
      <c r="I67" s="555"/>
      <c r="J67" s="965"/>
    </row>
    <row r="68" spans="2:10">
      <c r="B68" s="964" t="str">
        <f>ProcessEnergy!B15</f>
        <v>Biomasse</v>
      </c>
      <c r="C68" s="976" t="s">
        <v>877</v>
      </c>
      <c r="D68" s="984"/>
      <c r="E68" s="984"/>
      <c r="F68" s="984"/>
      <c r="G68" s="984"/>
      <c r="H68" s="984"/>
      <c r="I68" s="555"/>
      <c r="J68" s="965"/>
    </row>
    <row r="69" spans="2:10">
      <c r="B69" s="964" t="str">
        <f>ProcessEnergy!B16</f>
        <v>Methanol</v>
      </c>
      <c r="C69" s="976"/>
      <c r="D69" s="984"/>
      <c r="E69" s="984"/>
      <c r="F69" s="984"/>
      <c r="G69" s="984"/>
      <c r="H69" s="984"/>
      <c r="I69" s="555"/>
      <c r="J69" s="965"/>
    </row>
    <row r="70" spans="2:10">
      <c r="B70" s="964" t="str">
        <f>ProcessEnergy!B17</f>
        <v>&lt;empty&gt;</v>
      </c>
      <c r="C70" s="976"/>
      <c r="D70" s="984"/>
      <c r="E70" s="984"/>
      <c r="F70" s="984"/>
      <c r="G70" s="984"/>
      <c r="H70" s="984"/>
      <c r="I70" s="555"/>
      <c r="J70" s="965"/>
    </row>
    <row r="71" spans="2:10">
      <c r="B71" s="964" t="str">
        <f>ProcessEnergy!B18</f>
        <v>&lt;empty&gt;</v>
      </c>
      <c r="C71" s="976"/>
      <c r="D71" s="984"/>
      <c r="E71" s="984"/>
      <c r="F71" s="984"/>
      <c r="G71" s="984"/>
      <c r="H71" s="984"/>
      <c r="I71" s="555"/>
      <c r="J71" s="965"/>
    </row>
    <row r="72" spans="2:10">
      <c r="B72" s="964" t="str">
        <f>ProcessEnergy!B19</f>
        <v>&lt;empty&gt;</v>
      </c>
      <c r="C72" s="976"/>
      <c r="D72" s="984"/>
      <c r="E72" s="984"/>
      <c r="F72" s="984"/>
      <c r="G72" s="984"/>
      <c r="H72" s="984"/>
      <c r="I72" s="555"/>
      <c r="J72" s="965"/>
    </row>
    <row r="73" spans="2:10">
      <c r="B73" s="964" t="str">
        <f>ProcessEnergy!B20</f>
        <v>&lt;empty&gt;</v>
      </c>
      <c r="C73" s="976"/>
      <c r="D73" s="984"/>
      <c r="E73" s="984"/>
      <c r="F73" s="984"/>
      <c r="G73" s="984"/>
      <c r="H73" s="984"/>
      <c r="I73" s="555"/>
      <c r="J73" s="965"/>
    </row>
    <row r="74" spans="2:10">
      <c r="B74" s="964" t="str">
        <f>ProcessEnergy!B21</f>
        <v>&lt;empty&gt;</v>
      </c>
      <c r="C74" s="976"/>
      <c r="D74" s="984"/>
      <c r="E74" s="984"/>
      <c r="F74" s="984"/>
      <c r="G74" s="984"/>
      <c r="H74" s="984"/>
      <c r="I74" s="555"/>
      <c r="J74" s="965"/>
    </row>
    <row r="75" spans="2:10">
      <c r="B75" s="964" t="str">
        <f>ProcessEnergy!B22</f>
        <v>&lt;empty&gt;</v>
      </c>
      <c r="C75" s="976"/>
      <c r="D75" s="984"/>
      <c r="E75" s="984"/>
      <c r="F75" s="984"/>
      <c r="G75" s="984"/>
      <c r="H75" s="984"/>
      <c r="I75" s="555"/>
      <c r="J75" s="965"/>
    </row>
    <row r="76" spans="2:10">
      <c r="B76" s="964" t="str">
        <f>ProcessEnergy!B23</f>
        <v>&lt;empty&gt;</v>
      </c>
      <c r="C76" s="976"/>
      <c r="D76" s="984"/>
      <c r="E76" s="984"/>
      <c r="F76" s="984"/>
      <c r="G76" s="984"/>
      <c r="H76" s="984"/>
      <c r="I76" s="555"/>
      <c r="J76" s="965"/>
    </row>
    <row r="77" spans="2:10">
      <c r="B77" s="964" t="str">
        <f>ProcessEnergy!B24</f>
        <v>&lt;empty&gt;</v>
      </c>
      <c r="C77" s="976" t="s">
        <v>1396</v>
      </c>
      <c r="D77" s="978">
        <f>D162/D160</f>
        <v>1.5625E-2</v>
      </c>
      <c r="E77" s="984"/>
      <c r="F77" s="984"/>
      <c r="G77" s="984"/>
      <c r="H77" s="984"/>
      <c r="I77" s="555"/>
      <c r="J77" s="965"/>
    </row>
    <row r="78" spans="2:10">
      <c r="B78" s="964"/>
      <c r="C78" s="976"/>
      <c r="D78" s="984"/>
      <c r="E78" s="984"/>
      <c r="F78" s="984"/>
      <c r="G78" s="984"/>
      <c r="H78" s="984"/>
      <c r="I78" s="555"/>
      <c r="J78" s="965"/>
    </row>
    <row r="79" spans="2:10">
      <c r="B79" s="964"/>
      <c r="C79" s="976"/>
      <c r="D79" s="984"/>
      <c r="E79" s="984"/>
      <c r="F79" s="984"/>
      <c r="G79" s="984"/>
      <c r="H79" s="984"/>
      <c r="I79" s="555"/>
      <c r="J79" s="965"/>
    </row>
    <row r="80" spans="2:10">
      <c r="B80" s="964"/>
      <c r="C80" s="976"/>
      <c r="D80" s="986"/>
      <c r="E80" s="986"/>
      <c r="F80" s="986"/>
      <c r="G80" s="986"/>
      <c r="H80" s="986"/>
      <c r="I80" s="555"/>
      <c r="J80" s="965"/>
    </row>
    <row r="81" spans="1:17">
      <c r="B81" s="975" t="s">
        <v>152</v>
      </c>
      <c r="C81" s="976"/>
      <c r="D81" s="986"/>
      <c r="E81" s="986"/>
      <c r="F81" s="986"/>
      <c r="G81" s="986"/>
      <c r="H81" s="986"/>
      <c r="I81" s="555"/>
      <c r="J81" s="965"/>
    </row>
    <row r="82" spans="1:17">
      <c r="A82" s="530">
        <v>4</v>
      </c>
      <c r="B82" s="964" t="s">
        <v>462</v>
      </c>
      <c r="C82" s="976" t="s">
        <v>725</v>
      </c>
      <c r="D82" s="1635">
        <v>1</v>
      </c>
      <c r="E82" s="978">
        <f>$D82</f>
        <v>1</v>
      </c>
      <c r="F82" s="978">
        <f>$D82</f>
        <v>1</v>
      </c>
      <c r="G82" s="978">
        <f>$D82</f>
        <v>1</v>
      </c>
      <c r="H82" s="978"/>
      <c r="I82" s="555"/>
      <c r="J82" s="965"/>
    </row>
    <row r="83" spans="1:17">
      <c r="B83" s="964" t="s">
        <v>153</v>
      </c>
      <c r="C83" s="976" t="s">
        <v>725</v>
      </c>
      <c r="D83" s="978">
        <f>(D58+D77)*D82</f>
        <v>0.10937499999999999</v>
      </c>
      <c r="E83" s="984">
        <f t="shared" ref="E83:G86" si="1">$D83</f>
        <v>0.10937499999999999</v>
      </c>
      <c r="F83" s="984">
        <f t="shared" si="1"/>
        <v>0.10937499999999999</v>
      </c>
      <c r="G83" s="984">
        <f t="shared" si="1"/>
        <v>0.10937499999999999</v>
      </c>
      <c r="H83" s="1334"/>
      <c r="I83" s="555"/>
      <c r="J83" s="965"/>
    </row>
    <row r="84" spans="1:17">
      <c r="B84" s="964" t="s">
        <v>154</v>
      </c>
      <c r="C84" s="976" t="s">
        <v>725</v>
      </c>
      <c r="D84" s="993">
        <f>D43*D82</f>
        <v>0.3468071875</v>
      </c>
      <c r="E84" s="984">
        <f t="shared" si="1"/>
        <v>0.3468071875</v>
      </c>
      <c r="F84" s="984">
        <f t="shared" si="1"/>
        <v>0.3468071875</v>
      </c>
      <c r="G84" s="984">
        <f t="shared" si="1"/>
        <v>0.3468071875</v>
      </c>
      <c r="H84" s="978"/>
      <c r="I84" s="555"/>
      <c r="J84" s="965"/>
    </row>
    <row r="85" spans="1:17">
      <c r="B85" s="964" t="s">
        <v>1397</v>
      </c>
      <c r="C85" s="976" t="s">
        <v>725</v>
      </c>
      <c r="D85" s="993">
        <f>1/D160*D82</f>
        <v>0.625</v>
      </c>
      <c r="E85" s="987">
        <f t="shared" si="1"/>
        <v>0.625</v>
      </c>
      <c r="F85" s="987">
        <f t="shared" si="1"/>
        <v>0.625</v>
      </c>
      <c r="G85" s="987">
        <f t="shared" si="1"/>
        <v>0.625</v>
      </c>
      <c r="H85" s="978"/>
      <c r="I85" s="555"/>
      <c r="J85" s="965"/>
    </row>
    <row r="86" spans="1:17">
      <c r="B86" s="985" t="s">
        <v>155</v>
      </c>
      <c r="C86" s="976" t="s">
        <v>725</v>
      </c>
      <c r="D86" s="993">
        <f>SUM(D82:D83)-SUM(D84:D85)</f>
        <v>0.13756781249999994</v>
      </c>
      <c r="E86" s="987">
        <f t="shared" si="1"/>
        <v>0.13756781249999994</v>
      </c>
      <c r="F86" s="987">
        <f t="shared" si="1"/>
        <v>0.13756781249999994</v>
      </c>
      <c r="G86" s="987">
        <f t="shared" si="1"/>
        <v>0.13756781249999994</v>
      </c>
      <c r="H86" s="978"/>
      <c r="I86" s="555"/>
      <c r="J86" s="965"/>
    </row>
    <row r="87" spans="1:17">
      <c r="B87" s="985" t="s">
        <v>156</v>
      </c>
      <c r="C87" s="988" t="s">
        <v>726</v>
      </c>
      <c r="D87" s="1365">
        <f>SUM(D84:D85)/SUM(D82:D83)</f>
        <v>0.87599521126760571</v>
      </c>
      <c r="E87" s="978">
        <f>$D87</f>
        <v>0.87599521126760571</v>
      </c>
      <c r="F87" s="978">
        <f>$D87</f>
        <v>0.87599521126760571</v>
      </c>
      <c r="G87" s="978">
        <f>$D87</f>
        <v>0.87599521126760571</v>
      </c>
      <c r="H87" s="990"/>
      <c r="I87" s="555"/>
      <c r="J87" s="965"/>
    </row>
    <row r="88" spans="1:17">
      <c r="B88" s="964"/>
      <c r="C88" s="976"/>
      <c r="D88" s="1366">
        <f>D169/100</f>
        <v>0.88</v>
      </c>
      <c r="E88" s="1061"/>
      <c r="F88" s="983"/>
      <c r="G88" s="983"/>
      <c r="H88" s="990"/>
      <c r="I88" s="555"/>
      <c r="J88" s="965"/>
      <c r="N88" s="557"/>
    </row>
    <row r="89" spans="1:17">
      <c r="B89" s="975" t="s">
        <v>2116</v>
      </c>
      <c r="C89" s="976"/>
      <c r="D89" s="983"/>
      <c r="E89" s="983"/>
      <c r="F89" s="983"/>
      <c r="G89" s="983"/>
      <c r="H89" s="983"/>
      <c r="I89" s="555"/>
      <c r="J89" s="965"/>
      <c r="N89" s="991"/>
      <c r="O89" s="991"/>
      <c r="P89" s="991"/>
      <c r="Q89" s="991"/>
    </row>
    <row r="90" spans="1:17">
      <c r="B90" s="964" t="s">
        <v>157</v>
      </c>
      <c r="C90" s="976" t="s">
        <v>61</v>
      </c>
      <c r="D90" s="992">
        <f ca="1">HLOOKUP($H99,Supplementary!$C$44:$AF$46,3,FALSE)*D99*D$110</f>
        <v>2779232390.680697</v>
      </c>
      <c r="E90" s="992">
        <f ca="1">HLOOKUP($H99,Supplementary!$C$44:$AF$46,3,FALSE)*E99*E$110</f>
        <v>2640270771.1466618</v>
      </c>
      <c r="F90" s="992">
        <f ca="1">HLOOKUP($H99,Supplementary!$C$44:$AF$46,3,FALSE)*F99*F$110</f>
        <v>2150517044.791276</v>
      </c>
      <c r="G90" s="992">
        <f ca="1">HLOOKUP($H99,Supplementary!$C$44:$AF$46,3,FALSE)*G99*G$110</f>
        <v>1580827640.2769067</v>
      </c>
      <c r="H90" s="555">
        <f t="shared" ref="H90:H96" si="2">priceYear</f>
        <v>2015</v>
      </c>
      <c r="I90" s="555"/>
      <c r="J90" s="965"/>
      <c r="N90" s="991"/>
      <c r="O90" s="991"/>
      <c r="P90" s="991"/>
      <c r="Q90" s="991"/>
    </row>
    <row r="91" spans="1:17">
      <c r="B91" s="964" t="s">
        <v>160</v>
      </c>
      <c r="C91" s="976" t="s">
        <v>464</v>
      </c>
      <c r="D91" s="555">
        <f ca="1">SUM(D92:D96)</f>
        <v>76.543202881725918</v>
      </c>
      <c r="E91" s="555">
        <f ca="1">SUM(E92:E96)</f>
        <v>71.7969357258157</v>
      </c>
      <c r="F91" s="555">
        <f ca="1">SUM(F92:F96)</f>
        <v>50.111705040757442</v>
      </c>
      <c r="G91" s="555">
        <f ca="1">SUM(G92:G96)</f>
        <v>29.030587600888548</v>
      </c>
      <c r="H91" s="555">
        <f t="shared" si="2"/>
        <v>2015</v>
      </c>
      <c r="I91" s="555"/>
      <c r="J91" s="965"/>
      <c r="N91" s="991"/>
      <c r="O91" s="991"/>
      <c r="P91" s="991"/>
      <c r="Q91" s="991"/>
    </row>
    <row r="92" spans="1:17">
      <c r="B92" s="995" t="s">
        <v>162</v>
      </c>
      <c r="C92" s="976" t="s">
        <v>464</v>
      </c>
      <c r="D92" s="992">
        <f ca="1">HLOOKUP($H101,Supplementary!$C$44:$AF$46,3,FALSE)*D101*D$110</f>
        <v>75.088483983969468</v>
      </c>
      <c r="E92" s="555">
        <f ca="1">HLOOKUP($H101,Supplementary!$C$44:$AF$46,3,FALSE)*E101*E$110</f>
        <v>71.334059784770986</v>
      </c>
      <c r="F92" s="555">
        <f ca="1">HLOOKUP($H101,Supplementary!$C$44:$AF$46,3,FALSE)*F101*F$110</f>
        <v>58.102037532569632</v>
      </c>
      <c r="G92" s="555">
        <f ca="1">HLOOKUP($H101,Supplementary!$C$44:$AF$46,3,FALSE)*G101*G$110</f>
        <v>42.710336618981316</v>
      </c>
      <c r="H92" s="555">
        <f t="shared" si="2"/>
        <v>2015</v>
      </c>
      <c r="I92" s="555"/>
      <c r="J92" s="965"/>
      <c r="N92" s="991"/>
      <c r="O92" s="991"/>
      <c r="P92" s="991"/>
      <c r="Q92" s="991"/>
    </row>
    <row r="93" spans="1:17">
      <c r="B93" s="995" t="s">
        <v>163</v>
      </c>
      <c r="C93" s="976" t="s">
        <v>464</v>
      </c>
      <c r="D93" s="992">
        <f ca="1">HLOOKUP($H102,Supplementary!$C$44:$AF$46,3,FALSE)*D102*D$110</f>
        <v>27.755844796502995</v>
      </c>
      <c r="E93" s="555">
        <f ca="1">HLOOKUP($H102,Supplementary!$C$44:$AF$46,3,FALSE)*E102*E$110</f>
        <v>26.368052556677846</v>
      </c>
      <c r="F93" s="555">
        <f ca="1">HLOOKUP($H102,Supplementary!$C$44:$AF$46,3,FALSE)*F102*F$110</f>
        <v>21.476943607742584</v>
      </c>
      <c r="G93" s="555">
        <f ca="1">HLOOKUP($H102,Supplementary!$C$44:$AF$46,3,FALSE)*G102*G$110</f>
        <v>15.787527081462002</v>
      </c>
      <c r="H93" s="555">
        <f t="shared" si="2"/>
        <v>2015</v>
      </c>
      <c r="I93" s="555"/>
      <c r="J93" s="965"/>
      <c r="N93" s="991"/>
      <c r="O93" s="991"/>
      <c r="P93" s="991"/>
      <c r="Q93" s="991"/>
    </row>
    <row r="94" spans="1:17">
      <c r="B94" s="995" t="s">
        <v>164</v>
      </c>
      <c r="C94" s="976" t="s">
        <v>464</v>
      </c>
      <c r="D94" s="992">
        <f>HLOOKUP($H103,Supplementary!$C$44:$AF$46,3,FALSE)*D103</f>
        <v>0</v>
      </c>
      <c r="E94" s="555">
        <f>HLOOKUP($H103,Supplementary!$C$44:$AF$46,3,FALSE)*E103</f>
        <v>0</v>
      </c>
      <c r="F94" s="555">
        <f>HLOOKUP($H103,Supplementary!$C$44:$AF$46,3,FALSE)*F103</f>
        <v>0</v>
      </c>
      <c r="G94" s="555">
        <f>HLOOKUP($H103,Supplementary!$C$44:$AF$46,3,FALSE)*G103</f>
        <v>0</v>
      </c>
      <c r="H94" s="555">
        <f t="shared" si="2"/>
        <v>2015</v>
      </c>
      <c r="I94" s="555"/>
      <c r="J94" s="965"/>
      <c r="N94" s="991"/>
      <c r="O94" s="991"/>
      <c r="P94" s="991"/>
      <c r="Q94" s="991"/>
    </row>
    <row r="95" spans="1:17">
      <c r="B95" s="995" t="s">
        <v>264</v>
      </c>
      <c r="C95" s="976" t="s">
        <v>464</v>
      </c>
      <c r="D95" s="992">
        <f ca="1">HLOOKUP($H104,Supplementary!$C$44:$AF$46,3,FALSE)*D104*D$110</f>
        <v>0</v>
      </c>
      <c r="E95" s="555">
        <f ca="1">HLOOKUP($H104,Supplementary!$C$44:$AF$46,3,FALSE)*E104*E$110</f>
        <v>0</v>
      </c>
      <c r="F95" s="555">
        <f ca="1">HLOOKUP($H104,Supplementary!$C$44:$AF$46,3,FALSE)*F104*F$110</f>
        <v>0</v>
      </c>
      <c r="G95" s="555">
        <f ca="1">HLOOKUP($H104,Supplementary!$C$44:$AF$46,3,FALSE)*G104*G$110</f>
        <v>0</v>
      </c>
      <c r="H95" s="555">
        <f t="shared" si="2"/>
        <v>2015</v>
      </c>
      <c r="I95" s="555"/>
      <c r="J95" s="965"/>
      <c r="N95" s="991"/>
      <c r="O95" s="991"/>
      <c r="P95" s="991"/>
      <c r="Q95" s="991"/>
    </row>
    <row r="96" spans="1:17">
      <c r="B96" s="995" t="s">
        <v>165</v>
      </c>
      <c r="C96" s="976" t="s">
        <v>464</v>
      </c>
      <c r="D96" s="992">
        <f ca="1">HLOOKUP($H105,Supplementary!$C$44:$AF$46,3,FALSE)*D105</f>
        <v>-26.301125898746552</v>
      </c>
      <c r="E96" s="555">
        <f ca="1">HLOOKUP($H105,Supplementary!$C$44:$AF$46,3,FALSE)*E105</f>
        <v>-25.905176615633142</v>
      </c>
      <c r="F96" s="555">
        <f ca="1">HLOOKUP($H105,Supplementary!$C$44:$AF$46,3,FALSE)*F105</f>
        <v>-29.46727609955477</v>
      </c>
      <c r="G96" s="555">
        <f ca="1">HLOOKUP($H105,Supplementary!$C$44:$AF$46,3,FALSE)*G105</f>
        <v>-29.46727609955477</v>
      </c>
      <c r="H96" s="555">
        <f t="shared" si="2"/>
        <v>2015</v>
      </c>
      <c r="I96" s="555"/>
      <c r="J96" s="965"/>
      <c r="N96" s="991"/>
      <c r="O96" s="991"/>
      <c r="P96" s="991"/>
      <c r="Q96" s="991"/>
    </row>
    <row r="97" spans="1:17">
      <c r="B97" s="975"/>
      <c r="C97" s="976"/>
      <c r="D97" s="992"/>
      <c r="E97" s="983"/>
      <c r="F97" s="983"/>
      <c r="G97" s="983"/>
      <c r="H97" s="983"/>
      <c r="I97" s="555"/>
      <c r="J97" s="965"/>
      <c r="N97" s="991"/>
      <c r="O97" s="991"/>
      <c r="P97" s="991"/>
      <c r="Q97" s="991"/>
    </row>
    <row r="98" spans="1:17">
      <c r="B98" s="975" t="s">
        <v>2117</v>
      </c>
      <c r="C98" s="976"/>
      <c r="D98" s="992"/>
      <c r="E98" s="983"/>
      <c r="F98" s="983"/>
      <c r="G98" s="983"/>
      <c r="H98" s="983"/>
      <c r="I98" s="555"/>
      <c r="J98" s="965"/>
      <c r="N98" s="991"/>
      <c r="O98" s="991"/>
      <c r="P98" s="991"/>
      <c r="Q98" s="991"/>
    </row>
    <row r="99" spans="1:17">
      <c r="B99" s="964" t="s">
        <v>157</v>
      </c>
      <c r="C99" s="976" t="s">
        <v>61</v>
      </c>
      <c r="D99" s="992">
        <f>D159*D177*dkkPerEUR</f>
        <v>2610927000</v>
      </c>
      <c r="E99" s="992">
        <f t="shared" ref="E99:G102" si="3">$D99</f>
        <v>2610927000</v>
      </c>
      <c r="F99" s="992">
        <f t="shared" si="3"/>
        <v>2610927000</v>
      </c>
      <c r="G99" s="992">
        <f t="shared" si="3"/>
        <v>2610927000</v>
      </c>
      <c r="H99" s="1668">
        <v>2011</v>
      </c>
      <c r="I99" s="555"/>
      <c r="J99" s="965"/>
      <c r="N99" s="991"/>
      <c r="O99" s="991"/>
      <c r="P99" s="991"/>
      <c r="Q99" s="991"/>
    </row>
    <row r="100" spans="1:17">
      <c r="B100" s="964" t="s">
        <v>160</v>
      </c>
      <c r="C100" s="976" t="s">
        <v>464</v>
      </c>
      <c r="D100" s="993">
        <f ca="1">SUM(D101:D105)</f>
        <v>71.907882097411985</v>
      </c>
      <c r="E100" s="978">
        <f t="shared" ca="1" si="3"/>
        <v>71.907882097411985</v>
      </c>
      <c r="F100" s="978">
        <f t="shared" ca="1" si="3"/>
        <v>71.907882097411985</v>
      </c>
      <c r="G100" s="978">
        <f t="shared" ca="1" si="3"/>
        <v>71.907882097411985</v>
      </c>
      <c r="H100" s="1668">
        <v>2011</v>
      </c>
      <c r="I100" s="994"/>
      <c r="J100" s="965"/>
      <c r="N100" s="991"/>
      <c r="O100" s="991"/>
      <c r="P100" s="991"/>
      <c r="Q100" s="991"/>
    </row>
    <row r="101" spans="1:17">
      <c r="B101" s="995" t="s">
        <v>162</v>
      </c>
      <c r="C101" s="976" t="s">
        <v>464</v>
      </c>
      <c r="D101" s="993">
        <f ca="1">-PMT(rSØK,D34,D99)/$D$159</f>
        <v>70.541258399336741</v>
      </c>
      <c r="E101" s="978">
        <f t="shared" ca="1" si="3"/>
        <v>70.541258399336741</v>
      </c>
      <c r="F101" s="978">
        <f t="shared" ca="1" si="3"/>
        <v>70.541258399336741</v>
      </c>
      <c r="G101" s="978">
        <f t="shared" ca="1" si="3"/>
        <v>70.541258399336741</v>
      </c>
      <c r="H101" s="1668">
        <v>2011</v>
      </c>
      <c r="I101" s="994"/>
      <c r="J101" s="965"/>
      <c r="N101" s="991"/>
      <c r="O101" s="991"/>
      <c r="P101" s="991"/>
      <c r="Q101" s="991"/>
    </row>
    <row r="102" spans="1:17">
      <c r="B102" s="995" t="s">
        <v>163</v>
      </c>
      <c r="C102" s="976" t="s">
        <v>464</v>
      </c>
      <c r="D102" s="480">
        <f>IF(D141&gt;0,D177*D141*dkkPerEUR,D178*dkkPerEUR)</f>
        <v>26.074999999999999</v>
      </c>
      <c r="E102" s="480">
        <f t="shared" si="3"/>
        <v>26.074999999999999</v>
      </c>
      <c r="F102" s="480">
        <f t="shared" si="3"/>
        <v>26.074999999999999</v>
      </c>
      <c r="G102" s="480">
        <f t="shared" si="3"/>
        <v>26.074999999999999</v>
      </c>
      <c r="H102" s="1668">
        <v>2011</v>
      </c>
      <c r="I102" s="555"/>
      <c r="J102" s="965"/>
      <c r="N102" s="991"/>
      <c r="O102" s="991"/>
      <c r="P102" s="991"/>
      <c r="Q102" s="991"/>
    </row>
    <row r="103" spans="1:17">
      <c r="A103" s="530">
        <v>6</v>
      </c>
      <c r="B103" s="995" t="s">
        <v>164</v>
      </c>
      <c r="C103" s="976" t="s">
        <v>464</v>
      </c>
      <c r="D103" s="997"/>
      <c r="E103" s="997"/>
      <c r="F103" s="997"/>
      <c r="G103" s="997"/>
      <c r="H103" s="1668">
        <v>2011</v>
      </c>
      <c r="I103" s="555"/>
      <c r="J103" s="965"/>
      <c r="N103" s="991"/>
      <c r="O103" s="991"/>
      <c r="P103" s="991"/>
      <c r="Q103" s="991"/>
    </row>
    <row r="104" spans="1:17">
      <c r="B104" s="995" t="s">
        <v>264</v>
      </c>
      <c r="C104" s="976" t="s">
        <v>464</v>
      </c>
      <c r="D104" s="997"/>
      <c r="E104" s="997"/>
      <c r="F104" s="997"/>
      <c r="G104" s="997"/>
      <c r="H104" s="1668">
        <v>2011</v>
      </c>
      <c r="I104" s="555"/>
      <c r="J104" s="965"/>
      <c r="N104" s="991"/>
      <c r="O104" s="991"/>
      <c r="P104" s="991"/>
      <c r="Q104" s="991"/>
    </row>
    <row r="105" spans="1:17">
      <c r="B105" s="995" t="s">
        <v>165</v>
      </c>
      <c r="C105" s="976" t="s">
        <v>464</v>
      </c>
      <c r="D105" s="996">
        <f ca="1">-SUMPRODUCT(D36:D55,ProcessEnergy!M34:M53)/D85</f>
        <v>-24.708376301924762</v>
      </c>
      <c r="E105" s="996">
        <f ca="1">-SUMPRODUCT(E36:E55,ProcessEnergy!N34:N53)/E85</f>
        <v>-24.336405006045382</v>
      </c>
      <c r="F105" s="996">
        <f ca="1">-SUMPRODUCT(F36:F55,ProcessEnergy!O34:O53)/F85</f>
        <v>-27.682790054824686</v>
      </c>
      <c r="G105" s="996">
        <f ca="1">-SUMPRODUCT(G36:G55,ProcessEnergy!P34:P53)/G85</f>
        <v>-27.682790054824686</v>
      </c>
      <c r="H105" s="1668">
        <v>2011</v>
      </c>
      <c r="I105" s="555"/>
      <c r="J105" s="965"/>
      <c r="N105" s="991"/>
      <c r="O105" s="991"/>
      <c r="P105" s="991"/>
      <c r="Q105" s="991"/>
    </row>
    <row r="106" spans="1:17">
      <c r="B106" s="995"/>
      <c r="C106" s="976"/>
      <c r="D106" s="2311"/>
      <c r="E106" s="2311"/>
      <c r="F106" s="2311"/>
      <c r="G106" s="2311"/>
      <c r="H106" s="983"/>
      <c r="I106" s="994"/>
      <c r="J106" s="965"/>
      <c r="N106" s="991"/>
      <c r="O106" s="991"/>
      <c r="P106" s="991"/>
      <c r="Q106" s="991"/>
    </row>
    <row r="107" spans="1:17">
      <c r="B107" s="975" t="s">
        <v>2113</v>
      </c>
      <c r="C107" s="976"/>
      <c r="D107" s="1062"/>
      <c r="E107" s="983"/>
      <c r="F107" s="983"/>
      <c r="G107" s="983"/>
      <c r="H107" s="983"/>
      <c r="I107" s="994"/>
      <c r="J107" s="965"/>
      <c r="N107" s="991"/>
      <c r="O107" s="991"/>
      <c r="P107" s="991"/>
      <c r="Q107" s="991"/>
    </row>
    <row r="108" spans="1:17">
      <c r="B108" s="995" t="s">
        <v>2114</v>
      </c>
      <c r="C108" s="976"/>
      <c r="D108" s="1696">
        <v>0.95</v>
      </c>
      <c r="E108" s="1696">
        <v>0.95</v>
      </c>
      <c r="F108" s="1696">
        <v>0.95</v>
      </c>
      <c r="G108" s="1696">
        <v>0.95</v>
      </c>
      <c r="H108" s="983"/>
      <c r="I108" s="994"/>
      <c r="J108" s="965"/>
      <c r="N108" s="991"/>
      <c r="O108" s="991"/>
      <c r="P108" s="991"/>
      <c r="Q108" s="991"/>
    </row>
    <row r="109" spans="1:17">
      <c r="B109" s="995" t="s">
        <v>2666</v>
      </c>
      <c r="C109" s="976"/>
      <c r="D109" s="1697">
        <f ca="1">OFFSET(Supplementary!C$237,MATCH($C$19,Supplementary!$B$238:$B$241,0),0)</f>
        <v>1</v>
      </c>
      <c r="E109" s="1697">
        <f ca="1">OFFSET(Supplementary!D$237,MATCH($C$19,Supplementary!$B$238:$B$241,0),0)</f>
        <v>2</v>
      </c>
      <c r="F109" s="1697">
        <f ca="1">OFFSET(Supplementary!E$237,MATCH($C$19,Supplementary!$B$238:$B$241,0),0)</f>
        <v>6</v>
      </c>
      <c r="G109" s="1697">
        <f ca="1">OFFSET(Supplementary!F$237,MATCH($C$19,Supplementary!$B$238:$B$241,0),0)</f>
        <v>12</v>
      </c>
      <c r="H109" s="983"/>
      <c r="I109" s="994"/>
      <c r="J109" s="965"/>
      <c r="N109" s="991"/>
      <c r="O109" s="991"/>
      <c r="P109" s="991"/>
      <c r="Q109" s="991"/>
    </row>
    <row r="110" spans="1:17">
      <c r="B110" s="995" t="s">
        <v>2115</v>
      </c>
      <c r="C110" s="976"/>
      <c r="D110" s="1699">
        <f ca="1">1*D108^(D109-1)</f>
        <v>1</v>
      </c>
      <c r="E110" s="1699">
        <f ca="1">1*E108^(E109-1)</f>
        <v>0.95</v>
      </c>
      <c r="F110" s="1699">
        <f ca="1">1*F108^(F109-1)</f>
        <v>0.77378093749999999</v>
      </c>
      <c r="G110" s="1699">
        <f ca="1">1*G108^(G109-1)</f>
        <v>0.56880009227645989</v>
      </c>
      <c r="H110" s="983"/>
      <c r="I110" s="994"/>
      <c r="J110" s="965"/>
      <c r="N110" s="991"/>
      <c r="O110" s="991"/>
      <c r="P110" s="991"/>
      <c r="Q110" s="991"/>
    </row>
    <row r="111" spans="1:17">
      <c r="B111" s="995"/>
      <c r="C111" s="976"/>
      <c r="D111" s="1062"/>
      <c r="E111" s="983"/>
      <c r="F111" s="983"/>
      <c r="G111" s="983"/>
      <c r="H111" s="983"/>
      <c r="I111" s="994"/>
      <c r="J111" s="965"/>
      <c r="N111" s="991"/>
      <c r="O111" s="991"/>
      <c r="P111" s="991"/>
      <c r="Q111" s="991"/>
    </row>
    <row r="112" spans="1:17">
      <c r="B112" s="975" t="s">
        <v>166</v>
      </c>
      <c r="C112" s="976"/>
      <c r="D112" s="983"/>
      <c r="E112" s="983"/>
      <c r="F112" s="983"/>
      <c r="G112" s="983"/>
      <c r="H112" s="983"/>
      <c r="I112" s="994"/>
      <c r="J112" s="965"/>
      <c r="N112" s="998"/>
      <c r="O112" s="998"/>
      <c r="P112" s="998"/>
      <c r="Q112" s="991"/>
    </row>
    <row r="113" spans="2:17">
      <c r="B113" s="964" t="s">
        <v>24</v>
      </c>
      <c r="C113" s="976" t="s">
        <v>465</v>
      </c>
      <c r="D113" s="999">
        <v>0</v>
      </c>
      <c r="E113" s="999">
        <v>0</v>
      </c>
      <c r="F113" s="999">
        <v>0</v>
      </c>
      <c r="G113" s="999"/>
      <c r="H113" s="999"/>
      <c r="I113" s="1335" t="s">
        <v>1747</v>
      </c>
      <c r="J113" s="965"/>
      <c r="N113" s="991"/>
      <c r="O113" s="991"/>
      <c r="P113" s="991"/>
      <c r="Q113" s="991"/>
    </row>
    <row r="114" spans="2:17">
      <c r="B114" s="964" t="s">
        <v>27</v>
      </c>
      <c r="C114" s="976" t="s">
        <v>465</v>
      </c>
      <c r="D114" s="999">
        <v>0</v>
      </c>
      <c r="E114" s="999">
        <v>0</v>
      </c>
      <c r="F114" s="999">
        <v>0</v>
      </c>
      <c r="G114" s="999"/>
      <c r="H114" s="999"/>
      <c r="I114" s="1335" t="s">
        <v>1747</v>
      </c>
      <c r="J114" s="965"/>
      <c r="N114" s="991"/>
      <c r="O114" s="991"/>
      <c r="P114" s="991"/>
      <c r="Q114" s="991"/>
    </row>
    <row r="115" spans="2:17">
      <c r="B115" s="964" t="s">
        <v>28</v>
      </c>
      <c r="C115" s="976" t="s">
        <v>465</v>
      </c>
      <c r="D115" s="999">
        <v>0</v>
      </c>
      <c r="E115" s="999">
        <v>0</v>
      </c>
      <c r="F115" s="999">
        <v>0</v>
      </c>
      <c r="G115" s="999"/>
      <c r="H115" s="999"/>
      <c r="I115" s="1335" t="s">
        <v>1747</v>
      </c>
      <c r="J115" s="965"/>
      <c r="N115" s="991"/>
      <c r="O115" s="991"/>
      <c r="P115" s="991"/>
      <c r="Q115" s="991"/>
    </row>
    <row r="116" spans="2:17">
      <c r="B116" s="964" t="s">
        <v>26</v>
      </c>
      <c r="C116" s="976" t="s">
        <v>465</v>
      </c>
      <c r="D116" s="999">
        <v>0</v>
      </c>
      <c r="E116" s="999">
        <v>0</v>
      </c>
      <c r="F116" s="999">
        <v>0</v>
      </c>
      <c r="G116" s="999"/>
      <c r="H116" s="999"/>
      <c r="I116" s="1335" t="s">
        <v>1747</v>
      </c>
      <c r="J116" s="965"/>
      <c r="N116" s="991"/>
      <c r="O116" s="991"/>
      <c r="P116" s="991"/>
      <c r="Q116" s="991"/>
    </row>
    <row r="117" spans="2:17">
      <c r="B117" s="964" t="s">
        <v>167</v>
      </c>
      <c r="C117" s="976" t="s">
        <v>465</v>
      </c>
      <c r="D117" s="999">
        <v>0</v>
      </c>
      <c r="E117" s="999">
        <v>0</v>
      </c>
      <c r="F117" s="999">
        <v>0</v>
      </c>
      <c r="G117" s="999"/>
      <c r="H117" s="999"/>
      <c r="I117" s="1335" t="s">
        <v>1747</v>
      </c>
      <c r="J117" s="965"/>
      <c r="N117" s="998"/>
      <c r="O117" s="998"/>
      <c r="P117" s="998"/>
      <c r="Q117" s="998"/>
    </row>
    <row r="118" spans="2:17">
      <c r="B118" s="964" t="s">
        <v>45</v>
      </c>
      <c r="C118" s="976" t="s">
        <v>465</v>
      </c>
      <c r="D118" s="1000"/>
      <c r="E118" s="1000"/>
      <c r="F118" s="1000"/>
      <c r="G118" s="1000"/>
      <c r="H118" s="1000"/>
      <c r="I118" s="555"/>
      <c r="J118" s="965"/>
    </row>
    <row r="119" spans="2:17" ht="13.5" thickBot="1">
      <c r="B119" s="1001"/>
      <c r="C119" s="1002"/>
      <c r="D119" s="1003"/>
      <c r="E119" s="968"/>
      <c r="F119" s="968"/>
      <c r="G119" s="968"/>
      <c r="H119" s="968"/>
      <c r="I119" s="1004"/>
      <c r="J119" s="969"/>
    </row>
    <row r="122" spans="2:17" ht="18.75">
      <c r="B122" s="1005" t="s">
        <v>172</v>
      </c>
    </row>
    <row r="123" spans="2:17" ht="15.75">
      <c r="B123" s="1006"/>
      <c r="D123" s="1007"/>
    </row>
    <row r="124" spans="2:17">
      <c r="B124" s="555"/>
      <c r="C124" s="555"/>
      <c r="D124" s="555"/>
      <c r="E124" s="555"/>
      <c r="F124" s="555"/>
      <c r="G124" s="555"/>
      <c r="H124" s="555"/>
      <c r="I124" s="555"/>
      <c r="J124" s="555"/>
      <c r="K124" s="555"/>
      <c r="L124" s="555"/>
    </row>
    <row r="125" spans="2:17">
      <c r="B125" s="555"/>
      <c r="C125" s="977"/>
      <c r="D125" s="977"/>
      <c r="E125" s="977"/>
      <c r="F125" s="977"/>
      <c r="G125" s="977"/>
      <c r="H125" s="977"/>
      <c r="I125" s="555"/>
      <c r="J125" s="977"/>
      <c r="K125" s="977"/>
      <c r="L125" s="977"/>
    </row>
    <row r="126" spans="2:17">
      <c r="B126" s="555"/>
      <c r="C126" s="555"/>
      <c r="D126" s="993"/>
      <c r="E126" s="993"/>
      <c r="F126" s="993"/>
      <c r="G126" s="993"/>
      <c r="H126" s="993"/>
      <c r="I126" s="555"/>
      <c r="J126" s="993"/>
      <c r="K126" s="993"/>
      <c r="L126" s="993"/>
    </row>
    <row r="127" spans="2:17">
      <c r="B127" s="555"/>
      <c r="C127" s="555"/>
      <c r="D127" s="993"/>
      <c r="E127" s="993"/>
      <c r="F127" s="993"/>
      <c r="G127" s="993"/>
      <c r="H127" s="993"/>
      <c r="I127" s="555"/>
      <c r="J127" s="993"/>
      <c r="K127" s="993"/>
      <c r="L127" s="993"/>
    </row>
    <row r="128" spans="2:17">
      <c r="B128" s="555"/>
      <c r="C128" s="555"/>
      <c r="D128" s="993"/>
      <c r="E128" s="993"/>
      <c r="F128" s="993"/>
      <c r="G128" s="993"/>
      <c r="H128" s="993"/>
      <c r="I128" s="555"/>
      <c r="J128" s="993"/>
      <c r="K128" s="993"/>
      <c r="L128" s="993"/>
    </row>
    <row r="129" spans="2:12">
      <c r="B129" s="555"/>
      <c r="C129" s="555"/>
      <c r="D129" s="993"/>
      <c r="E129" s="993"/>
      <c r="F129" s="993"/>
      <c r="G129" s="993"/>
      <c r="H129" s="993"/>
      <c r="I129" s="555"/>
      <c r="J129" s="993"/>
      <c r="K129" s="993"/>
      <c r="L129" s="993"/>
    </row>
    <row r="130" spans="2:12">
      <c r="B130" s="555"/>
      <c r="C130" s="555"/>
      <c r="D130" s="993"/>
      <c r="E130" s="993"/>
      <c r="F130" s="993"/>
      <c r="G130" s="993"/>
      <c r="H130" s="993"/>
      <c r="I130" s="555"/>
      <c r="J130" s="993"/>
      <c r="K130" s="993"/>
      <c r="L130" s="993"/>
    </row>
    <row r="131" spans="2:12">
      <c r="B131" s="555"/>
      <c r="C131" s="555"/>
      <c r="D131" s="993"/>
      <c r="E131" s="993"/>
      <c r="F131" s="993"/>
      <c r="G131" s="993"/>
      <c r="H131" s="993"/>
      <c r="I131" s="555"/>
      <c r="J131" s="993"/>
      <c r="K131" s="993"/>
      <c r="L131" s="993"/>
    </row>
    <row r="132" spans="2:12">
      <c r="B132" s="555"/>
      <c r="C132" s="555"/>
      <c r="D132" s="993"/>
      <c r="E132" s="993"/>
      <c r="F132" s="993"/>
      <c r="G132" s="993"/>
      <c r="H132" s="993"/>
      <c r="I132" s="555"/>
      <c r="J132" s="993"/>
      <c r="K132" s="993"/>
      <c r="L132" s="993"/>
    </row>
    <row r="135" spans="2:12" ht="18.75">
      <c r="B135" s="1005" t="s">
        <v>168</v>
      </c>
    </row>
    <row r="136" spans="2:12" ht="15.75">
      <c r="B136" s="1006"/>
    </row>
    <row r="137" spans="2:12" ht="13.5" thickBot="1">
      <c r="B137" s="555"/>
      <c r="C137" s="555"/>
      <c r="D137" s="555"/>
      <c r="E137" s="555"/>
      <c r="F137" s="555"/>
      <c r="G137" s="555"/>
      <c r="H137" s="555"/>
      <c r="I137" s="555"/>
    </row>
    <row r="138" spans="2:12">
      <c r="B138" s="1008"/>
      <c r="C138" s="1009" t="s">
        <v>70</v>
      </c>
      <c r="D138" s="1010">
        <v>2015</v>
      </c>
      <c r="E138" s="1009">
        <v>2020</v>
      </c>
      <c r="F138" s="1009">
        <v>2035</v>
      </c>
      <c r="G138" s="1009"/>
      <c r="H138" s="1009"/>
      <c r="I138" s="1011" t="s">
        <v>145</v>
      </c>
      <c r="J138" s="1012" t="s">
        <v>146</v>
      </c>
    </row>
    <row r="139" spans="2:12">
      <c r="B139" s="964"/>
      <c r="C139" s="977"/>
      <c r="D139" s="1013"/>
      <c r="E139" s="1014"/>
      <c r="F139" s="1014"/>
      <c r="G139" s="1014"/>
      <c r="H139" s="1014"/>
      <c r="I139" s="555"/>
      <c r="J139" s="965"/>
    </row>
    <row r="140" spans="2:12">
      <c r="B140" s="964"/>
      <c r="C140" s="977"/>
      <c r="D140" s="1015"/>
      <c r="E140" s="1016"/>
      <c r="F140" s="1016"/>
      <c r="G140" s="1016"/>
      <c r="H140" s="1016"/>
      <c r="I140" s="555"/>
      <c r="J140" s="965"/>
    </row>
    <row r="141" spans="2:12">
      <c r="B141" s="964"/>
      <c r="C141" s="977"/>
      <c r="D141" s="1017"/>
      <c r="E141" s="1018"/>
      <c r="F141" s="1018"/>
      <c r="G141" s="1018"/>
      <c r="H141" s="1018"/>
      <c r="I141" s="555"/>
      <c r="J141" s="965"/>
    </row>
    <row r="142" spans="2:12">
      <c r="B142" s="964"/>
      <c r="C142" s="977"/>
      <c r="D142" s="1015"/>
      <c r="E142" s="1016"/>
      <c r="F142" s="1016"/>
      <c r="G142" s="1016"/>
      <c r="H142" s="1016"/>
      <c r="I142" s="555"/>
      <c r="J142" s="965"/>
    </row>
    <row r="143" spans="2:12">
      <c r="B143" s="964"/>
      <c r="C143" s="977"/>
      <c r="D143" s="1015"/>
      <c r="E143" s="1016"/>
      <c r="F143" s="1016"/>
      <c r="G143" s="1016"/>
      <c r="H143" s="1016"/>
      <c r="I143" s="555"/>
      <c r="J143" s="965"/>
    </row>
    <row r="144" spans="2:12">
      <c r="B144" s="964" t="s">
        <v>22</v>
      </c>
      <c r="C144" s="977" t="s">
        <v>249</v>
      </c>
      <c r="D144" s="1019"/>
      <c r="E144" s="979"/>
      <c r="F144" s="979"/>
      <c r="G144" s="979"/>
      <c r="H144" s="979"/>
      <c r="I144" s="555"/>
      <c r="J144" s="965"/>
    </row>
    <row r="145" spans="2:10">
      <c r="B145" s="964"/>
      <c r="C145" s="976"/>
      <c r="D145" s="1016"/>
      <c r="E145" s="1016"/>
      <c r="F145" s="1016"/>
      <c r="G145" s="1016"/>
      <c r="H145" s="1016"/>
      <c r="I145" s="555"/>
      <c r="J145" s="965"/>
    </row>
    <row r="146" spans="2:10" ht="13.5" thickBot="1">
      <c r="B146" s="967"/>
      <c r="C146" s="1020"/>
      <c r="D146" s="1021"/>
      <c r="E146" s="1021"/>
      <c r="F146" s="1021"/>
      <c r="G146" s="1021"/>
      <c r="H146" s="1021"/>
      <c r="I146" s="968"/>
      <c r="J146" s="969"/>
    </row>
    <row r="148" spans="2:10" ht="13.5" thickBot="1"/>
    <row r="149" spans="2:10">
      <c r="B149" s="1040"/>
      <c r="C149" s="1340"/>
      <c r="D149" s="1064" t="s">
        <v>1098</v>
      </c>
    </row>
    <row r="150" spans="2:10">
      <c r="B150" s="1065" t="s">
        <v>1095</v>
      </c>
      <c r="C150" s="1367">
        <v>0.57999999999999996</v>
      </c>
      <c r="D150" s="1067" t="s">
        <v>1764</v>
      </c>
    </row>
    <row r="151" spans="2:10" ht="13.5" thickBot="1">
      <c r="B151" s="1022" t="s">
        <v>1398</v>
      </c>
      <c r="C151" s="1341">
        <f>D187%</f>
        <v>0.32854687500000002</v>
      </c>
      <c r="D151" s="1342" t="s">
        <v>1763</v>
      </c>
    </row>
    <row r="152" spans="2:10">
      <c r="B152" s="530" t="str">
        <f>CONCATENATE("Source: ",Referencer!$B$48)</f>
        <v>Source: 42, FORCE, Danish Energy Agency, 2013, Technology data for advanced bioenergy fuels.</v>
      </c>
    </row>
    <row r="154" spans="2:10" ht="13.5" thickBot="1">
      <c r="B154" s="555"/>
      <c r="C154" s="968"/>
    </row>
    <row r="155" spans="2:10" ht="18.75">
      <c r="B155" s="1041" t="s">
        <v>1392</v>
      </c>
      <c r="C155" s="1042"/>
      <c r="D155" s="1025"/>
      <c r="E155" s="1025"/>
      <c r="F155" s="1025"/>
      <c r="G155" s="1025"/>
      <c r="H155" s="1025"/>
      <c r="I155" s="1025"/>
      <c r="J155" s="1026"/>
    </row>
    <row r="156" spans="2:10" ht="15">
      <c r="B156" s="1026" t="s">
        <v>366</v>
      </c>
      <c r="C156" s="1027"/>
      <c r="D156" s="1028">
        <v>2015</v>
      </c>
      <c r="E156" s="1028">
        <v>2020</v>
      </c>
      <c r="F156" s="1028">
        <v>2035</v>
      </c>
      <c r="G156" s="1028">
        <v>2050</v>
      </c>
      <c r="H156" s="1028"/>
      <c r="I156" s="1028" t="s">
        <v>1098</v>
      </c>
      <c r="J156" s="1338"/>
    </row>
    <row r="157" spans="2:10" ht="15">
      <c r="B157" s="1043" t="s">
        <v>1099</v>
      </c>
      <c r="C157" s="1044"/>
      <c r="D157" s="1027" t="s">
        <v>366</v>
      </c>
      <c r="E157" s="1027" t="s">
        <v>366</v>
      </c>
      <c r="F157" s="1027" t="s">
        <v>366</v>
      </c>
      <c r="G157" s="1027" t="s">
        <v>366</v>
      </c>
      <c r="H157" s="1027"/>
      <c r="I157" s="1027"/>
      <c r="J157" s="1026"/>
    </row>
    <row r="158" spans="2:10" ht="15">
      <c r="B158" s="1026" t="s">
        <v>1399</v>
      </c>
      <c r="C158" s="1027"/>
      <c r="D158" s="1368">
        <v>75000</v>
      </c>
      <c r="E158" s="1284" t="s">
        <v>1101</v>
      </c>
      <c r="F158" s="1031"/>
      <c r="G158" s="1031"/>
      <c r="H158" s="1031"/>
      <c r="I158" s="1032" t="s">
        <v>1763</v>
      </c>
      <c r="J158" s="1339"/>
    </row>
    <row r="159" spans="2:10" ht="15">
      <c r="B159" s="1026" t="s">
        <v>1400</v>
      </c>
      <c r="C159" s="1027"/>
      <c r="D159" s="1368">
        <v>2970000</v>
      </c>
      <c r="E159" s="1284" t="s">
        <v>1101</v>
      </c>
      <c r="F159" s="1031"/>
      <c r="G159" s="1031"/>
      <c r="H159" s="1031"/>
      <c r="I159" s="1032"/>
      <c r="J159" s="1339"/>
    </row>
    <row r="160" spans="2:10" ht="15">
      <c r="B160" s="1026" t="s">
        <v>1401</v>
      </c>
      <c r="C160" s="1027"/>
      <c r="D160" s="1372">
        <v>1.6</v>
      </c>
      <c r="E160" s="1284" t="s">
        <v>1101</v>
      </c>
      <c r="F160" s="1031"/>
      <c r="G160" s="1031"/>
      <c r="H160" s="1031"/>
      <c r="I160" s="1032"/>
      <c r="J160" s="1339"/>
    </row>
    <row r="161" spans="2:10" ht="15">
      <c r="B161" s="1026" t="s">
        <v>1402</v>
      </c>
      <c r="C161" s="1027"/>
      <c r="D161" s="1373">
        <v>3.6</v>
      </c>
      <c r="E161" s="1284" t="s">
        <v>1101</v>
      </c>
      <c r="F161" s="1031"/>
      <c r="G161" s="1031"/>
      <c r="H161" s="1031"/>
      <c r="I161" s="1032"/>
      <c r="J161" s="1339"/>
    </row>
    <row r="162" spans="2:10" ht="15">
      <c r="B162" s="1026" t="s">
        <v>1403</v>
      </c>
      <c r="C162" s="1027"/>
      <c r="D162" s="1373">
        <v>2.5000000000000001E-2</v>
      </c>
      <c r="E162" s="1284" t="s">
        <v>1101</v>
      </c>
      <c r="F162" s="1031"/>
      <c r="G162" s="1031"/>
      <c r="H162" s="1031"/>
      <c r="I162" s="1032"/>
      <c r="J162" s="1339"/>
    </row>
    <row r="163" spans="2:10" ht="15">
      <c r="B163" s="1026" t="s">
        <v>1404</v>
      </c>
      <c r="C163" s="1027"/>
      <c r="D163" s="1373">
        <v>2.5999999999999999E-2</v>
      </c>
      <c r="E163" s="1284" t="s">
        <v>1101</v>
      </c>
      <c r="F163" s="1031"/>
      <c r="G163" s="1031"/>
      <c r="H163" s="1031"/>
      <c r="I163" s="1032"/>
      <c r="J163" s="1339"/>
    </row>
    <row r="164" spans="2:10" ht="15">
      <c r="B164" s="1026" t="s">
        <v>1405</v>
      </c>
      <c r="C164" s="1027"/>
      <c r="D164" s="1373">
        <v>1.63</v>
      </c>
      <c r="E164" s="1284" t="s">
        <v>1101</v>
      </c>
      <c r="F164" s="1031"/>
      <c r="G164" s="1031"/>
      <c r="H164" s="1031"/>
      <c r="I164" s="1032"/>
      <c r="J164" s="1339"/>
    </row>
    <row r="165" spans="2:10" ht="15">
      <c r="B165" s="1026" t="s">
        <v>1406</v>
      </c>
      <c r="C165" s="1027"/>
      <c r="D165" s="1373">
        <v>0.15</v>
      </c>
      <c r="E165" s="1284" t="s">
        <v>1101</v>
      </c>
      <c r="F165" s="1031"/>
      <c r="G165" s="1031"/>
      <c r="H165" s="1031"/>
      <c r="I165" s="1032"/>
      <c r="J165" s="1339"/>
    </row>
    <row r="166" spans="2:10" ht="15">
      <c r="B166" s="1026" t="s">
        <v>1407</v>
      </c>
      <c r="C166" s="1027"/>
      <c r="D166" s="1373">
        <v>0.25</v>
      </c>
      <c r="E166" s="1284" t="s">
        <v>1101</v>
      </c>
      <c r="F166" s="1031"/>
      <c r="G166" s="1031"/>
      <c r="H166" s="1031"/>
      <c r="I166" s="1032"/>
      <c r="J166" s="1339"/>
    </row>
    <row r="167" spans="2:10" ht="15">
      <c r="B167" s="1026" t="s">
        <v>1408</v>
      </c>
      <c r="C167" s="1027"/>
      <c r="D167" s="1370">
        <v>56.3</v>
      </c>
      <c r="E167" s="1284" t="s">
        <v>1101</v>
      </c>
      <c r="F167" s="1031"/>
      <c r="G167" s="1031"/>
      <c r="H167" s="1031"/>
      <c r="I167" s="1032"/>
      <c r="J167" s="1339"/>
    </row>
    <row r="168" spans="2:10" ht="15">
      <c r="B168" s="1026" t="s">
        <v>1107</v>
      </c>
      <c r="C168" s="1027"/>
      <c r="D168" s="1370">
        <v>56.3</v>
      </c>
      <c r="E168" s="1284" t="s">
        <v>1101</v>
      </c>
      <c r="F168" s="1031"/>
      <c r="G168" s="1031"/>
      <c r="H168" s="1031"/>
      <c r="I168" s="1032"/>
      <c r="J168" s="1339"/>
    </row>
    <row r="169" spans="2:10" ht="15">
      <c r="B169" s="1026" t="s">
        <v>1409</v>
      </c>
      <c r="C169" s="1027"/>
      <c r="D169" s="1370">
        <v>88</v>
      </c>
      <c r="E169" s="1284" t="s">
        <v>1101</v>
      </c>
      <c r="F169" s="1031"/>
      <c r="G169" s="1031"/>
      <c r="H169" s="1031"/>
      <c r="I169" s="1032"/>
      <c r="J169" s="1339"/>
    </row>
    <row r="170" spans="2:10" ht="15">
      <c r="B170" s="1026"/>
      <c r="C170" s="1027"/>
      <c r="D170" s="1370"/>
      <c r="E170" s="1031"/>
      <c r="F170" s="1031"/>
      <c r="G170" s="1031"/>
      <c r="H170" s="1031"/>
      <c r="I170" s="1032"/>
      <c r="J170" s="1339"/>
    </row>
    <row r="171" spans="2:10" ht="15">
      <c r="B171" s="1026"/>
      <c r="C171" s="1027"/>
      <c r="D171" s="1370"/>
      <c r="E171" s="1031"/>
      <c r="F171" s="1031"/>
      <c r="G171" s="1031"/>
      <c r="H171" s="1031"/>
      <c r="I171" s="1032"/>
      <c r="J171" s="1339"/>
    </row>
    <row r="172" spans="2:10" ht="15">
      <c r="B172" s="1026"/>
      <c r="C172" s="1027"/>
      <c r="D172" s="1370"/>
      <c r="E172" s="1031"/>
      <c r="F172" s="1031"/>
      <c r="G172" s="1031"/>
      <c r="H172" s="1031"/>
      <c r="I172" s="1032"/>
      <c r="J172" s="1339"/>
    </row>
    <row r="173" spans="2:10" ht="15">
      <c r="B173" s="1026"/>
      <c r="C173" s="1027"/>
      <c r="D173" s="1370"/>
      <c r="E173" s="1031"/>
      <c r="F173" s="1031"/>
      <c r="G173" s="1031"/>
      <c r="H173" s="1031"/>
      <c r="I173" s="1032"/>
      <c r="J173" s="1339"/>
    </row>
    <row r="174" spans="2:10" ht="15">
      <c r="B174" s="1026"/>
      <c r="C174" s="1027"/>
      <c r="D174" s="1370"/>
      <c r="E174" s="1031"/>
      <c r="F174" s="1031"/>
      <c r="G174" s="1031"/>
      <c r="H174" s="1031"/>
      <c r="I174" s="1032"/>
      <c r="J174" s="1339"/>
    </row>
    <row r="175" spans="2:10" ht="15">
      <c r="B175" s="1026" t="s">
        <v>366</v>
      </c>
      <c r="C175" s="1027"/>
      <c r="D175" s="1370" t="s">
        <v>366</v>
      </c>
      <c r="E175" s="1031" t="s">
        <v>366</v>
      </c>
      <c r="F175" s="1031"/>
      <c r="G175" s="1031"/>
      <c r="H175" s="1027"/>
      <c r="I175" s="1032"/>
      <c r="J175" s="1339"/>
    </row>
    <row r="176" spans="2:10" ht="15">
      <c r="B176" s="1029" t="s">
        <v>1109</v>
      </c>
      <c r="C176" s="1030"/>
      <c r="D176" s="1370" t="s">
        <v>366</v>
      </c>
      <c r="E176" s="1031" t="s">
        <v>366</v>
      </c>
      <c r="F176" s="1031"/>
      <c r="G176" s="1031"/>
      <c r="H176" s="1027"/>
      <c r="I176" s="1032"/>
      <c r="J176" s="1339"/>
    </row>
    <row r="177" spans="2:10" ht="15">
      <c r="B177" s="1026" t="s">
        <v>1410</v>
      </c>
      <c r="C177" s="1027"/>
      <c r="D177" s="1370">
        <v>118</v>
      </c>
      <c r="E177" s="1031" t="s">
        <v>1101</v>
      </c>
      <c r="F177" s="1031"/>
      <c r="G177" s="1031"/>
      <c r="H177" s="1031"/>
      <c r="I177" s="1032"/>
      <c r="J177" s="1339"/>
    </row>
    <row r="178" spans="2:10" ht="15.75" thickBot="1">
      <c r="B178" s="1033" t="s">
        <v>1411</v>
      </c>
      <c r="C178" s="1034"/>
      <c r="D178" s="1374">
        <v>3.5</v>
      </c>
      <c r="E178" s="1035" t="s">
        <v>1101</v>
      </c>
      <c r="F178" s="1035"/>
      <c r="G178" s="1035"/>
      <c r="H178" s="1035"/>
      <c r="I178" s="1036" t="s">
        <v>366</v>
      </c>
      <c r="J178" s="1339"/>
    </row>
    <row r="179" spans="2:10">
      <c r="B179" s="530" t="str">
        <f>CONCATENATE("Source: ",Referencer!$B$48)</f>
        <v>Source: 42, FORCE, Danish Energy Agency, 2013, Technology data for advanced bioenergy fuels.</v>
      </c>
    </row>
    <row r="181" spans="2:10" ht="13.5" thickBot="1"/>
    <row r="182" spans="2:10" ht="13.5" thickBot="1">
      <c r="B182" s="1040" t="s">
        <v>1413</v>
      </c>
      <c r="C182" s="1063" t="s">
        <v>1152</v>
      </c>
      <c r="D182" s="1064" t="s">
        <v>1153</v>
      </c>
      <c r="E182" s="1045" t="s">
        <v>1098</v>
      </c>
    </row>
    <row r="183" spans="2:10">
      <c r="B183" s="1065" t="s">
        <v>1414</v>
      </c>
      <c r="C183" s="1066">
        <v>100</v>
      </c>
      <c r="D183" s="1067"/>
      <c r="E183" s="1356" t="s">
        <v>1763</v>
      </c>
    </row>
    <row r="184" spans="2:10">
      <c r="B184" s="1065" t="s">
        <v>10</v>
      </c>
      <c r="C184" s="1068">
        <f>D162/D160*100</f>
        <v>1.5625</v>
      </c>
      <c r="D184" s="1052"/>
      <c r="E184" s="1356"/>
    </row>
    <row r="185" spans="2:10">
      <c r="B185" s="1065" t="s">
        <v>951</v>
      </c>
      <c r="C185" s="1068">
        <f>D165/D160*100</f>
        <v>9.3749999999999982</v>
      </c>
      <c r="D185" s="1052"/>
      <c r="E185" s="1356"/>
    </row>
    <row r="186" spans="2:10">
      <c r="B186" s="1065" t="s">
        <v>1392</v>
      </c>
      <c r="C186" s="1068"/>
      <c r="D186" s="1052">
        <f>1/D160*100</f>
        <v>62.5</v>
      </c>
      <c r="E186" s="1356"/>
    </row>
    <row r="187" spans="2:10">
      <c r="B187" s="1065" t="s">
        <v>1155</v>
      </c>
      <c r="C187" s="1068"/>
      <c r="D187" s="1052">
        <f>(100-D168)/100*SUM(C183:C185)-D188</f>
        <v>32.854687500000004</v>
      </c>
      <c r="E187" s="1356"/>
    </row>
    <row r="188" spans="2:10" ht="13.5" thickBot="1">
      <c r="B188" s="1022" t="s">
        <v>1415</v>
      </c>
      <c r="C188" s="1069"/>
      <c r="D188" s="1055">
        <f>D166/D160*100</f>
        <v>15.625</v>
      </c>
      <c r="E188" s="1357"/>
    </row>
    <row r="189" spans="2:10">
      <c r="B189" s="530" t="str">
        <f>CONCATENATE("Source: ",Referencer!$B$48)</f>
        <v>Source: 42, FORCE, Danish Energy Agency, 2013, Technology data for advanced bioenergy fuels.</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Supplementary!$B$238:$B$241</xm:f>
          </x14:formula1>
          <xm:sqref>C19</xm:sqref>
        </x14:dataValidation>
      </x14:dataValidation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tabColor rgb="FF00B0F0"/>
  </sheetPr>
  <dimension ref="A1:S179"/>
  <sheetViews>
    <sheetView topLeftCell="A56" zoomScale="80" zoomScaleNormal="80" workbookViewId="0">
      <selection activeCell="D105" sqref="D105:G105"/>
    </sheetView>
  </sheetViews>
  <sheetFormatPr defaultRowHeight="12.75"/>
  <cols>
    <col min="1" max="1" width="3.28515625" style="530" customWidth="1"/>
    <col min="2" max="2" width="36" style="530" customWidth="1"/>
    <col min="3" max="3" width="16.5703125" style="530" customWidth="1"/>
    <col min="4" max="8" width="15.7109375" style="530" customWidth="1"/>
    <col min="9" max="9" width="7.28515625" style="530" customWidth="1"/>
    <col min="10" max="10" width="12.7109375" style="530" customWidth="1"/>
    <col min="11" max="14" width="9.140625" style="530"/>
    <col min="15" max="17" width="9.28515625" style="530" bestFit="1" customWidth="1"/>
    <col min="18" max="19" width="9.42578125" style="530" bestFit="1" customWidth="1"/>
    <col min="20" max="16384" width="9.140625" style="530"/>
  </cols>
  <sheetData>
    <row r="1" spans="1:19" s="465" customFormat="1" ht="21">
      <c r="B1" s="465" t="str">
        <f>B155</f>
        <v>Kerosene by BTL technology</v>
      </c>
      <c r="Q1" s="467">
        <f ca="1">'Log2015'!M1</f>
        <v>-8.0112614142160741</v>
      </c>
      <c r="R1" s="468">
        <f ca="1">'Log2015'!N1</f>
        <v>-160807.124977848</v>
      </c>
    </row>
    <row r="2" spans="1:19">
      <c r="B2" s="530" t="s">
        <v>1269</v>
      </c>
      <c r="Q2" s="958">
        <f ca="1">Q1</f>
        <v>-8.0112614142160741</v>
      </c>
      <c r="R2" s="958">
        <f ca="1">R1</f>
        <v>-160807.124977848</v>
      </c>
      <c r="S2" s="959">
        <f>S1</f>
        <v>0</v>
      </c>
    </row>
    <row r="3" spans="1:19">
      <c r="A3" s="530" t="s">
        <v>1078</v>
      </c>
    </row>
    <row r="4" spans="1:19">
      <c r="B4" s="960" t="s">
        <v>81</v>
      </c>
    </row>
    <row r="5" spans="1:19" ht="13.5" thickBot="1"/>
    <row r="6" spans="1:19">
      <c r="B6" s="961" t="s">
        <v>137</v>
      </c>
      <c r="C6" s="962"/>
      <c r="D6" s="962"/>
      <c r="E6" s="962"/>
      <c r="F6" s="962"/>
      <c r="G6" s="962"/>
      <c r="H6" s="962"/>
      <c r="I6" s="962"/>
      <c r="J6" s="962"/>
      <c r="K6" s="962"/>
      <c r="L6" s="962"/>
      <c r="M6" s="962"/>
      <c r="N6" s="963"/>
    </row>
    <row r="7" spans="1:19">
      <c r="B7" s="964"/>
      <c r="C7" s="555"/>
      <c r="D7" s="555"/>
      <c r="E7" s="555"/>
      <c r="F7" s="555"/>
      <c r="G7" s="555"/>
      <c r="H7" s="555"/>
      <c r="I7" s="555"/>
      <c r="J7" s="555"/>
      <c r="K7" s="555"/>
      <c r="L7" s="555"/>
      <c r="M7" s="555"/>
      <c r="N7" s="965"/>
    </row>
    <row r="8" spans="1:19">
      <c r="B8" s="964"/>
      <c r="C8" s="555"/>
      <c r="D8" s="555"/>
      <c r="E8" s="555"/>
      <c r="F8" s="555"/>
      <c r="G8" s="555"/>
      <c r="H8" s="555"/>
      <c r="I8" s="555"/>
      <c r="J8" s="555"/>
      <c r="K8" s="555"/>
      <c r="L8" s="555"/>
      <c r="M8" s="555"/>
      <c r="N8" s="965"/>
    </row>
    <row r="9" spans="1:19">
      <c r="B9" s="964"/>
      <c r="C9" s="555"/>
      <c r="D9" s="555"/>
      <c r="E9" s="555"/>
      <c r="F9" s="555"/>
      <c r="G9" s="555"/>
      <c r="H9" s="555"/>
      <c r="I9" s="555"/>
      <c r="J9" s="555"/>
      <c r="K9" s="555"/>
      <c r="L9" s="555"/>
      <c r="M9" s="555"/>
      <c r="N9" s="965"/>
    </row>
    <row r="10" spans="1:19">
      <c r="B10" s="964"/>
      <c r="C10" s="555"/>
      <c r="D10" s="555"/>
      <c r="E10" s="555"/>
      <c r="F10" s="555"/>
      <c r="G10" s="555"/>
      <c r="H10" s="555"/>
      <c r="I10" s="555"/>
      <c r="J10" s="555"/>
      <c r="K10" s="555"/>
      <c r="L10" s="555"/>
      <c r="M10" s="555"/>
      <c r="N10" s="965"/>
    </row>
    <row r="11" spans="1:19">
      <c r="B11" s="964" t="s">
        <v>138</v>
      </c>
      <c r="C11" s="1056" t="s">
        <v>1270</v>
      </c>
      <c r="D11" s="555"/>
      <c r="E11" s="555"/>
      <c r="F11" s="555"/>
      <c r="G11" s="555"/>
      <c r="H11" s="555"/>
      <c r="I11" s="555"/>
      <c r="J11" s="555"/>
      <c r="K11" s="555"/>
      <c r="L11" s="555"/>
      <c r="M11" s="555"/>
      <c r="N11" s="965"/>
    </row>
    <row r="12" spans="1:19">
      <c r="B12" s="964"/>
      <c r="C12" s="555"/>
      <c r="D12" s="555"/>
      <c r="E12" s="555"/>
      <c r="F12" s="555"/>
      <c r="G12" s="555"/>
      <c r="H12" s="555"/>
      <c r="I12" s="555"/>
      <c r="J12" s="555"/>
      <c r="K12" s="555"/>
      <c r="L12" s="555"/>
      <c r="M12" s="555"/>
      <c r="N12" s="965"/>
    </row>
    <row r="13" spans="1:19">
      <c r="B13" s="964" t="s">
        <v>140</v>
      </c>
      <c r="C13" s="1057" t="s">
        <v>1271</v>
      </c>
      <c r="D13" s="555"/>
      <c r="E13" s="555"/>
      <c r="F13" s="555"/>
      <c r="G13" s="555"/>
      <c r="H13" s="555"/>
      <c r="I13" s="555"/>
      <c r="J13" s="555"/>
      <c r="K13" s="555"/>
      <c r="L13" s="555"/>
      <c r="M13" s="555"/>
      <c r="N13" s="965"/>
    </row>
    <row r="14" spans="1:19">
      <c r="B14" s="964"/>
      <c r="C14" s="555"/>
      <c r="D14" s="555"/>
      <c r="E14" s="555"/>
      <c r="F14" s="555"/>
      <c r="G14" s="555"/>
      <c r="H14" s="555"/>
      <c r="I14" s="555"/>
      <c r="J14" s="555"/>
      <c r="K14" s="555"/>
      <c r="L14" s="555"/>
      <c r="M14" s="555"/>
      <c r="N14" s="965"/>
    </row>
    <row r="15" spans="1:19">
      <c r="B15" s="964" t="s">
        <v>141</v>
      </c>
      <c r="C15" s="555"/>
      <c r="D15" s="555"/>
      <c r="E15" s="555"/>
      <c r="F15" s="555"/>
      <c r="G15" s="555"/>
      <c r="H15" s="555"/>
      <c r="I15" s="555"/>
      <c r="J15" s="555"/>
      <c r="K15" s="555"/>
      <c r="L15" s="555"/>
      <c r="M15" s="555"/>
      <c r="N15" s="965"/>
    </row>
    <row r="16" spans="1:19">
      <c r="B16" s="964"/>
      <c r="C16" s="555"/>
      <c r="D16" s="555"/>
      <c r="E16" s="555"/>
      <c r="F16" s="555"/>
      <c r="G16" s="555"/>
      <c r="H16" s="555"/>
      <c r="I16" s="555"/>
      <c r="J16" s="555"/>
      <c r="K16" s="555"/>
      <c r="L16" s="555"/>
      <c r="M16" s="555"/>
      <c r="N16" s="965"/>
    </row>
    <row r="17" spans="2:14">
      <c r="B17" s="964" t="s">
        <v>142</v>
      </c>
      <c r="C17" s="555"/>
      <c r="D17" s="555"/>
      <c r="E17" s="555"/>
      <c r="F17" s="555"/>
      <c r="G17" s="555"/>
      <c r="H17" s="555"/>
      <c r="I17" s="555"/>
      <c r="J17" s="555"/>
      <c r="K17" s="555"/>
      <c r="L17" s="555"/>
      <c r="M17" s="555"/>
      <c r="N17" s="965"/>
    </row>
    <row r="18" spans="2:14">
      <c r="B18" s="964"/>
      <c r="C18" s="555"/>
      <c r="D18" s="555"/>
      <c r="E18" s="555"/>
      <c r="F18" s="555"/>
      <c r="G18" s="555"/>
      <c r="H18" s="555"/>
      <c r="I18" s="555"/>
      <c r="J18" s="555"/>
      <c r="K18" s="555"/>
      <c r="L18" s="555"/>
      <c r="M18" s="555"/>
      <c r="N18" s="965"/>
    </row>
    <row r="19" spans="2:14">
      <c r="B19" s="964" t="s">
        <v>2131</v>
      </c>
      <c r="C19" s="1693" t="s">
        <v>2122</v>
      </c>
      <c r="D19" s="555"/>
      <c r="E19" s="555"/>
      <c r="F19" s="555"/>
      <c r="G19" s="555"/>
      <c r="H19" s="555"/>
      <c r="I19" s="555"/>
      <c r="J19" s="555"/>
      <c r="K19" s="555"/>
      <c r="L19" s="555"/>
      <c r="M19" s="555"/>
      <c r="N19" s="965"/>
    </row>
    <row r="20" spans="2:14">
      <c r="B20" s="964"/>
      <c r="C20" s="555"/>
      <c r="D20" s="555"/>
      <c r="E20" s="555"/>
      <c r="F20" s="555"/>
      <c r="G20" s="555"/>
      <c r="H20" s="555"/>
      <c r="I20" s="555"/>
      <c r="J20" s="555"/>
      <c r="K20" s="555"/>
      <c r="L20" s="555"/>
      <c r="M20" s="555"/>
      <c r="N20" s="965"/>
    </row>
    <row r="21" spans="2:14">
      <c r="B21" s="964"/>
      <c r="C21" s="555"/>
      <c r="D21" s="555"/>
      <c r="E21" s="555"/>
      <c r="F21" s="555"/>
      <c r="G21" s="555"/>
      <c r="H21" s="555"/>
      <c r="I21" s="555"/>
      <c r="J21" s="555"/>
      <c r="K21" s="555"/>
      <c r="L21" s="555"/>
      <c r="M21" s="555"/>
      <c r="N21" s="965"/>
    </row>
    <row r="22" spans="2:14">
      <c r="B22" s="964" t="s">
        <v>143</v>
      </c>
      <c r="C22" s="555"/>
      <c r="D22" s="555"/>
      <c r="E22" s="555"/>
      <c r="F22" s="555"/>
      <c r="G22" s="555"/>
      <c r="H22" s="555"/>
      <c r="I22" s="555"/>
      <c r="J22" s="555"/>
      <c r="K22" s="555"/>
      <c r="L22" s="555"/>
      <c r="M22" s="555"/>
      <c r="N22" s="965"/>
    </row>
    <row r="23" spans="2:14">
      <c r="B23" s="964"/>
      <c r="C23" s="555"/>
      <c r="D23" s="555"/>
      <c r="E23" s="555"/>
      <c r="F23" s="555"/>
      <c r="G23" s="555"/>
      <c r="H23" s="555"/>
      <c r="I23" s="555"/>
      <c r="J23" s="555"/>
      <c r="K23" s="555"/>
      <c r="L23" s="555"/>
      <c r="M23" s="555"/>
      <c r="N23" s="965"/>
    </row>
    <row r="24" spans="2:14" ht="13.5" thickBot="1">
      <c r="B24" s="967"/>
      <c r="C24" s="968"/>
      <c r="D24" s="968"/>
      <c r="E24" s="968"/>
      <c r="F24" s="968"/>
      <c r="G24" s="968"/>
      <c r="H24" s="968"/>
      <c r="I24" s="968"/>
      <c r="J24" s="968"/>
      <c r="K24" s="968"/>
      <c r="L24" s="968"/>
      <c r="M24" s="968"/>
      <c r="N24" s="969"/>
    </row>
    <row r="25" spans="2:14">
      <c r="F25" s="529"/>
      <c r="G25" s="529"/>
      <c r="H25" s="529"/>
    </row>
    <row r="26" spans="2:14">
      <c r="B26" s="960" t="s">
        <v>144</v>
      </c>
    </row>
    <row r="27" spans="2:14" ht="13.5" thickBot="1"/>
    <row r="28" spans="2:14">
      <c r="B28" s="961"/>
      <c r="C28" s="970"/>
      <c r="D28" s="962"/>
      <c r="E28" s="962"/>
      <c r="F28" s="962"/>
      <c r="G28" s="962"/>
      <c r="H28" s="962"/>
      <c r="I28" s="962"/>
      <c r="J28" s="963"/>
    </row>
    <row r="29" spans="2:14">
      <c r="B29" s="971"/>
      <c r="C29" s="972" t="s">
        <v>70</v>
      </c>
      <c r="D29" s="973">
        <v>2015</v>
      </c>
      <c r="E29" s="973">
        <v>2020</v>
      </c>
      <c r="F29" s="973">
        <v>2035</v>
      </c>
      <c r="G29" s="973">
        <v>2050</v>
      </c>
      <c r="H29" s="973" t="s">
        <v>978</v>
      </c>
      <c r="I29" s="556" t="s">
        <v>145</v>
      </c>
      <c r="J29" s="974" t="s">
        <v>146</v>
      </c>
    </row>
    <row r="30" spans="2:14">
      <c r="B30" s="975" t="s">
        <v>147</v>
      </c>
      <c r="C30" s="976"/>
      <c r="D30" s="977"/>
      <c r="E30" s="977"/>
      <c r="F30" s="977"/>
      <c r="G30" s="977"/>
      <c r="H30" s="977"/>
      <c r="I30" s="555"/>
      <c r="J30" s="965"/>
    </row>
    <row r="31" spans="2:14">
      <c r="B31" s="964" t="s">
        <v>148</v>
      </c>
      <c r="C31" s="976" t="s">
        <v>1272</v>
      </c>
      <c r="D31" s="978">
        <f>1/D161</f>
        <v>0.12987012987012986</v>
      </c>
      <c r="E31" s="978">
        <f>$D31</f>
        <v>0.12987012987012986</v>
      </c>
      <c r="F31" s="978">
        <f>$D31</f>
        <v>0.12987012987012986</v>
      </c>
      <c r="G31" s="978">
        <f>$D31</f>
        <v>0.12987012987012986</v>
      </c>
      <c r="H31" s="1333"/>
      <c r="I31" s="555"/>
      <c r="J31" s="965"/>
    </row>
    <row r="32" spans="2:14">
      <c r="B32" s="964" t="s">
        <v>67</v>
      </c>
      <c r="C32" s="976" t="s">
        <v>1273</v>
      </c>
      <c r="D32" s="979">
        <f>D159/D158</f>
        <v>44</v>
      </c>
      <c r="E32" s="978">
        <f t="shared" ref="E32:G34" si="0">$D32</f>
        <v>44</v>
      </c>
      <c r="F32" s="978">
        <f t="shared" si="0"/>
        <v>44</v>
      </c>
      <c r="G32" s="978">
        <f t="shared" si="0"/>
        <v>44</v>
      </c>
      <c r="H32" s="978"/>
      <c r="I32" s="555"/>
      <c r="J32" s="965"/>
    </row>
    <row r="33" spans="2:10">
      <c r="B33" s="964" t="s">
        <v>149</v>
      </c>
      <c r="C33" s="976" t="s">
        <v>1274</v>
      </c>
      <c r="D33" s="1396">
        <f>D158</f>
        <v>105000</v>
      </c>
      <c r="E33" s="1396">
        <f t="shared" si="0"/>
        <v>105000</v>
      </c>
      <c r="F33" s="1396">
        <f t="shared" si="0"/>
        <v>105000</v>
      </c>
      <c r="G33" s="1396">
        <f t="shared" si="0"/>
        <v>105000</v>
      </c>
      <c r="H33" s="1397"/>
      <c r="I33" s="555"/>
      <c r="J33" s="965"/>
    </row>
    <row r="34" spans="2:10">
      <c r="B34" s="964" t="s">
        <v>150</v>
      </c>
      <c r="C34" s="976" t="s">
        <v>34</v>
      </c>
      <c r="D34" s="1332">
        <f>20</f>
        <v>20</v>
      </c>
      <c r="E34" s="1332">
        <f t="shared" si="0"/>
        <v>20</v>
      </c>
      <c r="F34" s="1332">
        <f t="shared" si="0"/>
        <v>20</v>
      </c>
      <c r="G34" s="1332">
        <f t="shared" si="0"/>
        <v>20</v>
      </c>
      <c r="H34" s="1332"/>
      <c r="I34" s="555"/>
      <c r="J34" s="965" t="s">
        <v>1087</v>
      </c>
    </row>
    <row r="35" spans="2:10">
      <c r="B35" s="964"/>
      <c r="C35" s="981"/>
      <c r="D35" s="982"/>
      <c r="E35" s="983"/>
      <c r="F35" s="983"/>
      <c r="G35" s="983"/>
      <c r="H35" s="983"/>
      <c r="I35" s="555"/>
      <c r="J35" s="965"/>
    </row>
    <row r="36" spans="2:10">
      <c r="B36" s="975" t="s">
        <v>151</v>
      </c>
      <c r="C36" s="981"/>
      <c r="D36" s="982"/>
      <c r="E36" s="983"/>
      <c r="F36" s="983"/>
      <c r="G36" s="983"/>
      <c r="H36" s="983"/>
      <c r="I36" s="555"/>
      <c r="J36" s="965"/>
    </row>
    <row r="37" spans="2:10">
      <c r="B37" s="964" t="str">
        <f>ProcessEnergy!B35</f>
        <v xml:space="preserve">Green diesel </v>
      </c>
      <c r="C37" s="976" t="s">
        <v>1275</v>
      </c>
      <c r="H37" s="984"/>
      <c r="I37" s="555"/>
      <c r="J37" s="965"/>
    </row>
    <row r="38" spans="2:10">
      <c r="B38" s="985" t="str">
        <f>ProcessEnergy!B36</f>
        <v>Green gasoline</v>
      </c>
      <c r="C38" s="976"/>
      <c r="D38" s="978">
        <f>$D$164/$D$160</f>
        <v>0.16799999999999998</v>
      </c>
      <c r="E38" s="2309">
        <f t="shared" ref="E38:G39" si="1">$D38</f>
        <v>0.16799999999999998</v>
      </c>
      <c r="F38" s="2309">
        <f t="shared" si="1"/>
        <v>0.16799999999999998</v>
      </c>
      <c r="G38" s="2309">
        <f t="shared" si="1"/>
        <v>0.16799999999999998</v>
      </c>
      <c r="H38" s="984"/>
      <c r="I38" s="555"/>
      <c r="J38" s="965" t="s">
        <v>945</v>
      </c>
    </row>
    <row r="39" spans="2:10">
      <c r="B39" s="985" t="str">
        <f>ProcessEnergy!B37</f>
        <v>Electricity - balancing</v>
      </c>
      <c r="C39" s="976" t="s">
        <v>1275</v>
      </c>
      <c r="D39" s="978">
        <f>D163/D160</f>
        <v>3.5999999999999997E-2</v>
      </c>
      <c r="E39" s="2309">
        <f t="shared" si="1"/>
        <v>3.5999999999999997E-2</v>
      </c>
      <c r="F39" s="2309">
        <f t="shared" si="1"/>
        <v>3.5999999999999997E-2</v>
      </c>
      <c r="G39" s="2309">
        <f t="shared" si="1"/>
        <v>3.5999999999999997E-2</v>
      </c>
      <c r="H39" s="984"/>
      <c r="I39" s="555"/>
      <c r="J39" s="965"/>
    </row>
    <row r="40" spans="2:10">
      <c r="B40" s="985" t="str">
        <f>ProcessEnergy!B38</f>
        <v>Electricity  - continous</v>
      </c>
      <c r="C40" s="976"/>
      <c r="D40" s="984"/>
      <c r="E40" s="984"/>
      <c r="F40" s="984"/>
      <c r="G40" s="984"/>
      <c r="H40" s="984"/>
      <c r="I40" s="555"/>
      <c r="J40" s="965"/>
    </row>
    <row r="41" spans="2:10">
      <c r="B41" s="985" t="str">
        <f>ProcessEnergy!B39</f>
        <v>Elec/heat fuel</v>
      </c>
      <c r="C41" s="976"/>
      <c r="D41" s="984"/>
      <c r="E41" s="984"/>
      <c r="F41" s="984"/>
      <c r="G41" s="984"/>
      <c r="H41" s="984"/>
      <c r="I41" s="555"/>
      <c r="J41" s="965"/>
    </row>
    <row r="42" spans="2:10">
      <c r="B42" s="985" t="str">
        <f>ProcessEnergy!B40</f>
        <v>Biogas (100% CH4)</v>
      </c>
      <c r="C42" s="976"/>
      <c r="D42" s="984"/>
      <c r="E42" s="984"/>
      <c r="F42" s="984"/>
      <c r="G42" s="984"/>
      <c r="H42" s="984"/>
      <c r="I42" s="555"/>
      <c r="J42" s="965"/>
    </row>
    <row r="43" spans="2:10">
      <c r="B43" s="985" t="str">
        <f>ProcessEnergy!B41</f>
        <v>District heating</v>
      </c>
      <c r="C43" s="976" t="s">
        <v>1275</v>
      </c>
      <c r="D43" s="978">
        <f>C151*C152</f>
        <v>0.21268000000000001</v>
      </c>
      <c r="E43" s="978">
        <f>$D43</f>
        <v>0.21268000000000001</v>
      </c>
      <c r="F43" s="978">
        <f>$D43</f>
        <v>0.21268000000000001</v>
      </c>
      <c r="G43" s="978">
        <f>$D43</f>
        <v>0.21268000000000001</v>
      </c>
      <c r="H43" s="978"/>
      <c r="I43" s="555"/>
      <c r="J43" s="965"/>
    </row>
    <row r="44" spans="2:10">
      <c r="B44" s="985" t="str">
        <f>ProcessEnergy!B42</f>
        <v>&lt;empty&gt;</v>
      </c>
      <c r="C44" s="976"/>
      <c r="D44" s="978"/>
      <c r="E44" s="978"/>
      <c r="F44" s="978"/>
      <c r="G44" s="978"/>
      <c r="H44" s="978"/>
      <c r="I44" s="555"/>
      <c r="J44" s="965"/>
    </row>
    <row r="45" spans="2:10">
      <c r="B45" s="985" t="str">
        <f>ProcessEnergy!B43</f>
        <v>&lt;empty&gt;</v>
      </c>
      <c r="C45" s="976"/>
      <c r="D45" s="978"/>
      <c r="E45" s="978"/>
      <c r="F45" s="978"/>
      <c r="G45" s="978"/>
      <c r="H45" s="978"/>
      <c r="I45" s="555"/>
      <c r="J45" s="965"/>
    </row>
    <row r="46" spans="2:10">
      <c r="B46" s="985" t="str">
        <f>ProcessEnergy!B44</f>
        <v>&lt;empty&gt;</v>
      </c>
      <c r="C46" s="976"/>
      <c r="D46" s="978"/>
      <c r="E46" s="978"/>
      <c r="F46" s="978"/>
      <c r="G46" s="978"/>
      <c r="H46" s="978"/>
      <c r="I46" s="555"/>
      <c r="J46" s="965"/>
    </row>
    <row r="47" spans="2:10">
      <c r="B47" s="985" t="str">
        <f>ProcessEnergy!B45</f>
        <v>&lt;empty&gt;</v>
      </c>
      <c r="C47" s="976"/>
      <c r="D47" s="978"/>
      <c r="E47" s="978"/>
      <c r="F47" s="978"/>
      <c r="G47" s="978"/>
      <c r="H47" s="978"/>
      <c r="I47" s="555"/>
      <c r="J47" s="965"/>
    </row>
    <row r="48" spans="2:10">
      <c r="B48" s="985" t="str">
        <f>ProcessEnergy!B46</f>
        <v>&lt;empty&gt;</v>
      </c>
      <c r="C48" s="976"/>
      <c r="D48" s="978"/>
      <c r="E48" s="978"/>
      <c r="F48" s="978"/>
      <c r="G48" s="978"/>
      <c r="H48" s="978"/>
      <c r="I48" s="555"/>
      <c r="J48" s="965"/>
    </row>
    <row r="49" spans="2:10">
      <c r="B49" s="985" t="str">
        <f>ProcessEnergy!B47</f>
        <v>&lt;empty&gt;</v>
      </c>
      <c r="C49" s="976"/>
      <c r="D49" s="978"/>
      <c r="E49" s="978"/>
      <c r="F49" s="978"/>
      <c r="G49" s="978"/>
      <c r="H49" s="978"/>
      <c r="I49" s="555"/>
      <c r="J49" s="965"/>
    </row>
    <row r="50" spans="2:10">
      <c r="B50" s="985" t="str">
        <f>ProcessEnergy!B48</f>
        <v>Glycerol</v>
      </c>
      <c r="C50" s="976"/>
      <c r="D50" s="978"/>
      <c r="E50" s="978"/>
      <c r="F50" s="978"/>
      <c r="G50" s="978"/>
      <c r="H50" s="978"/>
      <c r="I50" s="555"/>
      <c r="J50" s="965"/>
    </row>
    <row r="51" spans="2:10">
      <c r="B51" s="985" t="str">
        <f>ProcessEnergy!B49</f>
        <v>&lt;empty&gt;</v>
      </c>
      <c r="C51" s="976"/>
      <c r="D51" s="978"/>
      <c r="E51" s="978"/>
      <c r="F51" s="978"/>
      <c r="G51" s="978"/>
      <c r="H51" s="978"/>
      <c r="I51" s="555"/>
      <c r="J51" s="965"/>
    </row>
    <row r="52" spans="2:10">
      <c r="B52" s="985" t="str">
        <f>ProcessEnergy!B51</f>
        <v>Fodder (wheat like)</v>
      </c>
      <c r="C52" s="976"/>
      <c r="D52" s="984"/>
      <c r="E52" s="984"/>
      <c r="F52" s="984"/>
      <c r="G52" s="984"/>
      <c r="H52" s="984"/>
      <c r="I52" s="555"/>
      <c r="J52" s="965"/>
    </row>
    <row r="53" spans="2:10">
      <c r="B53" s="985" t="str">
        <f>ProcessEnergy!B52</f>
        <v>Rape seed cake</v>
      </c>
      <c r="C53" s="976"/>
      <c r="D53" s="984"/>
      <c r="E53" s="984"/>
      <c r="F53" s="984"/>
      <c r="G53" s="984"/>
      <c r="H53" s="984"/>
      <c r="I53" s="555"/>
      <c r="J53" s="965"/>
    </row>
    <row r="54" spans="2:10">
      <c r="B54" s="985" t="str">
        <f>ProcessEnergy!B53</f>
        <v>&lt;empty&gt;</v>
      </c>
      <c r="C54" s="976"/>
      <c r="D54" s="984"/>
      <c r="E54" s="984"/>
      <c r="F54" s="984"/>
      <c r="G54" s="984"/>
      <c r="H54" s="984"/>
      <c r="I54" s="555"/>
      <c r="J54" s="965"/>
    </row>
    <row r="55" spans="2:10">
      <c r="B55" s="985" t="str">
        <f>ProcessEnergy!B54</f>
        <v>DDGS</v>
      </c>
      <c r="C55" s="976"/>
      <c r="D55" s="984"/>
      <c r="E55" s="984"/>
      <c r="F55" s="984"/>
      <c r="G55" s="984"/>
      <c r="H55" s="984"/>
      <c r="I55" s="555"/>
      <c r="J55" s="965"/>
    </row>
    <row r="56" spans="2:10">
      <c r="B56" s="964"/>
      <c r="C56" s="976"/>
      <c r="D56" s="984"/>
      <c r="E56" s="984"/>
      <c r="F56" s="984"/>
      <c r="G56" s="984"/>
      <c r="H56" s="984"/>
      <c r="I56" s="555"/>
      <c r="J56" s="965"/>
    </row>
    <row r="57" spans="2:10">
      <c r="B57" s="975" t="s">
        <v>873</v>
      </c>
      <c r="C57" s="976"/>
      <c r="D57" s="984"/>
      <c r="E57" s="984"/>
      <c r="F57" s="984"/>
      <c r="G57" s="984"/>
      <c r="H57" s="984"/>
      <c r="I57" s="555"/>
      <c r="J57" s="965"/>
    </row>
    <row r="58" spans="2:10">
      <c r="B58" s="964" t="str">
        <f>ProcessEnergy!B5</f>
        <v>EL - peakload</v>
      </c>
      <c r="C58" s="976" t="s">
        <v>877</v>
      </c>
      <c r="D58" s="984"/>
      <c r="E58" s="984"/>
      <c r="F58" s="984"/>
      <c r="G58" s="984"/>
      <c r="H58" s="984"/>
      <c r="I58" s="555"/>
      <c r="J58" s="965"/>
    </row>
    <row r="59" spans="2:10">
      <c r="B59" s="964" t="str">
        <f>ProcessEnergy!B6</f>
        <v>El - baseload</v>
      </c>
      <c r="C59" s="976" t="s">
        <v>877</v>
      </c>
      <c r="D59" s="984"/>
      <c r="E59" s="984"/>
      <c r="F59" s="984"/>
      <c r="G59" s="984"/>
      <c r="H59" s="984"/>
      <c r="I59" s="555"/>
      <c r="J59" s="965"/>
    </row>
    <row r="60" spans="2:10">
      <c r="B60" s="964" t="str">
        <f>ProcessEnergy!B7</f>
        <v xml:space="preserve">Varme </v>
      </c>
      <c r="C60" s="976" t="s">
        <v>877</v>
      </c>
      <c r="D60" s="984"/>
      <c r="E60" s="984"/>
      <c r="F60" s="984"/>
      <c r="G60" s="984"/>
      <c r="H60" s="984"/>
      <c r="I60" s="555"/>
      <c r="J60" s="965"/>
    </row>
    <row r="61" spans="2:10">
      <c r="B61" s="964" t="str">
        <f>ProcessEnergy!B8</f>
        <v>Damp</v>
      </c>
      <c r="C61" s="976" t="s">
        <v>877</v>
      </c>
      <c r="D61" s="984"/>
      <c r="E61" s="984"/>
      <c r="F61" s="984"/>
      <c r="G61" s="984"/>
      <c r="H61" s="984"/>
      <c r="I61" s="555"/>
      <c r="J61" s="965"/>
    </row>
    <row r="62" spans="2:10">
      <c r="B62" s="964" t="str">
        <f>ProcessEnergy!B9</f>
        <v xml:space="preserve">Olie </v>
      </c>
      <c r="C62" s="976" t="s">
        <v>877</v>
      </c>
      <c r="D62" s="984"/>
      <c r="E62" s="984"/>
      <c r="F62" s="984"/>
      <c r="G62" s="984"/>
      <c r="H62" s="984"/>
      <c r="I62" s="555"/>
      <c r="J62" s="965"/>
    </row>
    <row r="63" spans="2:10">
      <c r="B63" s="964" t="str">
        <f>ProcessEnergy!B10</f>
        <v>Kul</v>
      </c>
      <c r="C63" s="976" t="s">
        <v>877</v>
      </c>
      <c r="D63" s="984"/>
      <c r="E63" s="984"/>
      <c r="F63" s="984"/>
      <c r="G63" s="984"/>
      <c r="H63" s="984"/>
      <c r="I63" s="555"/>
      <c r="J63" s="965"/>
    </row>
    <row r="64" spans="2:10">
      <c r="B64" s="964" t="str">
        <f>ProcessEnergy!B11</f>
        <v>Naturgas kedel</v>
      </c>
      <c r="C64" s="976" t="s">
        <v>877</v>
      </c>
      <c r="D64" s="984"/>
      <c r="E64" s="984"/>
      <c r="F64" s="984"/>
      <c r="G64" s="984"/>
      <c r="H64" s="984"/>
      <c r="I64" s="555"/>
      <c r="J64" s="965"/>
    </row>
    <row r="65" spans="2:10">
      <c r="B65" s="964" t="str">
        <f>ProcessEnergy!B12</f>
        <v>Gylle</v>
      </c>
      <c r="C65" s="976" t="s">
        <v>877</v>
      </c>
      <c r="D65" s="984"/>
      <c r="E65" s="984"/>
      <c r="F65" s="984"/>
      <c r="G65" s="984"/>
      <c r="H65" s="984"/>
      <c r="I65" s="555"/>
      <c r="J65" s="965"/>
    </row>
    <row r="66" spans="2:10">
      <c r="B66" s="964" t="str">
        <f>ProcessEnergy!B13</f>
        <v>Affald</v>
      </c>
      <c r="C66" s="976" t="s">
        <v>877</v>
      </c>
      <c r="D66" s="984"/>
      <c r="E66" s="984"/>
      <c r="F66" s="984"/>
      <c r="G66" s="984"/>
      <c r="H66" s="984"/>
      <c r="I66" s="555"/>
      <c r="J66" s="965"/>
    </row>
    <row r="67" spans="2:10">
      <c r="B67" s="964" t="str">
        <f>ProcessEnergy!B14</f>
        <v>Hydrogen</v>
      </c>
      <c r="C67" s="976" t="s">
        <v>877</v>
      </c>
      <c r="D67" s="984"/>
      <c r="E67" s="984"/>
      <c r="F67" s="984"/>
      <c r="G67" s="984"/>
      <c r="H67" s="984"/>
      <c r="I67" s="555"/>
      <c r="J67" s="965"/>
    </row>
    <row r="68" spans="2:10">
      <c r="B68" s="964" t="str">
        <f>ProcessEnergy!B15</f>
        <v>Biomasse</v>
      </c>
      <c r="C68" s="976" t="s">
        <v>877</v>
      </c>
      <c r="D68" s="984"/>
      <c r="E68" s="984"/>
      <c r="F68" s="984"/>
      <c r="G68" s="984"/>
      <c r="H68" s="984"/>
      <c r="I68" s="555"/>
      <c r="J68" s="965"/>
    </row>
    <row r="69" spans="2:10">
      <c r="B69" s="964" t="str">
        <f>ProcessEnergy!B16</f>
        <v>Methanol</v>
      </c>
      <c r="C69" s="976"/>
      <c r="D69" s="984"/>
      <c r="E69" s="984"/>
      <c r="F69" s="984"/>
      <c r="G69" s="984"/>
      <c r="H69" s="984"/>
      <c r="I69" s="555"/>
      <c r="J69" s="965"/>
    </row>
    <row r="70" spans="2:10">
      <c r="B70" s="964" t="str">
        <f>ProcessEnergy!B17</f>
        <v>&lt;empty&gt;</v>
      </c>
      <c r="C70" s="976"/>
      <c r="D70" s="984"/>
      <c r="E70" s="984"/>
      <c r="F70" s="984"/>
      <c r="G70" s="984"/>
      <c r="H70" s="984"/>
      <c r="I70" s="555"/>
      <c r="J70" s="965"/>
    </row>
    <row r="71" spans="2:10">
      <c r="B71" s="964" t="str">
        <f>ProcessEnergy!B18</f>
        <v>&lt;empty&gt;</v>
      </c>
      <c r="C71" s="976"/>
      <c r="D71" s="984"/>
      <c r="E71" s="984"/>
      <c r="F71" s="984"/>
      <c r="G71" s="984"/>
      <c r="H71" s="984"/>
      <c r="I71" s="555"/>
      <c r="J71" s="965"/>
    </row>
    <row r="72" spans="2:10">
      <c r="B72" s="964" t="str">
        <f>ProcessEnergy!B19</f>
        <v>&lt;empty&gt;</v>
      </c>
      <c r="C72" s="976"/>
      <c r="D72" s="984"/>
      <c r="E72" s="984"/>
      <c r="F72" s="984"/>
      <c r="G72" s="984"/>
      <c r="H72" s="984"/>
      <c r="I72" s="555"/>
      <c r="J72" s="965"/>
    </row>
    <row r="73" spans="2:10">
      <c r="B73" s="964" t="str">
        <f>ProcessEnergy!B20</f>
        <v>&lt;empty&gt;</v>
      </c>
      <c r="C73" s="976"/>
      <c r="D73" s="984"/>
      <c r="E73" s="984"/>
      <c r="F73" s="984"/>
      <c r="G73" s="984"/>
      <c r="H73" s="984"/>
      <c r="I73" s="555"/>
      <c r="J73" s="965"/>
    </row>
    <row r="74" spans="2:10">
      <c r="B74" s="964" t="str">
        <f>ProcessEnergy!B21</f>
        <v>&lt;empty&gt;</v>
      </c>
      <c r="C74" s="976"/>
      <c r="D74" s="984"/>
      <c r="E74" s="984"/>
      <c r="F74" s="984"/>
      <c r="G74" s="984"/>
      <c r="H74" s="984"/>
      <c r="I74" s="555"/>
      <c r="J74" s="965"/>
    </row>
    <row r="75" spans="2:10">
      <c r="B75" s="964" t="str">
        <f>ProcessEnergy!B22</f>
        <v>&lt;empty&gt;</v>
      </c>
      <c r="C75" s="976"/>
      <c r="D75" s="984"/>
      <c r="E75" s="984"/>
      <c r="F75" s="984"/>
      <c r="G75" s="984"/>
      <c r="H75" s="984"/>
      <c r="I75" s="555"/>
      <c r="J75" s="965"/>
    </row>
    <row r="76" spans="2:10">
      <c r="B76" s="964" t="str">
        <f>ProcessEnergy!B23</f>
        <v>&lt;empty&gt;</v>
      </c>
      <c r="C76" s="976"/>
      <c r="D76" s="984"/>
      <c r="E76" s="984"/>
      <c r="F76" s="984"/>
      <c r="G76" s="984"/>
      <c r="H76" s="984"/>
      <c r="I76" s="555"/>
      <c r="J76" s="965"/>
    </row>
    <row r="77" spans="2:10">
      <c r="B77" s="964" t="str">
        <f>ProcessEnergy!B24</f>
        <v>&lt;empty&gt;</v>
      </c>
      <c r="C77" s="976" t="s">
        <v>877</v>
      </c>
      <c r="D77" s="984"/>
      <c r="E77" s="984"/>
      <c r="F77" s="984"/>
      <c r="G77" s="984"/>
      <c r="H77" s="984"/>
      <c r="I77" s="555"/>
      <c r="J77" s="965"/>
    </row>
    <row r="78" spans="2:10">
      <c r="B78" s="964"/>
      <c r="C78" s="976"/>
      <c r="D78" s="984"/>
      <c r="E78" s="984"/>
      <c r="F78" s="984"/>
      <c r="G78" s="984"/>
      <c r="H78" s="984"/>
      <c r="I78" s="555"/>
      <c r="J78" s="965"/>
    </row>
    <row r="79" spans="2:10">
      <c r="B79" s="964"/>
      <c r="C79" s="976"/>
      <c r="D79" s="984"/>
      <c r="E79" s="984"/>
      <c r="F79" s="984"/>
      <c r="G79" s="984"/>
      <c r="H79" s="984"/>
      <c r="I79" s="555"/>
      <c r="J79" s="965"/>
    </row>
    <row r="80" spans="2:10">
      <c r="B80" s="964"/>
      <c r="C80" s="976"/>
      <c r="D80" s="986"/>
      <c r="E80" s="986"/>
      <c r="F80" s="986"/>
      <c r="G80" s="986"/>
      <c r="H80" s="986"/>
      <c r="I80" s="555"/>
      <c r="J80" s="965"/>
    </row>
    <row r="81" spans="1:17">
      <c r="B81" s="975" t="s">
        <v>152</v>
      </c>
      <c r="C81" s="976"/>
      <c r="D81" s="986"/>
      <c r="E81" s="986"/>
      <c r="F81" s="986"/>
      <c r="G81" s="986"/>
      <c r="H81" s="986"/>
      <c r="I81" s="555"/>
      <c r="J81" s="965"/>
    </row>
    <row r="82" spans="1:17">
      <c r="A82" s="530">
        <v>4</v>
      </c>
      <c r="B82" s="964" t="s">
        <v>462</v>
      </c>
      <c r="C82" s="976" t="s">
        <v>725</v>
      </c>
      <c r="D82" s="1633">
        <v>1</v>
      </c>
      <c r="E82" s="978">
        <f t="shared" ref="E82:G88" si="2">$D82</f>
        <v>1</v>
      </c>
      <c r="F82" s="978">
        <f t="shared" si="2"/>
        <v>1</v>
      </c>
      <c r="G82" s="978">
        <f t="shared" si="2"/>
        <v>1</v>
      </c>
      <c r="H82" s="978"/>
      <c r="I82" s="555"/>
      <c r="J82" s="965"/>
    </row>
    <row r="83" spans="1:17">
      <c r="B83" s="964" t="s">
        <v>153</v>
      </c>
      <c r="C83" s="976" t="s">
        <v>725</v>
      </c>
      <c r="D83" s="987">
        <f>D82*SUM(D58:D77)</f>
        <v>0</v>
      </c>
      <c r="E83" s="978">
        <f t="shared" si="2"/>
        <v>0</v>
      </c>
      <c r="F83" s="978">
        <f t="shared" si="2"/>
        <v>0</v>
      </c>
      <c r="G83" s="978">
        <f t="shared" si="2"/>
        <v>0</v>
      </c>
      <c r="H83" s="1334"/>
      <c r="I83" s="555"/>
      <c r="J83" s="965"/>
    </row>
    <row r="84" spans="1:17">
      <c r="B84" s="964" t="s">
        <v>1092</v>
      </c>
      <c r="C84" s="976" t="s">
        <v>725</v>
      </c>
      <c r="D84" s="987">
        <f>D82*SUM(D37:D55)</f>
        <v>0.41667999999999999</v>
      </c>
      <c r="E84" s="978">
        <f t="shared" si="2"/>
        <v>0.41667999999999999</v>
      </c>
      <c r="F84" s="978">
        <f t="shared" si="2"/>
        <v>0.41667999999999999</v>
      </c>
      <c r="G84" s="978">
        <f t="shared" si="2"/>
        <v>0.41667999999999999</v>
      </c>
      <c r="H84" s="978"/>
      <c r="I84" s="555"/>
      <c r="J84" s="965"/>
    </row>
    <row r="85" spans="1:17">
      <c r="B85" s="964" t="s">
        <v>1240</v>
      </c>
      <c r="C85" s="976" t="s">
        <v>725</v>
      </c>
      <c r="D85" s="987">
        <f>(1/D160)*D82</f>
        <v>0.4</v>
      </c>
      <c r="E85" s="978">
        <f t="shared" si="2"/>
        <v>0.4</v>
      </c>
      <c r="F85" s="978">
        <f t="shared" si="2"/>
        <v>0.4</v>
      </c>
      <c r="G85" s="978">
        <f t="shared" si="2"/>
        <v>0.4</v>
      </c>
      <c r="H85" s="978"/>
      <c r="I85" s="555"/>
      <c r="J85" s="965"/>
    </row>
    <row r="86" spans="1:17">
      <c r="B86" s="985" t="s">
        <v>155</v>
      </c>
      <c r="C86" s="976" t="s">
        <v>725</v>
      </c>
      <c r="D86" s="987">
        <f>SUM(D82:D83)-SUM(D84:D85)</f>
        <v>0.18331999999999993</v>
      </c>
      <c r="E86" s="978">
        <f t="shared" si="2"/>
        <v>0.18331999999999993</v>
      </c>
      <c r="F86" s="978">
        <f t="shared" si="2"/>
        <v>0.18331999999999993</v>
      </c>
      <c r="G86" s="978">
        <f t="shared" si="2"/>
        <v>0.18331999999999993</v>
      </c>
      <c r="H86" s="978"/>
      <c r="I86" s="555"/>
      <c r="J86" s="965"/>
    </row>
    <row r="87" spans="1:17">
      <c r="B87" s="985" t="s">
        <v>156</v>
      </c>
      <c r="C87" s="988" t="s">
        <v>726</v>
      </c>
      <c r="D87" s="989">
        <f>SUM(D84:D85)/SUM(D82:D83)</f>
        <v>0.81668000000000007</v>
      </c>
      <c r="E87" s="990">
        <f t="shared" si="2"/>
        <v>0.81668000000000007</v>
      </c>
      <c r="F87" s="990">
        <f t="shared" si="2"/>
        <v>0.81668000000000007</v>
      </c>
      <c r="G87" s="990">
        <f t="shared" si="2"/>
        <v>0.81668000000000007</v>
      </c>
      <c r="H87" s="990"/>
      <c r="I87" s="555"/>
      <c r="J87" s="965"/>
    </row>
    <row r="88" spans="1:17">
      <c r="B88" s="964"/>
      <c r="C88" s="976"/>
      <c r="D88" s="989">
        <f>D167/100</f>
        <v>0.8</v>
      </c>
      <c r="E88" s="990">
        <f t="shared" si="2"/>
        <v>0.8</v>
      </c>
      <c r="F88" s="990">
        <f t="shared" si="2"/>
        <v>0.8</v>
      </c>
      <c r="G88" s="990">
        <f t="shared" si="2"/>
        <v>0.8</v>
      </c>
      <c r="H88" s="990"/>
      <c r="I88" s="555"/>
      <c r="J88" s="965"/>
      <c r="N88" s="557"/>
    </row>
    <row r="89" spans="1:17">
      <c r="B89" s="975" t="s">
        <v>2116</v>
      </c>
      <c r="C89" s="976"/>
      <c r="D89" s="983"/>
      <c r="E89" s="983"/>
      <c r="F89" s="983"/>
      <c r="G89" s="983"/>
      <c r="H89" s="983"/>
      <c r="I89" s="555"/>
      <c r="J89" s="965"/>
      <c r="N89" s="991"/>
      <c r="O89" s="991"/>
      <c r="P89" s="991"/>
      <c r="Q89" s="991"/>
    </row>
    <row r="90" spans="1:17">
      <c r="B90" s="964" t="s">
        <v>157</v>
      </c>
      <c r="C90" s="976" t="s">
        <v>61</v>
      </c>
      <c r="D90" s="992">
        <f ca="1">HLOOKUP($H99,Supplementary!$C$44:$AF$46,3,FALSE)*D99*D$110</f>
        <v>4173035753.464633</v>
      </c>
      <c r="E90" s="992">
        <f ca="1">HLOOKUP($H99,Supplementary!$C$44:$AF$46,3,FALSE)*E99*E$110</f>
        <v>3964383965.7914014</v>
      </c>
      <c r="F90" s="992">
        <f ca="1">HLOOKUP($H99,Supplementary!$C$44:$AF$46,3,FALSE)*F99*F$110</f>
        <v>3229015517.5368824</v>
      </c>
      <c r="G90" s="992">
        <f ca="1">HLOOKUP($H99,Supplementary!$C$44:$AF$46,3,FALSE)*G99*G$110</f>
        <v>2373623121.6436496</v>
      </c>
      <c r="H90" s="555">
        <f t="shared" ref="H90:H96" si="3">priceYear</f>
        <v>2015</v>
      </c>
      <c r="I90" s="555"/>
      <c r="J90" s="965"/>
      <c r="N90" s="991"/>
      <c r="O90" s="991"/>
      <c r="P90" s="991"/>
      <c r="Q90" s="991"/>
    </row>
    <row r="91" spans="1:17">
      <c r="B91" s="964" t="s">
        <v>160</v>
      </c>
      <c r="C91" s="976" t="s">
        <v>464</v>
      </c>
      <c r="D91" s="555">
        <f ca="1">SUM(D92:D96)</f>
        <v>9.9995390176986945</v>
      </c>
      <c r="E91" s="555">
        <f ca="1">SUM(E92:E96)</f>
        <v>0.58215886336890321</v>
      </c>
      <c r="F91" s="555">
        <f ca="1">SUM(F92:F96)</f>
        <v>-29.570298914072495</v>
      </c>
      <c r="G91" s="555">
        <f ca="1">SUM(G92:G96)</f>
        <v>-49.954065208372128</v>
      </c>
      <c r="H91" s="555">
        <f t="shared" si="3"/>
        <v>2015</v>
      </c>
      <c r="I91" s="555"/>
      <c r="J91" s="965"/>
      <c r="N91" s="991"/>
      <c r="O91" s="991"/>
      <c r="P91" s="991"/>
      <c r="Q91" s="991"/>
    </row>
    <row r="92" spans="1:17">
      <c r="B92" s="995" t="s">
        <v>162</v>
      </c>
      <c r="C92" s="976" t="s">
        <v>464</v>
      </c>
      <c r="D92" s="992">
        <f ca="1">HLOOKUP($H101,Supplementary!$C$44:$AF$46,3,FALSE)*D101*D$110</f>
        <v>72.479477337068843</v>
      </c>
      <c r="E92" s="555">
        <f ca="1">HLOOKUP($H101,Supplementary!$C$44:$AF$46,3,FALSE)*E101*E$110</f>
        <v>68.855503470215396</v>
      </c>
      <c r="F92" s="555">
        <f ca="1">HLOOKUP($H101,Supplementary!$C$44:$AF$46,3,FALSE)*F101*F$110</f>
        <v>56.083237923387131</v>
      </c>
      <c r="G92" s="555">
        <f ca="1">HLOOKUP($H101,Supplementary!$C$44:$AF$46,3,FALSE)*G101*G$110</f>
        <v>41.226333397474342</v>
      </c>
      <c r="H92" s="555">
        <f t="shared" si="3"/>
        <v>2015</v>
      </c>
      <c r="I92" s="555"/>
      <c r="J92" s="965"/>
      <c r="N92" s="991"/>
      <c r="O92" s="991"/>
      <c r="P92" s="991"/>
      <c r="Q92" s="991"/>
    </row>
    <row r="93" spans="1:17">
      <c r="B93" s="995" t="s">
        <v>163</v>
      </c>
      <c r="C93" s="976" t="s">
        <v>464</v>
      </c>
      <c r="D93" s="992">
        <f ca="1">HLOOKUP($H102,Supplementary!$C$44:$AF$46,3,FALSE)*D102*D$110</f>
        <v>26.96282065946005</v>
      </c>
      <c r="E93" s="555">
        <f ca="1">HLOOKUP($H102,Supplementary!$C$44:$AF$46,3,FALSE)*E102*E$110</f>
        <v>25.614679626487046</v>
      </c>
      <c r="F93" s="555">
        <f ca="1">HLOOKUP($H102,Supplementary!$C$44:$AF$46,3,FALSE)*F102*F$110</f>
        <v>20.863316647521366</v>
      </c>
      <c r="G93" s="555">
        <f ca="1">HLOOKUP($H102,Supplementary!$C$44:$AF$46,3,FALSE)*G102*G$110</f>
        <v>15.336454879134516</v>
      </c>
      <c r="H93" s="555">
        <f t="shared" si="3"/>
        <v>2015</v>
      </c>
      <c r="I93" s="555"/>
      <c r="J93" s="965"/>
      <c r="N93" s="991"/>
      <c r="O93" s="991"/>
      <c r="P93" s="991"/>
      <c r="Q93" s="991"/>
    </row>
    <row r="94" spans="1:17">
      <c r="B94" s="995" t="s">
        <v>164</v>
      </c>
      <c r="C94" s="976" t="s">
        <v>464</v>
      </c>
      <c r="D94" s="992">
        <f>HLOOKUP($H103,Supplementary!$C$44:$AF$46,3,FALSE)*D103</f>
        <v>0</v>
      </c>
      <c r="E94" s="555">
        <f>HLOOKUP($H103,Supplementary!$C$44:$AF$46,3,FALSE)*E103</f>
        <v>0</v>
      </c>
      <c r="F94" s="555">
        <f>HLOOKUP($H103,Supplementary!$C$44:$AF$46,3,FALSE)*F103</f>
        <v>0</v>
      </c>
      <c r="G94" s="555">
        <f>HLOOKUP($H103,Supplementary!$C$44:$AF$46,3,FALSE)*G103</f>
        <v>0</v>
      </c>
      <c r="H94" s="555">
        <f t="shared" si="3"/>
        <v>2015</v>
      </c>
      <c r="I94" s="555"/>
      <c r="J94" s="965"/>
      <c r="N94" s="991"/>
      <c r="O94" s="991"/>
      <c r="P94" s="991"/>
      <c r="Q94" s="991"/>
    </row>
    <row r="95" spans="1:17">
      <c r="B95" s="995" t="s">
        <v>264</v>
      </c>
      <c r="C95" s="976" t="s">
        <v>464</v>
      </c>
      <c r="D95" s="992">
        <f ca="1">HLOOKUP($H104,Supplementary!$C$44:$AF$46,3,FALSE)*D104*D$110</f>
        <v>0</v>
      </c>
      <c r="E95" s="555">
        <f ca="1">HLOOKUP($H104,Supplementary!$C$44:$AF$46,3,FALSE)*E104*E$110</f>
        <v>0</v>
      </c>
      <c r="F95" s="555">
        <f ca="1">HLOOKUP($H104,Supplementary!$C$44:$AF$46,3,FALSE)*F104*F$110</f>
        <v>0</v>
      </c>
      <c r="G95" s="555">
        <f ca="1">HLOOKUP($H104,Supplementary!$C$44:$AF$46,3,FALSE)*G104*G$110</f>
        <v>0</v>
      </c>
      <c r="H95" s="555">
        <f t="shared" si="3"/>
        <v>2015</v>
      </c>
      <c r="I95" s="555"/>
      <c r="J95" s="965"/>
      <c r="N95" s="991"/>
      <c r="O95" s="991"/>
      <c r="P95" s="991"/>
      <c r="Q95" s="991"/>
    </row>
    <row r="96" spans="1:17">
      <c r="B96" s="995" t="s">
        <v>165</v>
      </c>
      <c r="C96" s="976" t="s">
        <v>464</v>
      </c>
      <c r="D96" s="992">
        <f ca="1">HLOOKUP($H105,Supplementary!$C$44:$AF$46,3,FALSE)*D105</f>
        <v>-89.442758978830199</v>
      </c>
      <c r="E96" s="555">
        <f ca="1">HLOOKUP($H105,Supplementary!$C$44:$AF$46,3,FALSE)*E105</f>
        <v>-93.888024233333539</v>
      </c>
      <c r="F96" s="555">
        <f ca="1">HLOOKUP($H105,Supplementary!$C$44:$AF$46,3,FALSE)*F105</f>
        <v>-106.51685348498098</v>
      </c>
      <c r="G96" s="555">
        <f ca="1">HLOOKUP($H105,Supplementary!$C$44:$AF$46,3,FALSE)*G105</f>
        <v>-106.51685348498098</v>
      </c>
      <c r="H96" s="555">
        <f t="shared" si="3"/>
        <v>2015</v>
      </c>
      <c r="I96" s="555"/>
      <c r="J96" s="965"/>
      <c r="N96" s="991"/>
      <c r="O96" s="991"/>
      <c r="P96" s="991"/>
      <c r="Q96" s="991"/>
    </row>
    <row r="97" spans="1:17">
      <c r="B97" s="975"/>
      <c r="C97" s="976"/>
      <c r="D97" s="992"/>
      <c r="E97" s="983"/>
      <c r="F97" s="983"/>
      <c r="G97" s="983"/>
      <c r="H97" s="983"/>
      <c r="I97" s="555"/>
      <c r="J97" s="965"/>
      <c r="N97" s="991"/>
      <c r="O97" s="991"/>
      <c r="P97" s="991"/>
      <c r="Q97" s="991"/>
    </row>
    <row r="98" spans="1:17">
      <c r="B98" s="975" t="s">
        <v>2117</v>
      </c>
      <c r="C98" s="976"/>
      <c r="D98" s="992"/>
      <c r="E98" s="983"/>
      <c r="F98" s="983"/>
      <c r="G98" s="983"/>
      <c r="H98" s="983"/>
      <c r="I98" s="555"/>
      <c r="J98" s="965"/>
      <c r="N98" s="991"/>
      <c r="O98" s="991"/>
      <c r="P98" s="991"/>
      <c r="Q98" s="991"/>
    </row>
    <row r="99" spans="1:17">
      <c r="B99" s="964" t="s">
        <v>157</v>
      </c>
      <c r="C99" s="976" t="s">
        <v>61</v>
      </c>
      <c r="D99" s="992">
        <f>D177*dkkPerEUR*D159</f>
        <v>3920324100.0000005</v>
      </c>
      <c r="E99" s="992">
        <f t="shared" ref="E99:G102" si="4">$D99</f>
        <v>3920324100.0000005</v>
      </c>
      <c r="F99" s="992">
        <f t="shared" si="4"/>
        <v>3920324100.0000005</v>
      </c>
      <c r="G99" s="992">
        <f t="shared" si="4"/>
        <v>3920324100.0000005</v>
      </c>
      <c r="H99" s="1668">
        <v>2011</v>
      </c>
      <c r="I99" s="555"/>
      <c r="J99" s="965"/>
      <c r="N99" s="991"/>
      <c r="O99" s="991"/>
      <c r="P99" s="991"/>
      <c r="Q99" s="991"/>
    </row>
    <row r="100" spans="1:17">
      <c r="B100" s="964" t="s">
        <v>160</v>
      </c>
      <c r="C100" s="976" t="s">
        <v>464</v>
      </c>
      <c r="D100" s="993">
        <f ca="1">SUM(D101:D105)</f>
        <v>9.3939846471307646</v>
      </c>
      <c r="E100" s="978">
        <f t="shared" ca="1" si="4"/>
        <v>9.3939846471307646</v>
      </c>
      <c r="F100" s="978">
        <f t="shared" ca="1" si="4"/>
        <v>9.3939846471307646</v>
      </c>
      <c r="G100" s="978">
        <f t="shared" ca="1" si="4"/>
        <v>9.3939846471307646</v>
      </c>
      <c r="H100" s="1668">
        <v>2011</v>
      </c>
      <c r="I100" s="994"/>
      <c r="J100" s="965"/>
      <c r="N100" s="991"/>
      <c r="O100" s="991"/>
      <c r="P100" s="991"/>
      <c r="Q100" s="991"/>
    </row>
    <row r="101" spans="1:17">
      <c r="B101" s="995" t="s">
        <v>162</v>
      </c>
      <c r="C101" s="976" t="s">
        <v>464</v>
      </c>
      <c r="D101" s="993">
        <f ca="1">PMT(rSØK,D34,-D99)/(D32*D33)</f>
        <v>68.09024857359708</v>
      </c>
      <c r="E101" s="978">
        <f t="shared" ca="1" si="4"/>
        <v>68.09024857359708</v>
      </c>
      <c r="F101" s="978">
        <f t="shared" ca="1" si="4"/>
        <v>68.09024857359708</v>
      </c>
      <c r="G101" s="978">
        <f t="shared" ca="1" si="4"/>
        <v>68.09024857359708</v>
      </c>
      <c r="H101" s="1668">
        <v>2011</v>
      </c>
      <c r="I101" s="994"/>
      <c r="J101" s="965"/>
      <c r="N101" s="991"/>
      <c r="O101" s="991"/>
      <c r="P101" s="991"/>
      <c r="Q101" s="991"/>
    </row>
    <row r="102" spans="1:17">
      <c r="B102" s="995" t="s">
        <v>163</v>
      </c>
      <c r="C102" s="976" t="s">
        <v>464</v>
      </c>
      <c r="D102" s="480">
        <f>IF(D141&gt;0,D177*D141*dkkPerEUR,D178*dkkPerEUR)</f>
        <v>25.33</v>
      </c>
      <c r="E102" s="480">
        <f t="shared" si="4"/>
        <v>25.33</v>
      </c>
      <c r="F102" s="480">
        <f t="shared" si="4"/>
        <v>25.33</v>
      </c>
      <c r="G102" s="480">
        <f t="shared" si="4"/>
        <v>25.33</v>
      </c>
      <c r="H102" s="1668">
        <v>2011</v>
      </c>
      <c r="I102" s="555"/>
      <c r="J102" s="965"/>
      <c r="N102" s="991"/>
      <c r="O102" s="991"/>
      <c r="P102" s="991"/>
      <c r="Q102" s="991"/>
    </row>
    <row r="103" spans="1:17">
      <c r="A103" s="530">
        <v>6</v>
      </c>
      <c r="B103" s="995" t="s">
        <v>164</v>
      </c>
      <c r="C103" s="976" t="s">
        <v>464</v>
      </c>
      <c r="D103" s="997"/>
      <c r="E103" s="997"/>
      <c r="F103" s="997"/>
      <c r="G103" s="997"/>
      <c r="H103" s="1668">
        <v>2011</v>
      </c>
      <c r="I103" s="555"/>
      <c r="J103" s="965"/>
      <c r="N103" s="991"/>
      <c r="O103" s="991"/>
      <c r="P103" s="991"/>
      <c r="Q103" s="991"/>
    </row>
    <row r="104" spans="1:17">
      <c r="B104" s="995" t="s">
        <v>264</v>
      </c>
      <c r="C104" s="976" t="s">
        <v>464</v>
      </c>
      <c r="D104" s="997"/>
      <c r="E104" s="997"/>
      <c r="F104" s="997"/>
      <c r="G104" s="997"/>
      <c r="H104" s="1668">
        <v>2011</v>
      </c>
      <c r="I104" s="555"/>
      <c r="J104" s="965"/>
      <c r="N104" s="991"/>
      <c r="O104" s="991"/>
      <c r="P104" s="991"/>
      <c r="Q104" s="991"/>
    </row>
    <row r="105" spans="1:17">
      <c r="B105" s="995" t="s">
        <v>165</v>
      </c>
      <c r="C105" s="976" t="s">
        <v>464</v>
      </c>
      <c r="D105" s="996">
        <f ca="1">-SUMPRODUCT(D36:D55,ProcessEnergy!M34:M53)/D85</f>
        <v>-84.026263926466314</v>
      </c>
      <c r="E105" s="996">
        <f ca="1">-SUMPRODUCT(E36:E55,ProcessEnergy!N34:N53)/E85</f>
        <v>-88.202331791126596</v>
      </c>
      <c r="F105" s="996">
        <f ca="1">-SUMPRODUCT(F36:F55,ProcessEnergy!O34:O53)/F85</f>
        <v>-100.06638151294216</v>
      </c>
      <c r="G105" s="996">
        <f ca="1">-SUMPRODUCT(G36:G55,ProcessEnergy!P34:P53)/G85</f>
        <v>-100.06638151294216</v>
      </c>
      <c r="H105" s="1668">
        <v>2011</v>
      </c>
      <c r="I105" s="555"/>
      <c r="J105" s="965"/>
      <c r="N105" s="991"/>
      <c r="O105" s="991"/>
      <c r="P105" s="991"/>
      <c r="Q105" s="991"/>
    </row>
    <row r="106" spans="1:17">
      <c r="B106" s="995"/>
      <c r="C106" s="976"/>
      <c r="D106" s="2311"/>
      <c r="E106" s="2311"/>
      <c r="F106" s="2311"/>
      <c r="G106" s="2311"/>
      <c r="H106" s="983"/>
      <c r="I106" s="994"/>
      <c r="J106" s="965"/>
      <c r="N106" s="991"/>
      <c r="O106" s="991"/>
      <c r="P106" s="991"/>
      <c r="Q106" s="991"/>
    </row>
    <row r="107" spans="1:17">
      <c r="B107" s="975" t="s">
        <v>2113</v>
      </c>
      <c r="C107" s="976"/>
      <c r="D107" s="983"/>
      <c r="E107" s="983"/>
      <c r="F107" s="983"/>
      <c r="G107" s="983"/>
      <c r="H107" s="983"/>
      <c r="I107" s="994"/>
      <c r="J107" s="965"/>
      <c r="N107" s="991"/>
      <c r="O107" s="991"/>
      <c r="P107" s="991"/>
      <c r="Q107" s="991"/>
    </row>
    <row r="108" spans="1:17">
      <c r="B108" s="995" t="s">
        <v>2114</v>
      </c>
      <c r="C108" s="976"/>
      <c r="D108" s="1696">
        <v>0.95</v>
      </c>
      <c r="E108" s="1696">
        <v>0.95</v>
      </c>
      <c r="F108" s="1696">
        <v>0.95</v>
      </c>
      <c r="G108" s="1696">
        <v>0.95</v>
      </c>
      <c r="H108" s="983"/>
      <c r="I108" s="994"/>
      <c r="J108" s="965"/>
      <c r="N108" s="991"/>
      <c r="O108" s="991"/>
      <c r="P108" s="991"/>
      <c r="Q108" s="991"/>
    </row>
    <row r="109" spans="1:17">
      <c r="B109" s="995" t="s">
        <v>2666</v>
      </c>
      <c r="C109" s="976"/>
      <c r="D109" s="478">
        <f ca="1">OFFSET(Supplementary!C$237,MATCH($C$19,Supplementary!$B$238:$B$241,0),0)</f>
        <v>1</v>
      </c>
      <c r="E109" s="478">
        <f ca="1">OFFSET(Supplementary!D$237,MATCH($C$19,Supplementary!$B$238:$B$241,0),0)</f>
        <v>2</v>
      </c>
      <c r="F109" s="478">
        <f ca="1">OFFSET(Supplementary!E$237,MATCH($C$19,Supplementary!$B$238:$B$241,0),0)</f>
        <v>6</v>
      </c>
      <c r="G109" s="478">
        <f ca="1">OFFSET(Supplementary!F$237,MATCH($C$19,Supplementary!$B$238:$B$241,0),0)</f>
        <v>12</v>
      </c>
      <c r="H109" s="983"/>
      <c r="I109" s="994"/>
      <c r="J109" s="965"/>
      <c r="N109" s="991"/>
      <c r="O109" s="991"/>
      <c r="P109" s="991"/>
      <c r="Q109" s="991"/>
    </row>
    <row r="110" spans="1:17">
      <c r="B110" s="995" t="s">
        <v>2115</v>
      </c>
      <c r="C110" s="976"/>
      <c r="D110" s="1698">
        <f ca="1">1*D108^(D109-1)</f>
        <v>1</v>
      </c>
      <c r="E110" s="1698">
        <f ca="1">1*E108^(E109-1)</f>
        <v>0.95</v>
      </c>
      <c r="F110" s="1698">
        <f ca="1">1*F108^(F109-1)</f>
        <v>0.77378093749999999</v>
      </c>
      <c r="G110" s="1698">
        <f ca="1">1*G108^(G109-1)</f>
        <v>0.56880009227645989</v>
      </c>
      <c r="H110" s="983"/>
      <c r="I110" s="994"/>
      <c r="J110" s="965"/>
      <c r="N110" s="991"/>
      <c r="O110" s="991"/>
      <c r="P110" s="991"/>
      <c r="Q110" s="991"/>
    </row>
    <row r="111" spans="1:17">
      <c r="B111" s="995"/>
      <c r="C111" s="976"/>
      <c r="D111" s="983"/>
      <c r="E111" s="983"/>
      <c r="F111" s="983"/>
      <c r="G111" s="983"/>
      <c r="H111" s="983"/>
      <c r="I111" s="994"/>
      <c r="J111" s="965"/>
      <c r="N111" s="991"/>
      <c r="O111" s="991"/>
      <c r="P111" s="991"/>
      <c r="Q111" s="991"/>
    </row>
    <row r="112" spans="1:17">
      <c r="B112" s="975" t="s">
        <v>166</v>
      </c>
      <c r="C112" s="976"/>
      <c r="D112" s="983"/>
      <c r="E112" s="983"/>
      <c r="F112" s="983"/>
      <c r="G112" s="983"/>
      <c r="H112" s="983"/>
      <c r="I112" s="994"/>
      <c r="J112" s="965"/>
      <c r="N112" s="998"/>
      <c r="O112" s="998"/>
      <c r="P112" s="998"/>
      <c r="Q112" s="991"/>
    </row>
    <row r="113" spans="2:17">
      <c r="B113" s="964" t="s">
        <v>24</v>
      </c>
      <c r="C113" s="976" t="s">
        <v>465</v>
      </c>
      <c r="D113" s="999">
        <v>0</v>
      </c>
      <c r="E113" s="999">
        <v>0</v>
      </c>
      <c r="F113" s="999">
        <v>0</v>
      </c>
      <c r="G113" s="999"/>
      <c r="H113" s="999"/>
      <c r="I113" s="1335" t="s">
        <v>1747</v>
      </c>
      <c r="J113" s="965"/>
      <c r="N113" s="991"/>
      <c r="O113" s="991"/>
      <c r="P113" s="991"/>
      <c r="Q113" s="991"/>
    </row>
    <row r="114" spans="2:17">
      <c r="B114" s="964" t="s">
        <v>27</v>
      </c>
      <c r="C114" s="976" t="s">
        <v>465</v>
      </c>
      <c r="D114" s="999">
        <v>0</v>
      </c>
      <c r="E114" s="999">
        <v>0</v>
      </c>
      <c r="F114" s="999">
        <v>0</v>
      </c>
      <c r="G114" s="999"/>
      <c r="H114" s="999"/>
      <c r="I114" s="1335" t="s">
        <v>1747</v>
      </c>
      <c r="J114" s="965"/>
      <c r="N114" s="991"/>
      <c r="O114" s="991"/>
      <c r="P114" s="991"/>
      <c r="Q114" s="991"/>
    </row>
    <row r="115" spans="2:17">
      <c r="B115" s="964" t="s">
        <v>28</v>
      </c>
      <c r="C115" s="976" t="s">
        <v>465</v>
      </c>
      <c r="D115" s="999">
        <v>0</v>
      </c>
      <c r="E115" s="999">
        <v>0</v>
      </c>
      <c r="F115" s="999">
        <v>0</v>
      </c>
      <c r="G115" s="999"/>
      <c r="H115" s="999"/>
      <c r="I115" s="1335" t="s">
        <v>1747</v>
      </c>
      <c r="J115" s="965"/>
      <c r="N115" s="991"/>
      <c r="O115" s="991"/>
      <c r="P115" s="991"/>
      <c r="Q115" s="991"/>
    </row>
    <row r="116" spans="2:17">
      <c r="B116" s="964" t="s">
        <v>26</v>
      </c>
      <c r="C116" s="976" t="s">
        <v>465</v>
      </c>
      <c r="D116" s="999">
        <v>0</v>
      </c>
      <c r="E116" s="999">
        <v>0</v>
      </c>
      <c r="F116" s="999">
        <v>0</v>
      </c>
      <c r="G116" s="999"/>
      <c r="H116" s="999"/>
      <c r="I116" s="1335" t="s">
        <v>1747</v>
      </c>
      <c r="J116" s="965"/>
      <c r="N116" s="991"/>
      <c r="O116" s="991"/>
      <c r="P116" s="991"/>
      <c r="Q116" s="991"/>
    </row>
    <row r="117" spans="2:17">
      <c r="B117" s="964" t="s">
        <v>167</v>
      </c>
      <c r="C117" s="976" t="s">
        <v>465</v>
      </c>
      <c r="D117" s="999">
        <v>0</v>
      </c>
      <c r="E117" s="999">
        <v>0</v>
      </c>
      <c r="F117" s="999">
        <v>0</v>
      </c>
      <c r="G117" s="999"/>
      <c r="H117" s="999"/>
      <c r="I117" s="1335" t="s">
        <v>1747</v>
      </c>
      <c r="J117" s="965"/>
      <c r="N117" s="998"/>
      <c r="O117" s="998"/>
      <c r="P117" s="998"/>
      <c r="Q117" s="998"/>
    </row>
    <row r="118" spans="2:17">
      <c r="B118" s="964" t="s">
        <v>45</v>
      </c>
      <c r="C118" s="976" t="s">
        <v>465</v>
      </c>
      <c r="D118" s="1000"/>
      <c r="E118" s="1000"/>
      <c r="F118" s="1000"/>
      <c r="G118" s="1000"/>
      <c r="H118" s="1000"/>
      <c r="I118" s="555"/>
      <c r="J118" s="965"/>
    </row>
    <row r="119" spans="2:17" ht="13.5" thickBot="1">
      <c r="B119" s="1001"/>
      <c r="C119" s="1002"/>
      <c r="D119" s="1003"/>
      <c r="E119" s="968"/>
      <c r="F119" s="968"/>
      <c r="G119" s="968"/>
      <c r="H119" s="968"/>
      <c r="I119" s="1004"/>
      <c r="J119" s="969"/>
    </row>
    <row r="122" spans="2:17" ht="18.75">
      <c r="B122" s="1005" t="s">
        <v>172</v>
      </c>
    </row>
    <row r="123" spans="2:17" ht="15.75">
      <c r="B123" s="1006"/>
      <c r="D123" s="1007"/>
    </row>
    <row r="124" spans="2:17">
      <c r="B124" s="555"/>
      <c r="C124" s="555"/>
      <c r="D124" s="555"/>
      <c r="E124" s="555"/>
      <c r="F124" s="555"/>
      <c r="G124" s="555"/>
      <c r="H124" s="555"/>
      <c r="I124" s="555"/>
      <c r="J124" s="555"/>
      <c r="K124" s="555"/>
      <c r="L124" s="555"/>
    </row>
    <row r="125" spans="2:17">
      <c r="B125" s="555"/>
      <c r="C125" s="977"/>
      <c r="D125" s="977"/>
      <c r="E125" s="977"/>
      <c r="F125" s="977"/>
      <c r="G125" s="977"/>
      <c r="H125" s="977"/>
      <c r="I125" s="555"/>
      <c r="J125" s="977"/>
      <c r="K125" s="977"/>
      <c r="L125" s="977"/>
    </row>
    <row r="126" spans="2:17">
      <c r="B126" s="555"/>
      <c r="C126" s="555"/>
      <c r="D126" s="993"/>
      <c r="E126" s="993"/>
      <c r="F126" s="993"/>
      <c r="G126" s="993"/>
      <c r="H126" s="993"/>
      <c r="I126" s="555"/>
      <c r="J126" s="993"/>
      <c r="K126" s="993"/>
      <c r="L126" s="993"/>
    </row>
    <row r="127" spans="2:17">
      <c r="B127" s="555"/>
      <c r="C127" s="555"/>
      <c r="D127" s="993"/>
      <c r="E127" s="993"/>
      <c r="F127" s="993"/>
      <c r="G127" s="993"/>
      <c r="H127" s="993"/>
      <c r="I127" s="555"/>
      <c r="J127" s="993"/>
      <c r="K127" s="993"/>
      <c r="L127" s="993"/>
    </row>
    <row r="128" spans="2:17">
      <c r="B128" s="555"/>
      <c r="C128" s="555"/>
      <c r="D128" s="993"/>
      <c r="E128" s="993"/>
      <c r="F128" s="993"/>
      <c r="G128" s="993"/>
      <c r="H128" s="993"/>
      <c r="I128" s="555"/>
      <c r="J128" s="993"/>
      <c r="K128" s="993"/>
      <c r="L128" s="993"/>
    </row>
    <row r="129" spans="2:12">
      <c r="D129" s="993"/>
      <c r="E129" s="993"/>
      <c r="F129" s="993"/>
      <c r="G129" s="993"/>
      <c r="H129" s="993"/>
      <c r="I129" s="555"/>
      <c r="J129" s="993"/>
      <c r="K129" s="993"/>
      <c r="L129" s="993"/>
    </row>
    <row r="130" spans="2:12">
      <c r="D130" s="993"/>
      <c r="E130" s="993"/>
      <c r="F130" s="993"/>
      <c r="G130" s="993"/>
      <c r="H130" s="993"/>
      <c r="I130" s="555"/>
      <c r="J130" s="993"/>
      <c r="K130" s="993"/>
      <c r="L130" s="993"/>
    </row>
    <row r="131" spans="2:12">
      <c r="B131" s="555"/>
      <c r="C131" s="555"/>
      <c r="D131" s="993"/>
      <c r="E131" s="993"/>
      <c r="F131" s="993"/>
      <c r="G131" s="993"/>
      <c r="H131" s="993"/>
      <c r="I131" s="555"/>
      <c r="J131" s="993"/>
      <c r="K131" s="993"/>
      <c r="L131" s="993"/>
    </row>
    <row r="132" spans="2:12">
      <c r="B132" s="555"/>
      <c r="C132" s="555"/>
      <c r="D132" s="993"/>
      <c r="E132" s="993"/>
      <c r="F132" s="993"/>
      <c r="G132" s="993"/>
      <c r="H132" s="993"/>
      <c r="I132" s="555"/>
      <c r="J132" s="993"/>
      <c r="K132" s="993"/>
      <c r="L132" s="993"/>
    </row>
    <row r="133" spans="2:12">
      <c r="D133" s="993"/>
    </row>
    <row r="135" spans="2:12" ht="18.75">
      <c r="B135" s="1005" t="s">
        <v>168</v>
      </c>
    </row>
    <row r="136" spans="2:12" ht="15.75">
      <c r="B136" s="1006"/>
    </row>
    <row r="137" spans="2:12" ht="13.5" thickBot="1">
      <c r="B137" s="555"/>
      <c r="C137" s="555"/>
      <c r="D137" s="555"/>
      <c r="E137" s="555"/>
      <c r="F137" s="555"/>
      <c r="G137" s="555"/>
      <c r="H137" s="555"/>
      <c r="I137" s="555"/>
    </row>
    <row r="138" spans="2:12">
      <c r="B138" s="1008"/>
      <c r="C138" s="1009" t="s">
        <v>70</v>
      </c>
      <c r="D138" s="1010">
        <v>2015</v>
      </c>
      <c r="E138" s="1009">
        <v>2020</v>
      </c>
      <c r="F138" s="1009">
        <v>2035</v>
      </c>
      <c r="G138" s="1009"/>
      <c r="H138" s="1009"/>
      <c r="I138" s="1011" t="s">
        <v>145</v>
      </c>
      <c r="J138" s="1012" t="s">
        <v>146</v>
      </c>
    </row>
    <row r="139" spans="2:12">
      <c r="B139" s="964"/>
      <c r="C139" s="977"/>
      <c r="D139" s="1013"/>
      <c r="E139" s="1014"/>
      <c r="F139" s="1014"/>
      <c r="G139" s="1014"/>
      <c r="H139" s="1014"/>
      <c r="I139" s="555"/>
      <c r="J139" s="965"/>
    </row>
    <row r="140" spans="2:12">
      <c r="B140" s="964"/>
      <c r="C140" s="977"/>
      <c r="D140" s="1015"/>
      <c r="E140" s="1016"/>
      <c r="F140" s="1016"/>
      <c r="G140" s="1016"/>
      <c r="H140" s="1016"/>
      <c r="I140" s="555"/>
      <c r="J140" s="965"/>
    </row>
    <row r="141" spans="2:12">
      <c r="B141" s="1336" t="s">
        <v>1747</v>
      </c>
      <c r="C141" s="1353" t="s">
        <v>1747</v>
      </c>
      <c r="D141" s="1017"/>
      <c r="E141" s="1018"/>
      <c r="F141" s="1018"/>
      <c r="G141" s="1018"/>
      <c r="H141" s="1018"/>
      <c r="I141" s="1335" t="s">
        <v>1747</v>
      </c>
      <c r="J141" s="965"/>
    </row>
    <row r="142" spans="2:12">
      <c r="B142" s="964"/>
      <c r="C142" s="977"/>
      <c r="D142" s="1015"/>
      <c r="E142" s="1016"/>
      <c r="F142" s="1016"/>
      <c r="G142" s="1016"/>
      <c r="H142" s="1016"/>
      <c r="I142" s="555"/>
      <c r="J142" s="965"/>
    </row>
    <row r="143" spans="2:12">
      <c r="B143" s="964"/>
      <c r="C143" s="977"/>
      <c r="D143" s="1015"/>
      <c r="E143" s="1016"/>
      <c r="F143" s="1016"/>
      <c r="G143" s="1016"/>
      <c r="H143" s="1016"/>
      <c r="I143" s="555"/>
      <c r="J143" s="965"/>
    </row>
    <row r="144" spans="2:12">
      <c r="B144" s="964" t="s">
        <v>22</v>
      </c>
      <c r="C144" s="977" t="s">
        <v>249</v>
      </c>
      <c r="D144" s="1019"/>
      <c r="E144" s="979"/>
      <c r="F144" s="979"/>
      <c r="G144" s="979"/>
      <c r="H144" s="979"/>
      <c r="I144" s="555"/>
      <c r="J144" s="965"/>
    </row>
    <row r="145" spans="2:10">
      <c r="B145" s="964"/>
      <c r="C145" s="976"/>
      <c r="D145" s="1016"/>
      <c r="E145" s="1016"/>
      <c r="F145" s="1016"/>
      <c r="G145" s="1016"/>
      <c r="H145" s="1016"/>
      <c r="I145" s="555"/>
      <c r="J145" s="965"/>
    </row>
    <row r="146" spans="2:10" ht="13.5" thickBot="1">
      <c r="B146" s="967"/>
      <c r="C146" s="1020"/>
      <c r="D146" s="1021"/>
      <c r="E146" s="1021"/>
      <c r="F146" s="1021"/>
      <c r="G146" s="1021"/>
      <c r="H146" s="1021"/>
      <c r="I146" s="968"/>
      <c r="J146" s="969"/>
    </row>
    <row r="149" spans="2:10" ht="13.5" thickBot="1"/>
    <row r="150" spans="2:10">
      <c r="B150" s="1040"/>
      <c r="C150" s="1340"/>
      <c r="D150" s="1064" t="s">
        <v>1098</v>
      </c>
    </row>
    <row r="151" spans="2:10">
      <c r="B151" s="1065" t="s">
        <v>1095</v>
      </c>
      <c r="C151" s="1367">
        <v>0.52</v>
      </c>
      <c r="D151" s="1067" t="s">
        <v>1765</v>
      </c>
    </row>
    <row r="152" spans="2:10" ht="13.5" thickBot="1">
      <c r="B152" s="1022" t="s">
        <v>1096</v>
      </c>
      <c r="C152" s="1341">
        <f>(100-D166)/100</f>
        <v>0.40899999999999997</v>
      </c>
      <c r="D152" s="1342" t="s">
        <v>1765</v>
      </c>
    </row>
    <row r="153" spans="2:10">
      <c r="B153" s="530" t="str">
        <f>CONCATENATE("Source: ",Referencer!$B$48)</f>
        <v>Source: 42, FORCE, Danish Energy Agency, 2013, Technology data for advanced bioenergy fuels.</v>
      </c>
    </row>
    <row r="154" spans="2:10" ht="13.5" thickBot="1">
      <c r="B154" s="555"/>
      <c r="C154" s="968"/>
    </row>
    <row r="155" spans="2:10" ht="18.75">
      <c r="B155" s="1023" t="s">
        <v>1276</v>
      </c>
      <c r="C155" s="1024"/>
      <c r="D155" s="1025"/>
      <c r="E155" s="1025"/>
      <c r="F155" s="1025"/>
      <c r="G155" s="1025"/>
      <c r="H155" s="1025"/>
      <c r="I155" s="1025"/>
      <c r="J155" s="1026"/>
    </row>
    <row r="156" spans="2:10" ht="15">
      <c r="B156" s="1026"/>
      <c r="C156" s="1027"/>
      <c r="D156" s="1028">
        <v>2015</v>
      </c>
      <c r="E156" s="1028">
        <v>2020</v>
      </c>
      <c r="F156" s="1028">
        <v>2035</v>
      </c>
      <c r="G156" s="1028">
        <v>2050</v>
      </c>
      <c r="H156" s="1028"/>
      <c r="I156" s="1028" t="s">
        <v>1098</v>
      </c>
      <c r="J156" s="1338"/>
    </row>
    <row r="157" spans="2:10" ht="15">
      <c r="B157" s="1029" t="s">
        <v>1099</v>
      </c>
      <c r="C157" s="1030"/>
      <c r="D157" s="1027"/>
      <c r="E157" s="1027"/>
      <c r="F157" s="1027"/>
      <c r="G157" s="1027"/>
      <c r="H157" s="1027"/>
      <c r="I157" s="1027"/>
      <c r="J157" s="1026"/>
    </row>
    <row r="158" spans="2:10" ht="15">
      <c r="B158" s="1026" t="s">
        <v>1277</v>
      </c>
      <c r="C158" s="1027"/>
      <c r="D158" s="1368">
        <v>105000</v>
      </c>
      <c r="E158" s="1284" t="s">
        <v>1101</v>
      </c>
      <c r="F158" s="1031"/>
      <c r="G158" s="1031"/>
      <c r="H158" s="1031"/>
      <c r="I158" s="1032" t="s">
        <v>1765</v>
      </c>
      <c r="J158" s="1339"/>
    </row>
    <row r="159" spans="2:10" ht="15">
      <c r="B159" s="1026" t="s">
        <v>1278</v>
      </c>
      <c r="C159" s="1027"/>
      <c r="D159" s="1368">
        <v>4620000</v>
      </c>
      <c r="E159" s="1284" t="s">
        <v>1101</v>
      </c>
      <c r="F159" s="1031"/>
      <c r="G159" s="1031"/>
      <c r="H159" s="1031"/>
      <c r="I159" s="1032"/>
      <c r="J159" s="1339"/>
    </row>
    <row r="160" spans="2:10" ht="15">
      <c r="B160" s="1026" t="s">
        <v>1279</v>
      </c>
      <c r="C160" s="1027"/>
      <c r="D160" s="1369">
        <v>2.5</v>
      </c>
      <c r="E160" s="1284" t="s">
        <v>1101</v>
      </c>
      <c r="F160" s="1031"/>
      <c r="G160" s="1031"/>
      <c r="H160" s="1031"/>
      <c r="I160" s="1032"/>
      <c r="J160" s="1339"/>
    </row>
    <row r="161" spans="2:10" ht="15">
      <c r="B161" s="1026" t="s">
        <v>1280</v>
      </c>
      <c r="C161" s="1027"/>
      <c r="D161" s="1369">
        <v>7.7</v>
      </c>
      <c r="E161" s="1284" t="s">
        <v>1101</v>
      </c>
      <c r="F161" s="1031"/>
      <c r="G161" s="1031"/>
      <c r="H161" s="1031"/>
      <c r="I161" s="1032"/>
      <c r="J161" s="1339"/>
    </row>
    <row r="162" spans="2:10" ht="15">
      <c r="B162" s="1026" t="s">
        <v>1281</v>
      </c>
      <c r="C162" s="1027"/>
      <c r="D162" s="1369">
        <v>2.5</v>
      </c>
      <c r="E162" s="1284" t="s">
        <v>1101</v>
      </c>
      <c r="F162" s="1031"/>
      <c r="G162" s="1031"/>
      <c r="H162" s="1031"/>
      <c r="I162" s="1032"/>
      <c r="J162" s="1339"/>
    </row>
    <row r="163" spans="2:10" ht="15">
      <c r="B163" s="1026" t="s">
        <v>1282</v>
      </c>
      <c r="C163" s="1027"/>
      <c r="D163" s="1369">
        <v>0.09</v>
      </c>
      <c r="E163" s="1284" t="s">
        <v>1101</v>
      </c>
      <c r="F163" s="1031"/>
      <c r="G163" s="1031"/>
      <c r="H163" s="1031"/>
      <c r="I163" s="1032"/>
      <c r="J163" s="1339"/>
    </row>
    <row r="164" spans="2:10" ht="15">
      <c r="B164" s="1026" t="s">
        <v>1283</v>
      </c>
      <c r="C164" s="1027"/>
      <c r="D164" s="1369">
        <v>0.42</v>
      </c>
      <c r="E164" s="1284" t="s">
        <v>1101</v>
      </c>
      <c r="F164" s="1031"/>
      <c r="G164" s="1031"/>
      <c r="H164" s="1031"/>
      <c r="I164" s="1032"/>
      <c r="J164" s="1339"/>
    </row>
    <row r="165" spans="2:10" ht="15">
      <c r="B165" s="1026" t="s">
        <v>1284</v>
      </c>
      <c r="C165" s="1027"/>
      <c r="D165" s="1370">
        <v>39.299999999999997</v>
      </c>
      <c r="E165" s="1284" t="s">
        <v>1101</v>
      </c>
      <c r="F165" s="1031"/>
      <c r="G165" s="1031"/>
      <c r="H165" s="1031"/>
      <c r="I165" s="1032"/>
      <c r="J165" s="1339"/>
    </row>
    <row r="166" spans="2:10" ht="15">
      <c r="B166" s="1026" t="s">
        <v>1285</v>
      </c>
      <c r="C166" s="1027"/>
      <c r="D166" s="1370">
        <v>59.1</v>
      </c>
      <c r="E166" s="1284" t="s">
        <v>1101</v>
      </c>
      <c r="F166" s="1031"/>
      <c r="G166" s="1031"/>
      <c r="H166" s="1031"/>
      <c r="I166" s="1032"/>
      <c r="J166" s="1339"/>
    </row>
    <row r="167" spans="2:10" ht="15">
      <c r="B167" s="1026" t="s">
        <v>1108</v>
      </c>
      <c r="C167" s="1027"/>
      <c r="D167" s="1370">
        <v>80</v>
      </c>
      <c r="E167" s="1284" t="s">
        <v>1101</v>
      </c>
      <c r="F167" s="1031"/>
      <c r="G167" s="1031"/>
      <c r="H167" s="1031"/>
      <c r="I167" s="1032"/>
      <c r="J167" s="1339"/>
    </row>
    <row r="168" spans="2:10" ht="15">
      <c r="B168" s="1026"/>
      <c r="C168" s="1027"/>
      <c r="D168" s="1370"/>
      <c r="E168" s="1031"/>
      <c r="F168" s="1031"/>
      <c r="G168" s="1031"/>
      <c r="H168" s="1031"/>
      <c r="I168" s="1032"/>
      <c r="J168" s="1339"/>
    </row>
    <row r="169" spans="2:10" ht="15">
      <c r="B169" s="1026"/>
      <c r="C169" s="1027"/>
      <c r="D169" s="1370"/>
      <c r="E169" s="1031"/>
      <c r="F169" s="1031"/>
      <c r="G169" s="1031"/>
      <c r="H169" s="1031"/>
      <c r="I169" s="1032"/>
      <c r="J169" s="1339"/>
    </row>
    <row r="170" spans="2:10" ht="15">
      <c r="B170" s="1026"/>
      <c r="C170" s="1027"/>
      <c r="D170" s="1370"/>
      <c r="E170" s="1031"/>
      <c r="F170" s="1031"/>
      <c r="G170" s="1031"/>
      <c r="H170" s="1031"/>
      <c r="I170" s="1032"/>
      <c r="J170" s="1339"/>
    </row>
    <row r="171" spans="2:10" ht="15">
      <c r="B171" s="1026"/>
      <c r="C171" s="1027"/>
      <c r="D171" s="1370"/>
      <c r="E171" s="1031"/>
      <c r="F171" s="1031"/>
      <c r="G171" s="1031"/>
      <c r="H171" s="1031"/>
      <c r="I171" s="1032"/>
      <c r="J171" s="1339"/>
    </row>
    <row r="172" spans="2:10" ht="15">
      <c r="B172" s="1026"/>
      <c r="C172" s="1027"/>
      <c r="D172" s="1370"/>
      <c r="E172" s="1031"/>
      <c r="F172" s="1031"/>
      <c r="G172" s="1031"/>
      <c r="H172" s="1031"/>
      <c r="I172" s="1032"/>
      <c r="J172" s="1339"/>
    </row>
    <row r="173" spans="2:10" ht="15">
      <c r="B173" s="1026"/>
      <c r="C173" s="1027"/>
      <c r="D173" s="1370"/>
      <c r="E173" s="1031"/>
      <c r="F173" s="1031"/>
      <c r="G173" s="1031"/>
      <c r="H173" s="1031"/>
      <c r="I173" s="1032"/>
      <c r="J173" s="1339"/>
    </row>
    <row r="174" spans="2:10" ht="15">
      <c r="B174" s="1026"/>
      <c r="C174" s="1027"/>
      <c r="D174" s="1370"/>
      <c r="E174" s="1031"/>
      <c r="F174" s="1031"/>
      <c r="G174" s="1031"/>
      <c r="H174" s="1031"/>
      <c r="I174" s="1032"/>
      <c r="J174" s="1339"/>
    </row>
    <row r="175" spans="2:10" ht="15">
      <c r="B175" s="1026"/>
      <c r="C175" s="1027"/>
      <c r="D175" s="1370"/>
      <c r="E175" s="1027"/>
      <c r="F175" s="1027"/>
      <c r="G175" s="1027"/>
      <c r="H175" s="1027"/>
      <c r="I175" s="1032"/>
      <c r="J175" s="1339"/>
    </row>
    <row r="176" spans="2:10" ht="15">
      <c r="B176" s="1029" t="s">
        <v>1109</v>
      </c>
      <c r="C176" s="1030"/>
      <c r="D176" s="1370"/>
      <c r="E176" s="1027"/>
      <c r="F176" s="1027"/>
      <c r="G176" s="1027"/>
      <c r="H176" s="1027"/>
      <c r="I176" s="1032"/>
      <c r="J176" s="1339"/>
    </row>
    <row r="177" spans="2:10" ht="15">
      <c r="B177" s="1026" t="s">
        <v>1286</v>
      </c>
      <c r="C177" s="1027"/>
      <c r="D177" s="1370">
        <v>113.9</v>
      </c>
      <c r="E177" s="1031" t="s">
        <v>1101</v>
      </c>
      <c r="F177" s="1031"/>
      <c r="G177" s="1031"/>
      <c r="H177" s="1031"/>
      <c r="I177" s="1032"/>
      <c r="J177" s="1339"/>
    </row>
    <row r="178" spans="2:10" ht="15.75" thickBot="1">
      <c r="B178" s="1033" t="s">
        <v>1287</v>
      </c>
      <c r="C178" s="1034"/>
      <c r="D178" s="1371">
        <v>3.4</v>
      </c>
      <c r="E178" s="1035" t="s">
        <v>1101</v>
      </c>
      <c r="F178" s="1035"/>
      <c r="G178" s="1035"/>
      <c r="H178" s="1035"/>
      <c r="I178" s="1036"/>
      <c r="J178" s="1339"/>
    </row>
    <row r="179" spans="2:10">
      <c r="B179" s="530" t="str">
        <f>CONCATENATE("Source: ",Referencer!$B$48)</f>
        <v>Source: 42, FORCE, Danish Energy Agency, 2013, Technology data for advanced bioenergy fuels.</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Supplementary!$B$238:$B$241</xm:f>
          </x14:formula1>
          <xm:sqref>C19</xm:sqref>
        </x14:dataValidation>
      </x14:dataValidation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tabColor rgb="FF00B0F0"/>
  </sheetPr>
  <dimension ref="A1:S179"/>
  <sheetViews>
    <sheetView topLeftCell="A56" zoomScale="80" zoomScaleNormal="80" workbookViewId="0">
      <selection activeCell="D105" sqref="D105:G105"/>
    </sheetView>
  </sheetViews>
  <sheetFormatPr defaultRowHeight="12.75"/>
  <cols>
    <col min="1" max="1" width="3.28515625" style="530" customWidth="1"/>
    <col min="2" max="2" width="36" style="530" customWidth="1"/>
    <col min="3" max="3" width="23.5703125" style="530" customWidth="1"/>
    <col min="4" max="8" width="15.7109375" style="530" customWidth="1"/>
    <col min="9" max="9" width="7.28515625" style="530" customWidth="1"/>
    <col min="10" max="10" width="12.7109375" style="530" customWidth="1"/>
    <col min="11" max="14" width="9.140625" style="530"/>
    <col min="15" max="17" width="9.28515625" style="530" bestFit="1" customWidth="1"/>
    <col min="18" max="19" width="9.42578125" style="530" bestFit="1" customWidth="1"/>
    <col min="20" max="16384" width="9.140625" style="530"/>
  </cols>
  <sheetData>
    <row r="1" spans="1:19" s="465" customFormat="1" ht="21">
      <c r="B1" s="465" t="str">
        <f>B155</f>
        <v>Torrefied wood pellets (TWP)</v>
      </c>
      <c r="Q1" s="467">
        <f ca="1">'Log2015'!M1</f>
        <v>-8.0112614142160741</v>
      </c>
      <c r="R1" s="468">
        <f ca="1">'Log2015'!N1</f>
        <v>-160807.124977848</v>
      </c>
    </row>
    <row r="2" spans="1:19">
      <c r="B2" s="530" t="s">
        <v>1288</v>
      </c>
      <c r="Q2" s="958">
        <f ca="1">Q1</f>
        <v>-8.0112614142160741</v>
      </c>
      <c r="R2" s="958">
        <f ca="1">R1</f>
        <v>-160807.124977848</v>
      </c>
      <c r="S2" s="959">
        <f>S1</f>
        <v>0</v>
      </c>
    </row>
    <row r="3" spans="1:19">
      <c r="A3" s="530" t="s">
        <v>1078</v>
      </c>
    </row>
    <row r="4" spans="1:19">
      <c r="B4" s="960" t="s">
        <v>81</v>
      </c>
    </row>
    <row r="5" spans="1:19" ht="13.5" thickBot="1"/>
    <row r="6" spans="1:19">
      <c r="B6" s="961" t="s">
        <v>137</v>
      </c>
      <c r="C6" s="962"/>
      <c r="D6" s="962"/>
      <c r="E6" s="962"/>
      <c r="F6" s="962"/>
      <c r="G6" s="962"/>
      <c r="H6" s="962"/>
      <c r="I6" s="962"/>
      <c r="J6" s="962"/>
      <c r="K6" s="962"/>
      <c r="L6" s="962"/>
      <c r="M6" s="962"/>
      <c r="N6" s="963"/>
    </row>
    <row r="7" spans="1:19">
      <c r="B7" s="964"/>
      <c r="C7" s="555"/>
      <c r="D7" s="555"/>
      <c r="E7" s="555"/>
      <c r="F7" s="555"/>
      <c r="G7" s="555"/>
      <c r="H7" s="555"/>
      <c r="I7" s="555"/>
      <c r="J7" s="555"/>
      <c r="K7" s="555"/>
      <c r="L7" s="555"/>
      <c r="M7" s="555"/>
      <c r="N7" s="965"/>
    </row>
    <row r="8" spans="1:19">
      <c r="B8" s="964"/>
      <c r="C8" s="555"/>
      <c r="D8" s="555"/>
      <c r="E8" s="555"/>
      <c r="F8" s="555"/>
      <c r="G8" s="555"/>
      <c r="H8" s="555"/>
      <c r="I8" s="555"/>
      <c r="J8" s="555"/>
      <c r="K8" s="555"/>
      <c r="L8" s="555"/>
      <c r="M8" s="555"/>
      <c r="N8" s="965"/>
    </row>
    <row r="9" spans="1:19">
      <c r="B9" s="964"/>
      <c r="C9" s="555"/>
      <c r="D9" s="555"/>
      <c r="E9" s="555"/>
      <c r="F9" s="555"/>
      <c r="G9" s="555"/>
      <c r="H9" s="555"/>
      <c r="I9" s="555"/>
      <c r="J9" s="555"/>
      <c r="K9" s="555"/>
      <c r="L9" s="555"/>
      <c r="M9" s="555"/>
      <c r="N9" s="965"/>
    </row>
    <row r="10" spans="1:19">
      <c r="B10" s="964"/>
      <c r="C10" s="555"/>
      <c r="D10" s="555"/>
      <c r="E10" s="555"/>
      <c r="F10" s="555"/>
      <c r="G10" s="555"/>
      <c r="H10" s="555"/>
      <c r="I10" s="555"/>
      <c r="J10" s="555"/>
      <c r="K10" s="555"/>
      <c r="L10" s="555"/>
      <c r="M10" s="555"/>
      <c r="N10" s="965"/>
    </row>
    <row r="11" spans="1:19">
      <c r="B11" s="964" t="s">
        <v>138</v>
      </c>
      <c r="C11" s="1056" t="s">
        <v>1289</v>
      </c>
      <c r="D11" s="555"/>
      <c r="E11" s="555"/>
      <c r="F11" s="555"/>
      <c r="G11" s="555"/>
      <c r="H11" s="555"/>
      <c r="I11" s="555"/>
      <c r="J11" s="555"/>
      <c r="K11" s="555"/>
      <c r="L11" s="555"/>
      <c r="M11" s="555"/>
      <c r="N11" s="965"/>
    </row>
    <row r="12" spans="1:19">
      <c r="B12" s="964"/>
      <c r="C12" s="555"/>
      <c r="D12" s="555"/>
      <c r="E12" s="555"/>
      <c r="F12" s="555"/>
      <c r="G12" s="555"/>
      <c r="H12" s="555"/>
      <c r="I12" s="555"/>
      <c r="J12" s="555"/>
      <c r="K12" s="555"/>
      <c r="L12" s="555"/>
      <c r="M12" s="555"/>
      <c r="N12" s="965"/>
    </row>
    <row r="13" spans="1:19">
      <c r="B13" s="964" t="s">
        <v>140</v>
      </c>
      <c r="C13" s="1057" t="s">
        <v>1290</v>
      </c>
      <c r="D13" s="555"/>
      <c r="E13" s="555"/>
      <c r="F13" s="555"/>
      <c r="G13" s="555"/>
      <c r="H13" s="555"/>
      <c r="I13" s="555"/>
      <c r="J13" s="555"/>
      <c r="K13" s="555"/>
      <c r="L13" s="555"/>
      <c r="M13" s="555"/>
      <c r="N13" s="965"/>
    </row>
    <row r="14" spans="1:19">
      <c r="B14" s="964"/>
      <c r="C14" s="555"/>
      <c r="D14" s="555"/>
      <c r="E14" s="555"/>
      <c r="F14" s="555"/>
      <c r="G14" s="555"/>
      <c r="H14" s="555"/>
      <c r="I14" s="555"/>
      <c r="J14" s="555"/>
      <c r="K14" s="555"/>
      <c r="L14" s="555"/>
      <c r="M14" s="555"/>
      <c r="N14" s="965"/>
    </row>
    <row r="15" spans="1:19">
      <c r="B15" s="964" t="s">
        <v>141</v>
      </c>
      <c r="C15" s="555"/>
      <c r="D15" s="555"/>
      <c r="E15" s="555"/>
      <c r="F15" s="555"/>
      <c r="G15" s="555"/>
      <c r="H15" s="555"/>
      <c r="I15" s="555"/>
      <c r="J15" s="555"/>
      <c r="K15" s="555"/>
      <c r="L15" s="555"/>
      <c r="M15" s="555"/>
      <c r="N15" s="965"/>
    </row>
    <row r="16" spans="1:19">
      <c r="B16" s="964"/>
      <c r="C16" s="555"/>
      <c r="D16" s="555"/>
      <c r="E16" s="555"/>
      <c r="F16" s="555"/>
      <c r="G16" s="555"/>
      <c r="H16" s="555"/>
      <c r="I16" s="555"/>
      <c r="J16" s="555"/>
      <c r="K16" s="555"/>
      <c r="L16" s="555"/>
      <c r="M16" s="555"/>
      <c r="N16" s="965"/>
    </row>
    <row r="17" spans="2:14">
      <c r="B17" s="964" t="s">
        <v>142</v>
      </c>
      <c r="C17" s="555"/>
      <c r="D17" s="555"/>
      <c r="E17" s="555"/>
      <c r="F17" s="555"/>
      <c r="G17" s="555"/>
      <c r="H17" s="555"/>
      <c r="I17" s="555"/>
      <c r="J17" s="555"/>
      <c r="K17" s="555"/>
      <c r="L17" s="555"/>
      <c r="M17" s="555"/>
      <c r="N17" s="965"/>
    </row>
    <row r="18" spans="2:14">
      <c r="B18" s="964"/>
      <c r="C18" s="555"/>
      <c r="D18" s="555"/>
      <c r="E18" s="555"/>
      <c r="F18" s="555"/>
      <c r="G18" s="555"/>
      <c r="H18" s="555"/>
      <c r="I18" s="555"/>
      <c r="J18" s="555"/>
      <c r="K18" s="555"/>
      <c r="L18" s="555"/>
      <c r="M18" s="555"/>
      <c r="N18" s="965"/>
    </row>
    <row r="19" spans="2:14">
      <c r="B19" s="964" t="s">
        <v>2131</v>
      </c>
      <c r="C19" s="1693" t="s">
        <v>2120</v>
      </c>
      <c r="D19" s="555"/>
      <c r="E19" s="555"/>
      <c r="F19" s="555"/>
      <c r="G19" s="555"/>
      <c r="H19" s="555"/>
      <c r="I19" s="555"/>
      <c r="J19" s="555"/>
      <c r="K19" s="555"/>
      <c r="L19" s="555"/>
      <c r="M19" s="555"/>
      <c r="N19" s="965"/>
    </row>
    <row r="20" spans="2:14">
      <c r="B20" s="964"/>
      <c r="C20" s="555"/>
      <c r="D20" s="555"/>
      <c r="E20" s="555"/>
      <c r="F20" s="555"/>
      <c r="G20" s="555"/>
      <c r="H20" s="555"/>
      <c r="I20" s="555"/>
      <c r="J20" s="555"/>
      <c r="K20" s="555"/>
      <c r="L20" s="555"/>
      <c r="M20" s="555"/>
      <c r="N20" s="965"/>
    </row>
    <row r="21" spans="2:14">
      <c r="B21" s="964"/>
      <c r="C21" s="555"/>
      <c r="D21" s="555"/>
      <c r="E21" s="555"/>
      <c r="F21" s="555"/>
      <c r="G21" s="555"/>
      <c r="H21" s="555"/>
      <c r="I21" s="555"/>
      <c r="J21" s="555"/>
      <c r="K21" s="555"/>
      <c r="L21" s="555"/>
      <c r="M21" s="555"/>
      <c r="N21" s="965"/>
    </row>
    <row r="22" spans="2:14">
      <c r="B22" s="964" t="s">
        <v>143</v>
      </c>
      <c r="C22" s="555"/>
      <c r="D22" s="555"/>
      <c r="E22" s="555"/>
      <c r="F22" s="555"/>
      <c r="G22" s="555"/>
      <c r="H22" s="555"/>
      <c r="I22" s="555"/>
      <c r="J22" s="555"/>
      <c r="K22" s="555"/>
      <c r="L22" s="555"/>
      <c r="M22" s="555"/>
      <c r="N22" s="965"/>
    </row>
    <row r="23" spans="2:14">
      <c r="B23" s="964"/>
      <c r="C23" s="555"/>
      <c r="D23" s="555"/>
      <c r="E23" s="555"/>
      <c r="F23" s="555"/>
      <c r="G23" s="555"/>
      <c r="H23" s="555"/>
      <c r="I23" s="555"/>
      <c r="J23" s="555"/>
      <c r="K23" s="555"/>
      <c r="L23" s="555"/>
      <c r="M23" s="555"/>
      <c r="N23" s="965"/>
    </row>
    <row r="24" spans="2:14" ht="13.5" thickBot="1">
      <c r="B24" s="967"/>
      <c r="C24" s="968"/>
      <c r="D24" s="968"/>
      <c r="E24" s="968"/>
      <c r="F24" s="968"/>
      <c r="G24" s="968"/>
      <c r="H24" s="968"/>
      <c r="I24" s="968"/>
      <c r="J24" s="968"/>
      <c r="K24" s="968"/>
      <c r="L24" s="968"/>
      <c r="M24" s="968"/>
      <c r="N24" s="969"/>
    </row>
    <row r="25" spans="2:14">
      <c r="F25" s="529"/>
      <c r="G25" s="529"/>
      <c r="H25" s="529"/>
    </row>
    <row r="26" spans="2:14">
      <c r="B26" s="960" t="s">
        <v>144</v>
      </c>
    </row>
    <row r="27" spans="2:14" ht="13.5" thickBot="1"/>
    <row r="28" spans="2:14">
      <c r="B28" s="961"/>
      <c r="C28" s="970"/>
      <c r="D28" s="962"/>
      <c r="E28" s="962"/>
      <c r="F28" s="962"/>
      <c r="G28" s="962"/>
      <c r="H28" s="962"/>
      <c r="I28" s="962"/>
      <c r="J28" s="963"/>
    </row>
    <row r="29" spans="2:14">
      <c r="B29" s="971"/>
      <c r="C29" s="972" t="s">
        <v>70</v>
      </c>
      <c r="D29" s="973">
        <v>2015</v>
      </c>
      <c r="E29" s="973">
        <v>2020</v>
      </c>
      <c r="F29" s="973">
        <v>2035</v>
      </c>
      <c r="G29" s="973">
        <v>2050</v>
      </c>
      <c r="H29" s="973" t="s">
        <v>978</v>
      </c>
      <c r="I29" s="556" t="s">
        <v>145</v>
      </c>
      <c r="J29" s="974" t="s">
        <v>146</v>
      </c>
    </row>
    <row r="30" spans="2:14">
      <c r="B30" s="975" t="s">
        <v>147</v>
      </c>
      <c r="C30" s="976"/>
      <c r="D30" s="977"/>
      <c r="E30" s="977"/>
      <c r="F30" s="977"/>
      <c r="G30" s="977"/>
      <c r="H30" s="977"/>
      <c r="I30" s="555"/>
      <c r="J30" s="965"/>
    </row>
    <row r="31" spans="2:14">
      <c r="B31" s="964" t="s">
        <v>148</v>
      </c>
      <c r="C31" s="976" t="s">
        <v>1291</v>
      </c>
      <c r="D31" s="1333">
        <f>1/D161</f>
        <v>0.37037037037037035</v>
      </c>
      <c r="E31" s="1333">
        <f>$D31</f>
        <v>0.37037037037037035</v>
      </c>
      <c r="F31" s="1333">
        <f>$D31</f>
        <v>0.37037037037037035</v>
      </c>
      <c r="G31" s="1333">
        <f>$D31</f>
        <v>0.37037037037037035</v>
      </c>
      <c r="H31" s="1333"/>
      <c r="I31" s="555"/>
      <c r="J31" s="965"/>
    </row>
    <row r="32" spans="2:14">
      <c r="B32" s="964" t="s">
        <v>67</v>
      </c>
      <c r="C32" s="976" t="s">
        <v>1292</v>
      </c>
      <c r="D32" s="979">
        <f>D159/D158</f>
        <v>21.7</v>
      </c>
      <c r="E32" s="978">
        <f t="shared" ref="E32:G34" si="0">$D32</f>
        <v>21.7</v>
      </c>
      <c r="F32" s="978">
        <f t="shared" si="0"/>
        <v>21.7</v>
      </c>
      <c r="G32" s="978">
        <f t="shared" si="0"/>
        <v>21.7</v>
      </c>
      <c r="H32" s="978"/>
      <c r="I32" s="555"/>
      <c r="J32" s="965"/>
    </row>
    <row r="33" spans="2:10">
      <c r="B33" s="964" t="s">
        <v>149</v>
      </c>
      <c r="C33" s="976" t="s">
        <v>1293</v>
      </c>
      <c r="D33" s="1396">
        <f>D158</f>
        <v>100000</v>
      </c>
      <c r="E33" s="1396">
        <f t="shared" si="0"/>
        <v>100000</v>
      </c>
      <c r="F33" s="1396">
        <f t="shared" si="0"/>
        <v>100000</v>
      </c>
      <c r="G33" s="1396">
        <f t="shared" si="0"/>
        <v>100000</v>
      </c>
      <c r="H33" s="1397"/>
      <c r="I33" s="555"/>
      <c r="J33" s="965"/>
    </row>
    <row r="34" spans="2:10">
      <c r="B34" s="964" t="s">
        <v>150</v>
      </c>
      <c r="C34" s="976" t="s">
        <v>34</v>
      </c>
      <c r="D34" s="1332">
        <f>20</f>
        <v>20</v>
      </c>
      <c r="E34" s="1332">
        <f t="shared" si="0"/>
        <v>20</v>
      </c>
      <c r="F34" s="1332">
        <f t="shared" si="0"/>
        <v>20</v>
      </c>
      <c r="G34" s="1332">
        <f t="shared" si="0"/>
        <v>20</v>
      </c>
      <c r="H34" s="1332"/>
      <c r="I34" s="555"/>
      <c r="J34" s="965" t="s">
        <v>1087</v>
      </c>
    </row>
    <row r="35" spans="2:10">
      <c r="B35" s="964"/>
      <c r="C35" s="981"/>
      <c r="D35" s="982"/>
      <c r="E35" s="983"/>
      <c r="F35" s="983"/>
      <c r="G35" s="983"/>
      <c r="H35" s="983"/>
      <c r="I35" s="555"/>
      <c r="J35" s="965"/>
    </row>
    <row r="36" spans="2:10">
      <c r="B36" s="975" t="s">
        <v>151</v>
      </c>
      <c r="C36" s="981"/>
      <c r="D36" s="982"/>
      <c r="E36" s="983"/>
      <c r="F36" s="983"/>
      <c r="G36" s="983"/>
      <c r="H36" s="983"/>
      <c r="I36" s="555"/>
      <c r="J36" s="965"/>
    </row>
    <row r="37" spans="2:10">
      <c r="B37" s="964" t="str">
        <f>ProcessEnergy!B35</f>
        <v xml:space="preserve">Green diesel </v>
      </c>
      <c r="C37" s="976" t="s">
        <v>463</v>
      </c>
      <c r="D37" s="987"/>
      <c r="E37" s="984"/>
      <c r="F37" s="984"/>
      <c r="G37" s="984"/>
      <c r="H37" s="984"/>
      <c r="I37" s="555"/>
      <c r="J37" s="965"/>
    </row>
    <row r="38" spans="2:10">
      <c r="B38" s="985" t="str">
        <f>ProcessEnergy!B36</f>
        <v>Green gasoline</v>
      </c>
      <c r="C38" s="976"/>
      <c r="D38" s="987"/>
      <c r="E38" s="984"/>
      <c r="F38" s="984"/>
      <c r="G38" s="984"/>
      <c r="H38" s="984"/>
      <c r="I38" s="555"/>
      <c r="J38" s="965"/>
    </row>
    <row r="39" spans="2:10">
      <c r="B39" s="985" t="str">
        <f>ProcessEnergy!B37</f>
        <v>Electricity - balancing</v>
      </c>
      <c r="C39" s="976"/>
      <c r="D39" s="987"/>
      <c r="E39" s="984"/>
      <c r="F39" s="984"/>
      <c r="G39" s="984"/>
      <c r="H39" s="984"/>
      <c r="I39" s="555"/>
      <c r="J39" s="965"/>
    </row>
    <row r="40" spans="2:10">
      <c r="B40" s="985" t="str">
        <f>ProcessEnergy!B38</f>
        <v>Electricity  - continous</v>
      </c>
      <c r="C40" s="976"/>
      <c r="D40" s="987"/>
      <c r="E40" s="984"/>
      <c r="F40" s="984"/>
      <c r="G40" s="984"/>
      <c r="H40" s="984"/>
      <c r="I40" s="555"/>
      <c r="J40" s="965"/>
    </row>
    <row r="41" spans="2:10">
      <c r="B41" s="985" t="str">
        <f>ProcessEnergy!B39</f>
        <v>Elec/heat fuel</v>
      </c>
      <c r="C41" s="976"/>
      <c r="D41" s="987"/>
      <c r="E41" s="984"/>
      <c r="F41" s="984"/>
      <c r="G41" s="984"/>
      <c r="H41" s="984"/>
      <c r="I41" s="555"/>
      <c r="J41" s="965"/>
    </row>
    <row r="42" spans="2:10">
      <c r="B42" s="985" t="str">
        <f>ProcessEnergy!B40</f>
        <v>Biogas (100% CH4)</v>
      </c>
      <c r="C42" s="976"/>
      <c r="D42" s="987"/>
      <c r="E42" s="984"/>
      <c r="F42" s="984"/>
      <c r="G42" s="984"/>
      <c r="H42" s="984"/>
      <c r="I42" s="555"/>
      <c r="J42" s="965"/>
    </row>
    <row r="43" spans="2:10">
      <c r="B43" s="985" t="str">
        <f>ProcessEnergy!B41</f>
        <v>District heating</v>
      </c>
      <c r="C43" s="976" t="s">
        <v>1294</v>
      </c>
      <c r="D43" s="987">
        <f>C151*C152</f>
        <v>0</v>
      </c>
      <c r="E43" s="978">
        <f>$D43</f>
        <v>0</v>
      </c>
      <c r="F43" s="978">
        <f>$D43</f>
        <v>0</v>
      </c>
      <c r="G43" s="978">
        <f>$D43</f>
        <v>0</v>
      </c>
      <c r="H43" s="978"/>
      <c r="I43" s="555"/>
      <c r="J43" s="965"/>
    </row>
    <row r="44" spans="2:10">
      <c r="B44" s="985" t="str">
        <f>ProcessEnergy!B42</f>
        <v>&lt;empty&gt;</v>
      </c>
      <c r="C44" s="976"/>
      <c r="D44" s="987"/>
      <c r="E44" s="978"/>
      <c r="F44" s="978"/>
      <c r="G44" s="978"/>
      <c r="H44" s="978"/>
      <c r="I44" s="555"/>
      <c r="J44" s="965"/>
    </row>
    <row r="45" spans="2:10">
      <c r="B45" s="985" t="str">
        <f>ProcessEnergy!B43</f>
        <v>&lt;empty&gt;</v>
      </c>
      <c r="C45" s="976"/>
      <c r="D45" s="987"/>
      <c r="E45" s="978"/>
      <c r="F45" s="978"/>
      <c r="G45" s="978"/>
      <c r="H45" s="978"/>
      <c r="I45" s="555"/>
      <c r="J45" s="965"/>
    </row>
    <row r="46" spans="2:10">
      <c r="B46" s="985" t="str">
        <f>ProcessEnergy!B44</f>
        <v>&lt;empty&gt;</v>
      </c>
      <c r="C46" s="976"/>
      <c r="D46" s="987"/>
      <c r="E46" s="978"/>
      <c r="F46" s="978"/>
      <c r="G46" s="978"/>
      <c r="H46" s="978"/>
      <c r="I46" s="555"/>
      <c r="J46" s="965"/>
    </row>
    <row r="47" spans="2:10">
      <c r="B47" s="985" t="str">
        <f>ProcessEnergy!B45</f>
        <v>&lt;empty&gt;</v>
      </c>
      <c r="C47" s="976"/>
      <c r="D47" s="987"/>
      <c r="E47" s="978"/>
      <c r="F47" s="978"/>
      <c r="G47" s="978"/>
      <c r="H47" s="978"/>
      <c r="I47" s="555"/>
      <c r="J47" s="965"/>
    </row>
    <row r="48" spans="2:10">
      <c r="B48" s="985" t="str">
        <f>ProcessEnergy!B46</f>
        <v>&lt;empty&gt;</v>
      </c>
      <c r="C48" s="976"/>
      <c r="D48" s="987"/>
      <c r="E48" s="978"/>
      <c r="F48" s="978"/>
      <c r="G48" s="978"/>
      <c r="H48" s="978"/>
      <c r="I48" s="555"/>
      <c r="J48" s="965"/>
    </row>
    <row r="49" spans="2:10">
      <c r="B49" s="985" t="str">
        <f>ProcessEnergy!B47</f>
        <v>&lt;empty&gt;</v>
      </c>
      <c r="C49" s="976"/>
      <c r="D49" s="987"/>
      <c r="E49" s="978"/>
      <c r="F49" s="978"/>
      <c r="G49" s="978"/>
      <c r="H49" s="978"/>
      <c r="I49" s="555"/>
      <c r="J49" s="965"/>
    </row>
    <row r="50" spans="2:10">
      <c r="B50" s="985" t="str">
        <f>ProcessEnergy!B48</f>
        <v>Glycerol</v>
      </c>
      <c r="C50" s="976"/>
      <c r="D50" s="987"/>
      <c r="E50" s="978"/>
      <c r="F50" s="978"/>
      <c r="G50" s="978"/>
      <c r="H50" s="978"/>
      <c r="I50" s="555"/>
      <c r="J50" s="965"/>
    </row>
    <row r="51" spans="2:10">
      <c r="B51" s="985" t="str">
        <f>ProcessEnergy!B49</f>
        <v>&lt;empty&gt;</v>
      </c>
      <c r="C51" s="976"/>
      <c r="D51" s="987"/>
      <c r="E51" s="978"/>
      <c r="F51" s="978"/>
      <c r="G51" s="978"/>
      <c r="H51" s="978"/>
      <c r="I51" s="555"/>
      <c r="J51" s="965"/>
    </row>
    <row r="52" spans="2:10">
      <c r="B52" s="985" t="str">
        <f>ProcessEnergy!B51</f>
        <v>Fodder (wheat like)</v>
      </c>
      <c r="C52" s="976"/>
      <c r="D52" s="987"/>
      <c r="E52" s="984"/>
      <c r="F52" s="984"/>
      <c r="G52" s="984"/>
      <c r="H52" s="984"/>
      <c r="I52" s="555"/>
      <c r="J52" s="965"/>
    </row>
    <row r="53" spans="2:10">
      <c r="B53" s="985" t="str">
        <f>ProcessEnergy!B52</f>
        <v>Rape seed cake</v>
      </c>
      <c r="C53" s="976"/>
      <c r="D53" s="987"/>
      <c r="E53" s="984"/>
      <c r="F53" s="984"/>
      <c r="G53" s="984"/>
      <c r="H53" s="984"/>
      <c r="I53" s="555"/>
      <c r="J53" s="965"/>
    </row>
    <row r="54" spans="2:10">
      <c r="B54" s="985" t="str">
        <f>ProcessEnergy!B53</f>
        <v>&lt;empty&gt;</v>
      </c>
      <c r="C54" s="976"/>
      <c r="D54" s="987"/>
      <c r="E54" s="984"/>
      <c r="F54" s="984"/>
      <c r="G54" s="984"/>
      <c r="H54" s="984"/>
      <c r="I54" s="555"/>
      <c r="J54" s="965"/>
    </row>
    <row r="55" spans="2:10">
      <c r="B55" s="985" t="str">
        <f>ProcessEnergy!B54</f>
        <v>DDGS</v>
      </c>
      <c r="C55" s="976"/>
      <c r="D55" s="987"/>
      <c r="E55" s="984"/>
      <c r="F55" s="984"/>
      <c r="G55" s="984"/>
      <c r="H55" s="984"/>
      <c r="I55" s="555"/>
      <c r="J55" s="965"/>
    </row>
    <row r="56" spans="2:10">
      <c r="B56" s="964"/>
      <c r="C56" s="976"/>
      <c r="D56" s="984"/>
      <c r="E56" s="984"/>
      <c r="F56" s="984"/>
      <c r="G56" s="984"/>
      <c r="H56" s="984"/>
      <c r="I56" s="555"/>
      <c r="J56" s="965"/>
    </row>
    <row r="57" spans="2:10">
      <c r="B57" s="975" t="s">
        <v>873</v>
      </c>
      <c r="C57" s="976"/>
      <c r="D57" s="984"/>
      <c r="E57" s="984"/>
      <c r="F57" s="984"/>
      <c r="G57" s="984"/>
      <c r="H57" s="984"/>
      <c r="I57" s="555"/>
      <c r="J57" s="965"/>
    </row>
    <row r="58" spans="2:10">
      <c r="B58" s="964" t="str">
        <f>ProcessEnergy!B5</f>
        <v>EL - peakload</v>
      </c>
      <c r="C58" s="976" t="s">
        <v>1295</v>
      </c>
      <c r="D58" s="987">
        <f>D163/D160</f>
        <v>4.2553191489361701E-2</v>
      </c>
      <c r="E58" s="984"/>
      <c r="F58" s="984"/>
      <c r="G58" s="984"/>
      <c r="H58" s="984"/>
      <c r="I58" s="555"/>
      <c r="J58" s="965"/>
    </row>
    <row r="59" spans="2:10">
      <c r="B59" s="964" t="str">
        <f>ProcessEnergy!B6</f>
        <v>El - baseload</v>
      </c>
      <c r="C59" s="976" t="s">
        <v>877</v>
      </c>
      <c r="D59" s="987"/>
      <c r="E59" s="984"/>
      <c r="F59" s="984"/>
      <c r="G59" s="984"/>
      <c r="H59" s="984"/>
      <c r="I59" s="555"/>
      <c r="J59" s="965"/>
    </row>
    <row r="60" spans="2:10">
      <c r="B60" s="964" t="str">
        <f>ProcessEnergy!B7</f>
        <v xml:space="preserve">Varme </v>
      </c>
      <c r="C60" s="976" t="s">
        <v>877</v>
      </c>
      <c r="D60" s="987"/>
      <c r="E60" s="984"/>
      <c r="F60" s="984"/>
      <c r="G60" s="984"/>
      <c r="H60" s="984"/>
      <c r="I60" s="555"/>
      <c r="J60" s="965"/>
    </row>
    <row r="61" spans="2:10">
      <c r="B61" s="964" t="str">
        <f>ProcessEnergy!B8</f>
        <v>Damp</v>
      </c>
      <c r="C61" s="976" t="s">
        <v>877</v>
      </c>
      <c r="D61" s="987"/>
      <c r="E61" s="984"/>
      <c r="F61" s="984"/>
      <c r="G61" s="984"/>
      <c r="H61" s="984"/>
      <c r="I61" s="555"/>
      <c r="J61" s="965"/>
    </row>
    <row r="62" spans="2:10">
      <c r="B62" s="964" t="str">
        <f>ProcessEnergy!B9</f>
        <v xml:space="preserve">Olie </v>
      </c>
      <c r="C62" s="976" t="s">
        <v>877</v>
      </c>
      <c r="D62" s="987"/>
      <c r="E62" s="984"/>
      <c r="F62" s="984"/>
      <c r="G62" s="984"/>
      <c r="H62" s="984"/>
      <c r="I62" s="555"/>
      <c r="J62" s="965"/>
    </row>
    <row r="63" spans="2:10">
      <c r="B63" s="964" t="str">
        <f>ProcessEnergy!B10</f>
        <v>Kul</v>
      </c>
      <c r="C63" s="976" t="s">
        <v>877</v>
      </c>
      <c r="D63" s="987"/>
      <c r="E63" s="984"/>
      <c r="F63" s="984"/>
      <c r="G63" s="984"/>
      <c r="H63" s="984"/>
      <c r="I63" s="555"/>
      <c r="J63" s="965"/>
    </row>
    <row r="64" spans="2:10">
      <c r="B64" s="964" t="str">
        <f>ProcessEnergy!B11</f>
        <v>Naturgas kedel</v>
      </c>
      <c r="C64" s="976" t="s">
        <v>877</v>
      </c>
      <c r="D64" s="987"/>
      <c r="E64" s="984"/>
      <c r="F64" s="984"/>
      <c r="G64" s="984"/>
      <c r="H64" s="984"/>
      <c r="I64" s="555"/>
      <c r="J64" s="965"/>
    </row>
    <row r="65" spans="2:10">
      <c r="B65" s="964" t="str">
        <f>ProcessEnergy!B12</f>
        <v>Gylle</v>
      </c>
      <c r="C65" s="976" t="s">
        <v>877</v>
      </c>
      <c r="D65" s="987"/>
      <c r="E65" s="984"/>
      <c r="F65" s="984"/>
      <c r="G65" s="984"/>
      <c r="H65" s="984"/>
      <c r="I65" s="555"/>
      <c r="J65" s="965"/>
    </row>
    <row r="66" spans="2:10">
      <c r="B66" s="964" t="str">
        <f>ProcessEnergy!B13</f>
        <v>Affald</v>
      </c>
      <c r="C66" s="976" t="s">
        <v>877</v>
      </c>
      <c r="D66" s="987"/>
      <c r="E66" s="984"/>
      <c r="F66" s="984"/>
      <c r="G66" s="984"/>
      <c r="H66" s="984"/>
      <c r="I66" s="555"/>
      <c r="J66" s="965"/>
    </row>
    <row r="67" spans="2:10">
      <c r="B67" s="964" t="str">
        <f>ProcessEnergy!B14</f>
        <v>Hydrogen</v>
      </c>
      <c r="C67" s="976" t="s">
        <v>877</v>
      </c>
      <c r="D67" s="987"/>
      <c r="E67" s="984"/>
      <c r="F67" s="984"/>
      <c r="G67" s="984"/>
      <c r="H67" s="984"/>
      <c r="I67" s="555"/>
      <c r="J67" s="965"/>
    </row>
    <row r="68" spans="2:10">
      <c r="B68" s="964" t="str">
        <f>ProcessEnergy!B15</f>
        <v>Biomasse</v>
      </c>
      <c r="C68" s="976" t="s">
        <v>877</v>
      </c>
      <c r="D68" s="987"/>
      <c r="E68" s="984"/>
      <c r="F68" s="984"/>
      <c r="G68" s="984"/>
      <c r="H68" s="984"/>
      <c r="I68" s="555"/>
      <c r="J68" s="965"/>
    </row>
    <row r="69" spans="2:10">
      <c r="B69" s="964" t="str">
        <f>ProcessEnergy!B16</f>
        <v>Methanol</v>
      </c>
      <c r="C69" s="976"/>
      <c r="D69" s="987"/>
      <c r="E69" s="984"/>
      <c r="F69" s="984"/>
      <c r="G69" s="984"/>
      <c r="H69" s="984"/>
      <c r="I69" s="555"/>
      <c r="J69" s="965"/>
    </row>
    <row r="70" spans="2:10">
      <c r="B70" s="964" t="str">
        <f>ProcessEnergy!B17</f>
        <v>&lt;empty&gt;</v>
      </c>
      <c r="C70" s="976"/>
      <c r="D70" s="987"/>
      <c r="E70" s="984"/>
      <c r="F70" s="984"/>
      <c r="G70" s="984"/>
      <c r="H70" s="984"/>
      <c r="I70" s="555"/>
      <c r="J70" s="965"/>
    </row>
    <row r="71" spans="2:10">
      <c r="B71" s="964" t="str">
        <f>ProcessEnergy!B18</f>
        <v>&lt;empty&gt;</v>
      </c>
      <c r="C71" s="976"/>
      <c r="D71" s="987"/>
      <c r="E71" s="984"/>
      <c r="F71" s="984"/>
      <c r="G71" s="984"/>
      <c r="H71" s="984"/>
      <c r="I71" s="555"/>
      <c r="J71" s="965"/>
    </row>
    <row r="72" spans="2:10">
      <c r="B72" s="964" t="str">
        <f>ProcessEnergy!B19</f>
        <v>&lt;empty&gt;</v>
      </c>
      <c r="C72" s="976"/>
      <c r="D72" s="987"/>
      <c r="E72" s="984"/>
      <c r="F72" s="984"/>
      <c r="G72" s="984"/>
      <c r="H72" s="984"/>
      <c r="I72" s="555"/>
      <c r="J72" s="965"/>
    </row>
    <row r="73" spans="2:10">
      <c r="B73" s="964" t="str">
        <f>ProcessEnergy!B20</f>
        <v>&lt;empty&gt;</v>
      </c>
      <c r="C73" s="976"/>
      <c r="D73" s="987"/>
      <c r="E73" s="984"/>
      <c r="F73" s="984"/>
      <c r="G73" s="984"/>
      <c r="H73" s="984"/>
      <c r="I73" s="555"/>
      <c r="J73" s="965"/>
    </row>
    <row r="74" spans="2:10">
      <c r="B74" s="964" t="str">
        <f>ProcessEnergy!B21</f>
        <v>&lt;empty&gt;</v>
      </c>
      <c r="C74" s="976"/>
      <c r="D74" s="987"/>
      <c r="E74" s="984"/>
      <c r="F74" s="984"/>
      <c r="G74" s="984"/>
      <c r="H74" s="984"/>
      <c r="I74" s="555"/>
      <c r="J74" s="965"/>
    </row>
    <row r="75" spans="2:10">
      <c r="B75" s="964" t="str">
        <f>ProcessEnergy!B22</f>
        <v>&lt;empty&gt;</v>
      </c>
      <c r="C75" s="976"/>
      <c r="D75" s="987"/>
      <c r="E75" s="984"/>
      <c r="F75" s="984"/>
      <c r="G75" s="984"/>
      <c r="H75" s="984"/>
      <c r="I75" s="555"/>
      <c r="J75" s="965"/>
    </row>
    <row r="76" spans="2:10">
      <c r="B76" s="964" t="str">
        <f>ProcessEnergy!B23</f>
        <v>&lt;empty&gt;</v>
      </c>
      <c r="C76" s="976"/>
      <c r="D76" s="987"/>
      <c r="E76" s="984"/>
      <c r="F76" s="984"/>
      <c r="G76" s="984"/>
      <c r="H76" s="984"/>
      <c r="I76" s="555"/>
      <c r="J76" s="965"/>
    </row>
    <row r="77" spans="2:10">
      <c r="B77" s="964" t="str">
        <f>ProcessEnergy!B24</f>
        <v>&lt;empty&gt;</v>
      </c>
      <c r="C77" s="976" t="s">
        <v>877</v>
      </c>
      <c r="D77" s="987"/>
      <c r="E77" s="984"/>
      <c r="F77" s="984"/>
      <c r="G77" s="984"/>
      <c r="H77" s="984"/>
      <c r="I77" s="555"/>
      <c r="J77" s="965"/>
    </row>
    <row r="78" spans="2:10">
      <c r="B78" s="964"/>
      <c r="C78" s="976"/>
      <c r="D78" s="987"/>
      <c r="E78" s="984"/>
      <c r="F78" s="984"/>
      <c r="G78" s="984"/>
      <c r="H78" s="984"/>
      <c r="I78" s="555"/>
      <c r="J78" s="965"/>
    </row>
    <row r="79" spans="2:10">
      <c r="B79" s="964"/>
      <c r="C79" s="976"/>
      <c r="D79" s="987"/>
      <c r="E79" s="984"/>
      <c r="F79" s="984"/>
      <c r="G79" s="984"/>
      <c r="H79" s="984"/>
      <c r="I79" s="555"/>
      <c r="J79" s="965"/>
    </row>
    <row r="80" spans="2:10">
      <c r="B80" s="964"/>
      <c r="C80" s="976"/>
      <c r="D80" s="987"/>
      <c r="E80" s="986"/>
      <c r="F80" s="986"/>
      <c r="G80" s="986"/>
      <c r="H80" s="986"/>
      <c r="I80" s="555"/>
      <c r="J80" s="965"/>
    </row>
    <row r="81" spans="1:17">
      <c r="B81" s="975" t="s">
        <v>152</v>
      </c>
      <c r="C81" s="976"/>
      <c r="D81" s="986"/>
      <c r="E81" s="986"/>
      <c r="F81" s="986"/>
      <c r="G81" s="986"/>
      <c r="H81" s="986"/>
      <c r="I81" s="555"/>
      <c r="J81" s="965"/>
    </row>
    <row r="82" spans="1:17">
      <c r="A82" s="530">
        <v>4</v>
      </c>
      <c r="B82" s="964" t="s">
        <v>462</v>
      </c>
      <c r="C82" s="976" t="s">
        <v>725</v>
      </c>
      <c r="D82" s="1633">
        <v>1</v>
      </c>
      <c r="E82" s="978">
        <f t="shared" ref="E82:G88" si="1">$D82</f>
        <v>1</v>
      </c>
      <c r="F82" s="978">
        <f t="shared" si="1"/>
        <v>1</v>
      </c>
      <c r="G82" s="978">
        <f t="shared" si="1"/>
        <v>1</v>
      </c>
      <c r="H82" s="978"/>
      <c r="I82" s="555"/>
      <c r="J82" s="965"/>
    </row>
    <row r="83" spans="1:17">
      <c r="B83" s="964" t="s">
        <v>153</v>
      </c>
      <c r="C83" s="976" t="s">
        <v>725</v>
      </c>
      <c r="D83" s="987">
        <f>D82*SUM(D58:D77)</f>
        <v>4.2553191489361701E-2</v>
      </c>
      <c r="E83" s="978">
        <f t="shared" si="1"/>
        <v>4.2553191489361701E-2</v>
      </c>
      <c r="F83" s="978">
        <f t="shared" si="1"/>
        <v>4.2553191489361701E-2</v>
      </c>
      <c r="G83" s="978">
        <f t="shared" si="1"/>
        <v>4.2553191489361701E-2</v>
      </c>
      <c r="H83" s="1334"/>
      <c r="I83" s="555"/>
      <c r="J83" s="965"/>
    </row>
    <row r="84" spans="1:17">
      <c r="B84" s="964" t="s">
        <v>1092</v>
      </c>
      <c r="C84" s="976" t="s">
        <v>725</v>
      </c>
      <c r="D84" s="987">
        <f>D82*D43</f>
        <v>0</v>
      </c>
      <c r="E84" s="978">
        <f t="shared" si="1"/>
        <v>0</v>
      </c>
      <c r="F84" s="978">
        <f t="shared" si="1"/>
        <v>0</v>
      </c>
      <c r="G84" s="978">
        <f t="shared" si="1"/>
        <v>0</v>
      </c>
      <c r="H84" s="978"/>
      <c r="I84" s="555"/>
      <c r="J84" s="965"/>
    </row>
    <row r="85" spans="1:17">
      <c r="B85" s="964" t="s">
        <v>1240</v>
      </c>
      <c r="C85" s="976" t="s">
        <v>725</v>
      </c>
      <c r="D85" s="987">
        <f>(1/D162)*D82</f>
        <v>0.96711798839458407</v>
      </c>
      <c r="E85" s="978">
        <f t="shared" si="1"/>
        <v>0.96711798839458407</v>
      </c>
      <c r="F85" s="978">
        <f t="shared" si="1"/>
        <v>0.96711798839458407</v>
      </c>
      <c r="G85" s="978">
        <f t="shared" si="1"/>
        <v>0.96711798839458407</v>
      </c>
      <c r="H85" s="978"/>
      <c r="I85" s="555"/>
      <c r="J85" s="965"/>
    </row>
    <row r="86" spans="1:17">
      <c r="B86" s="985" t="s">
        <v>155</v>
      </c>
      <c r="C86" s="976" t="s">
        <v>725</v>
      </c>
      <c r="D86" s="987">
        <f>SUM(D82:D83)-SUM(D84:D85)</f>
        <v>7.5435203094777692E-2</v>
      </c>
      <c r="E86" s="978">
        <f t="shared" si="1"/>
        <v>7.5435203094777692E-2</v>
      </c>
      <c r="F86" s="978">
        <f t="shared" si="1"/>
        <v>7.5435203094777692E-2</v>
      </c>
      <c r="G86" s="978">
        <f t="shared" si="1"/>
        <v>7.5435203094777692E-2</v>
      </c>
      <c r="H86" s="978"/>
      <c r="I86" s="555"/>
      <c r="J86" s="965"/>
    </row>
    <row r="87" spans="1:17">
      <c r="B87" s="985" t="s">
        <v>156</v>
      </c>
      <c r="C87" s="988" t="s">
        <v>726</v>
      </c>
      <c r="D87" s="989">
        <f>SUM(D84:D85)/SUM(D82:D83)</f>
        <v>0.92764378478664178</v>
      </c>
      <c r="E87" s="990">
        <f t="shared" si="1"/>
        <v>0.92764378478664178</v>
      </c>
      <c r="F87" s="990">
        <f t="shared" si="1"/>
        <v>0.92764378478664178</v>
      </c>
      <c r="G87" s="990">
        <f t="shared" si="1"/>
        <v>0.92764378478664178</v>
      </c>
      <c r="H87" s="990"/>
      <c r="I87" s="555"/>
      <c r="J87" s="965"/>
    </row>
    <row r="88" spans="1:17">
      <c r="B88" s="964"/>
      <c r="C88" s="976"/>
      <c r="D88" s="989">
        <f>D165/100</f>
        <v>0.92799999999999994</v>
      </c>
      <c r="E88" s="990">
        <f t="shared" si="1"/>
        <v>0.92799999999999994</v>
      </c>
      <c r="F88" s="990">
        <f t="shared" si="1"/>
        <v>0.92799999999999994</v>
      </c>
      <c r="G88" s="990">
        <f t="shared" si="1"/>
        <v>0.92799999999999994</v>
      </c>
      <c r="H88" s="990"/>
      <c r="I88" s="555"/>
      <c r="J88" s="965"/>
      <c r="N88" s="557"/>
    </row>
    <row r="89" spans="1:17">
      <c r="B89" s="975" t="s">
        <v>2116</v>
      </c>
      <c r="C89" s="976"/>
      <c r="D89" s="983"/>
      <c r="E89" s="983"/>
      <c r="F89" s="983"/>
      <c r="G89" s="983"/>
      <c r="H89" s="983"/>
      <c r="I89" s="555"/>
      <c r="J89" s="965"/>
      <c r="N89" s="991"/>
      <c r="O89" s="991"/>
      <c r="P89" s="991"/>
      <c r="Q89" s="991"/>
    </row>
    <row r="90" spans="1:17">
      <c r="B90" s="964" t="s">
        <v>157</v>
      </c>
      <c r="C90" s="976" t="s">
        <v>61</v>
      </c>
      <c r="D90" s="992">
        <f ca="1">HLOOKUP($H99,Supplementary!$C$44:$AF$46,3,FALSE)*D99*D$110</f>
        <v>178969687.24785131</v>
      </c>
      <c r="E90" s="992">
        <f ca="1">HLOOKUP($H99,Supplementary!$C$44:$AF$46,3,FALSE)*E99*E$110</f>
        <v>178969687.24785131</v>
      </c>
      <c r="F90" s="992">
        <f ca="1">HLOOKUP($H99,Supplementary!$C$44:$AF$46,3,FALSE)*F99*F$110</f>
        <v>170021202.88545874</v>
      </c>
      <c r="G90" s="992">
        <f ca="1">HLOOKUP($H99,Supplementary!$C$44:$AF$46,3,FALSE)*G99*G$110</f>
        <v>153444135.60412651</v>
      </c>
      <c r="H90" s="555">
        <f t="shared" ref="H90:H96" si="2">priceYear</f>
        <v>2015</v>
      </c>
      <c r="I90" s="555"/>
      <c r="J90" s="965"/>
      <c r="N90" s="991"/>
      <c r="O90" s="991"/>
      <c r="P90" s="991"/>
      <c r="Q90" s="991"/>
    </row>
    <row r="91" spans="1:17">
      <c r="B91" s="964" t="s">
        <v>160</v>
      </c>
      <c r="C91" s="976" t="s">
        <v>464</v>
      </c>
      <c r="D91" s="555">
        <f ca="1">SUM(D92:D96)</f>
        <v>12.407044280356555</v>
      </c>
      <c r="E91" s="555">
        <f ca="1">SUM(E92:E96)</f>
        <v>12.407044280356555</v>
      </c>
      <c r="F91" s="555">
        <f ca="1">SUM(F92:F96)</f>
        <v>11.786692066338725</v>
      </c>
      <c r="G91" s="555">
        <f ca="1">SUM(G92:G96)</f>
        <v>10.6374895898707</v>
      </c>
      <c r="H91" s="555">
        <f t="shared" si="2"/>
        <v>2015</v>
      </c>
      <c r="I91" s="555"/>
      <c r="J91" s="965"/>
      <c r="N91" s="991"/>
      <c r="O91" s="991"/>
      <c r="P91" s="991"/>
      <c r="Q91" s="991"/>
    </row>
    <row r="92" spans="1:17">
      <c r="B92" s="995" t="s">
        <v>162</v>
      </c>
      <c r="C92" s="976" t="s">
        <v>464</v>
      </c>
      <c r="D92" s="992">
        <f ca="1">HLOOKUP($H101,Supplementary!$C$44:$AF$46,3,FALSE)*D101*D$110</f>
        <v>6.617968079943072</v>
      </c>
      <c r="E92" s="555">
        <f ca="1">HLOOKUP($H101,Supplementary!$C$44:$AF$46,3,FALSE)*E101*E$110</f>
        <v>6.617968079943072</v>
      </c>
      <c r="F92" s="555">
        <f ca="1">HLOOKUP($H101,Supplementary!$C$44:$AF$46,3,FALSE)*F101*F$110</f>
        <v>6.2870696759459177</v>
      </c>
      <c r="G92" s="555">
        <f ca="1">HLOOKUP($H101,Supplementary!$C$44:$AF$46,3,FALSE)*G101*G$110</f>
        <v>5.6740803825411907</v>
      </c>
      <c r="H92" s="555">
        <f t="shared" si="2"/>
        <v>2015</v>
      </c>
      <c r="I92" s="555"/>
      <c r="J92" s="965"/>
      <c r="N92" s="991"/>
      <c r="O92" s="991"/>
      <c r="P92" s="991"/>
      <c r="Q92" s="991"/>
    </row>
    <row r="93" spans="1:17">
      <c r="B93" s="995" t="s">
        <v>163</v>
      </c>
      <c r="C93" s="976" t="s">
        <v>464</v>
      </c>
      <c r="D93" s="992">
        <f ca="1">HLOOKUP($H102,Supplementary!$C$44:$AF$46,3,FALSE)*D102*D$110</f>
        <v>5.7890762004134819</v>
      </c>
      <c r="E93" s="555">
        <f ca="1">HLOOKUP($H102,Supplementary!$C$44:$AF$46,3,FALSE)*E102*E$110</f>
        <v>5.7890762004134819</v>
      </c>
      <c r="F93" s="555">
        <f ca="1">HLOOKUP($H102,Supplementary!$C$44:$AF$46,3,FALSE)*F102*F$110</f>
        <v>5.4996223903928074</v>
      </c>
      <c r="G93" s="555">
        <f ca="1">HLOOKUP($H102,Supplementary!$C$44:$AF$46,3,FALSE)*G102*G$110</f>
        <v>4.9634092073295086</v>
      </c>
      <c r="H93" s="555">
        <f t="shared" si="2"/>
        <v>2015</v>
      </c>
      <c r="I93" s="555"/>
      <c r="J93" s="965"/>
      <c r="N93" s="991"/>
      <c r="O93" s="991"/>
      <c r="P93" s="991"/>
      <c r="Q93" s="991"/>
    </row>
    <row r="94" spans="1:17">
      <c r="B94" s="995" t="s">
        <v>164</v>
      </c>
      <c r="C94" s="976" t="s">
        <v>464</v>
      </c>
      <c r="D94" s="992">
        <f>HLOOKUP($H103,Supplementary!$C$44:$AF$46,3,FALSE)*D103</f>
        <v>0</v>
      </c>
      <c r="E94" s="555">
        <f>HLOOKUP($H103,Supplementary!$C$44:$AF$46,3,FALSE)*E103</f>
        <v>0</v>
      </c>
      <c r="F94" s="555">
        <f>HLOOKUP($H103,Supplementary!$C$44:$AF$46,3,FALSE)*F103</f>
        <v>0</v>
      </c>
      <c r="G94" s="555">
        <f>HLOOKUP($H103,Supplementary!$C$44:$AF$46,3,FALSE)*G103</f>
        <v>0</v>
      </c>
      <c r="H94" s="555">
        <f t="shared" si="2"/>
        <v>2015</v>
      </c>
      <c r="I94" s="555"/>
      <c r="J94" s="965"/>
      <c r="N94" s="991"/>
      <c r="O94" s="991"/>
      <c r="P94" s="991"/>
      <c r="Q94" s="991"/>
    </row>
    <row r="95" spans="1:17">
      <c r="B95" s="995" t="s">
        <v>264</v>
      </c>
      <c r="C95" s="976" t="s">
        <v>464</v>
      </c>
      <c r="D95" s="992">
        <f ca="1">HLOOKUP($H104,Supplementary!$C$44:$AF$46,3,FALSE)*D104*D$110</f>
        <v>0</v>
      </c>
      <c r="E95" s="555">
        <f ca="1">HLOOKUP($H104,Supplementary!$C$44:$AF$46,3,FALSE)*E104*E$110</f>
        <v>0</v>
      </c>
      <c r="F95" s="555">
        <f ca="1">HLOOKUP($H104,Supplementary!$C$44:$AF$46,3,FALSE)*F104*F$110</f>
        <v>0</v>
      </c>
      <c r="G95" s="555">
        <f ca="1">HLOOKUP($H104,Supplementary!$C$44:$AF$46,3,FALSE)*G104*G$110</f>
        <v>0</v>
      </c>
      <c r="H95" s="555">
        <f t="shared" si="2"/>
        <v>2015</v>
      </c>
      <c r="I95" s="555"/>
      <c r="J95" s="965"/>
      <c r="N95" s="991"/>
      <c r="O95" s="991"/>
      <c r="P95" s="991"/>
      <c r="Q95" s="991"/>
    </row>
    <row r="96" spans="1:17">
      <c r="B96" s="995" t="s">
        <v>165</v>
      </c>
      <c r="C96" s="976" t="s">
        <v>464</v>
      </c>
      <c r="D96" s="992">
        <f ca="1">HLOOKUP($H105,Supplementary!$C$44:$AF$46,3,FALSE)*D105</f>
        <v>0</v>
      </c>
      <c r="E96" s="555">
        <f ca="1">HLOOKUP($H105,Supplementary!$C$44:$AF$46,3,FALSE)*E105</f>
        <v>0</v>
      </c>
      <c r="F96" s="555">
        <f ca="1">HLOOKUP($H105,Supplementary!$C$44:$AF$46,3,FALSE)*F105</f>
        <v>0</v>
      </c>
      <c r="G96" s="555">
        <f ca="1">HLOOKUP($H105,Supplementary!$C$44:$AF$46,3,FALSE)*G105</f>
        <v>0</v>
      </c>
      <c r="H96" s="555">
        <f t="shared" si="2"/>
        <v>2015</v>
      </c>
      <c r="I96" s="555"/>
      <c r="J96" s="965"/>
      <c r="N96" s="991"/>
      <c r="O96" s="991"/>
      <c r="P96" s="991"/>
      <c r="Q96" s="991"/>
    </row>
    <row r="97" spans="1:17">
      <c r="B97" s="975"/>
      <c r="C97" s="976"/>
      <c r="D97" s="992"/>
      <c r="E97" s="983"/>
      <c r="F97" s="983"/>
      <c r="G97" s="983"/>
      <c r="H97" s="983"/>
      <c r="I97" s="555"/>
      <c r="J97" s="965"/>
      <c r="N97" s="991"/>
      <c r="O97" s="991"/>
      <c r="P97" s="991"/>
      <c r="Q97" s="991"/>
    </row>
    <row r="98" spans="1:17">
      <c r="B98" s="975" t="s">
        <v>2117</v>
      </c>
      <c r="C98" s="976"/>
      <c r="D98" s="992"/>
      <c r="E98" s="983"/>
      <c r="F98" s="983"/>
      <c r="G98" s="983"/>
      <c r="H98" s="983"/>
      <c r="I98" s="555"/>
      <c r="J98" s="965"/>
      <c r="N98" s="991"/>
      <c r="O98" s="991"/>
      <c r="P98" s="991"/>
      <c r="Q98" s="991"/>
    </row>
    <row r="99" spans="1:17">
      <c r="B99" s="964" t="s">
        <v>157</v>
      </c>
      <c r="C99" s="976" t="s">
        <v>61</v>
      </c>
      <c r="D99" s="992">
        <f>D177*dkkPerEUR*D159</f>
        <v>168131600</v>
      </c>
      <c r="E99" s="992">
        <f t="shared" ref="E99:G102" si="3">$D99</f>
        <v>168131600</v>
      </c>
      <c r="F99" s="992">
        <f t="shared" si="3"/>
        <v>168131600</v>
      </c>
      <c r="G99" s="992">
        <f t="shared" si="3"/>
        <v>168131600</v>
      </c>
      <c r="H99" s="1668">
        <v>2011</v>
      </c>
      <c r="I99" s="555"/>
      <c r="J99" s="965"/>
      <c r="N99" s="991"/>
      <c r="O99" s="991"/>
      <c r="P99" s="991"/>
      <c r="Q99" s="991"/>
    </row>
    <row r="100" spans="1:17">
      <c r="B100" s="964" t="s">
        <v>160</v>
      </c>
      <c r="C100" s="976" t="s">
        <v>464</v>
      </c>
      <c r="D100" s="993">
        <f ca="1">SUM(D101:D105)</f>
        <v>11.655695655534764</v>
      </c>
      <c r="E100" s="978">
        <f t="shared" ca="1" si="3"/>
        <v>11.655695655534764</v>
      </c>
      <c r="F100" s="978">
        <f t="shared" ca="1" si="3"/>
        <v>11.655695655534764</v>
      </c>
      <c r="G100" s="978">
        <f t="shared" ca="1" si="3"/>
        <v>11.655695655534764</v>
      </c>
      <c r="H100" s="1668">
        <v>2011</v>
      </c>
      <c r="I100" s="994"/>
      <c r="J100" s="965"/>
      <c r="N100" s="991"/>
      <c r="O100" s="991"/>
      <c r="P100" s="991"/>
      <c r="Q100" s="991"/>
    </row>
    <row r="101" spans="1:17">
      <c r="B101" s="995" t="s">
        <v>162</v>
      </c>
      <c r="C101" s="976" t="s">
        <v>464</v>
      </c>
      <c r="D101" s="993">
        <f ca="1">PMT(rSØK,D34,-D99)/(D32*D33)</f>
        <v>6.2171956555347636</v>
      </c>
      <c r="E101" s="978">
        <f t="shared" ca="1" si="3"/>
        <v>6.2171956555347636</v>
      </c>
      <c r="F101" s="978">
        <f t="shared" ca="1" si="3"/>
        <v>6.2171956555347636</v>
      </c>
      <c r="G101" s="978">
        <f t="shared" ca="1" si="3"/>
        <v>6.2171956555347636</v>
      </c>
      <c r="H101" s="1668">
        <v>2011</v>
      </c>
      <c r="I101" s="994"/>
      <c r="J101" s="965"/>
      <c r="N101" s="991"/>
      <c r="O101" s="991"/>
      <c r="P101" s="991"/>
      <c r="Q101" s="991"/>
    </row>
    <row r="102" spans="1:17">
      <c r="B102" s="995" t="s">
        <v>163</v>
      </c>
      <c r="C102" s="976" t="s">
        <v>464</v>
      </c>
      <c r="D102" s="480">
        <f>IF(D141&gt;0,D177*D141*dkkPerEUR,D178*dkkPerEUR)</f>
        <v>5.4385000000000003</v>
      </c>
      <c r="E102" s="480">
        <f t="shared" si="3"/>
        <v>5.4385000000000003</v>
      </c>
      <c r="F102" s="480">
        <f t="shared" si="3"/>
        <v>5.4385000000000003</v>
      </c>
      <c r="G102" s="480">
        <f t="shared" si="3"/>
        <v>5.4385000000000003</v>
      </c>
      <c r="H102" s="1668">
        <v>2011</v>
      </c>
      <c r="I102" s="555"/>
      <c r="J102" s="965"/>
      <c r="N102" s="991"/>
      <c r="O102" s="991"/>
      <c r="P102" s="991"/>
      <c r="Q102" s="991"/>
    </row>
    <row r="103" spans="1:17">
      <c r="A103" s="530">
        <v>6</v>
      </c>
      <c r="B103" s="995" t="s">
        <v>164</v>
      </c>
      <c r="C103" s="976" t="s">
        <v>464</v>
      </c>
      <c r="D103" s="997"/>
      <c r="E103" s="997"/>
      <c r="F103" s="997"/>
      <c r="G103" s="997"/>
      <c r="H103" s="1668">
        <v>2011</v>
      </c>
      <c r="I103" s="555"/>
      <c r="J103" s="965"/>
      <c r="N103" s="991"/>
      <c r="O103" s="991"/>
      <c r="P103" s="991"/>
      <c r="Q103" s="991"/>
    </row>
    <row r="104" spans="1:17">
      <c r="B104" s="995" t="s">
        <v>264</v>
      </c>
      <c r="C104" s="976" t="s">
        <v>464</v>
      </c>
      <c r="D104" s="997"/>
      <c r="E104" s="997"/>
      <c r="F104" s="997"/>
      <c r="G104" s="997"/>
      <c r="H104" s="1668">
        <v>2011</v>
      </c>
      <c r="I104" s="555"/>
      <c r="J104" s="965"/>
      <c r="N104" s="991"/>
      <c r="O104" s="991"/>
      <c r="P104" s="991"/>
      <c r="Q104" s="991"/>
    </row>
    <row r="105" spans="1:17">
      <c r="B105" s="995" t="s">
        <v>165</v>
      </c>
      <c r="C105" s="976" t="s">
        <v>464</v>
      </c>
      <c r="D105" s="996">
        <f ca="1">-SUMPRODUCT(D36:D55,ProcessEnergy!M34:M53)/D85</f>
        <v>0</v>
      </c>
      <c r="E105" s="996">
        <f ca="1">-SUMPRODUCT(E36:E55,ProcessEnergy!N34:N53)/E85</f>
        <v>0</v>
      </c>
      <c r="F105" s="996">
        <f ca="1">-SUMPRODUCT(F36:F55,ProcessEnergy!O34:O53)/F85</f>
        <v>0</v>
      </c>
      <c r="G105" s="996">
        <f ca="1">-SUMPRODUCT(G36:G55,ProcessEnergy!P34:P53)/G85</f>
        <v>0</v>
      </c>
      <c r="H105" s="1668">
        <v>2011</v>
      </c>
      <c r="I105" s="555"/>
      <c r="J105" s="965"/>
      <c r="N105" s="991"/>
      <c r="O105" s="991"/>
      <c r="P105" s="991"/>
      <c r="Q105" s="991"/>
    </row>
    <row r="106" spans="1:17">
      <c r="B106" s="995"/>
      <c r="C106" s="976"/>
      <c r="D106" s="2311"/>
      <c r="E106" s="2311"/>
      <c r="F106" s="2311"/>
      <c r="G106" s="2311"/>
      <c r="H106" s="983"/>
      <c r="I106" s="994"/>
      <c r="J106" s="965"/>
      <c r="N106" s="991"/>
      <c r="O106" s="991"/>
      <c r="P106" s="991"/>
      <c r="Q106" s="991"/>
    </row>
    <row r="107" spans="1:17">
      <c r="B107" s="975" t="s">
        <v>2113</v>
      </c>
      <c r="C107" s="976"/>
      <c r="D107" s="983"/>
      <c r="E107" s="983"/>
      <c r="F107" s="983"/>
      <c r="G107" s="983"/>
      <c r="H107" s="983"/>
      <c r="I107" s="994"/>
      <c r="J107" s="965"/>
      <c r="N107" s="991"/>
      <c r="O107" s="991"/>
      <c r="P107" s="991"/>
      <c r="Q107" s="991"/>
    </row>
    <row r="108" spans="1:17">
      <c r="B108" s="995" t="s">
        <v>2114</v>
      </c>
      <c r="C108" s="976"/>
      <c r="D108" s="1696">
        <v>0.95</v>
      </c>
      <c r="E108" s="1696">
        <v>0.95</v>
      </c>
      <c r="F108" s="1696">
        <v>0.95</v>
      </c>
      <c r="G108" s="1696">
        <v>0.95</v>
      </c>
      <c r="H108" s="983"/>
      <c r="I108" s="994"/>
      <c r="J108" s="965"/>
      <c r="N108" s="991"/>
      <c r="O108" s="991"/>
      <c r="P108" s="991"/>
      <c r="Q108" s="991"/>
    </row>
    <row r="109" spans="1:17">
      <c r="B109" s="995" t="s">
        <v>2666</v>
      </c>
      <c r="C109" s="976"/>
      <c r="D109" s="478">
        <f ca="1">OFFSET(Supplementary!C$237,MATCH($C$19,Supplementary!$B$238:$B$241,0),0)</f>
        <v>1</v>
      </c>
      <c r="E109" s="478">
        <f ca="1">OFFSET(Supplementary!D$237,MATCH($C$19,Supplementary!$B$238:$B$241,0),0)</f>
        <v>1</v>
      </c>
      <c r="F109" s="478">
        <f ca="1">OFFSET(Supplementary!E$237,MATCH($C$19,Supplementary!$B$238:$B$241,0),0)</f>
        <v>2</v>
      </c>
      <c r="G109" s="478">
        <f ca="1">OFFSET(Supplementary!F$237,MATCH($C$19,Supplementary!$B$238:$B$241,0),0)</f>
        <v>4</v>
      </c>
      <c r="H109" s="983"/>
      <c r="I109" s="994"/>
      <c r="J109" s="965"/>
      <c r="N109" s="991"/>
      <c r="O109" s="991"/>
      <c r="P109" s="991"/>
      <c r="Q109" s="991"/>
    </row>
    <row r="110" spans="1:17">
      <c r="B110" s="995" t="s">
        <v>2115</v>
      </c>
      <c r="C110" s="976"/>
      <c r="D110" s="1698">
        <f ca="1">1*D108^(D109-1)</f>
        <v>1</v>
      </c>
      <c r="E110" s="1698">
        <f ca="1">1*E108^(E109-1)</f>
        <v>1</v>
      </c>
      <c r="F110" s="1698">
        <f ca="1">1*F108^(F109-1)</f>
        <v>0.95</v>
      </c>
      <c r="G110" s="1698">
        <f ca="1">1*G108^(G109-1)</f>
        <v>0.85737499999999989</v>
      </c>
      <c r="H110" s="983"/>
      <c r="I110" s="994"/>
      <c r="J110" s="965"/>
      <c r="N110" s="991"/>
      <c r="O110" s="991"/>
      <c r="P110" s="991"/>
      <c r="Q110" s="991"/>
    </row>
    <row r="111" spans="1:17">
      <c r="B111" s="995"/>
      <c r="C111" s="976"/>
      <c r="D111" s="983"/>
      <c r="E111" s="983"/>
      <c r="F111" s="983"/>
      <c r="G111" s="983"/>
      <c r="H111" s="983"/>
      <c r="I111" s="994"/>
      <c r="J111" s="965"/>
      <c r="N111" s="991"/>
      <c r="O111" s="991"/>
      <c r="P111" s="991"/>
      <c r="Q111" s="991"/>
    </row>
    <row r="112" spans="1:17">
      <c r="B112" s="975" t="s">
        <v>166</v>
      </c>
      <c r="C112" s="976"/>
      <c r="D112" s="983"/>
      <c r="E112" s="983"/>
      <c r="F112" s="983"/>
      <c r="G112" s="983"/>
      <c r="H112" s="983"/>
      <c r="I112" s="994"/>
      <c r="J112" s="965"/>
      <c r="N112" s="998"/>
      <c r="O112" s="998"/>
      <c r="P112" s="998"/>
      <c r="Q112" s="991"/>
    </row>
    <row r="113" spans="2:17">
      <c r="B113" s="964" t="s">
        <v>24</v>
      </c>
      <c r="C113" s="976" t="s">
        <v>465</v>
      </c>
      <c r="D113" s="999">
        <v>0</v>
      </c>
      <c r="E113" s="999">
        <v>0</v>
      </c>
      <c r="F113" s="999">
        <v>0</v>
      </c>
      <c r="G113" s="999"/>
      <c r="H113" s="999"/>
      <c r="I113" s="1335" t="s">
        <v>1747</v>
      </c>
      <c r="J113" s="965"/>
      <c r="N113" s="991"/>
      <c r="O113" s="991"/>
      <c r="P113" s="991"/>
      <c r="Q113" s="991"/>
    </row>
    <row r="114" spans="2:17">
      <c r="B114" s="964" t="s">
        <v>27</v>
      </c>
      <c r="C114" s="976" t="s">
        <v>465</v>
      </c>
      <c r="D114" s="999">
        <v>0</v>
      </c>
      <c r="E114" s="999">
        <v>0</v>
      </c>
      <c r="F114" s="999">
        <v>0</v>
      </c>
      <c r="G114" s="999"/>
      <c r="H114" s="999"/>
      <c r="I114" s="1335" t="s">
        <v>1747</v>
      </c>
      <c r="J114" s="965"/>
      <c r="N114" s="991"/>
      <c r="O114" s="991"/>
      <c r="P114" s="991"/>
      <c r="Q114" s="991"/>
    </row>
    <row r="115" spans="2:17">
      <c r="B115" s="964" t="s">
        <v>28</v>
      </c>
      <c r="C115" s="976" t="s">
        <v>465</v>
      </c>
      <c r="D115" s="999">
        <v>0</v>
      </c>
      <c r="E115" s="999">
        <v>0</v>
      </c>
      <c r="F115" s="999">
        <v>0</v>
      </c>
      <c r="G115" s="999"/>
      <c r="H115" s="999"/>
      <c r="I115" s="1335" t="s">
        <v>1747</v>
      </c>
      <c r="J115" s="965"/>
      <c r="N115" s="991"/>
      <c r="O115" s="991"/>
      <c r="P115" s="991"/>
      <c r="Q115" s="991"/>
    </row>
    <row r="116" spans="2:17">
      <c r="B116" s="964" t="s">
        <v>26</v>
      </c>
      <c r="C116" s="976" t="s">
        <v>465</v>
      </c>
      <c r="D116" s="999">
        <v>0</v>
      </c>
      <c r="E116" s="999">
        <v>0</v>
      </c>
      <c r="F116" s="999">
        <v>0</v>
      </c>
      <c r="G116" s="999"/>
      <c r="H116" s="999"/>
      <c r="I116" s="1335" t="s">
        <v>1747</v>
      </c>
      <c r="J116" s="965"/>
      <c r="N116" s="991"/>
      <c r="O116" s="991"/>
      <c r="P116" s="991"/>
      <c r="Q116" s="991"/>
    </row>
    <row r="117" spans="2:17">
      <c r="B117" s="964" t="s">
        <v>167</v>
      </c>
      <c r="C117" s="976" t="s">
        <v>465</v>
      </c>
      <c r="D117" s="999">
        <v>0</v>
      </c>
      <c r="E117" s="999">
        <v>0</v>
      </c>
      <c r="F117" s="999">
        <v>0</v>
      </c>
      <c r="G117" s="999"/>
      <c r="H117" s="999"/>
      <c r="I117" s="1335" t="s">
        <v>1747</v>
      </c>
      <c r="J117" s="965"/>
      <c r="N117" s="998"/>
      <c r="O117" s="998"/>
      <c r="P117" s="998"/>
      <c r="Q117" s="998"/>
    </row>
    <row r="118" spans="2:17">
      <c r="B118" s="964" t="s">
        <v>45</v>
      </c>
      <c r="C118" s="976" t="s">
        <v>465</v>
      </c>
      <c r="D118" s="1000"/>
      <c r="E118" s="1000"/>
      <c r="F118" s="1000"/>
      <c r="G118" s="1000"/>
      <c r="H118" s="1000"/>
      <c r="I118" s="555"/>
      <c r="J118" s="965"/>
    </row>
    <row r="119" spans="2:17" ht="13.5" thickBot="1">
      <c r="B119" s="1001"/>
      <c r="C119" s="1002"/>
      <c r="D119" s="1003"/>
      <c r="E119" s="968"/>
      <c r="F119" s="968"/>
      <c r="G119" s="968"/>
      <c r="H119" s="968"/>
      <c r="I119" s="1004"/>
      <c r="J119" s="969"/>
    </row>
    <row r="122" spans="2:17" ht="18.75">
      <c r="B122" s="1005" t="s">
        <v>172</v>
      </c>
    </row>
    <row r="123" spans="2:17" ht="15.75">
      <c r="B123" s="1006"/>
      <c r="D123" s="1007"/>
    </row>
    <row r="124" spans="2:17">
      <c r="B124" s="555"/>
      <c r="C124" s="555"/>
      <c r="D124" s="555"/>
      <c r="E124" s="555"/>
      <c r="F124" s="555"/>
      <c r="G124" s="555"/>
      <c r="H124" s="555"/>
      <c r="I124" s="555"/>
      <c r="J124" s="555"/>
      <c r="K124" s="555"/>
      <c r="L124" s="555"/>
    </row>
    <row r="125" spans="2:17">
      <c r="B125" s="555"/>
      <c r="C125" s="977"/>
      <c r="D125" s="977"/>
      <c r="E125" s="977"/>
      <c r="F125" s="977"/>
      <c r="G125" s="977"/>
      <c r="H125" s="977"/>
      <c r="I125" s="555"/>
      <c r="J125" s="977"/>
      <c r="K125" s="977"/>
      <c r="L125" s="977"/>
    </row>
    <row r="126" spans="2:17">
      <c r="B126" s="555"/>
      <c r="C126" s="555"/>
      <c r="D126" s="993"/>
      <c r="E126" s="993"/>
      <c r="F126" s="993"/>
      <c r="G126" s="993"/>
      <c r="H126" s="993"/>
      <c r="I126" s="555"/>
      <c r="J126" s="993"/>
      <c r="K126" s="993"/>
      <c r="L126" s="993"/>
    </row>
    <row r="127" spans="2:17">
      <c r="B127" s="555"/>
      <c r="C127" s="555"/>
      <c r="D127" s="993"/>
      <c r="E127" s="993"/>
      <c r="F127" s="993"/>
      <c r="G127" s="993"/>
      <c r="H127" s="993"/>
      <c r="I127" s="555"/>
      <c r="J127" s="993"/>
      <c r="K127" s="993"/>
      <c r="L127" s="993"/>
    </row>
    <row r="128" spans="2:17">
      <c r="B128" s="555"/>
      <c r="C128" s="555"/>
      <c r="D128" s="993"/>
      <c r="E128" s="993"/>
      <c r="F128" s="993"/>
      <c r="G128" s="993"/>
      <c r="H128" s="993"/>
      <c r="I128" s="555"/>
      <c r="J128" s="993"/>
      <c r="K128" s="993"/>
      <c r="L128" s="993"/>
    </row>
    <row r="129" spans="2:12">
      <c r="D129" s="993"/>
      <c r="E129" s="993"/>
      <c r="F129" s="993"/>
      <c r="G129" s="993"/>
      <c r="H129" s="993"/>
      <c r="I129" s="555"/>
      <c r="J129" s="993"/>
      <c r="K129" s="993"/>
      <c r="L129" s="993"/>
    </row>
    <row r="130" spans="2:12">
      <c r="D130" s="993"/>
      <c r="E130" s="993"/>
      <c r="F130" s="993"/>
      <c r="G130" s="993"/>
      <c r="H130" s="993"/>
      <c r="I130" s="555"/>
      <c r="J130" s="993"/>
      <c r="K130" s="993"/>
      <c r="L130" s="993"/>
    </row>
    <row r="131" spans="2:12">
      <c r="B131" s="555"/>
      <c r="C131" s="555"/>
      <c r="D131" s="993"/>
      <c r="E131" s="993"/>
      <c r="F131" s="993"/>
      <c r="G131" s="993"/>
      <c r="H131" s="993"/>
      <c r="I131" s="555"/>
      <c r="J131" s="993"/>
      <c r="K131" s="993"/>
      <c r="L131" s="993"/>
    </row>
    <row r="132" spans="2:12">
      <c r="B132" s="555"/>
      <c r="C132" s="555"/>
      <c r="D132" s="993"/>
      <c r="E132" s="993"/>
      <c r="F132" s="993"/>
      <c r="G132" s="993"/>
      <c r="H132" s="993"/>
      <c r="I132" s="555"/>
      <c r="J132" s="993"/>
      <c r="K132" s="993"/>
      <c r="L132" s="993"/>
    </row>
    <row r="133" spans="2:12">
      <c r="D133" s="993"/>
    </row>
    <row r="135" spans="2:12" ht="18.75">
      <c r="B135" s="1005" t="s">
        <v>168</v>
      </c>
    </row>
    <row r="136" spans="2:12" ht="15.75">
      <c r="B136" s="1006"/>
    </row>
    <row r="137" spans="2:12" ht="13.5" thickBot="1">
      <c r="B137" s="555"/>
      <c r="C137" s="555"/>
      <c r="D137" s="555"/>
      <c r="E137" s="555"/>
      <c r="F137" s="555"/>
      <c r="G137" s="555"/>
      <c r="H137" s="555"/>
      <c r="I137" s="555"/>
    </row>
    <row r="138" spans="2:12">
      <c r="B138" s="1008"/>
      <c r="C138" s="1009" t="s">
        <v>70</v>
      </c>
      <c r="D138" s="1010">
        <v>2015</v>
      </c>
      <c r="E138" s="1009">
        <v>2020</v>
      </c>
      <c r="F138" s="1009">
        <v>2035</v>
      </c>
      <c r="G138" s="1009"/>
      <c r="H138" s="1009"/>
      <c r="I138" s="1011" t="s">
        <v>145</v>
      </c>
      <c r="J138" s="1012" t="s">
        <v>146</v>
      </c>
    </row>
    <row r="139" spans="2:12">
      <c r="B139" s="964"/>
      <c r="C139" s="977"/>
      <c r="D139" s="1013"/>
      <c r="E139" s="1014"/>
      <c r="F139" s="1014"/>
      <c r="G139" s="1014"/>
      <c r="H139" s="1014"/>
      <c r="I139" s="555"/>
      <c r="J139" s="965"/>
    </row>
    <row r="140" spans="2:12">
      <c r="B140" s="964"/>
      <c r="C140" s="977"/>
      <c r="D140" s="1015"/>
      <c r="E140" s="1016"/>
      <c r="F140" s="1016"/>
      <c r="G140" s="1016"/>
      <c r="H140" s="1016"/>
      <c r="I140" s="555"/>
      <c r="J140" s="965"/>
    </row>
    <row r="141" spans="2:12">
      <c r="B141" s="1336" t="s">
        <v>1747</v>
      </c>
      <c r="C141" s="1335" t="s">
        <v>1747</v>
      </c>
      <c r="D141" s="1058"/>
      <c r="E141" s="1018"/>
      <c r="F141" s="1018"/>
      <c r="G141" s="1018"/>
      <c r="H141" s="1018"/>
      <c r="I141" s="1335" t="s">
        <v>1747</v>
      </c>
      <c r="J141" s="965"/>
    </row>
    <row r="142" spans="2:12">
      <c r="B142" s="964"/>
      <c r="C142" s="977"/>
      <c r="D142" s="1015"/>
      <c r="E142" s="1016"/>
      <c r="F142" s="1016"/>
      <c r="G142" s="1016"/>
      <c r="H142" s="1016"/>
      <c r="I142" s="555"/>
      <c r="J142" s="965"/>
    </row>
    <row r="143" spans="2:12">
      <c r="B143" s="964"/>
      <c r="C143" s="977"/>
      <c r="D143" s="1015"/>
      <c r="E143" s="1016"/>
      <c r="F143" s="1016"/>
      <c r="G143" s="1016"/>
      <c r="H143" s="1016"/>
      <c r="I143" s="555"/>
      <c r="J143" s="965"/>
    </row>
    <row r="144" spans="2:12">
      <c r="B144" s="964" t="s">
        <v>22</v>
      </c>
      <c r="C144" s="977" t="s">
        <v>249</v>
      </c>
      <c r="D144" s="1019"/>
      <c r="E144" s="979"/>
      <c r="F144" s="979"/>
      <c r="G144" s="979"/>
      <c r="H144" s="979"/>
      <c r="I144" s="555"/>
      <c r="J144" s="965"/>
    </row>
    <row r="145" spans="2:10">
      <c r="B145" s="964"/>
      <c r="C145" s="976"/>
      <c r="D145" s="1016"/>
      <c r="E145" s="1016"/>
      <c r="F145" s="1016"/>
      <c r="G145" s="1016"/>
      <c r="H145" s="1016"/>
      <c r="I145" s="555"/>
      <c r="J145" s="965"/>
    </row>
    <row r="146" spans="2:10" ht="13.5" thickBot="1">
      <c r="B146" s="967"/>
      <c r="C146" s="1020"/>
      <c r="D146" s="1021"/>
      <c r="E146" s="1021"/>
      <c r="F146" s="1021"/>
      <c r="G146" s="1021"/>
      <c r="H146" s="1021"/>
      <c r="I146" s="968"/>
      <c r="J146" s="969"/>
    </row>
    <row r="149" spans="2:10" ht="13.5" thickBot="1"/>
    <row r="150" spans="2:10">
      <c r="B150" s="1040"/>
      <c r="C150" s="1340"/>
      <c r="D150" s="1064" t="s">
        <v>1098</v>
      </c>
    </row>
    <row r="151" spans="2:10">
      <c r="B151" s="1065" t="s">
        <v>1095</v>
      </c>
      <c r="C151" s="1367">
        <v>0</v>
      </c>
      <c r="D151" s="1067" t="s">
        <v>1766</v>
      </c>
    </row>
    <row r="152" spans="2:10" ht="13.5" thickBot="1">
      <c r="B152" s="1022" t="s">
        <v>1296</v>
      </c>
      <c r="C152" s="1341">
        <f>(100-D165)/100</f>
        <v>7.2000000000000022E-2</v>
      </c>
      <c r="D152" s="1342" t="s">
        <v>1766</v>
      </c>
    </row>
    <row r="153" spans="2:10">
      <c r="B153" s="530" t="str">
        <f>CONCATENATE("Source: ",Referencer!$B$48)</f>
        <v>Source: 42, FORCE, Danish Energy Agency, 2013, Technology data for advanced bioenergy fuels.</v>
      </c>
    </row>
    <row r="154" spans="2:10" ht="13.5" thickBot="1">
      <c r="B154" s="968"/>
    </row>
    <row r="155" spans="2:10" ht="18.75">
      <c r="B155" s="1023" t="s">
        <v>1290</v>
      </c>
      <c r="C155" s="1024"/>
      <c r="D155" s="1025"/>
      <c r="E155" s="1025"/>
      <c r="F155" s="1025"/>
      <c r="G155" s="1025"/>
      <c r="H155" s="1025"/>
      <c r="I155" s="1025"/>
      <c r="J155" s="1026"/>
    </row>
    <row r="156" spans="2:10" ht="15">
      <c r="B156" s="1026" t="s">
        <v>366</v>
      </c>
      <c r="C156" s="1027"/>
      <c r="D156" s="1028">
        <v>2015</v>
      </c>
      <c r="E156" s="1028">
        <v>2020</v>
      </c>
      <c r="F156" s="1028">
        <v>2035</v>
      </c>
      <c r="G156" s="1028">
        <v>2050</v>
      </c>
      <c r="H156" s="1028"/>
      <c r="I156" s="1028" t="s">
        <v>1098</v>
      </c>
      <c r="J156" s="1338"/>
    </row>
    <row r="157" spans="2:10" ht="15">
      <c r="B157" s="1029" t="s">
        <v>1099</v>
      </c>
      <c r="C157" s="1030"/>
      <c r="D157" s="1027" t="s">
        <v>366</v>
      </c>
      <c r="E157" s="1027" t="s">
        <v>366</v>
      </c>
      <c r="F157" s="1027" t="s">
        <v>366</v>
      </c>
      <c r="G157" s="1027" t="s">
        <v>366</v>
      </c>
      <c r="H157" s="1027"/>
      <c r="I157" s="1027"/>
      <c r="J157" s="1026"/>
    </row>
    <row r="158" spans="2:10" ht="15">
      <c r="B158" s="1026" t="s">
        <v>1297</v>
      </c>
      <c r="C158" s="1027"/>
      <c r="D158" s="1368">
        <v>100000</v>
      </c>
      <c r="E158" s="1285" t="s">
        <v>1101</v>
      </c>
      <c r="F158" s="1031"/>
      <c r="G158" s="1031"/>
      <c r="H158" s="1031"/>
      <c r="I158" s="1032" t="s">
        <v>1766</v>
      </c>
      <c r="J158" s="1339"/>
    </row>
    <row r="159" spans="2:10" ht="15">
      <c r="B159" s="1026" t="s">
        <v>1298</v>
      </c>
      <c r="C159" s="1027"/>
      <c r="D159" s="1368">
        <v>2170000</v>
      </c>
      <c r="E159" s="1285" t="s">
        <v>1101</v>
      </c>
      <c r="F159" s="1031"/>
      <c r="G159" s="1031"/>
      <c r="H159" s="1031"/>
      <c r="I159" s="1032"/>
      <c r="J159" s="1339"/>
    </row>
    <row r="160" spans="2:10" ht="15">
      <c r="B160" s="1026" t="s">
        <v>1299</v>
      </c>
      <c r="C160" s="1027"/>
      <c r="D160" s="1375">
        <v>1.034</v>
      </c>
      <c r="E160" s="1285" t="s">
        <v>1101</v>
      </c>
      <c r="F160" s="1031"/>
      <c r="G160" s="1031"/>
      <c r="H160" s="1031"/>
      <c r="I160" s="1032"/>
      <c r="J160" s="1339"/>
    </row>
    <row r="161" spans="2:10" ht="15">
      <c r="B161" s="1026" t="s">
        <v>1300</v>
      </c>
      <c r="C161" s="1027"/>
      <c r="D161" s="1375">
        <v>2.7</v>
      </c>
      <c r="E161" s="1285" t="s">
        <v>1101</v>
      </c>
      <c r="F161" s="1031"/>
      <c r="G161" s="1031"/>
      <c r="H161" s="1031"/>
      <c r="I161" s="1032"/>
      <c r="J161" s="1339"/>
    </row>
    <row r="162" spans="2:10" ht="15">
      <c r="B162" s="1026" t="s">
        <v>1301</v>
      </c>
      <c r="C162" s="1027"/>
      <c r="D162" s="1375">
        <v>1.034</v>
      </c>
      <c r="E162" s="1285" t="s">
        <v>1101</v>
      </c>
      <c r="F162" s="1031"/>
      <c r="G162" s="1031"/>
      <c r="H162" s="1031"/>
      <c r="I162" s="1032"/>
      <c r="J162" s="1339"/>
    </row>
    <row r="163" spans="2:10" ht="15">
      <c r="B163" s="1026" t="s">
        <v>1302</v>
      </c>
      <c r="C163" s="1027"/>
      <c r="D163" s="1375">
        <v>4.3999999999999997E-2</v>
      </c>
      <c r="E163" s="1285" t="s">
        <v>1101</v>
      </c>
      <c r="F163" s="1031"/>
      <c r="G163" s="1031"/>
      <c r="H163" s="1031"/>
      <c r="I163" s="1032"/>
      <c r="J163" s="1339"/>
    </row>
    <row r="164" spans="2:10" ht="15">
      <c r="B164" s="1026" t="s">
        <v>1303</v>
      </c>
      <c r="C164" s="1027"/>
      <c r="D164" s="1370">
        <v>92.8</v>
      </c>
      <c r="E164" s="1285" t="s">
        <v>1101</v>
      </c>
      <c r="F164" s="1031"/>
      <c r="G164" s="1031"/>
      <c r="H164" s="1031"/>
      <c r="I164" s="1032"/>
      <c r="J164" s="1339"/>
    </row>
    <row r="165" spans="2:10" ht="15">
      <c r="B165" s="1026" t="s">
        <v>1107</v>
      </c>
      <c r="C165" s="1027"/>
      <c r="D165" s="1370">
        <v>92.8</v>
      </c>
      <c r="E165" s="1285" t="s">
        <v>1101</v>
      </c>
      <c r="F165" s="1031"/>
      <c r="G165" s="1031"/>
      <c r="H165" s="1031"/>
      <c r="I165" s="1032"/>
      <c r="J165" s="1339"/>
    </row>
    <row r="166" spans="2:10" ht="15">
      <c r="B166" s="1026"/>
      <c r="C166" s="1027"/>
      <c r="D166" s="1370"/>
      <c r="E166" s="1031"/>
      <c r="F166" s="1031"/>
      <c r="G166" s="1031"/>
      <c r="H166" s="1031"/>
      <c r="I166" s="1032"/>
      <c r="J166" s="1339"/>
    </row>
    <row r="167" spans="2:10" ht="15">
      <c r="B167" s="1026"/>
      <c r="C167" s="1027"/>
      <c r="D167" s="1370"/>
      <c r="E167" s="1031"/>
      <c r="F167" s="1031"/>
      <c r="G167" s="1031"/>
      <c r="H167" s="1031"/>
      <c r="I167" s="1032"/>
      <c r="J167" s="1339"/>
    </row>
    <row r="168" spans="2:10" ht="15">
      <c r="B168" s="1026"/>
      <c r="C168" s="1027"/>
      <c r="D168" s="1370"/>
      <c r="E168" s="1031"/>
      <c r="F168" s="1031"/>
      <c r="G168" s="1031"/>
      <c r="H168" s="1031"/>
      <c r="I168" s="1032"/>
      <c r="J168" s="1339"/>
    </row>
    <row r="169" spans="2:10" ht="15">
      <c r="B169" s="1026"/>
      <c r="C169" s="1027"/>
      <c r="D169" s="1370"/>
      <c r="E169" s="1031"/>
      <c r="F169" s="1031"/>
      <c r="G169" s="1031"/>
      <c r="H169" s="1031"/>
      <c r="I169" s="1032"/>
      <c r="J169" s="1339"/>
    </row>
    <row r="170" spans="2:10" ht="15">
      <c r="B170" s="1026"/>
      <c r="C170" s="1027"/>
      <c r="D170" s="1370"/>
      <c r="E170" s="1031"/>
      <c r="F170" s="1031"/>
      <c r="G170" s="1031"/>
      <c r="H170" s="1031"/>
      <c r="I170" s="1032"/>
      <c r="J170" s="1339"/>
    </row>
    <row r="171" spans="2:10" ht="15">
      <c r="B171" s="1026"/>
      <c r="C171" s="1027"/>
      <c r="D171" s="1370"/>
      <c r="E171" s="1031"/>
      <c r="F171" s="1031"/>
      <c r="G171" s="1031"/>
      <c r="H171" s="1031"/>
      <c r="I171" s="1032"/>
      <c r="J171" s="1339"/>
    </row>
    <row r="172" spans="2:10" ht="15">
      <c r="B172" s="1026"/>
      <c r="C172" s="1027"/>
      <c r="D172" s="1370"/>
      <c r="E172" s="1031"/>
      <c r="F172" s="1031"/>
      <c r="G172" s="1031"/>
      <c r="H172" s="1031"/>
      <c r="I172" s="1032"/>
      <c r="J172" s="1339"/>
    </row>
    <row r="173" spans="2:10" ht="15">
      <c r="B173" s="1026"/>
      <c r="C173" s="1027"/>
      <c r="D173" s="1370"/>
      <c r="E173" s="1031"/>
      <c r="F173" s="1031"/>
      <c r="G173" s="1031"/>
      <c r="H173" s="1031"/>
      <c r="I173" s="1032"/>
      <c r="J173" s="1339"/>
    </row>
    <row r="174" spans="2:10" ht="15">
      <c r="B174" s="1026"/>
      <c r="C174" s="1027"/>
      <c r="D174" s="1370"/>
      <c r="E174" s="1031"/>
      <c r="F174" s="1031"/>
      <c r="G174" s="1031"/>
      <c r="H174" s="1031"/>
      <c r="I174" s="1032"/>
      <c r="J174" s="1339"/>
    </row>
    <row r="175" spans="2:10" ht="15">
      <c r="B175" s="1026" t="s">
        <v>366</v>
      </c>
      <c r="C175" s="1027"/>
      <c r="D175" s="1370" t="s">
        <v>366</v>
      </c>
      <c r="E175" s="1027" t="s">
        <v>366</v>
      </c>
      <c r="F175" s="1027"/>
      <c r="G175" s="1027"/>
      <c r="H175" s="1027"/>
      <c r="I175" s="1032"/>
      <c r="J175" s="1339"/>
    </row>
    <row r="176" spans="2:10" ht="15">
      <c r="B176" s="1029" t="s">
        <v>1109</v>
      </c>
      <c r="C176" s="1030"/>
      <c r="D176" s="1370" t="s">
        <v>366</v>
      </c>
      <c r="E176" s="1027" t="s">
        <v>366</v>
      </c>
      <c r="F176" s="1027"/>
      <c r="G176" s="1027"/>
      <c r="H176" s="1027"/>
      <c r="I176" s="1032"/>
      <c r="J176" s="1339"/>
    </row>
    <row r="177" spans="2:10" ht="15">
      <c r="B177" s="1026" t="s">
        <v>1304</v>
      </c>
      <c r="C177" s="1027"/>
      <c r="D177" s="1370">
        <v>10.4</v>
      </c>
      <c r="E177" s="1031" t="s">
        <v>1101</v>
      </c>
      <c r="F177" s="1031"/>
      <c r="G177" s="1031"/>
      <c r="H177" s="1031"/>
      <c r="I177" s="1032"/>
      <c r="J177" s="1339"/>
    </row>
    <row r="178" spans="2:10" ht="15.75" thickBot="1">
      <c r="B178" s="1033" t="s">
        <v>1305</v>
      </c>
      <c r="C178" s="1034"/>
      <c r="D178" s="1374">
        <v>0.73</v>
      </c>
      <c r="E178" s="1035" t="s">
        <v>1101</v>
      </c>
      <c r="F178" s="1035"/>
      <c r="G178" s="1035"/>
      <c r="H178" s="1035"/>
      <c r="I178" s="1036"/>
      <c r="J178" s="1339"/>
    </row>
    <row r="179" spans="2:10">
      <c r="B179" s="530" t="str">
        <f>CONCATENATE("Source: ",Referencer!$B$48)</f>
        <v>Source: 42, FORCE, Danish Energy Agency, 2013, Technology data for advanced bioenergy fuels.</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Supplementary!$B$238:$B$241</xm:f>
          </x14:formula1>
          <xm:sqref>C19</xm:sqref>
        </x14:dataValidation>
      </x14:dataValidation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tabColor rgb="FF00B0F0"/>
  </sheetPr>
  <dimension ref="A1:S189"/>
  <sheetViews>
    <sheetView topLeftCell="A56" zoomScale="80" zoomScaleNormal="80" workbookViewId="0">
      <selection activeCell="D105" sqref="D105:G105"/>
    </sheetView>
  </sheetViews>
  <sheetFormatPr defaultRowHeight="12.75"/>
  <cols>
    <col min="1" max="1" width="3.28515625" style="530" customWidth="1"/>
    <col min="2" max="2" width="36" style="530" customWidth="1"/>
    <col min="3" max="3" width="34.28515625" style="530" customWidth="1"/>
    <col min="4" max="8" width="15.7109375" style="530" customWidth="1"/>
    <col min="9" max="9" width="7.28515625" style="530" customWidth="1"/>
    <col min="10" max="10" width="12.7109375" style="530" customWidth="1"/>
    <col min="11" max="14" width="9.140625" style="530"/>
    <col min="15" max="17" width="9.28515625" style="530" bestFit="1" customWidth="1"/>
    <col min="18" max="19" width="9.42578125" style="530" bestFit="1" customWidth="1"/>
    <col min="20" max="16384" width="9.140625" style="530"/>
  </cols>
  <sheetData>
    <row r="1" spans="1:19" s="465" customFormat="1" ht="21">
      <c r="B1" s="465" t="str">
        <f>B155</f>
        <v>Bio-liquid by REnescience technology</v>
      </c>
      <c r="Q1" s="467">
        <f ca="1">'Log2015'!M1</f>
        <v>-8.0112614142160741</v>
      </c>
      <c r="R1" s="468">
        <f ca="1">'Log2015'!N1</f>
        <v>-160807.124977848</v>
      </c>
    </row>
    <row r="2" spans="1:19">
      <c r="B2" s="530" t="s">
        <v>1306</v>
      </c>
      <c r="Q2" s="958">
        <f ca="1">Q1</f>
        <v>-8.0112614142160741</v>
      </c>
      <c r="R2" s="958">
        <f ca="1">R1</f>
        <v>-160807.124977848</v>
      </c>
      <c r="S2" s="959">
        <f>S1</f>
        <v>0</v>
      </c>
    </row>
    <row r="3" spans="1:19">
      <c r="A3" s="530" t="s">
        <v>1078</v>
      </c>
    </row>
    <row r="4" spans="1:19">
      <c r="B4" s="960" t="s">
        <v>81</v>
      </c>
    </row>
    <row r="5" spans="1:19" ht="13.5" thickBot="1"/>
    <row r="6" spans="1:19">
      <c r="B6" s="961" t="s">
        <v>137</v>
      </c>
      <c r="C6" s="962"/>
      <c r="D6" s="962"/>
      <c r="E6" s="962"/>
      <c r="F6" s="962"/>
      <c r="G6" s="962"/>
      <c r="H6" s="962"/>
      <c r="I6" s="962"/>
      <c r="J6" s="962"/>
      <c r="K6" s="962"/>
      <c r="L6" s="962"/>
      <c r="M6" s="962"/>
      <c r="N6" s="963"/>
    </row>
    <row r="7" spans="1:19">
      <c r="B7" s="964"/>
      <c r="C7" s="555"/>
      <c r="D7" s="555"/>
      <c r="E7" s="555"/>
      <c r="F7" s="555"/>
      <c r="G7" s="555"/>
      <c r="H7" s="555"/>
      <c r="I7" s="555"/>
      <c r="J7" s="555"/>
      <c r="K7" s="555"/>
      <c r="L7" s="555"/>
      <c r="M7" s="555"/>
      <c r="N7" s="965"/>
    </row>
    <row r="8" spans="1:19">
      <c r="B8" s="964"/>
      <c r="C8" s="555"/>
      <c r="D8" s="555"/>
      <c r="E8" s="555"/>
      <c r="F8" s="555"/>
      <c r="G8" s="555"/>
      <c r="H8" s="555"/>
      <c r="I8" s="555"/>
      <c r="J8" s="555"/>
      <c r="K8" s="555"/>
      <c r="L8" s="555"/>
      <c r="M8" s="555"/>
      <c r="N8" s="965"/>
    </row>
    <row r="9" spans="1:19">
      <c r="B9" s="964"/>
      <c r="C9" s="555"/>
      <c r="D9" s="555"/>
      <c r="E9" s="555"/>
      <c r="F9" s="555"/>
      <c r="G9" s="555"/>
      <c r="H9" s="555"/>
      <c r="I9" s="555"/>
      <c r="J9" s="555"/>
      <c r="K9" s="555"/>
      <c r="L9" s="555"/>
      <c r="M9" s="555"/>
      <c r="N9" s="965"/>
    </row>
    <row r="10" spans="1:19">
      <c r="B10" s="964"/>
      <c r="C10" s="555"/>
      <c r="D10" s="555"/>
      <c r="E10" s="555"/>
      <c r="F10" s="555"/>
      <c r="G10" s="555"/>
      <c r="H10" s="555"/>
      <c r="I10" s="555"/>
      <c r="J10" s="555"/>
      <c r="K10" s="555"/>
      <c r="L10" s="555"/>
      <c r="M10" s="555"/>
      <c r="N10" s="965"/>
    </row>
    <row r="11" spans="1:19">
      <c r="B11" s="964" t="s">
        <v>138</v>
      </c>
      <c r="C11" s="1056" t="s">
        <v>1307</v>
      </c>
      <c r="D11" s="555"/>
      <c r="E11" s="555"/>
      <c r="F11" s="555"/>
      <c r="G11" s="555"/>
      <c r="H11" s="555"/>
      <c r="I11" s="555"/>
      <c r="J11" s="555"/>
      <c r="K11" s="555"/>
      <c r="L11" s="555"/>
      <c r="M11" s="555"/>
      <c r="N11" s="965"/>
    </row>
    <row r="12" spans="1:19">
      <c r="B12" s="964"/>
      <c r="C12" s="555"/>
      <c r="D12" s="555"/>
      <c r="E12" s="555"/>
      <c r="F12" s="555"/>
      <c r="G12" s="555"/>
      <c r="H12" s="555"/>
      <c r="I12" s="555"/>
      <c r="J12" s="555"/>
      <c r="K12" s="555"/>
      <c r="L12" s="555"/>
      <c r="M12" s="555"/>
      <c r="N12" s="965"/>
    </row>
    <row r="13" spans="1:19">
      <c r="B13" s="964" t="s">
        <v>140</v>
      </c>
      <c r="C13" s="1057" t="s">
        <v>1308</v>
      </c>
      <c r="D13" s="555"/>
      <c r="E13" s="555"/>
      <c r="F13" s="555"/>
      <c r="G13" s="555"/>
      <c r="H13" s="555"/>
      <c r="I13" s="555"/>
      <c r="J13" s="555"/>
      <c r="K13" s="555"/>
      <c r="L13" s="555"/>
      <c r="M13" s="555"/>
      <c r="N13" s="965"/>
    </row>
    <row r="14" spans="1:19">
      <c r="B14" s="964"/>
      <c r="C14" s="555"/>
      <c r="D14" s="555"/>
      <c r="E14" s="555"/>
      <c r="F14" s="555"/>
      <c r="G14" s="555"/>
      <c r="H14" s="555"/>
      <c r="I14" s="555"/>
      <c r="J14" s="555"/>
      <c r="K14" s="555"/>
      <c r="L14" s="555"/>
      <c r="M14" s="555"/>
      <c r="N14" s="965"/>
    </row>
    <row r="15" spans="1:19">
      <c r="B15" s="964" t="s">
        <v>141</v>
      </c>
      <c r="C15" s="555"/>
      <c r="D15" s="555"/>
      <c r="E15" s="555"/>
      <c r="F15" s="555"/>
      <c r="G15" s="555"/>
      <c r="H15" s="555"/>
      <c r="I15" s="555"/>
      <c r="J15" s="555"/>
      <c r="K15" s="555"/>
      <c r="L15" s="555"/>
      <c r="M15" s="555"/>
      <c r="N15" s="965"/>
    </row>
    <row r="16" spans="1:19">
      <c r="B16" s="964"/>
      <c r="C16" s="555"/>
      <c r="D16" s="555"/>
      <c r="E16" s="555"/>
      <c r="F16" s="555"/>
      <c r="G16" s="555"/>
      <c r="H16" s="555"/>
      <c r="I16" s="555"/>
      <c r="J16" s="555"/>
      <c r="K16" s="555"/>
      <c r="L16" s="555"/>
      <c r="M16" s="555"/>
      <c r="N16" s="965"/>
    </row>
    <row r="17" spans="2:14">
      <c r="B17" s="964" t="s">
        <v>142</v>
      </c>
      <c r="C17" s="555"/>
      <c r="D17" s="555"/>
      <c r="E17" s="555"/>
      <c r="F17" s="555"/>
      <c r="G17" s="555"/>
      <c r="H17" s="555"/>
      <c r="I17" s="555"/>
      <c r="J17" s="555"/>
      <c r="K17" s="555"/>
      <c r="L17" s="555"/>
      <c r="M17" s="555"/>
      <c r="N17" s="965"/>
    </row>
    <row r="18" spans="2:14">
      <c r="B18" s="964"/>
      <c r="C18" s="555"/>
      <c r="D18" s="555"/>
      <c r="E18" s="555"/>
      <c r="F18" s="555"/>
      <c r="G18" s="555"/>
      <c r="H18" s="555"/>
      <c r="I18" s="555"/>
      <c r="J18" s="555"/>
      <c r="K18" s="555"/>
      <c r="L18" s="555"/>
      <c r="M18" s="555"/>
      <c r="N18" s="965"/>
    </row>
    <row r="19" spans="2:14">
      <c r="B19" s="964" t="s">
        <v>2131</v>
      </c>
      <c r="C19" s="1693" t="s">
        <v>2122</v>
      </c>
      <c r="D19" s="555"/>
      <c r="E19" s="555"/>
      <c r="F19" s="555"/>
      <c r="G19" s="555"/>
      <c r="H19" s="555"/>
      <c r="I19" s="555"/>
      <c r="J19" s="555"/>
      <c r="K19" s="555"/>
      <c r="L19" s="555"/>
      <c r="M19" s="555"/>
      <c r="N19" s="965"/>
    </row>
    <row r="20" spans="2:14">
      <c r="B20" s="964"/>
      <c r="C20" s="555"/>
      <c r="D20" s="555"/>
      <c r="E20" s="555"/>
      <c r="F20" s="555"/>
      <c r="G20" s="555"/>
      <c r="H20" s="555"/>
      <c r="I20" s="555"/>
      <c r="J20" s="555"/>
      <c r="K20" s="555"/>
      <c r="L20" s="555"/>
      <c r="M20" s="555"/>
      <c r="N20" s="965"/>
    </row>
    <row r="21" spans="2:14">
      <c r="B21" s="964"/>
      <c r="C21" s="555"/>
      <c r="D21" s="555"/>
      <c r="E21" s="555"/>
      <c r="F21" s="555"/>
      <c r="G21" s="555"/>
      <c r="H21" s="555"/>
      <c r="I21" s="555"/>
      <c r="J21" s="555"/>
      <c r="K21" s="555"/>
      <c r="L21" s="555"/>
      <c r="M21" s="555"/>
      <c r="N21" s="965"/>
    </row>
    <row r="22" spans="2:14">
      <c r="B22" s="964" t="s">
        <v>143</v>
      </c>
      <c r="C22" s="555"/>
      <c r="D22" s="555"/>
      <c r="E22" s="555"/>
      <c r="F22" s="555"/>
      <c r="G22" s="555"/>
      <c r="H22" s="555"/>
      <c r="I22" s="555"/>
      <c r="J22" s="555"/>
      <c r="K22" s="555"/>
      <c r="L22" s="555"/>
      <c r="M22" s="555"/>
      <c r="N22" s="965"/>
    </row>
    <row r="23" spans="2:14">
      <c r="B23" s="964"/>
      <c r="C23" s="555"/>
      <c r="D23" s="555"/>
      <c r="E23" s="555"/>
      <c r="F23" s="555"/>
      <c r="G23" s="555"/>
      <c r="H23" s="555"/>
      <c r="I23" s="555"/>
      <c r="J23" s="555"/>
      <c r="K23" s="555"/>
      <c r="L23" s="555"/>
      <c r="M23" s="555"/>
      <c r="N23" s="965"/>
    </row>
    <row r="24" spans="2:14" ht="13.5" thickBot="1">
      <c r="B24" s="967"/>
      <c r="C24" s="968"/>
      <c r="D24" s="968"/>
      <c r="E24" s="968"/>
      <c r="F24" s="968"/>
      <c r="G24" s="968"/>
      <c r="H24" s="968"/>
      <c r="I24" s="968"/>
      <c r="J24" s="968"/>
      <c r="K24" s="968"/>
      <c r="L24" s="968"/>
      <c r="M24" s="968"/>
      <c r="N24" s="969"/>
    </row>
    <row r="25" spans="2:14">
      <c r="F25" s="529"/>
      <c r="G25" s="529"/>
      <c r="H25" s="529"/>
    </row>
    <row r="26" spans="2:14">
      <c r="B26" s="960" t="s">
        <v>144</v>
      </c>
    </row>
    <row r="27" spans="2:14" ht="13.5" thickBot="1"/>
    <row r="28" spans="2:14">
      <c r="B28" s="961"/>
      <c r="C28" s="970"/>
      <c r="D28" s="962"/>
      <c r="E28" s="962"/>
      <c r="F28" s="962"/>
      <c r="G28" s="962"/>
      <c r="H28" s="962"/>
      <c r="I28" s="962"/>
      <c r="J28" s="963"/>
    </row>
    <row r="29" spans="2:14">
      <c r="B29" s="971"/>
      <c r="C29" s="972" t="s">
        <v>70</v>
      </c>
      <c r="D29" s="973">
        <v>2015</v>
      </c>
      <c r="E29" s="973">
        <v>2020</v>
      </c>
      <c r="F29" s="973">
        <v>2035</v>
      </c>
      <c r="G29" s="973">
        <v>2050</v>
      </c>
      <c r="H29" s="973" t="s">
        <v>978</v>
      </c>
      <c r="I29" s="556" t="s">
        <v>145</v>
      </c>
      <c r="J29" s="974" t="s">
        <v>146</v>
      </c>
    </row>
    <row r="30" spans="2:14">
      <c r="B30" s="975" t="s">
        <v>147</v>
      </c>
      <c r="C30" s="976"/>
      <c r="D30" s="977"/>
      <c r="E30" s="977"/>
      <c r="F30" s="977"/>
      <c r="G30" s="977"/>
      <c r="H30" s="977"/>
      <c r="I30" s="555"/>
      <c r="J30" s="965"/>
    </row>
    <row r="31" spans="2:14">
      <c r="B31" s="964" t="s">
        <v>148</v>
      </c>
      <c r="C31" s="976" t="s">
        <v>1309</v>
      </c>
      <c r="D31" s="1381">
        <f>1/D161/D32</f>
        <v>1.6908157004670257</v>
      </c>
      <c r="E31" s="1381">
        <f>$D31</f>
        <v>1.6908157004670257</v>
      </c>
      <c r="F31" s="1381">
        <f>$D31</f>
        <v>1.6908157004670257</v>
      </c>
      <c r="G31" s="1381">
        <f>$D31</f>
        <v>1.6908157004670257</v>
      </c>
      <c r="H31" s="1333"/>
      <c r="I31" s="555"/>
      <c r="J31" s="965"/>
    </row>
    <row r="32" spans="2:14">
      <c r="B32" s="964" t="s">
        <v>67</v>
      </c>
      <c r="C32" s="976" t="s">
        <v>1310</v>
      </c>
      <c r="D32" s="979">
        <f>D159/D158</f>
        <v>1.6898014705882354</v>
      </c>
      <c r="E32" s="978">
        <f t="shared" ref="E32:G34" si="0">$D32</f>
        <v>1.6898014705882354</v>
      </c>
      <c r="F32" s="978">
        <f t="shared" si="0"/>
        <v>1.6898014705882354</v>
      </c>
      <c r="G32" s="978">
        <f t="shared" si="0"/>
        <v>1.6898014705882354</v>
      </c>
      <c r="H32" s="978"/>
      <c r="I32" s="555"/>
      <c r="J32" s="965"/>
    </row>
    <row r="33" spans="2:10">
      <c r="B33" s="964" t="s">
        <v>149</v>
      </c>
      <c r="C33" s="976" t="s">
        <v>1311</v>
      </c>
      <c r="D33" s="1396">
        <f>D158</f>
        <v>136000</v>
      </c>
      <c r="E33" s="1396">
        <f t="shared" si="0"/>
        <v>136000</v>
      </c>
      <c r="F33" s="1396">
        <f t="shared" si="0"/>
        <v>136000</v>
      </c>
      <c r="G33" s="1396">
        <f t="shared" si="0"/>
        <v>136000</v>
      </c>
      <c r="H33" s="1397"/>
      <c r="I33" s="555"/>
      <c r="J33" s="965"/>
    </row>
    <row r="34" spans="2:10">
      <c r="B34" s="964" t="s">
        <v>150</v>
      </c>
      <c r="C34" s="976" t="s">
        <v>34</v>
      </c>
      <c r="D34" s="1359">
        <f>20</f>
        <v>20</v>
      </c>
      <c r="E34" s="1359">
        <f t="shared" si="0"/>
        <v>20</v>
      </c>
      <c r="F34" s="1359">
        <f t="shared" si="0"/>
        <v>20</v>
      </c>
      <c r="G34" s="1359">
        <f t="shared" si="0"/>
        <v>20</v>
      </c>
      <c r="H34" s="1332"/>
      <c r="I34" s="555"/>
      <c r="J34" s="965" t="s">
        <v>1087</v>
      </c>
    </row>
    <row r="35" spans="2:10">
      <c r="B35" s="964"/>
      <c r="C35" s="981"/>
      <c r="D35" s="982"/>
      <c r="E35" s="983"/>
      <c r="F35" s="983"/>
      <c r="G35" s="983"/>
      <c r="H35" s="983"/>
      <c r="I35" s="555"/>
      <c r="J35" s="965"/>
    </row>
    <row r="36" spans="2:10">
      <c r="B36" s="975" t="s">
        <v>151</v>
      </c>
      <c r="C36" s="981"/>
      <c r="D36" s="982"/>
      <c r="E36" s="983"/>
      <c r="F36" s="983"/>
      <c r="G36" s="983"/>
      <c r="H36" s="983"/>
      <c r="I36" s="555"/>
      <c r="J36" s="965"/>
    </row>
    <row r="37" spans="2:10">
      <c r="B37" s="964" t="str">
        <f>ProcessEnergy!B35</f>
        <v xml:space="preserve">Green diesel </v>
      </c>
      <c r="C37" s="976" t="s">
        <v>1312</v>
      </c>
      <c r="D37" s="987">
        <f>D187%</f>
        <v>0.54054054054054046</v>
      </c>
      <c r="E37" s="978">
        <f>$D37</f>
        <v>0.54054054054054046</v>
      </c>
      <c r="F37" s="978">
        <f>$D37</f>
        <v>0.54054054054054046</v>
      </c>
      <c r="G37" s="978">
        <f>$D37</f>
        <v>0.54054054054054046</v>
      </c>
      <c r="H37" s="984"/>
      <c r="I37" s="555"/>
      <c r="J37" s="965" t="s">
        <v>2441</v>
      </c>
    </row>
    <row r="38" spans="2:10">
      <c r="B38" s="985" t="str">
        <f>ProcessEnergy!B36</f>
        <v>Green gasoline</v>
      </c>
      <c r="C38" s="976"/>
      <c r="D38" s="987"/>
      <c r="E38" s="984"/>
      <c r="F38" s="984"/>
      <c r="G38" s="984"/>
      <c r="H38" s="984"/>
      <c r="I38" s="555"/>
      <c r="J38" s="965"/>
    </row>
    <row r="39" spans="2:10">
      <c r="B39" s="985" t="str">
        <f>ProcessEnergy!B37</f>
        <v>Electricity - balancing</v>
      </c>
      <c r="C39" s="976"/>
      <c r="D39" s="987"/>
      <c r="E39" s="984"/>
      <c r="F39" s="984"/>
      <c r="G39" s="984"/>
      <c r="H39" s="984"/>
      <c r="I39" s="555"/>
      <c r="J39" s="965"/>
    </row>
    <row r="40" spans="2:10">
      <c r="B40" s="985" t="str">
        <f>ProcessEnergy!B38</f>
        <v>Electricity  - continous</v>
      </c>
      <c r="C40" s="976"/>
      <c r="D40" s="987"/>
      <c r="E40" s="984"/>
      <c r="F40" s="984"/>
      <c r="G40" s="984"/>
      <c r="H40" s="984"/>
      <c r="I40" s="555"/>
      <c r="J40" s="965"/>
    </row>
    <row r="41" spans="2:10">
      <c r="B41" s="985" t="str">
        <f>ProcessEnergy!B39</f>
        <v>Elec/heat fuel</v>
      </c>
      <c r="C41" s="976"/>
      <c r="D41" s="987"/>
      <c r="E41" s="984"/>
      <c r="F41" s="984"/>
      <c r="G41" s="984"/>
      <c r="H41" s="984"/>
      <c r="I41" s="555"/>
      <c r="J41" s="965"/>
    </row>
    <row r="42" spans="2:10">
      <c r="B42" s="985" t="str">
        <f>ProcessEnergy!B40</f>
        <v>Biogas (100% CH4)</v>
      </c>
      <c r="C42" s="976"/>
      <c r="D42" s="987"/>
      <c r="E42" s="984"/>
      <c r="F42" s="984"/>
      <c r="G42" s="984"/>
      <c r="H42" s="984"/>
      <c r="I42" s="555"/>
      <c r="J42" s="965"/>
    </row>
    <row r="43" spans="2:10">
      <c r="B43" s="985" t="str">
        <f>ProcessEnergy!B41</f>
        <v>District heating</v>
      </c>
      <c r="C43" s="976" t="s">
        <v>1312</v>
      </c>
      <c r="D43" s="987">
        <f>C151*C152</f>
        <v>0</v>
      </c>
      <c r="E43" s="978">
        <f>$D43</f>
        <v>0</v>
      </c>
      <c r="F43" s="978">
        <f>$D43</f>
        <v>0</v>
      </c>
      <c r="G43" s="978">
        <f>$D43</f>
        <v>0</v>
      </c>
      <c r="H43" s="978"/>
      <c r="I43" s="555"/>
      <c r="J43" s="965"/>
    </row>
    <row r="44" spans="2:10">
      <c r="B44" s="985" t="str">
        <f>ProcessEnergy!B42</f>
        <v>&lt;empty&gt;</v>
      </c>
      <c r="C44" s="976"/>
      <c r="D44" s="987"/>
      <c r="E44" s="978"/>
      <c r="F44" s="978"/>
      <c r="G44" s="978"/>
      <c r="H44" s="978"/>
      <c r="I44" s="555"/>
      <c r="J44" s="965"/>
    </row>
    <row r="45" spans="2:10">
      <c r="B45" s="985" t="str">
        <f>ProcessEnergy!B43</f>
        <v>&lt;empty&gt;</v>
      </c>
      <c r="C45" s="976"/>
      <c r="D45" s="987"/>
      <c r="E45" s="978"/>
      <c r="F45" s="978"/>
      <c r="G45" s="978"/>
      <c r="H45" s="978"/>
      <c r="I45" s="555"/>
      <c r="J45" s="965"/>
    </row>
    <row r="46" spans="2:10">
      <c r="B46" s="985" t="str">
        <f>ProcessEnergy!B44</f>
        <v>&lt;empty&gt;</v>
      </c>
      <c r="C46" s="976"/>
      <c r="D46" s="987"/>
      <c r="E46" s="978"/>
      <c r="F46" s="978"/>
      <c r="G46" s="978"/>
      <c r="H46" s="978"/>
      <c r="I46" s="555"/>
      <c r="J46" s="965"/>
    </row>
    <row r="47" spans="2:10">
      <c r="B47" s="985" t="str">
        <f>ProcessEnergy!B45</f>
        <v>&lt;empty&gt;</v>
      </c>
      <c r="C47" s="976"/>
      <c r="D47" s="987"/>
      <c r="E47" s="978"/>
      <c r="F47" s="978"/>
      <c r="G47" s="978"/>
      <c r="H47" s="978"/>
      <c r="I47" s="555"/>
      <c r="J47" s="965"/>
    </row>
    <row r="48" spans="2:10">
      <c r="B48" s="985" t="str">
        <f>ProcessEnergy!B46</f>
        <v>&lt;empty&gt;</v>
      </c>
      <c r="C48" s="976"/>
      <c r="D48" s="987"/>
      <c r="E48" s="978"/>
      <c r="F48" s="978"/>
      <c r="G48" s="978"/>
      <c r="H48" s="978"/>
      <c r="I48" s="555"/>
      <c r="J48" s="965"/>
    </row>
    <row r="49" spans="2:10">
      <c r="B49" s="985" t="str">
        <f>ProcessEnergy!B47</f>
        <v>&lt;empty&gt;</v>
      </c>
      <c r="C49" s="976"/>
      <c r="D49" s="987"/>
      <c r="E49" s="978"/>
      <c r="F49" s="978"/>
      <c r="G49" s="978"/>
      <c r="H49" s="978"/>
      <c r="I49" s="555"/>
      <c r="J49" s="965"/>
    </row>
    <row r="50" spans="2:10">
      <c r="B50" s="985" t="str">
        <f>ProcessEnergy!B48</f>
        <v>Glycerol</v>
      </c>
      <c r="C50" s="976"/>
      <c r="D50" s="987"/>
      <c r="E50" s="978"/>
      <c r="F50" s="978"/>
      <c r="G50" s="978"/>
      <c r="H50" s="978"/>
      <c r="I50" s="555"/>
      <c r="J50" s="965"/>
    </row>
    <row r="51" spans="2:10">
      <c r="B51" s="985" t="str">
        <f>ProcessEnergy!B49</f>
        <v>&lt;empty&gt;</v>
      </c>
      <c r="C51" s="976"/>
      <c r="D51" s="987"/>
      <c r="E51" s="978"/>
      <c r="F51" s="978"/>
      <c r="G51" s="978"/>
      <c r="H51" s="978"/>
      <c r="I51" s="555"/>
      <c r="J51" s="965"/>
    </row>
    <row r="52" spans="2:10">
      <c r="B52" s="985" t="str">
        <f>ProcessEnergy!B51</f>
        <v>Fodder (wheat like)</v>
      </c>
      <c r="C52" s="976"/>
      <c r="D52" s="987"/>
      <c r="E52" s="984"/>
      <c r="F52" s="984"/>
      <c r="G52" s="984"/>
      <c r="H52" s="984"/>
      <c r="I52" s="555"/>
      <c r="J52" s="965"/>
    </row>
    <row r="53" spans="2:10">
      <c r="B53" s="985" t="str">
        <f>ProcessEnergy!B52</f>
        <v>Rape seed cake</v>
      </c>
      <c r="C53" s="976"/>
      <c r="D53" s="987"/>
      <c r="E53" s="984"/>
      <c r="F53" s="984"/>
      <c r="G53" s="984"/>
      <c r="H53" s="984"/>
      <c r="I53" s="555"/>
      <c r="J53" s="965"/>
    </row>
    <row r="54" spans="2:10">
      <c r="B54" s="985" t="str">
        <f>ProcessEnergy!B53</f>
        <v>&lt;empty&gt;</v>
      </c>
      <c r="C54" s="976"/>
      <c r="D54" s="987"/>
      <c r="E54" s="984"/>
      <c r="F54" s="984"/>
      <c r="G54" s="984"/>
      <c r="H54" s="984"/>
      <c r="I54" s="555"/>
      <c r="J54" s="965"/>
    </row>
    <row r="55" spans="2:10">
      <c r="B55" s="985" t="str">
        <f>ProcessEnergy!B54</f>
        <v>DDGS</v>
      </c>
      <c r="C55" s="976"/>
      <c r="D55" s="987"/>
      <c r="E55" s="984"/>
      <c r="F55" s="984"/>
      <c r="G55" s="984"/>
      <c r="H55" s="984"/>
      <c r="I55" s="555"/>
      <c r="J55" s="965"/>
    </row>
    <row r="56" spans="2:10">
      <c r="B56" s="964"/>
      <c r="C56" s="976"/>
      <c r="D56" s="984"/>
      <c r="E56" s="984"/>
      <c r="F56" s="984"/>
      <c r="G56" s="984"/>
      <c r="H56" s="984"/>
      <c r="I56" s="555"/>
      <c r="J56" s="965"/>
    </row>
    <row r="57" spans="2:10">
      <c r="B57" s="975" t="s">
        <v>873</v>
      </c>
      <c r="C57" s="976"/>
      <c r="D57" s="984"/>
      <c r="E57" s="984"/>
      <c r="F57" s="984"/>
      <c r="G57" s="984"/>
      <c r="H57" s="984"/>
      <c r="I57" s="555"/>
      <c r="J57" s="965"/>
    </row>
    <row r="58" spans="2:10">
      <c r="B58" s="964" t="str">
        <f>ProcessEnergy!B5</f>
        <v>EL - peakload</v>
      </c>
      <c r="C58" s="976" t="s">
        <v>1312</v>
      </c>
      <c r="D58" s="987">
        <f>C184%</f>
        <v>8.1081081081081068E-3</v>
      </c>
      <c r="E58" s="984"/>
      <c r="F58" s="984"/>
      <c r="G58" s="984"/>
      <c r="H58" s="984"/>
      <c r="I58" s="555"/>
      <c r="J58" s="965"/>
    </row>
    <row r="59" spans="2:10">
      <c r="B59" s="964" t="str">
        <f>ProcessEnergy!B6</f>
        <v>El - baseload</v>
      </c>
      <c r="C59" s="976" t="s">
        <v>877</v>
      </c>
      <c r="D59" s="987"/>
      <c r="E59" s="984"/>
      <c r="F59" s="984"/>
      <c r="G59" s="984"/>
      <c r="H59" s="984"/>
      <c r="I59" s="555"/>
      <c r="J59" s="965"/>
    </row>
    <row r="60" spans="2:10">
      <c r="B60" s="964" t="str">
        <f>ProcessEnergy!B7</f>
        <v xml:space="preserve">Varme </v>
      </c>
      <c r="C60" s="976" t="s">
        <v>1312</v>
      </c>
      <c r="D60" s="987">
        <f>C185%</f>
        <v>6.2162162162162159E-2</v>
      </c>
      <c r="E60" s="984"/>
      <c r="F60" s="984"/>
      <c r="G60" s="984"/>
      <c r="H60" s="984"/>
      <c r="I60" s="555"/>
      <c r="J60" s="965"/>
    </row>
    <row r="61" spans="2:10">
      <c r="B61" s="964" t="str">
        <f>ProcessEnergy!B8</f>
        <v>Damp</v>
      </c>
      <c r="C61" s="976" t="s">
        <v>877</v>
      </c>
      <c r="D61" s="987"/>
      <c r="E61" s="984"/>
      <c r="F61" s="984"/>
      <c r="G61" s="984"/>
      <c r="H61" s="984"/>
      <c r="I61" s="555"/>
      <c r="J61" s="965"/>
    </row>
    <row r="62" spans="2:10">
      <c r="B62" s="964" t="str">
        <f>ProcessEnergy!B9</f>
        <v xml:space="preserve">Olie </v>
      </c>
      <c r="C62" s="976" t="s">
        <v>877</v>
      </c>
      <c r="D62" s="987"/>
      <c r="E62" s="984"/>
      <c r="F62" s="984"/>
      <c r="G62" s="984"/>
      <c r="H62" s="984"/>
      <c r="I62" s="555"/>
      <c r="J62" s="965"/>
    </row>
    <row r="63" spans="2:10">
      <c r="B63" s="964" t="str">
        <f>ProcessEnergy!B10</f>
        <v>Kul</v>
      </c>
      <c r="C63" s="976" t="s">
        <v>877</v>
      </c>
      <c r="D63" s="987"/>
      <c r="E63" s="984"/>
      <c r="F63" s="984"/>
      <c r="G63" s="984"/>
      <c r="H63" s="984"/>
      <c r="I63" s="555"/>
      <c r="J63" s="965"/>
    </row>
    <row r="64" spans="2:10">
      <c r="B64" s="964" t="str">
        <f>ProcessEnergy!B11</f>
        <v>Naturgas kedel</v>
      </c>
      <c r="C64" s="976" t="s">
        <v>877</v>
      </c>
      <c r="D64" s="987"/>
      <c r="E64" s="984"/>
      <c r="F64" s="984"/>
      <c r="G64" s="984"/>
      <c r="H64" s="984"/>
      <c r="I64" s="555"/>
      <c r="J64" s="965"/>
    </row>
    <row r="65" spans="2:10">
      <c r="B65" s="964" t="str">
        <f>ProcessEnergy!B12</f>
        <v>Gylle</v>
      </c>
      <c r="C65" s="976" t="s">
        <v>877</v>
      </c>
      <c r="D65" s="987"/>
      <c r="E65" s="984"/>
      <c r="F65" s="984"/>
      <c r="G65" s="984"/>
      <c r="H65" s="984"/>
      <c r="I65" s="555"/>
      <c r="J65" s="965"/>
    </row>
    <row r="66" spans="2:10">
      <c r="B66" s="964" t="str">
        <f>ProcessEnergy!B13</f>
        <v>Affald</v>
      </c>
      <c r="C66" s="976" t="s">
        <v>877</v>
      </c>
      <c r="D66" s="987"/>
      <c r="E66" s="984"/>
      <c r="F66" s="984"/>
      <c r="G66" s="984"/>
      <c r="H66" s="984"/>
      <c r="I66" s="555"/>
      <c r="J66" s="965"/>
    </row>
    <row r="67" spans="2:10">
      <c r="B67" s="964" t="str">
        <f>ProcessEnergy!B14</f>
        <v>Hydrogen</v>
      </c>
      <c r="C67" s="976" t="s">
        <v>877</v>
      </c>
      <c r="D67" s="987"/>
      <c r="E67" s="984"/>
      <c r="F67" s="984"/>
      <c r="G67" s="984"/>
      <c r="H67" s="984"/>
      <c r="I67" s="555"/>
      <c r="J67" s="965"/>
    </row>
    <row r="68" spans="2:10">
      <c r="B68" s="964" t="str">
        <f>ProcessEnergy!B15</f>
        <v>Biomasse</v>
      </c>
      <c r="C68" s="976" t="s">
        <v>877</v>
      </c>
      <c r="D68" s="987"/>
      <c r="E68" s="984"/>
      <c r="F68" s="984"/>
      <c r="G68" s="984"/>
      <c r="H68" s="984"/>
      <c r="I68" s="555"/>
      <c r="J68" s="965"/>
    </row>
    <row r="69" spans="2:10">
      <c r="B69" s="964" t="str">
        <f>ProcessEnergy!B16</f>
        <v>Methanol</v>
      </c>
      <c r="C69" s="976"/>
      <c r="D69" s="987"/>
      <c r="E69" s="984"/>
      <c r="F69" s="984"/>
      <c r="G69" s="984"/>
      <c r="H69" s="984"/>
      <c r="I69" s="555"/>
      <c r="J69" s="965"/>
    </row>
    <row r="70" spans="2:10">
      <c r="B70" s="964" t="str">
        <f>ProcessEnergy!B17</f>
        <v>&lt;empty&gt;</v>
      </c>
      <c r="C70" s="976"/>
      <c r="D70" s="987"/>
      <c r="E70" s="984"/>
      <c r="F70" s="984"/>
      <c r="G70" s="984"/>
      <c r="H70" s="984"/>
      <c r="I70" s="555"/>
      <c r="J70" s="965"/>
    </row>
    <row r="71" spans="2:10">
      <c r="B71" s="964" t="str">
        <f>ProcessEnergy!B18</f>
        <v>&lt;empty&gt;</v>
      </c>
      <c r="C71" s="976"/>
      <c r="D71" s="987"/>
      <c r="E71" s="984"/>
      <c r="F71" s="984"/>
      <c r="G71" s="984"/>
      <c r="H71" s="984"/>
      <c r="I71" s="555"/>
      <c r="J71" s="965"/>
    </row>
    <row r="72" spans="2:10">
      <c r="B72" s="964" t="str">
        <f>ProcessEnergy!B19</f>
        <v>&lt;empty&gt;</v>
      </c>
      <c r="C72" s="976"/>
      <c r="D72" s="987"/>
      <c r="E72" s="984"/>
      <c r="F72" s="984"/>
      <c r="G72" s="984"/>
      <c r="H72" s="984"/>
      <c r="I72" s="555"/>
      <c r="J72" s="965"/>
    </row>
    <row r="73" spans="2:10">
      <c r="B73" s="964" t="str">
        <f>ProcessEnergy!B20</f>
        <v>&lt;empty&gt;</v>
      </c>
      <c r="C73" s="976"/>
      <c r="D73" s="987"/>
      <c r="E73" s="984"/>
      <c r="F73" s="984"/>
      <c r="G73" s="984"/>
      <c r="H73" s="984"/>
      <c r="I73" s="555"/>
      <c r="J73" s="965"/>
    </row>
    <row r="74" spans="2:10">
      <c r="B74" s="964" t="str">
        <f>ProcessEnergy!B21</f>
        <v>&lt;empty&gt;</v>
      </c>
      <c r="C74" s="976"/>
      <c r="D74" s="987"/>
      <c r="E74" s="984"/>
      <c r="F74" s="984"/>
      <c r="G74" s="984"/>
      <c r="H74" s="984"/>
      <c r="I74" s="555"/>
      <c r="J74" s="965"/>
    </row>
    <row r="75" spans="2:10">
      <c r="B75" s="964" t="str">
        <f>ProcessEnergy!B22</f>
        <v>&lt;empty&gt;</v>
      </c>
      <c r="C75" s="976"/>
      <c r="D75" s="987"/>
      <c r="E75" s="984"/>
      <c r="F75" s="984"/>
      <c r="G75" s="984"/>
      <c r="H75" s="984"/>
      <c r="I75" s="555"/>
      <c r="J75" s="965"/>
    </row>
    <row r="76" spans="2:10">
      <c r="B76" s="964" t="str">
        <f>ProcessEnergy!B23</f>
        <v>&lt;empty&gt;</v>
      </c>
      <c r="C76" s="976"/>
      <c r="D76" s="987"/>
      <c r="E76" s="984"/>
      <c r="F76" s="984"/>
      <c r="G76" s="984"/>
      <c r="H76" s="984"/>
      <c r="I76" s="555"/>
      <c r="J76" s="965"/>
    </row>
    <row r="77" spans="2:10">
      <c r="B77" s="964" t="str">
        <f>ProcessEnergy!B24</f>
        <v>&lt;empty&gt;</v>
      </c>
      <c r="C77" s="976" t="s">
        <v>877</v>
      </c>
      <c r="D77" s="987"/>
      <c r="E77" s="984"/>
      <c r="F77" s="984"/>
      <c r="G77" s="984"/>
      <c r="H77" s="984"/>
      <c r="I77" s="555"/>
      <c r="J77" s="965"/>
    </row>
    <row r="78" spans="2:10">
      <c r="B78" s="964"/>
      <c r="C78" s="976"/>
      <c r="D78" s="987"/>
      <c r="E78" s="984"/>
      <c r="F78" s="984"/>
      <c r="G78" s="984"/>
      <c r="H78" s="984"/>
      <c r="I78" s="555"/>
      <c r="J78" s="965"/>
    </row>
    <row r="79" spans="2:10">
      <c r="B79" s="964"/>
      <c r="C79" s="976"/>
      <c r="D79" s="987"/>
      <c r="E79" s="984"/>
      <c r="F79" s="984"/>
      <c r="G79" s="984"/>
      <c r="H79" s="984"/>
      <c r="I79" s="555"/>
      <c r="J79" s="965"/>
    </row>
    <row r="80" spans="2:10">
      <c r="B80" s="964"/>
      <c r="C80" s="976"/>
      <c r="D80" s="987"/>
      <c r="E80" s="986"/>
      <c r="F80" s="986"/>
      <c r="G80" s="986"/>
      <c r="H80" s="986"/>
      <c r="I80" s="555"/>
      <c r="J80" s="965"/>
    </row>
    <row r="81" spans="1:17">
      <c r="B81" s="975" t="s">
        <v>152</v>
      </c>
      <c r="C81" s="976"/>
      <c r="D81" s="986"/>
      <c r="E81" s="986"/>
      <c r="F81" s="986"/>
      <c r="G81" s="986"/>
      <c r="H81" s="986"/>
      <c r="I81" s="555"/>
      <c r="J81" s="965"/>
    </row>
    <row r="82" spans="1:17">
      <c r="A82" s="530">
        <v>4</v>
      </c>
      <c r="B82" s="964" t="s">
        <v>462</v>
      </c>
      <c r="C82" s="976" t="s">
        <v>725</v>
      </c>
      <c r="D82" s="1633">
        <v>1</v>
      </c>
      <c r="E82" s="978">
        <f t="shared" ref="E82:G88" si="1">$D82</f>
        <v>1</v>
      </c>
      <c r="F82" s="978">
        <f t="shared" si="1"/>
        <v>1</v>
      </c>
      <c r="G82" s="978">
        <f t="shared" si="1"/>
        <v>1</v>
      </c>
      <c r="H82" s="978"/>
      <c r="I82" s="555"/>
      <c r="J82" s="965"/>
    </row>
    <row r="83" spans="1:17">
      <c r="B83" s="964" t="s">
        <v>153</v>
      </c>
      <c r="C83" s="976" t="s">
        <v>725</v>
      </c>
      <c r="D83" s="987">
        <f>D82*SUM(D58:D77)</f>
        <v>7.027027027027026E-2</v>
      </c>
      <c r="E83" s="978">
        <f t="shared" si="1"/>
        <v>7.027027027027026E-2</v>
      </c>
      <c r="F83" s="978">
        <f t="shared" si="1"/>
        <v>7.027027027027026E-2</v>
      </c>
      <c r="G83" s="978">
        <f t="shared" si="1"/>
        <v>7.027027027027026E-2</v>
      </c>
      <c r="H83" s="1334"/>
      <c r="I83" s="555"/>
      <c r="J83" s="965"/>
    </row>
    <row r="84" spans="1:17">
      <c r="B84" s="964" t="s">
        <v>1092</v>
      </c>
      <c r="C84" s="976" t="s">
        <v>725</v>
      </c>
      <c r="D84" s="987">
        <f>D82*SUM(D37:D54)</f>
        <v>0.54054054054054046</v>
      </c>
      <c r="E84" s="978">
        <f t="shared" si="1"/>
        <v>0.54054054054054046</v>
      </c>
      <c r="F84" s="978">
        <f t="shared" si="1"/>
        <v>0.54054054054054046</v>
      </c>
      <c r="G84" s="978">
        <f t="shared" si="1"/>
        <v>0.54054054054054046</v>
      </c>
      <c r="H84" s="978"/>
      <c r="I84" s="555"/>
      <c r="J84" s="965"/>
    </row>
    <row r="85" spans="1:17">
      <c r="B85" s="964" t="s">
        <v>1313</v>
      </c>
      <c r="C85" s="976" t="s">
        <v>725</v>
      </c>
      <c r="D85" s="987">
        <f>(1/D162)*D82</f>
        <v>0.27027027027027023</v>
      </c>
      <c r="E85" s="978">
        <f t="shared" si="1"/>
        <v>0.27027027027027023</v>
      </c>
      <c r="F85" s="978">
        <f t="shared" si="1"/>
        <v>0.27027027027027023</v>
      </c>
      <c r="G85" s="978">
        <f t="shared" si="1"/>
        <v>0.27027027027027023</v>
      </c>
      <c r="H85" s="978"/>
      <c r="I85" s="555"/>
      <c r="J85" s="965"/>
    </row>
    <row r="86" spans="1:17">
      <c r="B86" s="985" t="s">
        <v>155</v>
      </c>
      <c r="C86" s="976" t="s">
        <v>725</v>
      </c>
      <c r="D86" s="987">
        <f>SUM(D82:D83)-SUM(D84:D85)</f>
        <v>0.25945945945945947</v>
      </c>
      <c r="E86" s="978">
        <f t="shared" si="1"/>
        <v>0.25945945945945947</v>
      </c>
      <c r="F86" s="978">
        <f t="shared" si="1"/>
        <v>0.25945945945945947</v>
      </c>
      <c r="G86" s="978">
        <f t="shared" si="1"/>
        <v>0.25945945945945947</v>
      </c>
      <c r="H86" s="978"/>
      <c r="I86" s="555"/>
      <c r="J86" s="965"/>
    </row>
    <row r="87" spans="1:17">
      <c r="B87" s="985" t="s">
        <v>156</v>
      </c>
      <c r="C87" s="988" t="s">
        <v>726</v>
      </c>
      <c r="D87" s="989">
        <f>SUM(D84:D85)/SUM(D82:D83)</f>
        <v>0.75757575757575757</v>
      </c>
      <c r="E87" s="990">
        <f t="shared" si="1"/>
        <v>0.75757575757575757</v>
      </c>
      <c r="F87" s="990">
        <f t="shared" si="1"/>
        <v>0.75757575757575757</v>
      </c>
      <c r="G87" s="990">
        <f t="shared" si="1"/>
        <v>0.75757575757575757</v>
      </c>
      <c r="H87" s="990"/>
      <c r="I87" s="555"/>
      <c r="J87" s="965"/>
    </row>
    <row r="88" spans="1:17">
      <c r="B88" s="964"/>
      <c r="C88" s="976"/>
      <c r="D88" s="989">
        <f>D167/100</f>
        <v>0.76</v>
      </c>
      <c r="E88" s="990">
        <f t="shared" si="1"/>
        <v>0.76</v>
      </c>
      <c r="F88" s="990">
        <f t="shared" si="1"/>
        <v>0.76</v>
      </c>
      <c r="G88" s="990">
        <f t="shared" si="1"/>
        <v>0.76</v>
      </c>
      <c r="H88" s="990"/>
      <c r="I88" s="555"/>
      <c r="J88" s="965"/>
      <c r="N88" s="557"/>
    </row>
    <row r="89" spans="1:17">
      <c r="B89" s="975" t="s">
        <v>2116</v>
      </c>
      <c r="C89" s="976"/>
      <c r="D89" s="983"/>
      <c r="E89" s="983"/>
      <c r="F89" s="983"/>
      <c r="G89" s="983"/>
      <c r="H89" s="983"/>
      <c r="I89" s="555"/>
      <c r="J89" s="965"/>
      <c r="N89" s="991"/>
      <c r="O89" s="991"/>
      <c r="P89" s="991"/>
      <c r="Q89" s="991"/>
    </row>
    <row r="90" spans="1:17">
      <c r="B90" s="964" t="s">
        <v>157</v>
      </c>
      <c r="C90" s="976" t="s">
        <v>61</v>
      </c>
      <c r="D90" s="992">
        <f ca="1">HLOOKUP($H99,Supplementary!$C$44:$AF$46,3,FALSE)*D99*D$110</f>
        <v>212864795.01529974</v>
      </c>
      <c r="E90" s="992">
        <f ca="1">HLOOKUP($H99,Supplementary!$C$44:$AF$46,3,FALSE)*E99*E$110</f>
        <v>202221555.26453474</v>
      </c>
      <c r="F90" s="992">
        <f ca="1">HLOOKUP($H99,Supplementary!$C$44:$AF$46,3,FALSE)*F99*F$110</f>
        <v>164710720.64768395</v>
      </c>
      <c r="G90" s="992">
        <f ca="1">HLOOKUP($H99,Supplementary!$C$44:$AF$46,3,FALSE)*G99*G$110</f>
        <v>121077515.04711221</v>
      </c>
      <c r="H90" s="555">
        <f t="shared" ref="H90:H96" si="2">priceYear</f>
        <v>2015</v>
      </c>
      <c r="I90" s="555"/>
      <c r="J90" s="965"/>
      <c r="N90" s="991"/>
      <c r="O90" s="991"/>
      <c r="P90" s="991"/>
      <c r="Q90" s="991"/>
    </row>
    <row r="91" spans="1:17">
      <c r="B91" s="964" t="s">
        <v>160</v>
      </c>
      <c r="C91" s="976" t="s">
        <v>464</v>
      </c>
      <c r="D91" s="555">
        <f ca="1">SUM(D92:D96)</f>
        <v>-140.87719703875004</v>
      </c>
      <c r="E91" s="555">
        <f ca="1">SUM(E92:E96)</f>
        <v>-154.38739384058354</v>
      </c>
      <c r="F91" s="555">
        <f ca="1">SUM(F92:F96)</f>
        <v>-195.36159584801769</v>
      </c>
      <c r="G91" s="555">
        <f ca="1">SUM(G92:G96)</f>
        <v>-220.0899688505973</v>
      </c>
      <c r="H91" s="555">
        <f t="shared" si="2"/>
        <v>2015</v>
      </c>
      <c r="I91" s="555"/>
      <c r="J91" s="965"/>
      <c r="N91" s="991"/>
      <c r="O91" s="991"/>
      <c r="P91" s="991"/>
      <c r="Q91" s="991"/>
    </row>
    <row r="92" spans="1:17">
      <c r="B92" s="995" t="s">
        <v>162</v>
      </c>
      <c r="C92" s="976" t="s">
        <v>464</v>
      </c>
      <c r="D92" s="992">
        <f ca="1">HLOOKUP($H101,Supplementary!$C$44:$AF$46,3,FALSE)*D101*D$110</f>
        <v>74.324872282437568</v>
      </c>
      <c r="E92" s="555">
        <f ca="1">HLOOKUP($H101,Supplementary!$C$44:$AF$46,3,FALSE)*E101*E$110</f>
        <v>70.608628668315689</v>
      </c>
      <c r="F92" s="555">
        <f ca="1">HLOOKUP($H101,Supplementary!$C$44:$AF$46,3,FALSE)*F101*F$110</f>
        <v>57.511169354272305</v>
      </c>
      <c r="G92" s="555">
        <f ca="1">HLOOKUP($H101,Supplementary!$C$44:$AF$46,3,FALSE)*G101*G$110</f>
        <v>42.275994212686584</v>
      </c>
      <c r="H92" s="555">
        <f t="shared" si="2"/>
        <v>2015</v>
      </c>
      <c r="I92" s="555"/>
      <c r="J92" s="965"/>
      <c r="N92" s="991"/>
      <c r="O92" s="991"/>
      <c r="P92" s="991"/>
      <c r="Q92" s="991"/>
    </row>
    <row r="93" spans="1:17">
      <c r="B93" s="995" t="s">
        <v>163</v>
      </c>
      <c r="C93" s="976" t="s">
        <v>464</v>
      </c>
      <c r="D93" s="992">
        <f ca="1">HLOOKUP($H102,Supplementary!$C$44:$AF$46,3,FALSE)*D102*D$110</f>
        <v>46.312609603307855</v>
      </c>
      <c r="E93" s="555">
        <f ca="1">HLOOKUP($H102,Supplementary!$C$44:$AF$46,3,FALSE)*E102*E$110</f>
        <v>43.996979123142459</v>
      </c>
      <c r="F93" s="555">
        <f ca="1">HLOOKUP($H102,Supplementary!$C$44:$AF$46,3,FALSE)*F102*F$110</f>
        <v>35.835814476919055</v>
      </c>
      <c r="G93" s="555">
        <f ca="1">HLOOKUP($H102,Supplementary!$C$44:$AF$46,3,FALSE)*G102*G$110</f>
        <v>26.34261661592517</v>
      </c>
      <c r="H93" s="555">
        <f t="shared" si="2"/>
        <v>2015</v>
      </c>
      <c r="I93" s="555"/>
      <c r="J93" s="965"/>
      <c r="N93" s="991"/>
      <c r="O93" s="991"/>
      <c r="P93" s="991"/>
      <c r="Q93" s="991"/>
    </row>
    <row r="94" spans="1:17">
      <c r="B94" s="995" t="s">
        <v>164</v>
      </c>
      <c r="C94" s="976" t="s">
        <v>464</v>
      </c>
      <c r="D94" s="992">
        <f>HLOOKUP($H103,Supplementary!$C$44:$AF$46,3,FALSE)*D103</f>
        <v>0</v>
      </c>
      <c r="E94" s="555">
        <f>HLOOKUP($H103,Supplementary!$C$44:$AF$46,3,FALSE)*E103</f>
        <v>0</v>
      </c>
      <c r="F94" s="555">
        <f>HLOOKUP($H103,Supplementary!$C$44:$AF$46,3,FALSE)*F103</f>
        <v>0</v>
      </c>
      <c r="G94" s="555">
        <f>HLOOKUP($H103,Supplementary!$C$44:$AF$46,3,FALSE)*G103</f>
        <v>0</v>
      </c>
      <c r="H94" s="555">
        <f t="shared" si="2"/>
        <v>2015</v>
      </c>
      <c r="I94" s="555"/>
      <c r="J94" s="965"/>
      <c r="N94" s="991"/>
      <c r="O94" s="991"/>
      <c r="P94" s="991"/>
      <c r="Q94" s="991"/>
    </row>
    <row r="95" spans="1:17">
      <c r="B95" s="995" t="s">
        <v>264</v>
      </c>
      <c r="C95" s="976" t="s">
        <v>464</v>
      </c>
      <c r="D95" s="992">
        <f ca="1">HLOOKUP($H104,Supplementary!$C$44:$AF$46,3,FALSE)*D104*D$110</f>
        <v>0</v>
      </c>
      <c r="E95" s="555">
        <f ca="1">HLOOKUP($H104,Supplementary!$C$44:$AF$46,3,FALSE)*E104*E$110</f>
        <v>0</v>
      </c>
      <c r="F95" s="555">
        <f ca="1">HLOOKUP($H104,Supplementary!$C$44:$AF$46,3,FALSE)*F104*F$110</f>
        <v>0</v>
      </c>
      <c r="G95" s="555">
        <f ca="1">HLOOKUP($H104,Supplementary!$C$44:$AF$46,3,FALSE)*G104*G$110</f>
        <v>0</v>
      </c>
      <c r="H95" s="555">
        <f t="shared" si="2"/>
        <v>2015</v>
      </c>
      <c r="I95" s="555"/>
      <c r="J95" s="965"/>
      <c r="N95" s="991"/>
      <c r="O95" s="991"/>
      <c r="P95" s="991"/>
      <c r="Q95" s="991"/>
    </row>
    <row r="96" spans="1:17">
      <c r="B96" s="995" t="s">
        <v>165</v>
      </c>
      <c r="C96" s="976" t="s">
        <v>464</v>
      </c>
      <c r="D96" s="992">
        <f ca="1">HLOOKUP($H105,Supplementary!$C$44:$AF$46,3,FALSE)*D105</f>
        <v>-261.51467892449546</v>
      </c>
      <c r="E96" s="555">
        <f ca="1">HLOOKUP($H105,Supplementary!$C$44:$AF$46,3,FALSE)*E105</f>
        <v>-268.99300163204168</v>
      </c>
      <c r="F96" s="555">
        <f ca="1">HLOOKUP($H105,Supplementary!$C$44:$AF$46,3,FALSE)*F105</f>
        <v>-288.70857967920904</v>
      </c>
      <c r="G96" s="555">
        <f ca="1">HLOOKUP($H105,Supplementary!$C$44:$AF$46,3,FALSE)*G105</f>
        <v>-288.70857967920904</v>
      </c>
      <c r="H96" s="555">
        <f t="shared" si="2"/>
        <v>2015</v>
      </c>
      <c r="I96" s="555"/>
      <c r="J96" s="965"/>
      <c r="N96" s="991"/>
      <c r="O96" s="991"/>
      <c r="P96" s="991"/>
      <c r="Q96" s="991"/>
    </row>
    <row r="97" spans="1:17">
      <c r="B97" s="975"/>
      <c r="C97" s="976"/>
      <c r="D97" s="992"/>
      <c r="E97" s="983"/>
      <c r="F97" s="983"/>
      <c r="G97" s="983"/>
      <c r="H97" s="983"/>
      <c r="I97" s="555"/>
      <c r="J97" s="965"/>
      <c r="N97" s="991"/>
      <c r="O97" s="991"/>
      <c r="P97" s="991"/>
      <c r="Q97" s="991"/>
    </row>
    <row r="98" spans="1:17">
      <c r="B98" s="975" t="s">
        <v>2117</v>
      </c>
      <c r="C98" s="976"/>
      <c r="D98" s="992"/>
      <c r="E98" s="983"/>
      <c r="F98" s="983"/>
      <c r="G98" s="983"/>
      <c r="H98" s="983"/>
      <c r="I98" s="555"/>
      <c r="J98" s="965"/>
      <c r="N98" s="991"/>
      <c r="O98" s="991"/>
      <c r="P98" s="991"/>
      <c r="Q98" s="991"/>
    </row>
    <row r="99" spans="1:17">
      <c r="B99" s="964" t="s">
        <v>157</v>
      </c>
      <c r="C99" s="976" t="s">
        <v>61</v>
      </c>
      <c r="D99" s="992">
        <f>D177*dkkPerEUR*D159</f>
        <v>199974080.07999998</v>
      </c>
      <c r="E99" s="992">
        <f t="shared" ref="E99:G102" si="3">$D99</f>
        <v>199974080.07999998</v>
      </c>
      <c r="F99" s="992">
        <f t="shared" si="3"/>
        <v>199974080.07999998</v>
      </c>
      <c r="G99" s="992">
        <f t="shared" si="3"/>
        <v>199974080.07999998</v>
      </c>
      <c r="H99" s="1668">
        <v>2011</v>
      </c>
      <c r="I99" s="555"/>
      <c r="J99" s="965"/>
      <c r="N99" s="991"/>
      <c r="O99" s="991"/>
      <c r="P99" s="991"/>
      <c r="Q99" s="991"/>
    </row>
    <row r="100" spans="1:17">
      <c r="B100" s="964" t="s">
        <v>160</v>
      </c>
      <c r="C100" s="976" t="s">
        <v>464</v>
      </c>
      <c r="D100" s="993">
        <f ca="1">SUM(D101:D105)</f>
        <v>-132.34592352412278</v>
      </c>
      <c r="E100" s="978">
        <f t="shared" ca="1" si="3"/>
        <v>-132.34592352412278</v>
      </c>
      <c r="F100" s="978">
        <f t="shared" ca="1" si="3"/>
        <v>-132.34592352412278</v>
      </c>
      <c r="G100" s="978">
        <f t="shared" ca="1" si="3"/>
        <v>-132.34592352412278</v>
      </c>
      <c r="H100" s="1668">
        <v>2011</v>
      </c>
      <c r="I100" s="994"/>
      <c r="J100" s="965"/>
      <c r="N100" s="991"/>
      <c r="O100" s="991"/>
      <c r="P100" s="991"/>
      <c r="Q100" s="991"/>
    </row>
    <row r="101" spans="1:17">
      <c r="B101" s="995" t="s">
        <v>162</v>
      </c>
      <c r="C101" s="976" t="s">
        <v>464</v>
      </c>
      <c r="D101" s="993">
        <f ca="1">PMT(rSØK,D34,-D99)/(D32*D33)</f>
        <v>69.823889669851951</v>
      </c>
      <c r="E101" s="978">
        <f t="shared" ca="1" si="3"/>
        <v>69.823889669851951</v>
      </c>
      <c r="F101" s="978">
        <f t="shared" ca="1" si="3"/>
        <v>69.823889669851951</v>
      </c>
      <c r="G101" s="978">
        <f t="shared" ca="1" si="3"/>
        <v>69.823889669851951</v>
      </c>
      <c r="H101" s="1668">
        <v>2011</v>
      </c>
      <c r="I101" s="994"/>
      <c r="J101" s="965"/>
      <c r="N101" s="991"/>
      <c r="O101" s="991"/>
      <c r="P101" s="991"/>
      <c r="Q101" s="991"/>
    </row>
    <row r="102" spans="1:17">
      <c r="B102" s="995" t="s">
        <v>163</v>
      </c>
      <c r="C102" s="976" t="s">
        <v>464</v>
      </c>
      <c r="D102" s="480">
        <f>IF(D141&gt;0,D177*D141*dkkPerEUR,D178*dkkPerEUR)</f>
        <v>43.508000000000003</v>
      </c>
      <c r="E102" s="480">
        <f t="shared" si="3"/>
        <v>43.508000000000003</v>
      </c>
      <c r="F102" s="480">
        <f t="shared" si="3"/>
        <v>43.508000000000003</v>
      </c>
      <c r="G102" s="480">
        <f t="shared" si="3"/>
        <v>43.508000000000003</v>
      </c>
      <c r="H102" s="1668">
        <v>2011</v>
      </c>
      <c r="I102" s="555"/>
      <c r="J102" s="965"/>
      <c r="N102" s="991"/>
      <c r="O102" s="991"/>
      <c r="P102" s="991"/>
      <c r="Q102" s="991"/>
    </row>
    <row r="103" spans="1:17">
      <c r="A103" s="530">
        <v>6</v>
      </c>
      <c r="B103" s="995" t="s">
        <v>164</v>
      </c>
      <c r="C103" s="976" t="s">
        <v>464</v>
      </c>
      <c r="D103" s="997"/>
      <c r="E103" s="997"/>
      <c r="F103" s="997"/>
      <c r="G103" s="997"/>
      <c r="H103" s="1668">
        <v>2011</v>
      </c>
      <c r="I103" s="555"/>
      <c r="J103" s="965"/>
      <c r="N103" s="991"/>
      <c r="O103" s="991"/>
      <c r="P103" s="991"/>
      <c r="Q103" s="991"/>
    </row>
    <row r="104" spans="1:17">
      <c r="B104" s="995" t="s">
        <v>264</v>
      </c>
      <c r="C104" s="976" t="s">
        <v>464</v>
      </c>
      <c r="D104" s="997"/>
      <c r="E104" s="997"/>
      <c r="F104" s="997"/>
      <c r="G104" s="997"/>
      <c r="H104" s="1668">
        <v>2011</v>
      </c>
      <c r="I104" s="555"/>
      <c r="J104" s="965"/>
      <c r="N104" s="991"/>
      <c r="O104" s="991"/>
      <c r="P104" s="991"/>
      <c r="Q104" s="991"/>
    </row>
    <row r="105" spans="1:17">
      <c r="B105" s="995" t="s">
        <v>165</v>
      </c>
      <c r="C105" s="976" t="s">
        <v>464</v>
      </c>
      <c r="D105" s="996">
        <f ca="1">-SUMPRODUCT(D36:D55,ProcessEnergy!M34:M53)/D85</f>
        <v>-245.67781319397474</v>
      </c>
      <c r="E105" s="996">
        <f ca="1">-SUMPRODUCT(E36:E55,ProcessEnergy!N34:N53)/E85</f>
        <v>-252.70326192482497</v>
      </c>
      <c r="F105" s="996">
        <f ca="1">-SUMPRODUCT(F36:F55,ProcessEnergy!O34:O53)/F85</f>
        <v>-271.22489948797562</v>
      </c>
      <c r="G105" s="996">
        <f ca="1">-SUMPRODUCT(G36:G55,ProcessEnergy!P34:P53)/G85</f>
        <v>-271.22489948797562</v>
      </c>
      <c r="H105" s="1668">
        <v>2011</v>
      </c>
      <c r="I105" s="555"/>
      <c r="J105" s="965"/>
      <c r="N105" s="991"/>
      <c r="O105" s="991"/>
      <c r="P105" s="991"/>
      <c r="Q105" s="991"/>
    </row>
    <row r="106" spans="1:17">
      <c r="B106" s="995"/>
      <c r="C106" s="976"/>
      <c r="D106" s="2311"/>
      <c r="E106" s="2311"/>
      <c r="F106" s="2311"/>
      <c r="G106" s="2311"/>
      <c r="H106" s="983"/>
      <c r="I106" s="994"/>
      <c r="J106" s="965"/>
      <c r="N106" s="991"/>
      <c r="O106" s="991"/>
      <c r="P106" s="991"/>
      <c r="Q106" s="991"/>
    </row>
    <row r="107" spans="1:17">
      <c r="B107" s="975" t="s">
        <v>2113</v>
      </c>
      <c r="C107" s="976"/>
      <c r="D107" s="983"/>
      <c r="E107" s="983"/>
      <c r="F107" s="983"/>
      <c r="G107" s="983"/>
      <c r="H107" s="983"/>
      <c r="I107" s="994"/>
      <c r="J107" s="965"/>
      <c r="N107" s="991"/>
      <c r="O107" s="991"/>
      <c r="P107" s="991"/>
      <c r="Q107" s="991"/>
    </row>
    <row r="108" spans="1:17">
      <c r="B108" s="995" t="s">
        <v>2114</v>
      </c>
      <c r="C108" s="976"/>
      <c r="D108" s="1696">
        <v>0.95</v>
      </c>
      <c r="E108" s="1696">
        <v>0.95</v>
      </c>
      <c r="F108" s="1696">
        <v>0.95</v>
      </c>
      <c r="G108" s="1696">
        <v>0.95</v>
      </c>
      <c r="H108" s="983"/>
      <c r="I108" s="994"/>
      <c r="J108" s="965"/>
      <c r="N108" s="991"/>
      <c r="O108" s="991"/>
      <c r="P108" s="991"/>
      <c r="Q108" s="991"/>
    </row>
    <row r="109" spans="1:17">
      <c r="B109" s="995" t="s">
        <v>2666</v>
      </c>
      <c r="C109" s="976"/>
      <c r="D109" s="478">
        <f ca="1">OFFSET(Supplementary!C$237,MATCH($C$19,Supplementary!$B$238:$B$241,0),0)</f>
        <v>1</v>
      </c>
      <c r="E109" s="478">
        <f ca="1">OFFSET(Supplementary!D$237,MATCH($C$19,Supplementary!$B$238:$B$241,0),0)</f>
        <v>2</v>
      </c>
      <c r="F109" s="478">
        <f ca="1">OFFSET(Supplementary!E$237,MATCH($C$19,Supplementary!$B$238:$B$241,0),0)</f>
        <v>6</v>
      </c>
      <c r="G109" s="478">
        <f ca="1">OFFSET(Supplementary!F$237,MATCH($C$19,Supplementary!$B$238:$B$241,0),0)</f>
        <v>12</v>
      </c>
      <c r="H109" s="983"/>
      <c r="I109" s="994"/>
      <c r="J109" s="965"/>
      <c r="N109" s="991"/>
      <c r="O109" s="991"/>
      <c r="P109" s="991"/>
      <c r="Q109" s="991"/>
    </row>
    <row r="110" spans="1:17">
      <c r="B110" s="995" t="s">
        <v>2115</v>
      </c>
      <c r="C110" s="976"/>
      <c r="D110" s="1698">
        <f ca="1">1*D108^(D109-1)</f>
        <v>1</v>
      </c>
      <c r="E110" s="1698">
        <f ca="1">1*E108^(E109-1)</f>
        <v>0.95</v>
      </c>
      <c r="F110" s="1698">
        <f ca="1">1*F108^(F109-1)</f>
        <v>0.77378093749999999</v>
      </c>
      <c r="G110" s="1698">
        <f ca="1">1*G108^(G109-1)</f>
        <v>0.56880009227645989</v>
      </c>
      <c r="H110" s="983"/>
      <c r="I110" s="994"/>
      <c r="J110" s="965"/>
      <c r="N110" s="991"/>
      <c r="O110" s="991"/>
      <c r="P110" s="991"/>
      <c r="Q110" s="991"/>
    </row>
    <row r="111" spans="1:17">
      <c r="B111" s="995"/>
      <c r="C111" s="976"/>
      <c r="D111" s="983"/>
      <c r="E111" s="983"/>
      <c r="F111" s="983"/>
      <c r="G111" s="983"/>
      <c r="H111" s="983"/>
      <c r="I111" s="994"/>
      <c r="J111" s="965"/>
      <c r="N111" s="991"/>
      <c r="O111" s="991"/>
      <c r="P111" s="991"/>
      <c r="Q111" s="991"/>
    </row>
    <row r="112" spans="1:17">
      <c r="B112" s="975" t="s">
        <v>166</v>
      </c>
      <c r="C112" s="976"/>
      <c r="D112" s="983"/>
      <c r="E112" s="983"/>
      <c r="F112" s="983"/>
      <c r="G112" s="983"/>
      <c r="H112" s="983"/>
      <c r="I112" s="994"/>
      <c r="J112" s="965"/>
      <c r="N112" s="998"/>
      <c r="O112" s="998"/>
      <c r="P112" s="998"/>
      <c r="Q112" s="991"/>
    </row>
    <row r="113" spans="2:17">
      <c r="B113" s="964" t="s">
        <v>24</v>
      </c>
      <c r="C113" s="976" t="s">
        <v>465</v>
      </c>
      <c r="D113" s="999">
        <v>0</v>
      </c>
      <c r="E113" s="999">
        <v>0</v>
      </c>
      <c r="F113" s="999">
        <v>0</v>
      </c>
      <c r="G113" s="999"/>
      <c r="H113" s="999"/>
      <c r="I113" s="1335" t="s">
        <v>1747</v>
      </c>
      <c r="J113" s="965"/>
      <c r="N113" s="991"/>
      <c r="O113" s="991"/>
      <c r="P113" s="991"/>
      <c r="Q113" s="991"/>
    </row>
    <row r="114" spans="2:17">
      <c r="B114" s="964" t="s">
        <v>27</v>
      </c>
      <c r="C114" s="976" t="s">
        <v>465</v>
      </c>
      <c r="D114" s="999">
        <v>0</v>
      </c>
      <c r="E114" s="999">
        <v>0</v>
      </c>
      <c r="F114" s="999">
        <v>0</v>
      </c>
      <c r="G114" s="999"/>
      <c r="H114" s="999"/>
      <c r="I114" s="1335" t="s">
        <v>1747</v>
      </c>
      <c r="J114" s="965"/>
      <c r="N114" s="991"/>
      <c r="O114" s="991"/>
      <c r="P114" s="991"/>
      <c r="Q114" s="991"/>
    </row>
    <row r="115" spans="2:17">
      <c r="B115" s="964" t="s">
        <v>28</v>
      </c>
      <c r="C115" s="976" t="s">
        <v>465</v>
      </c>
      <c r="D115" s="999">
        <v>0</v>
      </c>
      <c r="E115" s="999">
        <v>0</v>
      </c>
      <c r="F115" s="999">
        <v>0</v>
      </c>
      <c r="G115" s="999"/>
      <c r="H115" s="999"/>
      <c r="I115" s="1335" t="s">
        <v>1747</v>
      </c>
      <c r="J115" s="965"/>
      <c r="N115" s="991"/>
      <c r="O115" s="991"/>
      <c r="P115" s="991"/>
      <c r="Q115" s="991"/>
    </row>
    <row r="116" spans="2:17">
      <c r="B116" s="964" t="s">
        <v>26</v>
      </c>
      <c r="C116" s="976" t="s">
        <v>465</v>
      </c>
      <c r="D116" s="999">
        <v>0</v>
      </c>
      <c r="E116" s="999">
        <v>0</v>
      </c>
      <c r="F116" s="999">
        <v>0</v>
      </c>
      <c r="G116" s="999"/>
      <c r="H116" s="999"/>
      <c r="I116" s="1335" t="s">
        <v>1747</v>
      </c>
      <c r="J116" s="965"/>
      <c r="N116" s="991"/>
      <c r="O116" s="991"/>
      <c r="P116" s="991"/>
      <c r="Q116" s="991"/>
    </row>
    <row r="117" spans="2:17">
      <c r="B117" s="964" t="s">
        <v>167</v>
      </c>
      <c r="C117" s="976" t="s">
        <v>465</v>
      </c>
      <c r="D117" s="999">
        <v>0</v>
      </c>
      <c r="E117" s="999">
        <v>0</v>
      </c>
      <c r="F117" s="999">
        <v>0</v>
      </c>
      <c r="G117" s="999"/>
      <c r="H117" s="999"/>
      <c r="I117" s="1335" t="s">
        <v>1747</v>
      </c>
      <c r="J117" s="965"/>
      <c r="N117" s="998"/>
      <c r="O117" s="998"/>
      <c r="P117" s="998"/>
      <c r="Q117" s="998"/>
    </row>
    <row r="118" spans="2:17">
      <c r="B118" s="964" t="s">
        <v>45</v>
      </c>
      <c r="C118" s="976" t="s">
        <v>465</v>
      </c>
      <c r="D118" s="1000"/>
      <c r="E118" s="1000"/>
      <c r="F118" s="1000"/>
      <c r="G118" s="1000"/>
      <c r="H118" s="1000"/>
      <c r="I118" s="555"/>
      <c r="J118" s="965"/>
    </row>
    <row r="119" spans="2:17" ht="13.5" thickBot="1">
      <c r="B119" s="1001"/>
      <c r="C119" s="1002"/>
      <c r="D119" s="1003"/>
      <c r="E119" s="968"/>
      <c r="F119" s="968"/>
      <c r="G119" s="968"/>
      <c r="H119" s="968"/>
      <c r="I119" s="1004"/>
      <c r="J119" s="969"/>
    </row>
    <row r="122" spans="2:17" ht="18.75">
      <c r="B122" s="1005" t="s">
        <v>172</v>
      </c>
    </row>
    <row r="123" spans="2:17" ht="15.75">
      <c r="B123" s="1006"/>
      <c r="D123" s="1007"/>
    </row>
    <row r="124" spans="2:17">
      <c r="B124" s="555"/>
      <c r="C124" s="555"/>
      <c r="D124" s="555"/>
      <c r="E124" s="555"/>
      <c r="F124" s="555"/>
      <c r="G124" s="555"/>
      <c r="H124" s="555"/>
      <c r="I124" s="555"/>
      <c r="J124" s="555"/>
      <c r="K124" s="555"/>
      <c r="L124" s="555"/>
    </row>
    <row r="125" spans="2:17">
      <c r="B125" s="555"/>
      <c r="C125" s="977"/>
      <c r="D125" s="977"/>
      <c r="E125" s="977"/>
      <c r="F125" s="977"/>
      <c r="G125" s="977"/>
      <c r="H125" s="977"/>
      <c r="I125" s="555"/>
      <c r="J125" s="977"/>
      <c r="K125" s="977"/>
      <c r="L125" s="977"/>
    </row>
    <row r="126" spans="2:17">
      <c r="B126" s="555"/>
      <c r="C126" s="555"/>
      <c r="D126" s="993"/>
      <c r="E126" s="993"/>
      <c r="F126" s="993"/>
      <c r="G126" s="993"/>
      <c r="H126" s="993"/>
      <c r="I126" s="555"/>
      <c r="J126" s="993"/>
      <c r="K126" s="993"/>
      <c r="L126" s="993"/>
    </row>
    <row r="127" spans="2:17">
      <c r="B127" s="555"/>
      <c r="C127" s="555"/>
      <c r="D127" s="993"/>
      <c r="E127" s="993"/>
      <c r="F127" s="993"/>
      <c r="G127" s="993"/>
      <c r="H127" s="993"/>
      <c r="I127" s="555"/>
      <c r="J127" s="993"/>
      <c r="K127" s="993"/>
      <c r="L127" s="993"/>
    </row>
    <row r="128" spans="2:17">
      <c r="B128" s="555"/>
      <c r="C128" s="555"/>
      <c r="D128" s="993"/>
      <c r="E128" s="993"/>
      <c r="F128" s="993"/>
      <c r="G128" s="993"/>
      <c r="H128" s="993"/>
      <c r="I128" s="555"/>
      <c r="J128" s="993"/>
      <c r="K128" s="993"/>
      <c r="L128" s="993"/>
    </row>
    <row r="129" spans="2:12">
      <c r="D129" s="993"/>
      <c r="E129" s="993"/>
      <c r="F129" s="993"/>
      <c r="G129" s="993"/>
      <c r="H129" s="993"/>
      <c r="I129" s="555"/>
      <c r="J129" s="993"/>
      <c r="K129" s="993"/>
      <c r="L129" s="993"/>
    </row>
    <row r="130" spans="2:12">
      <c r="D130" s="993"/>
      <c r="E130" s="993"/>
      <c r="F130" s="993"/>
      <c r="G130" s="993"/>
      <c r="H130" s="993"/>
      <c r="I130" s="555"/>
      <c r="J130" s="993"/>
      <c r="K130" s="993"/>
      <c r="L130" s="993"/>
    </row>
    <row r="131" spans="2:12">
      <c r="B131" s="555"/>
      <c r="C131" s="555"/>
      <c r="D131" s="993"/>
      <c r="E131" s="993"/>
      <c r="F131" s="993"/>
      <c r="G131" s="993"/>
      <c r="H131" s="993"/>
      <c r="I131" s="555"/>
      <c r="J131" s="993"/>
      <c r="K131" s="993"/>
      <c r="L131" s="993"/>
    </row>
    <row r="132" spans="2:12">
      <c r="B132" s="555"/>
      <c r="C132" s="555"/>
      <c r="D132" s="993"/>
      <c r="E132" s="993"/>
      <c r="F132" s="993"/>
      <c r="G132" s="993"/>
      <c r="H132" s="993"/>
      <c r="I132" s="555"/>
      <c r="J132" s="993"/>
      <c r="K132" s="993"/>
      <c r="L132" s="993"/>
    </row>
    <row r="133" spans="2:12">
      <c r="D133" s="993"/>
    </row>
    <row r="135" spans="2:12" ht="18.75">
      <c r="B135" s="1005" t="s">
        <v>168</v>
      </c>
    </row>
    <row r="136" spans="2:12" ht="15.75">
      <c r="B136" s="1006"/>
    </row>
    <row r="137" spans="2:12" ht="13.5" thickBot="1">
      <c r="B137" s="555"/>
      <c r="C137" s="555"/>
      <c r="D137" s="555"/>
      <c r="E137" s="555"/>
      <c r="F137" s="555"/>
      <c r="G137" s="555"/>
      <c r="H137" s="555"/>
      <c r="I137" s="555"/>
    </row>
    <row r="138" spans="2:12">
      <c r="B138" s="1008"/>
      <c r="C138" s="1009" t="s">
        <v>70</v>
      </c>
      <c r="D138" s="1010">
        <v>2015</v>
      </c>
      <c r="E138" s="1009">
        <v>2020</v>
      </c>
      <c r="F138" s="1009">
        <v>2035</v>
      </c>
      <c r="G138" s="1009"/>
      <c r="H138" s="1009"/>
      <c r="I138" s="1011" t="s">
        <v>145</v>
      </c>
      <c r="J138" s="1012" t="s">
        <v>146</v>
      </c>
    </row>
    <row r="139" spans="2:12">
      <c r="B139" s="964"/>
      <c r="C139" s="977"/>
      <c r="D139" s="1013"/>
      <c r="E139" s="1014"/>
      <c r="F139" s="1014"/>
      <c r="G139" s="1014"/>
      <c r="H139" s="1014"/>
      <c r="I139" s="555"/>
      <c r="J139" s="965"/>
    </row>
    <row r="140" spans="2:12">
      <c r="B140" s="964"/>
      <c r="C140" s="977"/>
      <c r="D140" s="1015"/>
      <c r="E140" s="1016"/>
      <c r="F140" s="1016"/>
      <c r="G140" s="1016"/>
      <c r="H140" s="1016"/>
      <c r="I140" s="555"/>
      <c r="J140" s="965"/>
    </row>
    <row r="141" spans="2:12">
      <c r="B141" s="1336" t="s">
        <v>1747</v>
      </c>
      <c r="C141" s="1353" t="s">
        <v>1747</v>
      </c>
      <c r="D141" s="1058"/>
      <c r="E141" s="1018"/>
      <c r="F141" s="1018"/>
      <c r="G141" s="1018"/>
      <c r="H141" s="1018"/>
      <c r="I141" s="1335" t="s">
        <v>1747</v>
      </c>
      <c r="J141" s="965"/>
    </row>
    <row r="142" spans="2:12">
      <c r="B142" s="964"/>
      <c r="C142" s="977"/>
      <c r="D142" s="1015"/>
      <c r="E142" s="1016"/>
      <c r="F142" s="1016"/>
      <c r="G142" s="1016"/>
      <c r="H142" s="1016"/>
      <c r="I142" s="555"/>
      <c r="J142" s="965"/>
    </row>
    <row r="143" spans="2:12">
      <c r="B143" s="964"/>
      <c r="C143" s="977"/>
      <c r="D143" s="1015"/>
      <c r="E143" s="1016"/>
      <c r="F143" s="1016"/>
      <c r="G143" s="1016"/>
      <c r="H143" s="1016"/>
      <c r="I143" s="555"/>
      <c r="J143" s="965"/>
    </row>
    <row r="144" spans="2:12">
      <c r="B144" s="964" t="s">
        <v>22</v>
      </c>
      <c r="C144" s="977" t="s">
        <v>249</v>
      </c>
      <c r="D144" s="1019"/>
      <c r="E144" s="979"/>
      <c r="F144" s="979"/>
      <c r="G144" s="979"/>
      <c r="H144" s="979"/>
      <c r="I144" s="555"/>
      <c r="J144" s="965"/>
    </row>
    <row r="145" spans="2:10">
      <c r="B145" s="964"/>
      <c r="C145" s="976"/>
      <c r="D145" s="1016"/>
      <c r="E145" s="1016"/>
      <c r="F145" s="1016"/>
      <c r="G145" s="1016"/>
      <c r="H145" s="1016"/>
      <c r="I145" s="555"/>
      <c r="J145" s="965"/>
    </row>
    <row r="146" spans="2:10" ht="13.5" thickBot="1">
      <c r="B146" s="967"/>
      <c r="C146" s="1020"/>
      <c r="D146" s="1021"/>
      <c r="E146" s="1021"/>
      <c r="F146" s="1021"/>
      <c r="G146" s="1021"/>
      <c r="H146" s="1021"/>
      <c r="I146" s="968"/>
      <c r="J146" s="969"/>
    </row>
    <row r="149" spans="2:10" ht="13.5" thickBot="1"/>
    <row r="150" spans="2:10">
      <c r="B150" s="1040"/>
      <c r="C150" s="1340"/>
      <c r="D150" s="1064" t="s">
        <v>1098</v>
      </c>
    </row>
    <row r="151" spans="2:10">
      <c r="B151" s="1065" t="s">
        <v>1095</v>
      </c>
      <c r="C151" s="1367">
        <v>0</v>
      </c>
      <c r="D151" s="1067" t="s">
        <v>1767</v>
      </c>
    </row>
    <row r="152" spans="2:10" ht="13.5" thickBot="1">
      <c r="B152" s="1022" t="s">
        <v>1314</v>
      </c>
      <c r="C152" s="1341">
        <f>D188%</f>
        <v>0.25686486486486482</v>
      </c>
      <c r="D152" s="1342" t="s">
        <v>1767</v>
      </c>
    </row>
    <row r="153" spans="2:10">
      <c r="B153" s="530" t="str">
        <f>CONCATENATE("Source: ",Referencer!$B$48)</f>
        <v>Source: 42, FORCE, Danish Energy Agency, 2013, Technology data for advanced bioenergy fuels.</v>
      </c>
    </row>
    <row r="154" spans="2:10" ht="13.5" thickBot="1">
      <c r="B154" s="555"/>
      <c r="C154" s="968"/>
    </row>
    <row r="155" spans="2:10" ht="18.75">
      <c r="B155" s="1023" t="s">
        <v>1315</v>
      </c>
      <c r="C155" s="1024"/>
      <c r="D155" s="1025"/>
      <c r="E155" s="1025"/>
      <c r="F155" s="1025"/>
      <c r="G155" s="1025"/>
      <c r="H155" s="1025"/>
      <c r="I155" s="1025"/>
      <c r="J155" s="1026"/>
    </row>
    <row r="156" spans="2:10" ht="15">
      <c r="B156" s="1026"/>
      <c r="C156" s="1027"/>
      <c r="D156" s="1028">
        <v>2015</v>
      </c>
      <c r="E156" s="1028">
        <v>2020</v>
      </c>
      <c r="F156" s="1028">
        <v>2035</v>
      </c>
      <c r="G156" s="1028">
        <v>2050</v>
      </c>
      <c r="H156" s="1028"/>
      <c r="I156" s="1028" t="s">
        <v>1098</v>
      </c>
      <c r="J156" s="1338"/>
    </row>
    <row r="157" spans="2:10" ht="15">
      <c r="B157" s="1029" t="s">
        <v>1099</v>
      </c>
      <c r="C157" s="1030"/>
      <c r="D157" s="1027"/>
      <c r="E157" s="1027"/>
      <c r="F157" s="1027"/>
      <c r="G157" s="1027"/>
      <c r="H157" s="1027"/>
      <c r="I157" s="1027"/>
      <c r="J157" s="1026"/>
    </row>
    <row r="158" spans="2:10" ht="15">
      <c r="B158" s="1026" t="s">
        <v>1316</v>
      </c>
      <c r="C158" s="1027"/>
      <c r="D158" s="1368">
        <v>136000</v>
      </c>
      <c r="E158" s="1284" t="s">
        <v>1101</v>
      </c>
      <c r="F158" s="1031"/>
      <c r="G158" s="1031"/>
      <c r="H158" s="1031"/>
      <c r="I158" s="1032" t="s">
        <v>1767</v>
      </c>
      <c r="J158" s="1339"/>
    </row>
    <row r="159" spans="2:10" ht="15">
      <c r="B159" s="1026" t="s">
        <v>1317</v>
      </c>
      <c r="C159" s="1027"/>
      <c r="D159" s="1368">
        <v>229813</v>
      </c>
      <c r="E159" s="1284" t="s">
        <v>1101</v>
      </c>
      <c r="F159" s="1031"/>
      <c r="G159" s="1031"/>
      <c r="H159" s="1031"/>
      <c r="I159" s="1032"/>
      <c r="J159" s="1339"/>
    </row>
    <row r="160" spans="2:10" ht="15">
      <c r="B160" s="1026" t="s">
        <v>1318</v>
      </c>
      <c r="C160" s="1027"/>
      <c r="D160" s="1375">
        <v>3.7</v>
      </c>
      <c r="E160" s="1284" t="s">
        <v>1101</v>
      </c>
      <c r="F160" s="1031"/>
      <c r="G160" s="1031"/>
      <c r="H160" s="1031"/>
      <c r="I160" s="1032"/>
      <c r="J160" s="1339"/>
    </row>
    <row r="161" spans="2:10" ht="15">
      <c r="B161" s="1026" t="s">
        <v>1319</v>
      </c>
      <c r="C161" s="1027"/>
      <c r="D161" s="1375">
        <v>0.35</v>
      </c>
      <c r="E161" s="1284" t="s">
        <v>1101</v>
      </c>
      <c r="F161" s="1031"/>
      <c r="G161" s="1031"/>
      <c r="H161" s="1031"/>
      <c r="I161" s="1032"/>
      <c r="J161" s="1339"/>
    </row>
    <row r="162" spans="2:10" ht="15">
      <c r="B162" s="1026" t="s">
        <v>1320</v>
      </c>
      <c r="C162" s="1027"/>
      <c r="D162" s="1375">
        <v>3.7</v>
      </c>
      <c r="E162" s="1284" t="s">
        <v>1101</v>
      </c>
      <c r="F162" s="1031"/>
      <c r="G162" s="1031"/>
      <c r="H162" s="1031"/>
      <c r="I162" s="1032"/>
      <c r="J162" s="1339"/>
    </row>
    <row r="163" spans="2:10" ht="15">
      <c r="B163" s="1026" t="s">
        <v>1321</v>
      </c>
      <c r="C163" s="1027"/>
      <c r="D163" s="1375">
        <v>0.03</v>
      </c>
      <c r="E163" s="1284" t="s">
        <v>1101</v>
      </c>
      <c r="F163" s="1031"/>
      <c r="G163" s="1031"/>
      <c r="H163" s="1031"/>
      <c r="I163" s="1032"/>
      <c r="J163" s="1339"/>
    </row>
    <row r="164" spans="2:10" ht="15">
      <c r="B164" s="1026" t="s">
        <v>1322</v>
      </c>
      <c r="C164" s="1027"/>
      <c r="D164" s="1375">
        <v>0.23</v>
      </c>
      <c r="E164" s="1284" t="s">
        <v>1101</v>
      </c>
      <c r="F164" s="1031"/>
      <c r="G164" s="1031"/>
      <c r="H164" s="1031"/>
      <c r="I164" s="1032"/>
      <c r="J164" s="1339"/>
    </row>
    <row r="165" spans="2:10" ht="15">
      <c r="B165" s="1026" t="s">
        <v>1323</v>
      </c>
      <c r="C165" s="1027"/>
      <c r="D165" s="1375">
        <v>2</v>
      </c>
      <c r="E165" s="1284" t="s">
        <v>1101</v>
      </c>
      <c r="F165" s="1031"/>
      <c r="G165" s="1031"/>
      <c r="H165" s="1031"/>
      <c r="I165" s="1032"/>
      <c r="J165" s="1339"/>
    </row>
    <row r="166" spans="2:10" ht="15">
      <c r="B166" s="1026" t="s">
        <v>1324</v>
      </c>
      <c r="C166" s="1027"/>
      <c r="D166" s="1370">
        <v>25.6</v>
      </c>
      <c r="E166" s="1284" t="s">
        <v>1101</v>
      </c>
      <c r="F166" s="1031"/>
      <c r="G166" s="1031"/>
      <c r="H166" s="1031"/>
      <c r="I166" s="1032"/>
      <c r="J166" s="1339"/>
    </row>
    <row r="167" spans="2:10" ht="15">
      <c r="B167" s="1026" t="s">
        <v>1325</v>
      </c>
      <c r="C167" s="1027"/>
      <c r="D167" s="1370">
        <v>76</v>
      </c>
      <c r="E167" s="1284" t="s">
        <v>1101</v>
      </c>
      <c r="F167" s="1031"/>
      <c r="G167" s="1031"/>
      <c r="H167" s="1031"/>
      <c r="I167" s="1032"/>
      <c r="J167" s="1339"/>
    </row>
    <row r="168" spans="2:10" ht="15">
      <c r="B168" s="1026"/>
      <c r="C168" s="1027"/>
      <c r="D168" s="1370"/>
      <c r="E168" s="1031"/>
      <c r="F168" s="1031"/>
      <c r="G168" s="1031"/>
      <c r="H168" s="1031"/>
      <c r="I168" s="1032"/>
      <c r="J168" s="1339"/>
    </row>
    <row r="169" spans="2:10" ht="15">
      <c r="B169" s="1026"/>
      <c r="C169" s="1027"/>
      <c r="D169" s="1370"/>
      <c r="E169" s="1031"/>
      <c r="F169" s="1031"/>
      <c r="G169" s="1031"/>
      <c r="H169" s="1031"/>
      <c r="I169" s="1032"/>
      <c r="J169" s="1339"/>
    </row>
    <row r="170" spans="2:10" ht="15">
      <c r="B170" s="1026"/>
      <c r="C170" s="1027"/>
      <c r="D170" s="1370"/>
      <c r="E170" s="1031"/>
      <c r="F170" s="1031"/>
      <c r="G170" s="1031"/>
      <c r="H170" s="1031"/>
      <c r="I170" s="1032"/>
      <c r="J170" s="1339"/>
    </row>
    <row r="171" spans="2:10" ht="15">
      <c r="B171" s="1026"/>
      <c r="C171" s="1027"/>
      <c r="D171" s="1370"/>
      <c r="E171" s="1031"/>
      <c r="F171" s="1031"/>
      <c r="G171" s="1031"/>
      <c r="H171" s="1031"/>
      <c r="I171" s="1032"/>
      <c r="J171" s="1339"/>
    </row>
    <row r="172" spans="2:10" ht="15">
      <c r="B172" s="1026"/>
      <c r="C172" s="1027"/>
      <c r="D172" s="1370"/>
      <c r="E172" s="1031"/>
      <c r="F172" s="1031"/>
      <c r="G172" s="1031"/>
      <c r="H172" s="1031"/>
      <c r="I172" s="1032"/>
      <c r="J172" s="1339"/>
    </row>
    <row r="173" spans="2:10" ht="15">
      <c r="B173" s="1026"/>
      <c r="C173" s="1027"/>
      <c r="D173" s="1370"/>
      <c r="E173" s="1031"/>
      <c r="F173" s="1031"/>
      <c r="G173" s="1031"/>
      <c r="H173" s="1031"/>
      <c r="I173" s="1032"/>
      <c r="J173" s="1339"/>
    </row>
    <row r="174" spans="2:10" ht="15">
      <c r="B174" s="1026"/>
      <c r="C174" s="1027"/>
      <c r="D174" s="1370"/>
      <c r="E174" s="1031"/>
      <c r="F174" s="1031"/>
      <c r="G174" s="1031"/>
      <c r="H174" s="1031"/>
      <c r="I174" s="1032"/>
      <c r="J174" s="1339"/>
    </row>
    <row r="175" spans="2:10" ht="15">
      <c r="B175" s="1026"/>
      <c r="C175" s="1027"/>
      <c r="D175" s="1370"/>
      <c r="E175" s="1027"/>
      <c r="F175" s="1027"/>
      <c r="G175" s="1027"/>
      <c r="H175" s="1027"/>
      <c r="I175" s="1032"/>
      <c r="J175" s="1339"/>
    </row>
    <row r="176" spans="2:10" ht="15">
      <c r="B176" s="1029" t="s">
        <v>1109</v>
      </c>
      <c r="C176" s="1030"/>
      <c r="D176" s="1370"/>
      <c r="E176" s="1027"/>
      <c r="F176" s="1027"/>
      <c r="G176" s="1027"/>
      <c r="H176" s="1027"/>
      <c r="I176" s="1032"/>
      <c r="J176" s="1339"/>
    </row>
    <row r="177" spans="2:10" ht="15">
      <c r="B177" s="1026" t="s">
        <v>1326</v>
      </c>
      <c r="C177" s="1027"/>
      <c r="D177" s="1370">
        <v>116.8</v>
      </c>
      <c r="E177" s="1031" t="s">
        <v>1101</v>
      </c>
      <c r="F177" s="1031"/>
      <c r="G177" s="1031"/>
      <c r="H177" s="1031"/>
      <c r="I177" s="1032"/>
      <c r="J177" s="1339"/>
    </row>
    <row r="178" spans="2:10" ht="15.75" thickBot="1">
      <c r="B178" s="1033" t="s">
        <v>1327</v>
      </c>
      <c r="C178" s="1034"/>
      <c r="D178" s="1374">
        <v>5.84</v>
      </c>
      <c r="E178" s="1035" t="s">
        <v>1101</v>
      </c>
      <c r="F178" s="1035"/>
      <c r="G178" s="1035"/>
      <c r="H178" s="1035"/>
      <c r="I178" s="1036"/>
      <c r="J178" s="1339"/>
    </row>
    <row r="179" spans="2:10">
      <c r="B179" s="530" t="str">
        <f>CONCATENATE("Source: ",Referencer!$B$48)</f>
        <v>Source: 42, FORCE, Danish Energy Agency, 2013, Technology data for advanced bioenergy fuels.</v>
      </c>
    </row>
    <row r="181" spans="2:10" ht="13.5" thickBot="1">
      <c r="B181" s="530" t="s">
        <v>1328</v>
      </c>
    </row>
    <row r="182" spans="2:10" ht="13.5" thickBot="1">
      <c r="B182" s="1045" t="s">
        <v>1329</v>
      </c>
      <c r="C182" s="1046" t="s">
        <v>1152</v>
      </c>
      <c r="D182" s="1047" t="s">
        <v>1153</v>
      </c>
    </row>
    <row r="183" spans="2:10">
      <c r="B183" s="1048" t="s">
        <v>1307</v>
      </c>
      <c r="C183" s="1376">
        <v>100</v>
      </c>
      <c r="D183" s="1049"/>
    </row>
    <row r="184" spans="2:10">
      <c r="B184" s="1050" t="s">
        <v>951</v>
      </c>
      <c r="C184" s="1051">
        <f>D163/D160*100</f>
        <v>0.81081081081081063</v>
      </c>
      <c r="D184" s="1052"/>
    </row>
    <row r="185" spans="2:10">
      <c r="B185" s="1050" t="s">
        <v>964</v>
      </c>
      <c r="C185" s="1051">
        <f>D164/D160*100</f>
        <v>6.2162162162162158</v>
      </c>
      <c r="D185" s="1052"/>
    </row>
    <row r="186" spans="2:10">
      <c r="B186" s="1050" t="s">
        <v>1330</v>
      </c>
      <c r="C186" s="1051"/>
      <c r="D186" s="1052">
        <f>1/D160*100</f>
        <v>27.027027027027025</v>
      </c>
    </row>
    <row r="187" spans="2:10">
      <c r="B187" s="1050" t="s">
        <v>1331</v>
      </c>
      <c r="C187" s="1051"/>
      <c r="D187" s="1052">
        <f>D165/D160*100</f>
        <v>54.054054054054049</v>
      </c>
    </row>
    <row r="188" spans="2:10" ht="13.5" thickBot="1">
      <c r="B188" s="1053" t="s">
        <v>1256</v>
      </c>
      <c r="C188" s="1054"/>
      <c r="D188" s="1055">
        <f>(100-D167)*SUM(C183:C185)/100</f>
        <v>25.686486486486483</v>
      </c>
    </row>
    <row r="189" spans="2:10">
      <c r="B189" s="530" t="str">
        <f>CONCATENATE("Source: ",Referencer!$B$48)</f>
        <v>Source: 42, FORCE, Danish Energy Agency, 2013, Technology data for advanced bioenergy fuels.</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Supplementary!$B$238:$B$241</xm:f>
          </x14:formula1>
          <xm:sqref>C19</xm:sqref>
        </x14:dataValidation>
      </x14:dataValidation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tabColor rgb="FF00B0F0"/>
  </sheetPr>
  <dimension ref="A1:S191"/>
  <sheetViews>
    <sheetView topLeftCell="A56" zoomScale="80" zoomScaleNormal="80" workbookViewId="0">
      <selection activeCell="D105" sqref="D105:G105"/>
    </sheetView>
  </sheetViews>
  <sheetFormatPr defaultRowHeight="12.75"/>
  <cols>
    <col min="1" max="1" width="3.28515625" style="530" customWidth="1"/>
    <col min="2" max="2" width="36" style="530" customWidth="1"/>
    <col min="3" max="3" width="16.5703125" style="530" customWidth="1"/>
    <col min="4" max="8" width="15.7109375" style="530" customWidth="1"/>
    <col min="9" max="9" width="7.28515625" style="530" customWidth="1"/>
    <col min="10" max="10" width="12.7109375" style="530" customWidth="1"/>
    <col min="11" max="14" width="9.140625" style="530"/>
    <col min="15" max="17" width="9.28515625" style="530" bestFit="1" customWidth="1"/>
    <col min="18" max="19" width="9.42578125" style="530" bestFit="1" customWidth="1"/>
    <col min="20" max="16384" width="9.140625" style="530"/>
  </cols>
  <sheetData>
    <row r="1" spans="1:19" s="465" customFormat="1" ht="21">
      <c r="B1" s="465" t="str">
        <f>B155</f>
        <v>Ethanol by Inbicon 2. generation fermentation</v>
      </c>
      <c r="Q1" s="467">
        <f ca="1">'Log2015'!M1</f>
        <v>-8.0112614142160741</v>
      </c>
      <c r="R1" s="468">
        <f ca="1">'Log2015'!N1</f>
        <v>-160807.124977848</v>
      </c>
    </row>
    <row r="2" spans="1:19">
      <c r="B2" s="530" t="s">
        <v>1332</v>
      </c>
      <c r="Q2" s="958">
        <f ca="1">Q1</f>
        <v>-8.0112614142160741</v>
      </c>
      <c r="R2" s="958">
        <f ca="1">R1</f>
        <v>-160807.124977848</v>
      </c>
      <c r="S2" s="959">
        <f>S1</f>
        <v>0</v>
      </c>
    </row>
    <row r="3" spans="1:19">
      <c r="A3" s="530" t="s">
        <v>1078</v>
      </c>
    </row>
    <row r="4" spans="1:19">
      <c r="B4" s="960" t="s">
        <v>81</v>
      </c>
    </row>
    <row r="5" spans="1:19" ht="13.5" thickBot="1"/>
    <row r="6" spans="1:19">
      <c r="B6" s="961" t="s">
        <v>137</v>
      </c>
      <c r="C6" s="962"/>
      <c r="D6" s="962"/>
      <c r="E6" s="962"/>
      <c r="F6" s="962"/>
      <c r="G6" s="962"/>
      <c r="H6" s="962"/>
      <c r="I6" s="962"/>
      <c r="J6" s="962"/>
      <c r="K6" s="962"/>
      <c r="L6" s="962"/>
      <c r="M6" s="962"/>
      <c r="N6" s="963"/>
    </row>
    <row r="7" spans="1:19">
      <c r="B7" s="964"/>
      <c r="C7" s="555"/>
      <c r="D7" s="555"/>
      <c r="E7" s="555"/>
      <c r="F7" s="555"/>
      <c r="G7" s="555"/>
      <c r="H7" s="555"/>
      <c r="I7" s="555"/>
      <c r="J7" s="555"/>
      <c r="K7" s="555"/>
      <c r="L7" s="555"/>
      <c r="M7" s="555"/>
      <c r="N7" s="965"/>
    </row>
    <row r="8" spans="1:19">
      <c r="B8" s="964"/>
      <c r="C8" s="555"/>
      <c r="D8" s="555"/>
      <c r="E8" s="555"/>
      <c r="F8" s="555"/>
      <c r="G8" s="555"/>
      <c r="H8" s="555"/>
      <c r="I8" s="555"/>
      <c r="J8" s="555"/>
      <c r="K8" s="555"/>
      <c r="L8" s="555"/>
      <c r="M8" s="555"/>
      <c r="N8" s="965"/>
    </row>
    <row r="9" spans="1:19">
      <c r="B9" s="964"/>
      <c r="C9" s="555"/>
      <c r="D9" s="555"/>
      <c r="E9" s="555"/>
      <c r="F9" s="555"/>
      <c r="G9" s="555"/>
      <c r="H9" s="555"/>
      <c r="I9" s="555"/>
      <c r="J9" s="555"/>
      <c r="K9" s="555"/>
      <c r="L9" s="555"/>
      <c r="M9" s="555"/>
      <c r="N9" s="965"/>
    </row>
    <row r="10" spans="1:19">
      <c r="B10" s="964"/>
      <c r="C10" s="555"/>
      <c r="D10" s="555"/>
      <c r="E10" s="555"/>
      <c r="F10" s="555"/>
      <c r="G10" s="555"/>
      <c r="H10" s="555"/>
      <c r="I10" s="555"/>
      <c r="J10" s="555"/>
      <c r="K10" s="555"/>
      <c r="L10" s="555"/>
      <c r="M10" s="555"/>
      <c r="N10" s="965"/>
    </row>
    <row r="11" spans="1:19">
      <c r="B11" s="964" t="s">
        <v>138</v>
      </c>
      <c r="C11" s="1056" t="s">
        <v>1333</v>
      </c>
      <c r="D11" s="555"/>
      <c r="E11" s="555"/>
      <c r="F11" s="555"/>
      <c r="G11" s="555"/>
      <c r="H11" s="555"/>
      <c r="I11" s="555"/>
      <c r="J11" s="555"/>
      <c r="K11" s="555"/>
      <c r="L11" s="555"/>
      <c r="M11" s="555"/>
      <c r="N11" s="965"/>
    </row>
    <row r="12" spans="1:19">
      <c r="B12" s="964"/>
      <c r="C12" s="555"/>
      <c r="D12" s="555"/>
      <c r="E12" s="555"/>
      <c r="F12" s="555"/>
      <c r="G12" s="555"/>
      <c r="H12" s="555"/>
      <c r="I12" s="555"/>
      <c r="J12" s="555"/>
      <c r="K12" s="555"/>
      <c r="L12" s="555"/>
      <c r="M12" s="555"/>
      <c r="N12" s="965"/>
    </row>
    <row r="13" spans="1:19">
      <c r="B13" s="964" t="s">
        <v>140</v>
      </c>
      <c r="C13" s="1057" t="s">
        <v>1334</v>
      </c>
      <c r="D13" s="555"/>
      <c r="E13" s="555"/>
      <c r="F13" s="555"/>
      <c r="G13" s="555"/>
      <c r="H13" s="555"/>
      <c r="I13" s="555"/>
      <c r="J13" s="555"/>
      <c r="K13" s="555"/>
      <c r="L13" s="555"/>
      <c r="M13" s="555"/>
      <c r="N13" s="965"/>
    </row>
    <row r="14" spans="1:19">
      <c r="B14" s="964"/>
      <c r="C14" s="555"/>
      <c r="D14" s="555"/>
      <c r="E14" s="555"/>
      <c r="F14" s="555"/>
      <c r="G14" s="555"/>
      <c r="H14" s="555"/>
      <c r="I14" s="555"/>
      <c r="J14" s="555"/>
      <c r="K14" s="555"/>
      <c r="L14" s="555"/>
      <c r="M14" s="555"/>
      <c r="N14" s="965"/>
    </row>
    <row r="15" spans="1:19">
      <c r="B15" s="964" t="s">
        <v>141</v>
      </c>
      <c r="C15" s="555"/>
      <c r="D15" s="555"/>
      <c r="E15" s="555"/>
      <c r="F15" s="555"/>
      <c r="G15" s="555"/>
      <c r="H15" s="555"/>
      <c r="I15" s="555"/>
      <c r="J15" s="555"/>
      <c r="K15" s="555"/>
      <c r="L15" s="555"/>
      <c r="M15" s="555"/>
      <c r="N15" s="965"/>
    </row>
    <row r="16" spans="1:19">
      <c r="B16" s="964"/>
      <c r="C16" s="555"/>
      <c r="D16" s="555"/>
      <c r="E16" s="555"/>
      <c r="F16" s="555"/>
      <c r="G16" s="555"/>
      <c r="H16" s="555"/>
      <c r="I16" s="555"/>
      <c r="J16" s="555"/>
      <c r="K16" s="555"/>
      <c r="L16" s="555"/>
      <c r="M16" s="555"/>
      <c r="N16" s="965"/>
    </row>
    <row r="17" spans="2:14">
      <c r="B17" s="964" t="s">
        <v>142</v>
      </c>
      <c r="C17" s="555"/>
      <c r="D17" s="555"/>
      <c r="E17" s="555"/>
      <c r="F17" s="555"/>
      <c r="G17" s="555"/>
      <c r="H17" s="555"/>
      <c r="I17" s="555"/>
      <c r="J17" s="555"/>
      <c r="K17" s="555"/>
      <c r="L17" s="555"/>
      <c r="M17" s="555"/>
      <c r="N17" s="965"/>
    </row>
    <row r="18" spans="2:14">
      <c r="B18" s="964"/>
      <c r="C18" s="555"/>
      <c r="D18" s="555"/>
      <c r="E18" s="555"/>
      <c r="F18" s="555"/>
      <c r="G18" s="555"/>
      <c r="H18" s="555"/>
      <c r="I18" s="555"/>
      <c r="J18" s="555"/>
      <c r="K18" s="555"/>
      <c r="L18" s="555"/>
      <c r="M18" s="555"/>
      <c r="N18" s="965"/>
    </row>
    <row r="19" spans="2:14">
      <c r="B19" s="964" t="s">
        <v>2131</v>
      </c>
      <c r="C19" s="1693" t="s">
        <v>2121</v>
      </c>
      <c r="D19" s="555"/>
      <c r="E19" s="555"/>
      <c r="F19" s="555"/>
      <c r="G19" s="555"/>
      <c r="H19" s="555"/>
      <c r="I19" s="555"/>
      <c r="J19" s="555"/>
      <c r="K19" s="555"/>
      <c r="L19" s="555"/>
      <c r="M19" s="555"/>
      <c r="N19" s="965"/>
    </row>
    <row r="20" spans="2:14">
      <c r="B20" s="964"/>
      <c r="C20" s="555"/>
      <c r="D20" s="555"/>
      <c r="E20" s="555"/>
      <c r="F20" s="555"/>
      <c r="G20" s="555"/>
      <c r="H20" s="555"/>
      <c r="I20" s="555"/>
      <c r="J20" s="555"/>
      <c r="K20" s="555"/>
      <c r="L20" s="555"/>
      <c r="M20" s="555"/>
      <c r="N20" s="965"/>
    </row>
    <row r="21" spans="2:14">
      <c r="B21" s="964"/>
      <c r="C21" s="555"/>
      <c r="D21" s="555"/>
      <c r="E21" s="555"/>
      <c r="F21" s="555"/>
      <c r="G21" s="555"/>
      <c r="H21" s="555"/>
      <c r="I21" s="555"/>
      <c r="J21" s="555"/>
      <c r="K21" s="555"/>
      <c r="L21" s="555"/>
      <c r="M21" s="555"/>
      <c r="N21" s="965"/>
    </row>
    <row r="22" spans="2:14">
      <c r="B22" s="964" t="s">
        <v>143</v>
      </c>
      <c r="C22" s="555"/>
      <c r="D22" s="555"/>
      <c r="E22" s="555"/>
      <c r="F22" s="555"/>
      <c r="G22" s="555"/>
      <c r="H22" s="555"/>
      <c r="I22" s="555"/>
      <c r="J22" s="555"/>
      <c r="K22" s="555"/>
      <c r="L22" s="555"/>
      <c r="M22" s="555"/>
      <c r="N22" s="965"/>
    </row>
    <row r="23" spans="2:14">
      <c r="B23" s="964"/>
      <c r="C23" s="555"/>
      <c r="D23" s="555"/>
      <c r="E23" s="555"/>
      <c r="F23" s="555"/>
      <c r="G23" s="555"/>
      <c r="H23" s="555"/>
      <c r="I23" s="555"/>
      <c r="J23" s="555"/>
      <c r="K23" s="555"/>
      <c r="L23" s="555"/>
      <c r="M23" s="555"/>
      <c r="N23" s="965"/>
    </row>
    <row r="24" spans="2:14" ht="13.5" thickBot="1">
      <c r="B24" s="967"/>
      <c r="C24" s="968"/>
      <c r="D24" s="968"/>
      <c r="E24" s="968"/>
      <c r="F24" s="968"/>
      <c r="G24" s="968"/>
      <c r="H24" s="968"/>
      <c r="I24" s="968"/>
      <c r="J24" s="968"/>
      <c r="K24" s="968"/>
      <c r="L24" s="968"/>
      <c r="M24" s="968"/>
      <c r="N24" s="969"/>
    </row>
    <row r="25" spans="2:14">
      <c r="F25" s="529"/>
      <c r="G25" s="529"/>
      <c r="H25" s="529"/>
    </row>
    <row r="26" spans="2:14">
      <c r="B26" s="960" t="s">
        <v>144</v>
      </c>
    </row>
    <row r="27" spans="2:14" ht="13.5" thickBot="1"/>
    <row r="28" spans="2:14">
      <c r="B28" s="961"/>
      <c r="C28" s="970"/>
      <c r="D28" s="962"/>
      <c r="E28" s="962"/>
      <c r="F28" s="962"/>
      <c r="G28" s="962"/>
      <c r="H28" s="962"/>
      <c r="I28" s="962"/>
      <c r="J28" s="963"/>
    </row>
    <row r="29" spans="2:14">
      <c r="B29" s="971"/>
      <c r="C29" s="972" t="s">
        <v>70</v>
      </c>
      <c r="D29" s="973">
        <v>2015</v>
      </c>
      <c r="E29" s="973">
        <v>2020</v>
      </c>
      <c r="F29" s="973">
        <v>2035</v>
      </c>
      <c r="G29" s="973">
        <v>2050</v>
      </c>
      <c r="H29" s="973" t="s">
        <v>978</v>
      </c>
      <c r="I29" s="556" t="s">
        <v>145</v>
      </c>
      <c r="J29" s="974" t="s">
        <v>146</v>
      </c>
    </row>
    <row r="30" spans="2:14">
      <c r="B30" s="975" t="s">
        <v>147</v>
      </c>
      <c r="C30" s="976"/>
      <c r="D30" s="977"/>
      <c r="E30" s="977"/>
      <c r="F30" s="977"/>
      <c r="G30" s="977"/>
      <c r="H30" s="977"/>
      <c r="I30" s="555"/>
      <c r="J30" s="965"/>
    </row>
    <row r="31" spans="2:14">
      <c r="B31" s="964" t="s">
        <v>148</v>
      </c>
      <c r="C31" s="976" t="s">
        <v>1335</v>
      </c>
      <c r="D31" s="1333">
        <f>1/D161</f>
        <v>0.14492753623188406</v>
      </c>
      <c r="E31" s="1333">
        <f>$D31</f>
        <v>0.14492753623188406</v>
      </c>
      <c r="F31" s="1333">
        <f>$D31</f>
        <v>0.14492753623188406</v>
      </c>
      <c r="G31" s="1333">
        <f>$D31</f>
        <v>0.14492753623188406</v>
      </c>
      <c r="H31" s="1333"/>
      <c r="I31" s="555"/>
      <c r="J31" s="965"/>
    </row>
    <row r="32" spans="2:14">
      <c r="B32" s="964" t="s">
        <v>67</v>
      </c>
      <c r="C32" s="976" t="s">
        <v>442</v>
      </c>
      <c r="D32" s="1333">
        <f>D159/D158</f>
        <v>26.8</v>
      </c>
      <c r="E32" s="1333">
        <f t="shared" ref="E32:G34" si="0">$D32</f>
        <v>26.8</v>
      </c>
      <c r="F32" s="1333">
        <f t="shared" si="0"/>
        <v>26.8</v>
      </c>
      <c r="G32" s="1333">
        <f t="shared" si="0"/>
        <v>26.8</v>
      </c>
      <c r="H32" s="978"/>
      <c r="I32" s="555"/>
      <c r="J32" s="965"/>
    </row>
    <row r="33" spans="2:10">
      <c r="B33" s="964" t="s">
        <v>149</v>
      </c>
      <c r="C33" s="976" t="s">
        <v>1336</v>
      </c>
      <c r="D33" s="1396">
        <f>D158</f>
        <v>58000</v>
      </c>
      <c r="E33" s="1396">
        <f t="shared" si="0"/>
        <v>58000</v>
      </c>
      <c r="F33" s="1396">
        <f t="shared" si="0"/>
        <v>58000</v>
      </c>
      <c r="G33" s="1396">
        <f t="shared" si="0"/>
        <v>58000</v>
      </c>
      <c r="H33" s="1397"/>
      <c r="I33" s="555"/>
      <c r="J33" s="965"/>
    </row>
    <row r="34" spans="2:10">
      <c r="B34" s="964" t="s">
        <v>150</v>
      </c>
      <c r="C34" s="976" t="s">
        <v>34</v>
      </c>
      <c r="D34" s="1332">
        <f>20</f>
        <v>20</v>
      </c>
      <c r="E34" s="1332">
        <f t="shared" si="0"/>
        <v>20</v>
      </c>
      <c r="F34" s="1332">
        <f t="shared" si="0"/>
        <v>20</v>
      </c>
      <c r="G34" s="1332">
        <f t="shared" si="0"/>
        <v>20</v>
      </c>
      <c r="H34" s="1332"/>
      <c r="I34" s="555"/>
      <c r="J34" s="965" t="s">
        <v>1087</v>
      </c>
    </row>
    <row r="35" spans="2:10">
      <c r="B35" s="964"/>
      <c r="C35" s="981"/>
      <c r="D35" s="982"/>
      <c r="E35" s="983"/>
      <c r="F35" s="983"/>
      <c r="G35" s="983"/>
      <c r="H35" s="983"/>
      <c r="I35" s="555"/>
      <c r="J35" s="965"/>
    </row>
    <row r="36" spans="2:10">
      <c r="B36" s="975" t="s">
        <v>151</v>
      </c>
      <c r="C36" s="981"/>
      <c r="D36" s="982"/>
      <c r="E36" s="983"/>
      <c r="F36" s="983"/>
      <c r="G36" s="983"/>
      <c r="H36" s="983"/>
      <c r="I36" s="555"/>
      <c r="J36" s="965"/>
    </row>
    <row r="37" spans="2:10">
      <c r="B37" s="964" t="str">
        <f>ProcessEnergy!B35</f>
        <v xml:space="preserve">Green diesel </v>
      </c>
      <c r="C37" s="976" t="s">
        <v>1226</v>
      </c>
      <c r="D37" s="987"/>
      <c r="E37" s="984"/>
      <c r="F37" s="984"/>
      <c r="G37" s="984"/>
      <c r="H37" s="984"/>
      <c r="I37" s="555"/>
      <c r="J37" s="965"/>
    </row>
    <row r="38" spans="2:10">
      <c r="B38" s="985" t="str">
        <f>ProcessEnergy!B36</f>
        <v>Green gasoline</v>
      </c>
      <c r="C38" s="976"/>
      <c r="D38" s="987"/>
      <c r="E38" s="984"/>
      <c r="F38" s="984"/>
      <c r="G38" s="984"/>
      <c r="H38" s="984"/>
      <c r="I38" s="555"/>
      <c r="J38" s="965"/>
    </row>
    <row r="39" spans="2:10">
      <c r="B39" s="985" t="str">
        <f>ProcessEnergy!B37</f>
        <v>Electricity - balancing</v>
      </c>
      <c r="C39" s="976"/>
      <c r="D39" s="987"/>
      <c r="E39" s="984"/>
      <c r="F39" s="984"/>
      <c r="G39" s="984"/>
      <c r="H39" s="984"/>
      <c r="I39" s="555"/>
      <c r="J39" s="965"/>
    </row>
    <row r="40" spans="2:10">
      <c r="B40" s="985" t="str">
        <f>ProcessEnergy!B38</f>
        <v>Electricity  - continous</v>
      </c>
      <c r="C40" s="976"/>
      <c r="D40" s="987"/>
      <c r="E40" s="984"/>
      <c r="F40" s="984"/>
      <c r="G40" s="984"/>
      <c r="H40" s="984"/>
      <c r="I40" s="555"/>
      <c r="J40" s="965"/>
    </row>
    <row r="41" spans="2:10">
      <c r="B41" s="985" t="str">
        <f>ProcessEnergy!B39</f>
        <v>Elec/heat fuel</v>
      </c>
      <c r="C41" s="976"/>
      <c r="D41" s="987">
        <f>D187%</f>
        <v>0.45945945945945943</v>
      </c>
      <c r="E41" s="2309">
        <f>D41</f>
        <v>0.45945945945945943</v>
      </c>
      <c r="F41" s="2309">
        <f t="shared" ref="F41:G52" si="1">E41</f>
        <v>0.45945945945945943</v>
      </c>
      <c r="G41" s="2309">
        <f t="shared" si="1"/>
        <v>0.45945945945945943</v>
      </c>
      <c r="H41" s="984"/>
      <c r="I41" s="555"/>
      <c r="J41" s="965" t="s">
        <v>2456</v>
      </c>
    </row>
    <row r="42" spans="2:10">
      <c r="B42" s="985" t="str">
        <f>ProcessEnergy!B40</f>
        <v>Biogas (100% CH4)</v>
      </c>
      <c r="C42" s="976"/>
      <c r="D42" s="987">
        <f>D189%*65%</f>
        <v>1.5108108108108108E-2</v>
      </c>
      <c r="E42" s="2309">
        <f>D42</f>
        <v>1.5108108108108108E-2</v>
      </c>
      <c r="F42" s="2309">
        <f t="shared" si="1"/>
        <v>1.5108108108108108E-2</v>
      </c>
      <c r="G42" s="2309">
        <f t="shared" si="1"/>
        <v>1.5108108108108108E-2</v>
      </c>
      <c r="H42" s="984"/>
      <c r="I42" s="555"/>
      <c r="J42" s="965" t="s">
        <v>2455</v>
      </c>
    </row>
    <row r="43" spans="2:10">
      <c r="B43" s="985" t="str">
        <f>ProcessEnergy!B41</f>
        <v>District heating</v>
      </c>
      <c r="C43" s="976" t="s">
        <v>1226</v>
      </c>
      <c r="D43" s="987">
        <f>C151*C152</f>
        <v>0.119052972972973</v>
      </c>
      <c r="E43" s="978">
        <f>$D43</f>
        <v>0.119052972972973</v>
      </c>
      <c r="F43" s="978">
        <f>$D43</f>
        <v>0.119052972972973</v>
      </c>
      <c r="G43" s="978">
        <f>$D43</f>
        <v>0.119052972972973</v>
      </c>
      <c r="H43" s="978"/>
      <c r="I43" s="555"/>
      <c r="J43" s="965"/>
    </row>
    <row r="44" spans="2:10">
      <c r="B44" s="985" t="str">
        <f>ProcessEnergy!B42</f>
        <v>&lt;empty&gt;</v>
      </c>
      <c r="C44" s="976"/>
      <c r="D44" s="987"/>
      <c r="E44" s="978"/>
      <c r="F44" s="978"/>
      <c r="G44" s="978"/>
      <c r="H44" s="978"/>
      <c r="I44" s="555"/>
      <c r="J44" s="965"/>
    </row>
    <row r="45" spans="2:10">
      <c r="B45" s="985" t="str">
        <f>ProcessEnergy!B43</f>
        <v>&lt;empty&gt;</v>
      </c>
      <c r="C45" s="976"/>
      <c r="D45" s="987"/>
      <c r="E45" s="978"/>
      <c r="F45" s="978"/>
      <c r="G45" s="978"/>
      <c r="H45" s="978"/>
      <c r="I45" s="555"/>
      <c r="J45" s="965"/>
    </row>
    <row r="46" spans="2:10">
      <c r="B46" s="985" t="str">
        <f>ProcessEnergy!B44</f>
        <v>&lt;empty&gt;</v>
      </c>
      <c r="C46" s="976"/>
      <c r="D46" s="987"/>
      <c r="E46" s="978"/>
      <c r="F46" s="978"/>
      <c r="G46" s="978"/>
      <c r="H46" s="978"/>
      <c r="I46" s="555"/>
      <c r="J46" s="965"/>
    </row>
    <row r="47" spans="2:10">
      <c r="B47" s="985" t="str">
        <f>ProcessEnergy!B45</f>
        <v>&lt;empty&gt;</v>
      </c>
      <c r="C47" s="976"/>
      <c r="D47" s="987"/>
      <c r="E47" s="978"/>
      <c r="F47" s="978"/>
      <c r="G47" s="978"/>
      <c r="H47" s="978"/>
      <c r="I47" s="555"/>
      <c r="J47" s="965"/>
    </row>
    <row r="48" spans="2:10">
      <c r="B48" s="985" t="str">
        <f>ProcessEnergy!B46</f>
        <v>&lt;empty&gt;</v>
      </c>
      <c r="C48" s="976"/>
      <c r="D48" s="987"/>
      <c r="E48" s="978"/>
      <c r="F48" s="978"/>
      <c r="G48" s="978"/>
      <c r="H48" s="978"/>
      <c r="I48" s="555"/>
      <c r="J48" s="965"/>
    </row>
    <row r="49" spans="2:10">
      <c r="B49" s="985" t="str">
        <f>ProcessEnergy!B47</f>
        <v>&lt;empty&gt;</v>
      </c>
      <c r="C49" s="976"/>
      <c r="D49" s="987"/>
      <c r="E49" s="978"/>
      <c r="F49" s="978"/>
      <c r="G49" s="978"/>
      <c r="H49" s="978"/>
      <c r="I49" s="555"/>
      <c r="J49" s="965"/>
    </row>
    <row r="50" spans="2:10">
      <c r="B50" s="985" t="str">
        <f>ProcessEnergy!B48</f>
        <v>Glycerol</v>
      </c>
      <c r="C50" s="976"/>
      <c r="D50" s="987"/>
      <c r="E50" s="978"/>
      <c r="F50" s="978"/>
      <c r="G50" s="978"/>
      <c r="H50" s="978"/>
      <c r="I50" s="555"/>
      <c r="J50" s="965"/>
    </row>
    <row r="51" spans="2:10">
      <c r="B51" s="985" t="str">
        <f>ProcessEnergy!B49</f>
        <v>&lt;empty&gt;</v>
      </c>
      <c r="C51" s="976"/>
      <c r="D51" s="987"/>
      <c r="E51" s="978"/>
      <c r="F51" s="978"/>
      <c r="G51" s="978"/>
      <c r="H51" s="978"/>
      <c r="I51" s="555"/>
      <c r="J51" s="965"/>
    </row>
    <row r="52" spans="2:10">
      <c r="B52" s="985" t="str">
        <f>ProcessEnergy!B51</f>
        <v>Fodder (wheat like)</v>
      </c>
      <c r="C52" s="976"/>
      <c r="D52" s="987">
        <f>D188%</f>
        <v>0.27027027027027023</v>
      </c>
      <c r="E52" s="2309">
        <f>D52</f>
        <v>0.27027027027027023</v>
      </c>
      <c r="F52" s="2309">
        <f t="shared" si="1"/>
        <v>0.27027027027027023</v>
      </c>
      <c r="G52" s="2309">
        <f t="shared" si="1"/>
        <v>0.27027027027027023</v>
      </c>
      <c r="H52" s="984"/>
      <c r="I52" s="555"/>
      <c r="J52" s="965" t="s">
        <v>2457</v>
      </c>
    </row>
    <row r="53" spans="2:10">
      <c r="B53" s="985" t="str">
        <f>ProcessEnergy!B52</f>
        <v>Rape seed cake</v>
      </c>
      <c r="C53" s="976"/>
      <c r="D53" s="987"/>
      <c r="E53" s="984"/>
      <c r="F53" s="984"/>
      <c r="G53" s="984"/>
      <c r="H53" s="984"/>
      <c r="I53" s="555"/>
      <c r="J53" s="965"/>
    </row>
    <row r="54" spans="2:10">
      <c r="B54" s="985" t="str">
        <f>ProcessEnergy!B53</f>
        <v>&lt;empty&gt;</v>
      </c>
      <c r="C54" s="976"/>
      <c r="D54" s="987"/>
      <c r="E54" s="984"/>
      <c r="F54" s="984"/>
      <c r="G54" s="984"/>
      <c r="H54" s="984"/>
      <c r="I54" s="555"/>
      <c r="J54" s="965"/>
    </row>
    <row r="55" spans="2:10">
      <c r="B55" s="985" t="str">
        <f>ProcessEnergy!B54</f>
        <v>DDGS</v>
      </c>
      <c r="C55" s="976"/>
      <c r="D55" s="987"/>
      <c r="E55" s="984"/>
      <c r="F55" s="984"/>
      <c r="G55" s="984"/>
      <c r="H55" s="984"/>
      <c r="I55" s="555"/>
      <c r="J55" s="965"/>
    </row>
    <row r="56" spans="2:10">
      <c r="B56" s="964"/>
      <c r="C56" s="976"/>
      <c r="D56" s="984"/>
      <c r="E56" s="984"/>
      <c r="F56" s="984"/>
      <c r="G56" s="984"/>
      <c r="H56" s="984"/>
      <c r="I56" s="555"/>
      <c r="J56" s="965"/>
    </row>
    <row r="57" spans="2:10">
      <c r="B57" s="975" t="s">
        <v>873</v>
      </c>
      <c r="C57" s="976"/>
      <c r="D57" s="984"/>
      <c r="E57" s="984"/>
      <c r="F57" s="984"/>
      <c r="G57" s="984"/>
      <c r="H57" s="984"/>
      <c r="I57" s="555"/>
      <c r="J57" s="965"/>
    </row>
    <row r="58" spans="2:10">
      <c r="B58" s="964" t="str">
        <f>ProcessEnergy!B5</f>
        <v>EL - peakload</v>
      </c>
      <c r="C58" s="976" t="s">
        <v>1226</v>
      </c>
      <c r="D58" s="987">
        <f>C184%</f>
        <v>4.0540540540540536E-2</v>
      </c>
      <c r="E58" s="984"/>
      <c r="F58" s="984"/>
      <c r="G58" s="984"/>
      <c r="H58" s="984"/>
      <c r="I58" s="555"/>
      <c r="J58" s="965"/>
    </row>
    <row r="59" spans="2:10">
      <c r="B59" s="964" t="str">
        <f>ProcessEnergy!B6</f>
        <v>El - baseload</v>
      </c>
      <c r="C59" s="976" t="s">
        <v>877</v>
      </c>
      <c r="D59" s="987"/>
      <c r="E59" s="984"/>
      <c r="F59" s="984"/>
      <c r="G59" s="984"/>
      <c r="H59" s="984"/>
      <c r="I59" s="555"/>
      <c r="J59" s="965"/>
    </row>
    <row r="60" spans="2:10">
      <c r="B60" s="964" t="str">
        <f>ProcessEnergy!B7</f>
        <v xml:space="preserve">Varme </v>
      </c>
      <c r="C60" s="976" t="s">
        <v>1226</v>
      </c>
      <c r="D60" s="987">
        <f>C185%</f>
        <v>0.14054054054054055</v>
      </c>
      <c r="E60" s="984"/>
      <c r="F60" s="984"/>
      <c r="G60" s="984"/>
      <c r="H60" s="984"/>
      <c r="I60" s="555"/>
      <c r="J60" s="965"/>
    </row>
    <row r="61" spans="2:10">
      <c r="B61" s="964" t="str">
        <f>ProcessEnergy!B8</f>
        <v>Damp</v>
      </c>
      <c r="C61" s="976" t="s">
        <v>877</v>
      </c>
      <c r="D61" s="987"/>
      <c r="E61" s="984"/>
      <c r="F61" s="984"/>
      <c r="G61" s="984"/>
      <c r="H61" s="984"/>
      <c r="I61" s="555"/>
      <c r="J61" s="965"/>
    </row>
    <row r="62" spans="2:10">
      <c r="B62" s="964" t="str">
        <f>ProcessEnergy!B9</f>
        <v xml:space="preserve">Olie </v>
      </c>
      <c r="C62" s="976" t="s">
        <v>877</v>
      </c>
      <c r="D62" s="987"/>
      <c r="E62" s="984"/>
      <c r="F62" s="984"/>
      <c r="G62" s="984"/>
      <c r="H62" s="984"/>
      <c r="I62" s="555"/>
      <c r="J62" s="965"/>
    </row>
    <row r="63" spans="2:10">
      <c r="B63" s="964" t="str">
        <f>ProcessEnergy!B10</f>
        <v>Kul</v>
      </c>
      <c r="C63" s="976" t="s">
        <v>877</v>
      </c>
      <c r="D63" s="987"/>
      <c r="E63" s="984"/>
      <c r="F63" s="984"/>
      <c r="G63" s="984"/>
      <c r="H63" s="984"/>
      <c r="I63" s="555"/>
      <c r="J63" s="965"/>
    </row>
    <row r="64" spans="2:10">
      <c r="B64" s="964" t="str">
        <f>ProcessEnergy!B11</f>
        <v>Naturgas kedel</v>
      </c>
      <c r="C64" s="976" t="s">
        <v>877</v>
      </c>
      <c r="D64" s="987"/>
      <c r="E64" s="984"/>
      <c r="F64" s="984"/>
      <c r="G64" s="984"/>
      <c r="H64" s="984"/>
      <c r="I64" s="555"/>
      <c r="J64" s="965"/>
    </row>
    <row r="65" spans="2:10">
      <c r="B65" s="964" t="str">
        <f>ProcessEnergy!B12</f>
        <v>Gylle</v>
      </c>
      <c r="C65" s="976" t="s">
        <v>877</v>
      </c>
      <c r="D65" s="987"/>
      <c r="E65" s="984"/>
      <c r="F65" s="984"/>
      <c r="G65" s="984"/>
      <c r="H65" s="984"/>
      <c r="I65" s="555"/>
      <c r="J65" s="965"/>
    </row>
    <row r="66" spans="2:10">
      <c r="B66" s="964" t="str">
        <f>ProcessEnergy!B13</f>
        <v>Affald</v>
      </c>
      <c r="C66" s="976" t="s">
        <v>877</v>
      </c>
      <c r="D66" s="987"/>
      <c r="E66" s="984"/>
      <c r="F66" s="984"/>
      <c r="G66" s="984"/>
      <c r="H66" s="984"/>
      <c r="I66" s="555"/>
      <c r="J66" s="965"/>
    </row>
    <row r="67" spans="2:10">
      <c r="B67" s="964" t="str">
        <f>ProcessEnergy!B14</f>
        <v>Hydrogen</v>
      </c>
      <c r="C67" s="976" t="s">
        <v>877</v>
      </c>
      <c r="D67" s="987"/>
      <c r="E67" s="984"/>
      <c r="F67" s="984"/>
      <c r="G67" s="984"/>
      <c r="H67" s="984"/>
      <c r="I67" s="555"/>
      <c r="J67" s="965"/>
    </row>
    <row r="68" spans="2:10">
      <c r="B68" s="964" t="str">
        <f>ProcessEnergy!B15</f>
        <v>Biomasse</v>
      </c>
      <c r="C68" s="976" t="s">
        <v>877</v>
      </c>
      <c r="D68" s="987"/>
      <c r="E68" s="984"/>
      <c r="F68" s="984"/>
      <c r="G68" s="984"/>
      <c r="H68" s="984"/>
      <c r="I68" s="555"/>
      <c r="J68" s="965"/>
    </row>
    <row r="69" spans="2:10">
      <c r="B69" s="964" t="str">
        <f>ProcessEnergy!B16</f>
        <v>Methanol</v>
      </c>
      <c r="C69" s="976"/>
      <c r="D69" s="987"/>
      <c r="E69" s="984"/>
      <c r="F69" s="984"/>
      <c r="G69" s="984"/>
      <c r="H69" s="984"/>
      <c r="I69" s="555"/>
      <c r="J69" s="965"/>
    </row>
    <row r="70" spans="2:10">
      <c r="B70" s="964" t="str">
        <f>ProcessEnergy!B17</f>
        <v>&lt;empty&gt;</v>
      </c>
      <c r="C70" s="976"/>
      <c r="D70" s="987"/>
      <c r="E70" s="984"/>
      <c r="F70" s="984"/>
      <c r="G70" s="984"/>
      <c r="H70" s="984"/>
      <c r="I70" s="555"/>
      <c r="J70" s="965"/>
    </row>
    <row r="71" spans="2:10">
      <c r="B71" s="964" t="str">
        <f>ProcessEnergy!B18</f>
        <v>&lt;empty&gt;</v>
      </c>
      <c r="C71" s="976"/>
      <c r="D71" s="987"/>
      <c r="E71" s="984"/>
      <c r="F71" s="984"/>
      <c r="G71" s="984"/>
      <c r="H71" s="984"/>
      <c r="I71" s="555"/>
      <c r="J71" s="965"/>
    </row>
    <row r="72" spans="2:10">
      <c r="B72" s="964" t="str">
        <f>ProcessEnergy!B19</f>
        <v>&lt;empty&gt;</v>
      </c>
      <c r="C72" s="976"/>
      <c r="D72" s="987"/>
      <c r="E72" s="984"/>
      <c r="F72" s="984"/>
      <c r="G72" s="984"/>
      <c r="H72" s="984"/>
      <c r="I72" s="555"/>
      <c r="J72" s="965"/>
    </row>
    <row r="73" spans="2:10">
      <c r="B73" s="964" t="str">
        <f>ProcessEnergy!B20</f>
        <v>&lt;empty&gt;</v>
      </c>
      <c r="C73" s="976"/>
      <c r="D73" s="987"/>
      <c r="E73" s="984"/>
      <c r="F73" s="984"/>
      <c r="G73" s="984"/>
      <c r="H73" s="984"/>
      <c r="I73" s="555"/>
      <c r="J73" s="965"/>
    </row>
    <row r="74" spans="2:10">
      <c r="B74" s="964" t="str">
        <f>ProcessEnergy!B21</f>
        <v>&lt;empty&gt;</v>
      </c>
      <c r="C74" s="976"/>
      <c r="D74" s="987"/>
      <c r="E74" s="984"/>
      <c r="F74" s="984"/>
      <c r="G74" s="984"/>
      <c r="H74" s="984"/>
      <c r="I74" s="555"/>
      <c r="J74" s="965"/>
    </row>
    <row r="75" spans="2:10">
      <c r="B75" s="964" t="str">
        <f>ProcessEnergy!B22</f>
        <v>&lt;empty&gt;</v>
      </c>
      <c r="C75" s="976"/>
      <c r="D75" s="987"/>
      <c r="E75" s="984"/>
      <c r="F75" s="984"/>
      <c r="G75" s="984"/>
      <c r="H75" s="984"/>
      <c r="I75" s="555"/>
      <c r="J75" s="965"/>
    </row>
    <row r="76" spans="2:10">
      <c r="B76" s="964" t="str">
        <f>ProcessEnergy!B23</f>
        <v>&lt;empty&gt;</v>
      </c>
      <c r="C76" s="976"/>
      <c r="D76" s="987"/>
      <c r="E76" s="984"/>
      <c r="F76" s="984"/>
      <c r="G76" s="984"/>
      <c r="H76" s="984"/>
      <c r="I76" s="555"/>
      <c r="J76" s="965"/>
    </row>
    <row r="77" spans="2:10">
      <c r="B77" s="964" t="str">
        <f>ProcessEnergy!B24</f>
        <v>&lt;empty&gt;</v>
      </c>
      <c r="C77" s="976" t="s">
        <v>877</v>
      </c>
      <c r="D77" s="987"/>
      <c r="E77" s="984"/>
      <c r="F77" s="984"/>
      <c r="G77" s="984"/>
      <c r="H77" s="984"/>
      <c r="I77" s="555"/>
      <c r="J77" s="965"/>
    </row>
    <row r="78" spans="2:10">
      <c r="B78" s="964"/>
      <c r="C78" s="976"/>
      <c r="D78" s="987"/>
      <c r="E78" s="984"/>
      <c r="F78" s="984"/>
      <c r="G78" s="984"/>
      <c r="H78" s="984"/>
      <c r="I78" s="555"/>
      <c r="J78" s="965"/>
    </row>
    <row r="79" spans="2:10">
      <c r="B79" s="964"/>
      <c r="C79" s="976"/>
      <c r="D79" s="987"/>
      <c r="E79" s="984"/>
      <c r="F79" s="984"/>
      <c r="G79" s="984"/>
      <c r="H79" s="984"/>
      <c r="I79" s="555"/>
      <c r="J79" s="965"/>
    </row>
    <row r="80" spans="2:10">
      <c r="B80" s="964"/>
      <c r="C80" s="976"/>
      <c r="D80" s="987"/>
      <c r="E80" s="986"/>
      <c r="F80" s="986"/>
      <c r="G80" s="986"/>
      <c r="H80" s="986"/>
      <c r="I80" s="555"/>
      <c r="J80" s="965"/>
    </row>
    <row r="81" spans="1:17">
      <c r="B81" s="975" t="s">
        <v>152</v>
      </c>
      <c r="C81" s="976"/>
      <c r="D81" s="986"/>
      <c r="E81" s="986"/>
      <c r="F81" s="986"/>
      <c r="G81" s="986"/>
      <c r="H81" s="986"/>
      <c r="I81" s="555"/>
      <c r="J81" s="965"/>
    </row>
    <row r="82" spans="1:17">
      <c r="A82" s="530">
        <v>4</v>
      </c>
      <c r="B82" s="964" t="s">
        <v>462</v>
      </c>
      <c r="C82" s="976" t="s">
        <v>725</v>
      </c>
      <c r="D82" s="1633">
        <v>1</v>
      </c>
      <c r="E82" s="978">
        <f t="shared" ref="E82:G88" si="2">$D82</f>
        <v>1</v>
      </c>
      <c r="F82" s="978">
        <f t="shared" si="2"/>
        <v>1</v>
      </c>
      <c r="G82" s="978">
        <f t="shared" si="2"/>
        <v>1</v>
      </c>
      <c r="H82" s="978"/>
      <c r="I82" s="555"/>
      <c r="J82" s="965"/>
    </row>
    <row r="83" spans="1:17">
      <c r="B83" s="964" t="s">
        <v>153</v>
      </c>
      <c r="C83" s="976" t="s">
        <v>725</v>
      </c>
      <c r="D83" s="987">
        <f>D82*SUM(D58:D77)</f>
        <v>0.18108108108108109</v>
      </c>
      <c r="E83" s="978">
        <f t="shared" si="2"/>
        <v>0.18108108108108109</v>
      </c>
      <c r="F83" s="978">
        <f t="shared" si="2"/>
        <v>0.18108108108108109</v>
      </c>
      <c r="G83" s="978">
        <f t="shared" si="2"/>
        <v>0.18108108108108109</v>
      </c>
      <c r="H83" s="1334"/>
      <c r="I83" s="555"/>
      <c r="J83" s="965"/>
    </row>
    <row r="84" spans="1:17">
      <c r="B84" s="964" t="s">
        <v>1092</v>
      </c>
      <c r="C84" s="976" t="s">
        <v>725</v>
      </c>
      <c r="D84" s="987">
        <f>D82*SUM(D37:D55)</f>
        <v>0.86389081081081076</v>
      </c>
      <c r="E84" s="978">
        <f t="shared" si="2"/>
        <v>0.86389081081081076</v>
      </c>
      <c r="F84" s="978">
        <f t="shared" si="2"/>
        <v>0.86389081081081076</v>
      </c>
      <c r="G84" s="978">
        <f t="shared" si="2"/>
        <v>0.86389081081081076</v>
      </c>
      <c r="H84" s="978"/>
      <c r="I84" s="555"/>
      <c r="J84" s="965"/>
    </row>
    <row r="85" spans="1:17">
      <c r="B85" s="964" t="s">
        <v>1337</v>
      </c>
      <c r="C85" s="976" t="s">
        <v>725</v>
      </c>
      <c r="D85" s="987">
        <f>(1/D160)*D82</f>
        <v>0.27027027027027023</v>
      </c>
      <c r="E85" s="978">
        <f t="shared" si="2"/>
        <v>0.27027027027027023</v>
      </c>
      <c r="F85" s="978">
        <f t="shared" si="2"/>
        <v>0.27027027027027023</v>
      </c>
      <c r="G85" s="978">
        <f t="shared" si="2"/>
        <v>0.27027027027027023</v>
      </c>
      <c r="H85" s="978"/>
      <c r="I85" s="555"/>
      <c r="J85" s="965"/>
    </row>
    <row r="86" spans="1:17">
      <c r="B86" s="985" t="s">
        <v>155</v>
      </c>
      <c r="C86" s="976" t="s">
        <v>725</v>
      </c>
      <c r="D86" s="987">
        <f>SUM(D82:D83)-SUM(D84:D85)</f>
        <v>4.6920000000000073E-2</v>
      </c>
      <c r="E86" s="978">
        <f t="shared" si="2"/>
        <v>4.6920000000000073E-2</v>
      </c>
      <c r="F86" s="978">
        <f t="shared" si="2"/>
        <v>4.6920000000000073E-2</v>
      </c>
      <c r="G86" s="978">
        <f t="shared" si="2"/>
        <v>4.6920000000000073E-2</v>
      </c>
      <c r="H86" s="978"/>
      <c r="I86" s="555"/>
      <c r="J86" s="965"/>
    </row>
    <row r="87" spans="1:17">
      <c r="B87" s="985" t="s">
        <v>156</v>
      </c>
      <c r="C87" s="988" t="s">
        <v>726</v>
      </c>
      <c r="D87" s="989">
        <f>SUM(D84:D85)/SUM(D82:D83)</f>
        <v>0.96027368421052628</v>
      </c>
      <c r="E87" s="990">
        <f t="shared" si="2"/>
        <v>0.96027368421052628</v>
      </c>
      <c r="F87" s="990">
        <f t="shared" si="2"/>
        <v>0.96027368421052628</v>
      </c>
      <c r="G87" s="990">
        <f t="shared" si="2"/>
        <v>0.96027368421052628</v>
      </c>
      <c r="H87" s="990"/>
      <c r="I87" s="555"/>
      <c r="J87" s="965"/>
    </row>
    <row r="88" spans="1:17">
      <c r="B88" s="964"/>
      <c r="C88" s="976"/>
      <c r="D88" s="989">
        <f>D174/100</f>
        <v>0.95700000000000007</v>
      </c>
      <c r="E88" s="990">
        <f t="shared" si="2"/>
        <v>0.95700000000000007</v>
      </c>
      <c r="F88" s="990">
        <f t="shared" si="2"/>
        <v>0.95700000000000007</v>
      </c>
      <c r="G88" s="990">
        <f t="shared" si="2"/>
        <v>0.95700000000000007</v>
      </c>
      <c r="H88" s="990"/>
      <c r="I88" s="555"/>
      <c r="J88" s="965"/>
      <c r="N88" s="557"/>
    </row>
    <row r="89" spans="1:17">
      <c r="B89" s="975" t="s">
        <v>2116</v>
      </c>
      <c r="C89" s="976"/>
      <c r="D89" s="983"/>
      <c r="E89" s="983"/>
      <c r="F89" s="983"/>
      <c r="G89" s="983"/>
      <c r="H89" s="983"/>
      <c r="I89" s="555"/>
      <c r="J89" s="965"/>
      <c r="N89" s="991"/>
      <c r="O89" s="991"/>
      <c r="P89" s="991"/>
      <c r="Q89" s="991"/>
    </row>
    <row r="90" spans="1:17">
      <c r="B90" s="964" t="s">
        <v>157</v>
      </c>
      <c r="C90" s="976" t="s">
        <v>61</v>
      </c>
      <c r="D90" s="992">
        <f ca="1">HLOOKUP($H99,Supplementary!$C$44:$AF$46,3,FALSE)*D99*D$110</f>
        <v>2030218555.5663989</v>
      </c>
      <c r="E90" s="992">
        <f ca="1">HLOOKUP($H99,Supplementary!$C$44:$AF$46,3,FALSE)*E99*E$110</f>
        <v>1928707627.7880788</v>
      </c>
      <c r="F90" s="992">
        <f ca="1">HLOOKUP($H99,Supplementary!$C$44:$AF$46,3,FALSE)*F99*F$110</f>
        <v>1740658634.0787411</v>
      </c>
      <c r="G90" s="992">
        <f ca="1">HLOOKUP($H99,Supplementary!$C$44:$AF$46,3,FALSE)*G99*G$110</f>
        <v>1417777336.5735977</v>
      </c>
      <c r="H90" s="555">
        <f t="shared" ref="H90:H96" si="3">priceYear</f>
        <v>2015</v>
      </c>
      <c r="I90" s="555"/>
      <c r="J90" s="965"/>
      <c r="N90" s="991"/>
      <c r="O90" s="991"/>
      <c r="P90" s="991"/>
      <c r="Q90" s="991"/>
    </row>
    <row r="91" spans="1:17">
      <c r="B91" s="964" t="s">
        <v>160</v>
      </c>
      <c r="C91" s="976" t="s">
        <v>464</v>
      </c>
      <c r="D91" s="555">
        <f ca="1">SUM(D92:D96)</f>
        <v>212.07579523781516</v>
      </c>
      <c r="E91" s="555">
        <f ca="1">SUM(E92:E96)</f>
        <v>204.6315187982857</v>
      </c>
      <c r="F91" s="555">
        <f ca="1">SUM(F92:F96)</f>
        <v>172.97658307984531</v>
      </c>
      <c r="G91" s="555">
        <f ca="1">SUM(G92:G96)</f>
        <v>127.17463378139252</v>
      </c>
      <c r="H91" s="555">
        <f t="shared" si="3"/>
        <v>2015</v>
      </c>
      <c r="I91" s="555"/>
      <c r="J91" s="965"/>
      <c r="N91" s="991"/>
      <c r="O91" s="991"/>
      <c r="P91" s="991"/>
      <c r="Q91" s="991"/>
    </row>
    <row r="92" spans="1:17">
      <c r="B92" s="995" t="s">
        <v>162</v>
      </c>
      <c r="C92" s="976" t="s">
        <v>464</v>
      </c>
      <c r="D92" s="992">
        <f ca="1">HLOOKUP($H101,Supplementary!$C$44:$AF$46,3,FALSE)*D101*D$110</f>
        <v>104.80570603525229</v>
      </c>
      <c r="E92" s="555">
        <f ca="1">HLOOKUP($H101,Supplementary!$C$44:$AF$46,3,FALSE)*E101*E$110</f>
        <v>99.56542073348966</v>
      </c>
      <c r="F92" s="555">
        <f ca="1">HLOOKUP($H101,Supplementary!$C$44:$AF$46,3,FALSE)*F101*F$110</f>
        <v>89.857792211974413</v>
      </c>
      <c r="G92" s="555">
        <f ca="1">HLOOKUP($H101,Supplementary!$C$44:$AF$46,3,FALSE)*G101*G$110</f>
        <v>73.189733367854487</v>
      </c>
      <c r="H92" s="555">
        <f t="shared" si="3"/>
        <v>2015</v>
      </c>
      <c r="I92" s="555"/>
      <c r="J92" s="965"/>
      <c r="N92" s="991"/>
      <c r="O92" s="991"/>
      <c r="P92" s="991"/>
      <c r="Q92" s="991"/>
    </row>
    <row r="93" spans="1:17">
      <c r="B93" s="995" t="s">
        <v>163</v>
      </c>
      <c r="C93" s="976" t="s">
        <v>464</v>
      </c>
      <c r="D93" s="992">
        <f ca="1">HLOOKUP($H102,Supplementary!$C$44:$AF$46,3,FALSE)*D102*D$110</f>
        <v>183.1885756569198</v>
      </c>
      <c r="E93" s="555">
        <f ca="1">HLOOKUP($H102,Supplementary!$C$44:$AF$46,3,FALSE)*E102*E$110</f>
        <v>174.0291468740738</v>
      </c>
      <c r="F93" s="555">
        <f ca="1">HLOOKUP($H102,Supplementary!$C$44:$AF$46,3,FALSE)*F102*F$110</f>
        <v>157.06130505385158</v>
      </c>
      <c r="G93" s="555">
        <f ca="1">HLOOKUP($H102,Supplementary!$C$44:$AF$46,3,FALSE)*G102*G$110</f>
        <v>127.92741459951871</v>
      </c>
      <c r="H93" s="555">
        <f t="shared" si="3"/>
        <v>2015</v>
      </c>
      <c r="I93" s="555"/>
      <c r="J93" s="965"/>
      <c r="N93" s="991"/>
      <c r="O93" s="991"/>
      <c r="P93" s="991"/>
      <c r="Q93" s="991"/>
    </row>
    <row r="94" spans="1:17">
      <c r="B94" s="995" t="s">
        <v>164</v>
      </c>
      <c r="C94" s="976" t="s">
        <v>464</v>
      </c>
      <c r="D94" s="992">
        <f>HLOOKUP($H103,Supplementary!$C$44:$AF$46,3,FALSE)*D103</f>
        <v>0</v>
      </c>
      <c r="E94" s="555">
        <f>HLOOKUP($H103,Supplementary!$C$44:$AF$46,3,FALSE)*E103</f>
        <v>0</v>
      </c>
      <c r="F94" s="555">
        <f>HLOOKUP($H103,Supplementary!$C$44:$AF$46,3,FALSE)*F103</f>
        <v>0</v>
      </c>
      <c r="G94" s="555">
        <f>HLOOKUP($H103,Supplementary!$C$44:$AF$46,3,FALSE)*G103</f>
        <v>0</v>
      </c>
      <c r="H94" s="555">
        <f t="shared" si="3"/>
        <v>2015</v>
      </c>
      <c r="I94" s="555"/>
      <c r="J94" s="965"/>
      <c r="N94" s="991"/>
      <c r="O94" s="991"/>
      <c r="P94" s="991"/>
      <c r="Q94" s="991"/>
    </row>
    <row r="95" spans="1:17">
      <c r="B95" s="995" t="s">
        <v>264</v>
      </c>
      <c r="C95" s="976" t="s">
        <v>464</v>
      </c>
      <c r="D95" s="992">
        <f ca="1">HLOOKUP($H104,Supplementary!$C$44:$AF$46,3,FALSE)*D104*D$110</f>
        <v>0</v>
      </c>
      <c r="E95" s="555">
        <f ca="1">HLOOKUP($H104,Supplementary!$C$44:$AF$46,3,FALSE)*E104*E$110</f>
        <v>0</v>
      </c>
      <c r="F95" s="555">
        <f ca="1">HLOOKUP($H104,Supplementary!$C$44:$AF$46,3,FALSE)*F104*F$110</f>
        <v>0</v>
      </c>
      <c r="G95" s="555">
        <f ca="1">HLOOKUP($H104,Supplementary!$C$44:$AF$46,3,FALSE)*G104*G$110</f>
        <v>0</v>
      </c>
      <c r="H95" s="555">
        <f t="shared" si="3"/>
        <v>2015</v>
      </c>
      <c r="I95" s="555"/>
      <c r="J95" s="965"/>
      <c r="N95" s="991"/>
      <c r="O95" s="991"/>
      <c r="P95" s="991"/>
      <c r="Q95" s="991"/>
    </row>
    <row r="96" spans="1:17">
      <c r="B96" s="995" t="s">
        <v>165</v>
      </c>
      <c r="C96" s="976" t="s">
        <v>464</v>
      </c>
      <c r="D96" s="992">
        <f ca="1">HLOOKUP($H105,Supplementary!$C$44:$AF$46,3,FALSE)*D105</f>
        <v>-75.918486454356938</v>
      </c>
      <c r="E96" s="555">
        <f ca="1">HLOOKUP($H105,Supplementary!$C$44:$AF$46,3,FALSE)*E105</f>
        <v>-68.96304880927778</v>
      </c>
      <c r="F96" s="555">
        <f ca="1">HLOOKUP($H105,Supplementary!$C$44:$AF$46,3,FALSE)*F105</f>
        <v>-73.942514185980684</v>
      </c>
      <c r="G96" s="555">
        <f ca="1">HLOOKUP($H105,Supplementary!$C$44:$AF$46,3,FALSE)*G105</f>
        <v>-73.942514185980684</v>
      </c>
      <c r="H96" s="555">
        <f t="shared" si="3"/>
        <v>2015</v>
      </c>
      <c r="I96" s="555"/>
      <c r="J96" s="965"/>
      <c r="N96" s="991"/>
      <c r="O96" s="991"/>
      <c r="P96" s="991"/>
      <c r="Q96" s="991"/>
    </row>
    <row r="97" spans="1:17">
      <c r="B97" s="975"/>
      <c r="C97" s="976"/>
      <c r="D97" s="992"/>
      <c r="E97" s="983"/>
      <c r="F97" s="983"/>
      <c r="G97" s="983"/>
      <c r="H97" s="983"/>
      <c r="I97" s="555"/>
      <c r="J97" s="965"/>
      <c r="N97" s="991"/>
      <c r="O97" s="991"/>
      <c r="P97" s="991"/>
      <c r="Q97" s="991"/>
    </row>
    <row r="98" spans="1:17">
      <c r="B98" s="975" t="s">
        <v>2117</v>
      </c>
      <c r="C98" s="976"/>
      <c r="D98" s="992"/>
      <c r="E98" s="983"/>
      <c r="F98" s="983"/>
      <c r="G98" s="983"/>
      <c r="H98" s="983"/>
      <c r="I98" s="555"/>
      <c r="J98" s="965"/>
      <c r="N98" s="991"/>
      <c r="O98" s="991"/>
      <c r="P98" s="991"/>
      <c r="Q98" s="991"/>
    </row>
    <row r="99" spans="1:17">
      <c r="B99" s="964" t="s">
        <v>157</v>
      </c>
      <c r="C99" s="976" t="s">
        <v>61</v>
      </c>
      <c r="D99" s="992">
        <f>D177*dkkPerEUR*D159</f>
        <v>1907272115.9999998</v>
      </c>
      <c r="E99" s="992">
        <f t="shared" ref="E99:G102" si="4">$D99</f>
        <v>1907272115.9999998</v>
      </c>
      <c r="F99" s="992">
        <f t="shared" si="4"/>
        <v>1907272115.9999998</v>
      </c>
      <c r="G99" s="992">
        <f t="shared" si="4"/>
        <v>1907272115.9999998</v>
      </c>
      <c r="H99" s="1668">
        <v>2011</v>
      </c>
      <c r="I99" s="555"/>
      <c r="J99" s="965"/>
      <c r="N99" s="991"/>
      <c r="O99" s="991"/>
      <c r="P99" s="991"/>
      <c r="Q99" s="991"/>
    </row>
    <row r="100" spans="1:17">
      <c r="B100" s="964" t="s">
        <v>160</v>
      </c>
      <c r="C100" s="976" t="s">
        <v>464</v>
      </c>
      <c r="D100" s="993">
        <f ca="1">SUM(D101:D105)</f>
        <v>199.23286073147187</v>
      </c>
      <c r="E100" s="978">
        <f t="shared" ca="1" si="4"/>
        <v>199.23286073147187</v>
      </c>
      <c r="F100" s="978">
        <f t="shared" ca="1" si="4"/>
        <v>199.23286073147187</v>
      </c>
      <c r="G100" s="978">
        <f t="shared" ca="1" si="4"/>
        <v>199.23286073147187</v>
      </c>
      <c r="H100" s="1668">
        <v>2011</v>
      </c>
      <c r="I100" s="994"/>
      <c r="J100" s="965"/>
      <c r="N100" s="991"/>
      <c r="O100" s="991"/>
      <c r="P100" s="991"/>
      <c r="Q100" s="991"/>
    </row>
    <row r="101" spans="1:17">
      <c r="B101" s="995" t="s">
        <v>162</v>
      </c>
      <c r="C101" s="976" t="s">
        <v>464</v>
      </c>
      <c r="D101" s="993">
        <f ca="1">PMT(rSØK,D34,-D99)/(D32*D33)</f>
        <v>98.458858121786093</v>
      </c>
      <c r="E101" s="978">
        <f t="shared" ca="1" si="4"/>
        <v>98.458858121786093</v>
      </c>
      <c r="F101" s="978">
        <f t="shared" ca="1" si="4"/>
        <v>98.458858121786093</v>
      </c>
      <c r="G101" s="978">
        <f t="shared" ca="1" si="4"/>
        <v>98.458858121786093</v>
      </c>
      <c r="H101" s="1668">
        <v>2011</v>
      </c>
      <c r="I101" s="994"/>
      <c r="J101" s="965"/>
      <c r="N101" s="991"/>
      <c r="O101" s="991"/>
      <c r="P101" s="991"/>
      <c r="Q101" s="991"/>
    </row>
    <row r="102" spans="1:17">
      <c r="B102" s="995" t="s">
        <v>163</v>
      </c>
      <c r="C102" s="976" t="s">
        <v>464</v>
      </c>
      <c r="D102" s="480">
        <f>IF(D141&gt;0,D177*D141*dkkPerEUR,D178*dkkPerEUR)</f>
        <v>172.09500000000003</v>
      </c>
      <c r="E102" s="480">
        <f t="shared" si="4"/>
        <v>172.09500000000003</v>
      </c>
      <c r="F102" s="480">
        <f t="shared" si="4"/>
        <v>172.09500000000003</v>
      </c>
      <c r="G102" s="480">
        <f t="shared" si="4"/>
        <v>172.09500000000003</v>
      </c>
      <c r="H102" s="1668">
        <v>2011</v>
      </c>
      <c r="I102" s="555"/>
      <c r="J102" s="965"/>
      <c r="N102" s="991"/>
      <c r="O102" s="991"/>
      <c r="P102" s="991"/>
      <c r="Q102" s="991"/>
    </row>
    <row r="103" spans="1:17">
      <c r="A103" s="530">
        <v>6</v>
      </c>
      <c r="B103" s="995" t="s">
        <v>164</v>
      </c>
      <c r="C103" s="976" t="s">
        <v>464</v>
      </c>
      <c r="D103" s="997"/>
      <c r="E103" s="997"/>
      <c r="F103" s="997"/>
      <c r="G103" s="997"/>
      <c r="H103" s="1668">
        <v>2011</v>
      </c>
      <c r="I103" s="555"/>
      <c r="J103" s="965"/>
      <c r="N103" s="991"/>
      <c r="O103" s="991"/>
      <c r="P103" s="991"/>
      <c r="Q103" s="991"/>
    </row>
    <row r="104" spans="1:17">
      <c r="B104" s="995" t="s">
        <v>264</v>
      </c>
      <c r="C104" s="976" t="s">
        <v>464</v>
      </c>
      <c r="D104" s="997"/>
      <c r="E104" s="997"/>
      <c r="F104" s="997"/>
      <c r="G104" s="997"/>
      <c r="H104" s="1668">
        <v>2011</v>
      </c>
      <c r="I104" s="555"/>
      <c r="J104" s="965"/>
      <c r="N104" s="991"/>
      <c r="O104" s="991"/>
      <c r="P104" s="991"/>
      <c r="Q104" s="991"/>
    </row>
    <row r="105" spans="1:17">
      <c r="B105" s="995" t="s">
        <v>165</v>
      </c>
      <c r="C105" s="976" t="s">
        <v>464</v>
      </c>
      <c r="D105" s="996">
        <f ca="1">-SUMPRODUCT(D36:D55,ProcessEnergy!M34:M53)/D85</f>
        <v>-71.320997390314233</v>
      </c>
      <c r="E105" s="996">
        <f ca="1">-SUMPRODUCT(E36:E55,ProcessEnergy!N34:N53)/E85</f>
        <v>-64.786768728742771</v>
      </c>
      <c r="F105" s="996">
        <f ca="1">-SUMPRODUCT(F36:F55,ProcessEnergy!O34:O53)/F85</f>
        <v>-69.464686502439463</v>
      </c>
      <c r="G105" s="996">
        <f ca="1">-SUMPRODUCT(G36:G55,ProcessEnergy!P34:P53)/G85</f>
        <v>-69.464686502439463</v>
      </c>
      <c r="H105" s="1668">
        <v>2011</v>
      </c>
      <c r="I105" s="555"/>
      <c r="J105" s="965"/>
      <c r="N105" s="991"/>
      <c r="O105" s="991"/>
      <c r="P105" s="991"/>
      <c r="Q105" s="991"/>
    </row>
    <row r="106" spans="1:17">
      <c r="B106" s="995"/>
      <c r="C106" s="976"/>
      <c r="D106" s="2311"/>
      <c r="E106" s="2311"/>
      <c r="F106" s="2311"/>
      <c r="G106" s="2311"/>
      <c r="H106" s="983"/>
      <c r="I106" s="994"/>
      <c r="J106" s="965"/>
      <c r="N106" s="991"/>
      <c r="O106" s="991"/>
      <c r="P106" s="991"/>
      <c r="Q106" s="991"/>
    </row>
    <row r="107" spans="1:17">
      <c r="B107" s="975" t="s">
        <v>2113</v>
      </c>
      <c r="C107" s="976"/>
      <c r="D107" s="983"/>
      <c r="E107" s="983"/>
      <c r="F107" s="983"/>
      <c r="G107" s="983"/>
      <c r="H107" s="983"/>
      <c r="I107" s="994"/>
      <c r="J107" s="965"/>
      <c r="N107" s="991"/>
      <c r="O107" s="991"/>
      <c r="P107" s="991"/>
      <c r="Q107" s="991"/>
    </row>
    <row r="108" spans="1:17">
      <c r="B108" s="995" t="s">
        <v>2114</v>
      </c>
      <c r="C108" s="976"/>
      <c r="D108" s="1696">
        <v>0.95</v>
      </c>
      <c r="E108" s="1696">
        <v>0.95</v>
      </c>
      <c r="F108" s="1696">
        <v>0.95</v>
      </c>
      <c r="G108" s="1696">
        <v>0.95</v>
      </c>
      <c r="H108" s="983"/>
      <c r="I108" s="994"/>
      <c r="J108" s="965"/>
      <c r="N108" s="991"/>
      <c r="O108" s="991"/>
      <c r="P108" s="991"/>
      <c r="Q108" s="991"/>
    </row>
    <row r="109" spans="1:17">
      <c r="B109" s="995" t="s">
        <v>2666</v>
      </c>
      <c r="C109" s="976"/>
      <c r="D109" s="478">
        <f ca="1">OFFSET(Supplementary!C$237,MATCH($C$19,Supplementary!$B$238:$B$241,0),0)</f>
        <v>1</v>
      </c>
      <c r="E109" s="478">
        <f ca="1">OFFSET(Supplementary!D$237,MATCH($C$19,Supplementary!$B$238:$B$241,0),0)</f>
        <v>2</v>
      </c>
      <c r="F109" s="478">
        <f ca="1">OFFSET(Supplementary!E$237,MATCH($C$19,Supplementary!$B$238:$B$241,0),0)</f>
        <v>4</v>
      </c>
      <c r="G109" s="478">
        <f ca="1">OFFSET(Supplementary!F$237,MATCH($C$19,Supplementary!$B$238:$B$241,0),0)</f>
        <v>8</v>
      </c>
      <c r="H109" s="983"/>
      <c r="I109" s="994"/>
      <c r="J109" s="965"/>
      <c r="N109" s="991"/>
      <c r="O109" s="991"/>
      <c r="P109" s="991"/>
      <c r="Q109" s="991"/>
    </row>
    <row r="110" spans="1:17">
      <c r="B110" s="995" t="s">
        <v>2115</v>
      </c>
      <c r="C110" s="976"/>
      <c r="D110" s="1698">
        <f ca="1">1*D108^(D109-1)</f>
        <v>1</v>
      </c>
      <c r="E110" s="1698">
        <f ca="1">1*E108^(E109-1)</f>
        <v>0.95</v>
      </c>
      <c r="F110" s="1698">
        <f ca="1">1*F108^(F109-1)</f>
        <v>0.85737499999999989</v>
      </c>
      <c r="G110" s="1698">
        <f ca="1">1*G108^(G109-1)</f>
        <v>0.69833729609374995</v>
      </c>
      <c r="H110" s="983"/>
      <c r="I110" s="994"/>
      <c r="J110" s="965"/>
      <c r="N110" s="991"/>
      <c r="O110" s="991"/>
      <c r="P110" s="991"/>
      <c r="Q110" s="991"/>
    </row>
    <row r="111" spans="1:17">
      <c r="B111" s="995"/>
      <c r="C111" s="976"/>
      <c r="D111" s="983"/>
      <c r="E111" s="983"/>
      <c r="F111" s="983"/>
      <c r="G111" s="983"/>
      <c r="H111" s="983"/>
      <c r="I111" s="994"/>
      <c r="J111" s="965"/>
      <c r="N111" s="991"/>
      <c r="O111" s="991"/>
      <c r="P111" s="991"/>
      <c r="Q111" s="991"/>
    </row>
    <row r="112" spans="1:17">
      <c r="B112" s="975" t="s">
        <v>166</v>
      </c>
      <c r="C112" s="976"/>
      <c r="D112" s="983"/>
      <c r="E112" s="983"/>
      <c r="F112" s="983"/>
      <c r="G112" s="983"/>
      <c r="H112" s="983"/>
      <c r="I112" s="994"/>
      <c r="J112" s="965"/>
      <c r="N112" s="998"/>
      <c r="O112" s="998"/>
      <c r="P112" s="998"/>
      <c r="Q112" s="991"/>
    </row>
    <row r="113" spans="2:17">
      <c r="B113" s="964" t="s">
        <v>24</v>
      </c>
      <c r="C113" s="976" t="s">
        <v>465</v>
      </c>
      <c r="D113" s="999">
        <v>0</v>
      </c>
      <c r="E113" s="999">
        <v>0</v>
      </c>
      <c r="F113" s="999">
        <v>0</v>
      </c>
      <c r="G113" s="999"/>
      <c r="H113" s="999"/>
      <c r="I113" s="1335" t="s">
        <v>1747</v>
      </c>
      <c r="J113" s="965"/>
      <c r="N113" s="991"/>
      <c r="O113" s="991"/>
      <c r="P113" s="991"/>
      <c r="Q113" s="991"/>
    </row>
    <row r="114" spans="2:17">
      <c r="B114" s="964" t="s">
        <v>27</v>
      </c>
      <c r="C114" s="976" t="s">
        <v>465</v>
      </c>
      <c r="D114" s="999">
        <v>0</v>
      </c>
      <c r="E114" s="999">
        <v>0</v>
      </c>
      <c r="F114" s="999">
        <v>0</v>
      </c>
      <c r="G114" s="999"/>
      <c r="H114" s="999"/>
      <c r="I114" s="1335" t="s">
        <v>1747</v>
      </c>
      <c r="J114" s="965"/>
      <c r="N114" s="991"/>
      <c r="O114" s="991"/>
      <c r="P114" s="991"/>
      <c r="Q114" s="991"/>
    </row>
    <row r="115" spans="2:17">
      <c r="B115" s="964" t="s">
        <v>28</v>
      </c>
      <c r="C115" s="976" t="s">
        <v>465</v>
      </c>
      <c r="D115" s="999">
        <v>0</v>
      </c>
      <c r="E115" s="999">
        <v>0</v>
      </c>
      <c r="F115" s="999">
        <v>0</v>
      </c>
      <c r="G115" s="999"/>
      <c r="H115" s="999"/>
      <c r="I115" s="1335" t="s">
        <v>1747</v>
      </c>
      <c r="J115" s="965"/>
      <c r="N115" s="991"/>
      <c r="O115" s="991"/>
      <c r="P115" s="991"/>
      <c r="Q115" s="991"/>
    </row>
    <row r="116" spans="2:17">
      <c r="B116" s="964" t="s">
        <v>26</v>
      </c>
      <c r="C116" s="976" t="s">
        <v>465</v>
      </c>
      <c r="D116" s="999">
        <v>0</v>
      </c>
      <c r="E116" s="999">
        <v>0</v>
      </c>
      <c r="F116" s="999">
        <v>0</v>
      </c>
      <c r="G116" s="999"/>
      <c r="H116" s="999"/>
      <c r="I116" s="1335" t="s">
        <v>1747</v>
      </c>
      <c r="J116" s="965"/>
      <c r="N116" s="991"/>
      <c r="O116" s="991"/>
      <c r="P116" s="991"/>
      <c r="Q116" s="991"/>
    </row>
    <row r="117" spans="2:17">
      <c r="B117" s="964" t="s">
        <v>167</v>
      </c>
      <c r="C117" s="976" t="s">
        <v>465</v>
      </c>
      <c r="D117" s="999">
        <v>0</v>
      </c>
      <c r="E117" s="999">
        <v>0</v>
      </c>
      <c r="F117" s="999">
        <v>0</v>
      </c>
      <c r="G117" s="999"/>
      <c r="H117" s="999"/>
      <c r="I117" s="1335" t="s">
        <v>1747</v>
      </c>
      <c r="J117" s="965"/>
      <c r="N117" s="998"/>
      <c r="O117" s="998"/>
      <c r="P117" s="998"/>
      <c r="Q117" s="998"/>
    </row>
    <row r="118" spans="2:17">
      <c r="B118" s="964" t="s">
        <v>45</v>
      </c>
      <c r="C118" s="976" t="s">
        <v>465</v>
      </c>
      <c r="D118" s="1000"/>
      <c r="E118" s="1000"/>
      <c r="F118" s="1000"/>
      <c r="G118" s="1000"/>
      <c r="H118" s="1000"/>
      <c r="I118" s="555"/>
      <c r="J118" s="965"/>
    </row>
    <row r="119" spans="2:17" ht="13.5" thickBot="1">
      <c r="B119" s="1001"/>
      <c r="C119" s="1002"/>
      <c r="D119" s="1003"/>
      <c r="E119" s="968"/>
      <c r="F119" s="968"/>
      <c r="G119" s="968"/>
      <c r="H119" s="968"/>
      <c r="I119" s="1004"/>
      <c r="J119" s="969"/>
    </row>
    <row r="122" spans="2:17" ht="18.75">
      <c r="B122" s="1005" t="s">
        <v>172</v>
      </c>
    </row>
    <row r="123" spans="2:17" ht="15.75">
      <c r="B123" s="1006"/>
      <c r="D123" s="1007"/>
    </row>
    <row r="124" spans="2:17">
      <c r="B124" s="555"/>
      <c r="C124" s="555"/>
      <c r="D124" s="555"/>
      <c r="E124" s="555"/>
      <c r="F124" s="555"/>
      <c r="G124" s="555"/>
      <c r="H124" s="555"/>
      <c r="I124" s="555"/>
      <c r="J124" s="555"/>
      <c r="K124" s="555"/>
      <c r="L124" s="555"/>
    </row>
    <row r="125" spans="2:17">
      <c r="B125" s="555"/>
      <c r="C125" s="977"/>
      <c r="D125" s="977"/>
      <c r="E125" s="977"/>
      <c r="F125" s="977"/>
      <c r="G125" s="977"/>
      <c r="H125" s="977"/>
      <c r="I125" s="555"/>
      <c r="J125" s="977"/>
      <c r="K125" s="977"/>
      <c r="L125" s="977"/>
    </row>
    <row r="126" spans="2:17">
      <c r="B126" s="555"/>
      <c r="C126" s="555"/>
      <c r="D126" s="993"/>
      <c r="E126" s="993"/>
      <c r="F126" s="993"/>
      <c r="G126" s="993"/>
      <c r="H126" s="993"/>
      <c r="I126" s="555"/>
      <c r="J126" s="993"/>
      <c r="K126" s="993"/>
      <c r="L126" s="993"/>
    </row>
    <row r="127" spans="2:17">
      <c r="B127" s="555"/>
      <c r="C127" s="555"/>
      <c r="D127" s="993"/>
      <c r="E127" s="993"/>
      <c r="F127" s="993"/>
      <c r="G127" s="993"/>
      <c r="H127" s="993"/>
      <c r="I127" s="555"/>
      <c r="J127" s="993"/>
      <c r="K127" s="993"/>
      <c r="L127" s="993"/>
    </row>
    <row r="128" spans="2:17">
      <c r="B128" s="555"/>
      <c r="C128" s="555"/>
      <c r="D128" s="993"/>
      <c r="E128" s="993"/>
      <c r="F128" s="993"/>
      <c r="G128" s="993"/>
      <c r="H128" s="993"/>
      <c r="I128" s="555"/>
      <c r="J128" s="993"/>
      <c r="K128" s="993"/>
      <c r="L128" s="993"/>
    </row>
    <row r="129" spans="2:12">
      <c r="D129" s="993"/>
      <c r="E129" s="993"/>
      <c r="F129" s="993"/>
      <c r="G129" s="993"/>
      <c r="H129" s="993"/>
      <c r="I129" s="555"/>
      <c r="J129" s="993"/>
      <c r="K129" s="993"/>
      <c r="L129" s="993"/>
    </row>
    <row r="130" spans="2:12">
      <c r="D130" s="993"/>
      <c r="E130" s="993"/>
      <c r="F130" s="993"/>
      <c r="G130" s="993"/>
      <c r="H130" s="993"/>
      <c r="I130" s="555"/>
      <c r="J130" s="993"/>
      <c r="K130" s="993"/>
      <c r="L130" s="993"/>
    </row>
    <row r="131" spans="2:12">
      <c r="B131" s="555"/>
      <c r="C131" s="555"/>
      <c r="D131" s="993"/>
      <c r="E131" s="993"/>
      <c r="F131" s="993"/>
      <c r="G131" s="993"/>
      <c r="H131" s="993"/>
      <c r="I131" s="555"/>
      <c r="J131" s="993"/>
      <c r="K131" s="993"/>
      <c r="L131" s="993"/>
    </row>
    <row r="132" spans="2:12">
      <c r="B132" s="555"/>
      <c r="C132" s="555"/>
      <c r="D132" s="993"/>
      <c r="E132" s="993"/>
      <c r="F132" s="993"/>
      <c r="G132" s="993"/>
      <c r="H132" s="993"/>
      <c r="I132" s="555"/>
      <c r="J132" s="993"/>
      <c r="K132" s="993"/>
      <c r="L132" s="993"/>
    </row>
    <row r="133" spans="2:12">
      <c r="D133" s="993"/>
    </row>
    <row r="135" spans="2:12" ht="18.75">
      <c r="B135" s="1005" t="s">
        <v>168</v>
      </c>
    </row>
    <row r="136" spans="2:12" ht="15.75">
      <c r="B136" s="1006"/>
    </row>
    <row r="137" spans="2:12" ht="13.5" thickBot="1">
      <c r="B137" s="555"/>
      <c r="C137" s="555"/>
      <c r="D137" s="555"/>
      <c r="E137" s="555"/>
      <c r="F137" s="555"/>
      <c r="G137" s="555"/>
      <c r="H137" s="555"/>
      <c r="I137" s="555"/>
    </row>
    <row r="138" spans="2:12">
      <c r="B138" s="1008"/>
      <c r="C138" s="1009" t="s">
        <v>70</v>
      </c>
      <c r="D138" s="1010">
        <v>2015</v>
      </c>
      <c r="E138" s="1009">
        <v>2020</v>
      </c>
      <c r="F138" s="1009">
        <v>2035</v>
      </c>
      <c r="G138" s="1009"/>
      <c r="H138" s="1009"/>
      <c r="I138" s="1011" t="s">
        <v>145</v>
      </c>
      <c r="J138" s="1012" t="s">
        <v>146</v>
      </c>
    </row>
    <row r="139" spans="2:12">
      <c r="B139" s="964"/>
      <c r="C139" s="977"/>
      <c r="D139" s="1013"/>
      <c r="E139" s="1014"/>
      <c r="F139" s="1014"/>
      <c r="G139" s="1014"/>
      <c r="H139" s="1014"/>
      <c r="I139" s="555"/>
      <c r="J139" s="965"/>
    </row>
    <row r="140" spans="2:12">
      <c r="B140" s="964"/>
      <c r="C140" s="977"/>
      <c r="D140" s="1015"/>
      <c r="E140" s="1016"/>
      <c r="F140" s="1016"/>
      <c r="G140" s="1016"/>
      <c r="H140" s="1016"/>
      <c r="I140" s="555"/>
      <c r="J140" s="965"/>
    </row>
    <row r="141" spans="2:12">
      <c r="B141" s="1336" t="s">
        <v>1747</v>
      </c>
      <c r="C141" s="1353" t="s">
        <v>1747</v>
      </c>
      <c r="D141" s="1058"/>
      <c r="E141" s="1018"/>
      <c r="F141" s="1018"/>
      <c r="G141" s="1018"/>
      <c r="H141" s="1018"/>
      <c r="I141" s="1335" t="s">
        <v>1747</v>
      </c>
      <c r="J141" s="965"/>
    </row>
    <row r="142" spans="2:12">
      <c r="B142" s="964"/>
      <c r="C142" s="977"/>
      <c r="D142" s="1015"/>
      <c r="E142" s="1016"/>
      <c r="F142" s="1016"/>
      <c r="G142" s="1016"/>
      <c r="H142" s="1016"/>
      <c r="I142" s="555"/>
      <c r="J142" s="965"/>
    </row>
    <row r="143" spans="2:12">
      <c r="B143" s="964"/>
      <c r="C143" s="977"/>
      <c r="D143" s="1015"/>
      <c r="E143" s="1016"/>
      <c r="F143" s="1016"/>
      <c r="G143" s="1016"/>
      <c r="H143" s="1016"/>
      <c r="I143" s="555"/>
      <c r="J143" s="965"/>
    </row>
    <row r="144" spans="2:12">
      <c r="B144" s="964" t="s">
        <v>22</v>
      </c>
      <c r="C144" s="977" t="s">
        <v>249</v>
      </c>
      <c r="D144" s="1019"/>
      <c r="E144" s="979"/>
      <c r="F144" s="979"/>
      <c r="G144" s="979"/>
      <c r="H144" s="979"/>
      <c r="I144" s="555"/>
      <c r="J144" s="965"/>
    </row>
    <row r="145" spans="2:10">
      <c r="B145" s="964"/>
      <c r="C145" s="976"/>
      <c r="D145" s="1016"/>
      <c r="E145" s="1016"/>
      <c r="F145" s="1016"/>
      <c r="G145" s="1016"/>
      <c r="H145" s="1016"/>
      <c r="I145" s="555"/>
      <c r="J145" s="965"/>
    </row>
    <row r="146" spans="2:10" ht="13.5" thickBot="1">
      <c r="B146" s="967"/>
      <c r="C146" s="1020"/>
      <c r="D146" s="1021"/>
      <c r="E146" s="1021"/>
      <c r="F146" s="1021"/>
      <c r="G146" s="1021"/>
      <c r="H146" s="1021"/>
      <c r="I146" s="968"/>
      <c r="J146" s="969"/>
    </row>
    <row r="149" spans="2:10" ht="13.5" thickBot="1"/>
    <row r="150" spans="2:10">
      <c r="B150" s="1040"/>
      <c r="C150" s="1340"/>
      <c r="D150" s="1064" t="s">
        <v>1098</v>
      </c>
    </row>
    <row r="151" spans="2:10">
      <c r="B151" s="1065" t="s">
        <v>1095</v>
      </c>
      <c r="C151" s="1367">
        <v>0.7</v>
      </c>
      <c r="D151" s="1067" t="s">
        <v>1768</v>
      </c>
    </row>
    <row r="152" spans="2:10" ht="13.5" thickBot="1">
      <c r="B152" s="1022" t="s">
        <v>1338</v>
      </c>
      <c r="C152" s="1341">
        <f>D190%</f>
        <v>0.17007567567567572</v>
      </c>
      <c r="D152" s="1342" t="s">
        <v>1768</v>
      </c>
    </row>
    <row r="153" spans="2:10">
      <c r="B153" s="530" t="str">
        <f>CONCATENATE("Source: ",Referencer!$B$48)</f>
        <v>Source: 42, FORCE, Danish Energy Agency, 2013, Technology data for advanced bioenergy fuels.</v>
      </c>
    </row>
    <row r="154" spans="2:10" ht="13.5" thickBot="1">
      <c r="B154" s="555"/>
      <c r="C154" s="968"/>
    </row>
    <row r="155" spans="2:10" ht="18.75">
      <c r="B155" s="1023" t="s">
        <v>1339</v>
      </c>
      <c r="C155" s="1024"/>
      <c r="D155" s="1025"/>
      <c r="E155" s="1025"/>
      <c r="F155" s="1025"/>
      <c r="G155" s="1025"/>
      <c r="H155" s="1025"/>
      <c r="I155" s="1025"/>
      <c r="J155" s="1026"/>
    </row>
    <row r="156" spans="2:10" ht="15">
      <c r="B156" s="1026"/>
      <c r="C156" s="1027"/>
      <c r="D156" s="1028">
        <v>2015</v>
      </c>
      <c r="E156" s="1028">
        <v>2020</v>
      </c>
      <c r="F156" s="1028">
        <v>2035</v>
      </c>
      <c r="G156" s="1028">
        <v>2050</v>
      </c>
      <c r="H156" s="1028"/>
      <c r="I156" s="1028" t="s">
        <v>1098</v>
      </c>
      <c r="J156" s="1338"/>
    </row>
    <row r="157" spans="2:10" ht="15">
      <c r="B157" s="1029" t="s">
        <v>1099</v>
      </c>
      <c r="C157" s="1030"/>
      <c r="D157" s="1027"/>
      <c r="E157" s="1027"/>
      <c r="F157" s="1027"/>
      <c r="G157" s="1027"/>
      <c r="H157" s="1027"/>
      <c r="I157" s="1027"/>
      <c r="J157" s="1026"/>
    </row>
    <row r="158" spans="2:10" ht="15">
      <c r="B158" s="1026" t="s">
        <v>1139</v>
      </c>
      <c r="C158" s="1027"/>
      <c r="D158" s="1368">
        <v>58000</v>
      </c>
      <c r="E158" s="1284" t="s">
        <v>1101</v>
      </c>
      <c r="F158" s="1031"/>
      <c r="G158" s="1031"/>
      <c r="H158" s="1031"/>
      <c r="I158" s="1032" t="s">
        <v>1768</v>
      </c>
      <c r="J158" s="1339"/>
    </row>
    <row r="159" spans="2:10" ht="15">
      <c r="B159" s="1026" t="s">
        <v>1140</v>
      </c>
      <c r="C159" s="1027"/>
      <c r="D159" s="1368">
        <v>1554400</v>
      </c>
      <c r="E159" s="1284" t="s">
        <v>1101</v>
      </c>
      <c r="F159" s="1031"/>
      <c r="G159" s="1031"/>
      <c r="H159" s="1031"/>
      <c r="I159" s="1032"/>
      <c r="J159" s="1339"/>
    </row>
    <row r="160" spans="2:10" ht="15">
      <c r="B160" s="1026" t="s">
        <v>1165</v>
      </c>
      <c r="C160" s="1027"/>
      <c r="D160" s="1375">
        <v>3.7</v>
      </c>
      <c r="E160" s="1284" t="s">
        <v>1101</v>
      </c>
      <c r="F160" s="1031"/>
      <c r="G160" s="1031"/>
      <c r="H160" s="1031"/>
      <c r="I160" s="1032"/>
      <c r="J160" s="1339"/>
    </row>
    <row r="161" spans="2:10" ht="15">
      <c r="B161" s="1026" t="s">
        <v>1166</v>
      </c>
      <c r="C161" s="1027"/>
      <c r="D161" s="1375">
        <v>6.9</v>
      </c>
      <c r="E161" s="1284" t="s">
        <v>1101</v>
      </c>
      <c r="F161" s="1031"/>
      <c r="G161" s="1031"/>
      <c r="H161" s="1031"/>
      <c r="I161" s="1032"/>
      <c r="J161" s="1339"/>
    </row>
    <row r="162" spans="2:10" ht="15">
      <c r="B162" s="1026" t="s">
        <v>1143</v>
      </c>
      <c r="C162" s="1027"/>
      <c r="D162" s="1375">
        <v>3.7</v>
      </c>
      <c r="E162" s="1284" t="s">
        <v>1101</v>
      </c>
      <c r="F162" s="1031"/>
      <c r="G162" s="1031"/>
      <c r="H162" s="1031"/>
      <c r="I162" s="1032"/>
      <c r="J162" s="1339"/>
    </row>
    <row r="163" spans="2:10" ht="15">
      <c r="B163" s="1026" t="s">
        <v>1144</v>
      </c>
      <c r="C163" s="1027"/>
      <c r="D163" s="1375">
        <v>0.15</v>
      </c>
      <c r="E163" s="1284" t="s">
        <v>1101</v>
      </c>
      <c r="F163" s="1031"/>
      <c r="G163" s="1031"/>
      <c r="H163" s="1031"/>
      <c r="I163" s="1032"/>
      <c r="J163" s="1339"/>
    </row>
    <row r="164" spans="2:10" ht="15">
      <c r="B164" s="1026" t="s">
        <v>1340</v>
      </c>
      <c r="C164" s="1027"/>
      <c r="D164" s="1375">
        <v>0.52</v>
      </c>
      <c r="E164" s="1284" t="s">
        <v>1101</v>
      </c>
      <c r="F164" s="1031"/>
      <c r="G164" s="1031"/>
      <c r="H164" s="1031"/>
      <c r="I164" s="1032"/>
      <c r="J164" s="1339"/>
    </row>
    <row r="165" spans="2:10" ht="15">
      <c r="B165" s="1026" t="s">
        <v>1341</v>
      </c>
      <c r="C165" s="1027"/>
      <c r="D165" s="1375">
        <v>1.7</v>
      </c>
      <c r="E165" s="1284" t="s">
        <v>1101</v>
      </c>
      <c r="F165" s="1031"/>
      <c r="G165" s="1031"/>
      <c r="H165" s="1031"/>
      <c r="I165" s="1032"/>
      <c r="J165" s="1339"/>
    </row>
    <row r="166" spans="2:10" ht="15">
      <c r="B166" s="1026" t="s">
        <v>1342</v>
      </c>
      <c r="C166" s="1027"/>
      <c r="D166" s="1375">
        <v>2.1</v>
      </c>
      <c r="E166" s="1284" t="s">
        <v>1101</v>
      </c>
      <c r="F166" s="1031"/>
      <c r="G166" s="1031"/>
      <c r="H166" s="1031"/>
      <c r="I166" s="1032"/>
      <c r="J166" s="1339"/>
    </row>
    <row r="167" spans="2:10" ht="15">
      <c r="B167" s="1026" t="s">
        <v>1343</v>
      </c>
      <c r="C167" s="1027"/>
      <c r="D167" s="1375">
        <v>1</v>
      </c>
      <c r="E167" s="1284" t="s">
        <v>1101</v>
      </c>
      <c r="F167" s="1031"/>
      <c r="G167" s="1031"/>
      <c r="H167" s="1031"/>
      <c r="I167" s="1032"/>
      <c r="J167" s="1339"/>
    </row>
    <row r="168" spans="2:10" ht="15">
      <c r="B168" s="1026" t="s">
        <v>1344</v>
      </c>
      <c r="C168" s="1027"/>
      <c r="D168" s="1375">
        <v>3.1</v>
      </c>
      <c r="E168" s="1284" t="s">
        <v>1101</v>
      </c>
      <c r="F168" s="1031"/>
      <c r="G168" s="1031"/>
      <c r="H168" s="1031"/>
      <c r="I168" s="1032"/>
      <c r="J168" s="1339"/>
    </row>
    <row r="169" spans="2:10" ht="15">
      <c r="B169" s="1026" t="s">
        <v>1345</v>
      </c>
      <c r="C169" s="1027"/>
      <c r="D169" s="1375">
        <v>8.5999999999999993E-2</v>
      </c>
      <c r="E169" s="1284" t="s">
        <v>1101</v>
      </c>
      <c r="F169" s="1031"/>
      <c r="G169" s="1031"/>
      <c r="H169" s="1031"/>
      <c r="I169" s="1032"/>
      <c r="J169" s="1339"/>
    </row>
    <row r="170" spans="2:10" ht="15">
      <c r="B170" s="1026" t="s">
        <v>1346</v>
      </c>
      <c r="C170" s="1027"/>
      <c r="D170" s="1382">
        <v>98.2</v>
      </c>
      <c r="E170" s="1284" t="s">
        <v>1101</v>
      </c>
      <c r="F170" s="1031"/>
      <c r="G170" s="1031"/>
      <c r="H170" s="1031"/>
      <c r="I170" s="1032"/>
      <c r="J170" s="1339"/>
    </row>
    <row r="171" spans="2:10" ht="15">
      <c r="B171" s="1026" t="s">
        <v>1347</v>
      </c>
      <c r="C171" s="1027"/>
      <c r="D171" s="1375">
        <v>0.43</v>
      </c>
      <c r="E171" s="1284" t="s">
        <v>1101</v>
      </c>
      <c r="F171" s="1031"/>
      <c r="G171" s="1031"/>
      <c r="H171" s="1031"/>
      <c r="I171" s="1032"/>
      <c r="J171" s="1339"/>
    </row>
    <row r="172" spans="2:10" ht="15">
      <c r="B172" s="1026" t="s">
        <v>1147</v>
      </c>
      <c r="C172" s="1027"/>
      <c r="D172" s="1370">
        <v>22.7</v>
      </c>
      <c r="E172" s="1284" t="s">
        <v>1101</v>
      </c>
      <c r="F172" s="1031"/>
      <c r="G172" s="1031"/>
      <c r="H172" s="1031"/>
      <c r="I172" s="1032"/>
      <c r="J172" s="1339"/>
    </row>
    <row r="173" spans="2:10" ht="15">
      <c r="B173" s="1026" t="s">
        <v>1348</v>
      </c>
      <c r="C173" s="1027"/>
      <c r="D173" s="1370">
        <v>85.6</v>
      </c>
      <c r="E173" s="1284" t="s">
        <v>1101</v>
      </c>
      <c r="F173" s="1031"/>
      <c r="G173" s="1031"/>
      <c r="H173" s="1031"/>
      <c r="I173" s="1032"/>
      <c r="J173" s="1339"/>
    </row>
    <row r="174" spans="2:10" ht="15">
      <c r="B174" s="1026" t="s">
        <v>1349</v>
      </c>
      <c r="C174" s="1027"/>
      <c r="D174" s="1370">
        <v>95.7</v>
      </c>
      <c r="E174" s="1284" t="s">
        <v>1101</v>
      </c>
      <c r="F174" s="1031"/>
      <c r="G174" s="1031"/>
      <c r="H174" s="1031"/>
      <c r="I174" s="1032"/>
      <c r="J174" s="1339"/>
    </row>
    <row r="175" spans="2:10" ht="15">
      <c r="B175" s="1026"/>
      <c r="C175" s="1027"/>
      <c r="D175" s="1370"/>
      <c r="E175" s="1027"/>
      <c r="F175" s="1027"/>
      <c r="G175" s="1027"/>
      <c r="H175" s="1027"/>
      <c r="I175" s="1032"/>
      <c r="J175" s="1339"/>
    </row>
    <row r="176" spans="2:10" ht="15">
      <c r="B176" s="1029" t="s">
        <v>1109</v>
      </c>
      <c r="C176" s="1030"/>
      <c r="D176" s="1370"/>
      <c r="E176" s="1027"/>
      <c r="F176" s="1027"/>
      <c r="G176" s="1027"/>
      <c r="H176" s="1027"/>
      <c r="I176" s="1032"/>
      <c r="J176" s="1339"/>
    </row>
    <row r="177" spans="2:10" ht="15">
      <c r="B177" s="1026" t="s">
        <v>1350</v>
      </c>
      <c r="C177" s="1027"/>
      <c r="D177" s="1370">
        <v>164.7</v>
      </c>
      <c r="E177" s="1031" t="s">
        <v>1101</v>
      </c>
      <c r="F177" s="1031"/>
      <c r="G177" s="1031"/>
      <c r="H177" s="1031"/>
      <c r="I177" s="1032"/>
      <c r="J177" s="1339"/>
    </row>
    <row r="178" spans="2:10" ht="15.75" thickBot="1">
      <c r="B178" s="1033" t="s">
        <v>1351</v>
      </c>
      <c r="C178" s="1034"/>
      <c r="D178" s="1374">
        <v>23.1</v>
      </c>
      <c r="E178" s="1035" t="s">
        <v>1101</v>
      </c>
      <c r="F178" s="1035"/>
      <c r="G178" s="1035"/>
      <c r="H178" s="1035"/>
      <c r="I178" s="1036"/>
      <c r="J178" s="1339"/>
    </row>
    <row r="179" spans="2:10">
      <c r="B179" s="530" t="str">
        <f>CONCATENATE("Source: ",Referencer!$B$48)</f>
        <v>Source: 42, FORCE, Danish Energy Agency, 2013, Technology data for advanced bioenergy fuels.</v>
      </c>
    </row>
    <row r="180" spans="2:10" ht="13.5" thickBot="1"/>
    <row r="181" spans="2:10" ht="13.5" thickBot="1">
      <c r="B181" s="961" t="s">
        <v>1352</v>
      </c>
      <c r="C181" s="962"/>
      <c r="D181" s="963"/>
    </row>
    <row r="182" spans="2:10" ht="13.5" thickBot="1">
      <c r="B182" s="1045" t="s">
        <v>1353</v>
      </c>
      <c r="C182" s="1046" t="s">
        <v>1152</v>
      </c>
      <c r="D182" s="1047" t="s">
        <v>1153</v>
      </c>
    </row>
    <row r="183" spans="2:10">
      <c r="B183" s="1048" t="s">
        <v>1333</v>
      </c>
      <c r="C183" s="1376">
        <v>100</v>
      </c>
      <c r="D183" s="1049"/>
    </row>
    <row r="184" spans="2:10">
      <c r="B184" s="1050" t="s">
        <v>951</v>
      </c>
      <c r="C184" s="1051">
        <f>D163/D160*100</f>
        <v>4.0540540540540535</v>
      </c>
      <c r="D184" s="1052"/>
      <c r="H184" s="1222"/>
    </row>
    <row r="185" spans="2:10">
      <c r="B185" s="1050" t="s">
        <v>1354</v>
      </c>
      <c r="C185" s="1051">
        <f>D164/D160*100</f>
        <v>14.054054054054054</v>
      </c>
      <c r="D185" s="1052"/>
    </row>
    <row r="186" spans="2:10">
      <c r="B186" s="1050" t="s">
        <v>88</v>
      </c>
      <c r="C186" s="1051"/>
      <c r="D186" s="1052">
        <f>1/D160*100</f>
        <v>27.027027027027025</v>
      </c>
    </row>
    <row r="187" spans="2:10">
      <c r="B187" s="1050" t="s">
        <v>1355</v>
      </c>
      <c r="C187" s="1051"/>
      <c r="D187" s="1052">
        <f>D165/D160*100</f>
        <v>45.945945945945944</v>
      </c>
    </row>
    <row r="188" spans="2:10">
      <c r="B188" s="1050" t="s">
        <v>1356</v>
      </c>
      <c r="C188" s="1051"/>
      <c r="D188" s="1052">
        <f>D167/D160*100</f>
        <v>27.027027027027025</v>
      </c>
    </row>
    <row r="189" spans="2:10">
      <c r="B189" s="1050" t="s">
        <v>1357</v>
      </c>
      <c r="C189" s="1051"/>
      <c r="D189" s="1052">
        <f>D169/D160*100</f>
        <v>2.3243243243243241</v>
      </c>
    </row>
    <row r="190" spans="2:10" ht="13.5" thickBot="1">
      <c r="B190" s="1053" t="s">
        <v>1155</v>
      </c>
      <c r="C190" s="1054"/>
      <c r="D190" s="1055">
        <f>(100-D173)*SUM(C183:C185)/100</f>
        <v>17.007567567567573</v>
      </c>
    </row>
    <row r="191" spans="2:10">
      <c r="B191" s="530" t="str">
        <f>CONCATENATE("Source: ",Referencer!$B$48)</f>
        <v>Source: 42, FORCE, Danish Energy Agency, 2013, Technology data for advanced bioenergy fuels.</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Supplementary!$B$238:$B$241</xm:f>
          </x14:formula1>
          <xm:sqref>C19</xm:sqref>
        </x14:dataValidation>
      </x14:dataValidation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tabColor rgb="FF00B0F0"/>
  </sheetPr>
  <dimension ref="A1:S190"/>
  <sheetViews>
    <sheetView topLeftCell="A56" zoomScale="80" zoomScaleNormal="80" workbookViewId="0">
      <selection activeCell="D105" sqref="D105:G105"/>
    </sheetView>
  </sheetViews>
  <sheetFormatPr defaultRowHeight="12.75"/>
  <cols>
    <col min="1" max="1" width="3.28515625" style="530" customWidth="1"/>
    <col min="2" max="2" width="36" style="530" customWidth="1"/>
    <col min="3" max="3" width="56.7109375" style="530" customWidth="1"/>
    <col min="4" max="8" width="15.7109375" style="530" customWidth="1"/>
    <col min="9" max="9" width="7.28515625" style="530" customWidth="1"/>
    <col min="10" max="10" width="12.7109375" style="530" customWidth="1"/>
    <col min="11" max="14" width="9.140625" style="530"/>
    <col min="15" max="17" width="9.28515625" style="530" bestFit="1" customWidth="1"/>
    <col min="18" max="19" width="9.42578125" style="530" bestFit="1" customWidth="1"/>
    <col min="20" max="16384" width="9.140625" style="530"/>
  </cols>
  <sheetData>
    <row r="1" spans="1:19" s="465" customFormat="1" ht="21">
      <c r="B1" s="465" t="str">
        <f>B155</f>
        <v>Maabjerg Energy Concept Bio-refinery</v>
      </c>
      <c r="Q1" s="467">
        <f ca="1">'Log2015'!M1</f>
        <v>-8.0112614142160741</v>
      </c>
      <c r="R1" s="468">
        <f ca="1">'Log2015'!N1</f>
        <v>-160807.124977848</v>
      </c>
    </row>
    <row r="2" spans="1:19">
      <c r="B2" s="530" t="s">
        <v>1358</v>
      </c>
      <c r="Q2" s="958">
        <f ca="1">Q1</f>
        <v>-8.0112614142160741</v>
      </c>
      <c r="R2" s="958">
        <f ca="1">R1</f>
        <v>-160807.124977848</v>
      </c>
      <c r="S2" s="959">
        <f>S1</f>
        <v>0</v>
      </c>
    </row>
    <row r="3" spans="1:19">
      <c r="A3" s="530" t="s">
        <v>1078</v>
      </c>
    </row>
    <row r="4" spans="1:19">
      <c r="B4" s="960" t="s">
        <v>81</v>
      </c>
    </row>
    <row r="5" spans="1:19" ht="13.5" thickBot="1"/>
    <row r="6" spans="1:19">
      <c r="B6" s="961" t="s">
        <v>137</v>
      </c>
      <c r="C6" s="962"/>
      <c r="D6" s="962"/>
      <c r="E6" s="962"/>
      <c r="F6" s="962"/>
      <c r="G6" s="962"/>
      <c r="H6" s="962"/>
      <c r="I6" s="962"/>
      <c r="J6" s="962"/>
      <c r="K6" s="962"/>
      <c r="L6" s="962"/>
      <c r="M6" s="962"/>
      <c r="N6" s="963"/>
    </row>
    <row r="7" spans="1:19">
      <c r="B7" s="964"/>
      <c r="C7" s="555"/>
      <c r="D7" s="555"/>
      <c r="E7" s="555"/>
      <c r="F7" s="555"/>
      <c r="G7" s="555"/>
      <c r="H7" s="555"/>
      <c r="I7" s="555"/>
      <c r="J7" s="555"/>
      <c r="K7" s="555"/>
      <c r="L7" s="555"/>
      <c r="M7" s="555"/>
      <c r="N7" s="965"/>
    </row>
    <row r="8" spans="1:19">
      <c r="B8" s="964"/>
      <c r="C8" s="555"/>
      <c r="D8" s="555"/>
      <c r="E8" s="555"/>
      <c r="F8" s="555"/>
      <c r="G8" s="555"/>
      <c r="H8" s="555"/>
      <c r="I8" s="555"/>
      <c r="J8" s="555"/>
      <c r="K8" s="555"/>
      <c r="L8" s="555"/>
      <c r="M8" s="555"/>
      <c r="N8" s="965"/>
    </row>
    <row r="9" spans="1:19">
      <c r="B9" s="964"/>
      <c r="C9" s="555"/>
      <c r="D9" s="555"/>
      <c r="E9" s="555"/>
      <c r="F9" s="555"/>
      <c r="G9" s="555"/>
      <c r="H9" s="555"/>
      <c r="I9" s="555"/>
      <c r="J9" s="555"/>
      <c r="K9" s="555"/>
      <c r="L9" s="555"/>
      <c r="M9" s="555"/>
      <c r="N9" s="965"/>
    </row>
    <row r="10" spans="1:19">
      <c r="B10" s="964"/>
      <c r="C10" s="555"/>
      <c r="D10" s="555"/>
      <c r="E10" s="555"/>
      <c r="F10" s="555"/>
      <c r="G10" s="555"/>
      <c r="H10" s="555"/>
      <c r="I10" s="555"/>
      <c r="J10" s="555"/>
      <c r="K10" s="555"/>
      <c r="L10" s="555"/>
      <c r="M10" s="555"/>
      <c r="N10" s="965"/>
    </row>
    <row r="11" spans="1:19">
      <c r="B11" s="964" t="s">
        <v>138</v>
      </c>
      <c r="C11" s="1056" t="s">
        <v>1333</v>
      </c>
      <c r="D11" s="555"/>
      <c r="E11" s="555"/>
      <c r="F11" s="555"/>
      <c r="G11" s="555"/>
      <c r="H11" s="555"/>
      <c r="I11" s="555"/>
      <c r="J11" s="555"/>
      <c r="K11" s="555"/>
      <c r="L11" s="555"/>
      <c r="M11" s="555"/>
      <c r="N11" s="965"/>
    </row>
    <row r="12" spans="1:19">
      <c r="B12" s="964"/>
      <c r="C12" s="555"/>
      <c r="D12" s="555"/>
      <c r="E12" s="555"/>
      <c r="F12" s="555"/>
      <c r="G12" s="555"/>
      <c r="H12" s="555"/>
      <c r="I12" s="555"/>
      <c r="J12" s="555"/>
      <c r="K12" s="555"/>
      <c r="L12" s="555"/>
      <c r="M12" s="555"/>
      <c r="N12" s="965"/>
    </row>
    <row r="13" spans="1:19">
      <c r="B13" s="964" t="s">
        <v>140</v>
      </c>
      <c r="C13" s="1057" t="s">
        <v>1359</v>
      </c>
      <c r="D13" s="555"/>
      <c r="E13" s="555"/>
      <c r="F13" s="555"/>
      <c r="G13" s="555"/>
      <c r="H13" s="555"/>
      <c r="I13" s="555"/>
      <c r="J13" s="555"/>
      <c r="K13" s="555"/>
      <c r="L13" s="555"/>
      <c r="M13" s="555"/>
      <c r="N13" s="965"/>
    </row>
    <row r="14" spans="1:19">
      <c r="B14" s="964"/>
      <c r="C14" s="555"/>
      <c r="D14" s="555"/>
      <c r="E14" s="555"/>
      <c r="F14" s="555"/>
      <c r="G14" s="555"/>
      <c r="H14" s="555"/>
      <c r="I14" s="555"/>
      <c r="J14" s="555"/>
      <c r="K14" s="555"/>
      <c r="L14" s="555"/>
      <c r="M14" s="555"/>
      <c r="N14" s="965"/>
    </row>
    <row r="15" spans="1:19">
      <c r="B15" s="964" t="s">
        <v>141</v>
      </c>
      <c r="C15" s="555"/>
      <c r="D15" s="555"/>
      <c r="E15" s="555"/>
      <c r="F15" s="555"/>
      <c r="G15" s="555"/>
      <c r="H15" s="555"/>
      <c r="I15" s="555"/>
      <c r="J15" s="555"/>
      <c r="K15" s="555"/>
      <c r="L15" s="555"/>
      <c r="M15" s="555"/>
      <c r="N15" s="965"/>
    </row>
    <row r="16" spans="1:19">
      <c r="B16" s="964"/>
      <c r="C16" s="555"/>
      <c r="D16" s="555"/>
      <c r="E16" s="555"/>
      <c r="F16" s="555"/>
      <c r="G16" s="555"/>
      <c r="H16" s="555"/>
      <c r="I16" s="555"/>
      <c r="J16" s="555"/>
      <c r="K16" s="555"/>
      <c r="L16" s="555"/>
      <c r="M16" s="555"/>
      <c r="N16" s="965"/>
    </row>
    <row r="17" spans="2:14">
      <c r="B17" s="964" t="s">
        <v>142</v>
      </c>
      <c r="C17" s="555"/>
      <c r="D17" s="555"/>
      <c r="E17" s="555"/>
      <c r="F17" s="555"/>
      <c r="G17" s="555"/>
      <c r="H17" s="555"/>
      <c r="I17" s="555"/>
      <c r="J17" s="555"/>
      <c r="K17" s="555"/>
      <c r="L17" s="555"/>
      <c r="M17" s="555"/>
      <c r="N17" s="965"/>
    </row>
    <row r="18" spans="2:14">
      <c r="B18" s="964"/>
      <c r="C18" s="555"/>
      <c r="D18" s="555"/>
      <c r="E18" s="555"/>
      <c r="F18" s="555"/>
      <c r="G18" s="555"/>
      <c r="H18" s="555"/>
      <c r="I18" s="555"/>
      <c r="J18" s="555"/>
      <c r="K18" s="555"/>
      <c r="L18" s="555"/>
      <c r="M18" s="555"/>
      <c r="N18" s="965"/>
    </row>
    <row r="19" spans="2:14">
      <c r="B19" s="964" t="s">
        <v>2131</v>
      </c>
      <c r="C19" s="1693" t="s">
        <v>2122</v>
      </c>
      <c r="D19" s="555"/>
      <c r="E19" s="555"/>
      <c r="F19" s="555"/>
      <c r="G19" s="555"/>
      <c r="H19" s="555"/>
      <c r="I19" s="555"/>
      <c r="J19" s="555"/>
      <c r="K19" s="555"/>
      <c r="L19" s="555"/>
      <c r="M19" s="555"/>
      <c r="N19" s="965"/>
    </row>
    <row r="20" spans="2:14">
      <c r="B20" s="964"/>
      <c r="C20" s="555"/>
      <c r="D20" s="555"/>
      <c r="E20" s="555"/>
      <c r="F20" s="555"/>
      <c r="G20" s="555"/>
      <c r="H20" s="555"/>
      <c r="I20" s="555"/>
      <c r="J20" s="555"/>
      <c r="K20" s="555"/>
      <c r="L20" s="555"/>
      <c r="M20" s="555"/>
      <c r="N20" s="965"/>
    </row>
    <row r="21" spans="2:14">
      <c r="B21" s="964"/>
      <c r="C21" s="555"/>
      <c r="D21" s="555"/>
      <c r="E21" s="555"/>
      <c r="F21" s="555"/>
      <c r="G21" s="555"/>
      <c r="H21" s="555"/>
      <c r="I21" s="555"/>
      <c r="J21" s="555"/>
      <c r="K21" s="555"/>
      <c r="L21" s="555"/>
      <c r="M21" s="555"/>
      <c r="N21" s="965"/>
    </row>
    <row r="22" spans="2:14">
      <c r="B22" s="964" t="s">
        <v>143</v>
      </c>
      <c r="C22" s="555"/>
      <c r="D22" s="555"/>
      <c r="E22" s="555"/>
      <c r="F22" s="555"/>
      <c r="G22" s="555"/>
      <c r="H22" s="555"/>
      <c r="I22" s="555"/>
      <c r="J22" s="555"/>
      <c r="K22" s="555"/>
      <c r="L22" s="555"/>
      <c r="M22" s="555"/>
      <c r="N22" s="965"/>
    </row>
    <row r="23" spans="2:14">
      <c r="B23" s="964"/>
      <c r="C23" s="555"/>
      <c r="D23" s="555"/>
      <c r="E23" s="555"/>
      <c r="F23" s="555"/>
      <c r="G23" s="555"/>
      <c r="H23" s="555"/>
      <c r="I23" s="555"/>
      <c r="J23" s="555"/>
      <c r="K23" s="555"/>
      <c r="L23" s="555"/>
      <c r="M23" s="555"/>
      <c r="N23" s="965"/>
    </row>
    <row r="24" spans="2:14" ht="13.5" thickBot="1">
      <c r="B24" s="967"/>
      <c r="C24" s="968"/>
      <c r="D24" s="968"/>
      <c r="E24" s="968"/>
      <c r="F24" s="968"/>
      <c r="G24" s="968"/>
      <c r="H24" s="968"/>
      <c r="I24" s="968"/>
      <c r="J24" s="968"/>
      <c r="K24" s="968"/>
      <c r="L24" s="968"/>
      <c r="M24" s="968"/>
      <c r="N24" s="969"/>
    </row>
    <row r="25" spans="2:14">
      <c r="F25" s="529"/>
      <c r="G25" s="529"/>
      <c r="H25" s="529"/>
    </row>
    <row r="26" spans="2:14">
      <c r="B26" s="960" t="s">
        <v>144</v>
      </c>
    </row>
    <row r="27" spans="2:14" ht="13.5" thickBot="1"/>
    <row r="28" spans="2:14">
      <c r="B28" s="961"/>
      <c r="C28" s="970"/>
      <c r="D28" s="962"/>
      <c r="E28" s="962"/>
      <c r="F28" s="962"/>
      <c r="G28" s="962"/>
      <c r="H28" s="962"/>
      <c r="I28" s="962"/>
      <c r="J28" s="963"/>
    </row>
    <row r="29" spans="2:14">
      <c r="B29" s="971"/>
      <c r="C29" s="972" t="s">
        <v>70</v>
      </c>
      <c r="D29" s="973">
        <v>2015</v>
      </c>
      <c r="E29" s="973">
        <v>2020</v>
      </c>
      <c r="F29" s="973">
        <v>2035</v>
      </c>
      <c r="G29" s="973">
        <v>2050</v>
      </c>
      <c r="H29" s="973" t="s">
        <v>978</v>
      </c>
      <c r="I29" s="556" t="s">
        <v>145</v>
      </c>
      <c r="J29" s="974" t="s">
        <v>146</v>
      </c>
    </row>
    <row r="30" spans="2:14">
      <c r="B30" s="975" t="s">
        <v>147</v>
      </c>
      <c r="C30" s="976"/>
      <c r="D30" s="977"/>
      <c r="E30" s="977"/>
      <c r="F30" s="977"/>
      <c r="G30" s="977"/>
      <c r="H30" s="977"/>
      <c r="I30" s="555"/>
      <c r="J30" s="965"/>
    </row>
    <row r="31" spans="2:14">
      <c r="B31" s="964" t="s">
        <v>148</v>
      </c>
      <c r="C31" s="976" t="s">
        <v>1360</v>
      </c>
      <c r="D31" s="1381">
        <f>1/D162</f>
        <v>9.0909090909090917</v>
      </c>
      <c r="E31" s="1381">
        <f>$D31</f>
        <v>9.0909090909090917</v>
      </c>
      <c r="F31" s="1381">
        <f>$D31</f>
        <v>9.0909090909090917</v>
      </c>
      <c r="G31" s="1381">
        <f>$D31</f>
        <v>9.0909090909090917</v>
      </c>
      <c r="H31" s="1333"/>
      <c r="I31" s="555"/>
      <c r="J31" s="965"/>
    </row>
    <row r="32" spans="2:14">
      <c r="B32" s="964" t="s">
        <v>67</v>
      </c>
      <c r="C32" s="976" t="s">
        <v>1361</v>
      </c>
      <c r="D32" s="979">
        <f>D160/D158</f>
        <v>62.931034482758619</v>
      </c>
      <c r="E32" s="978">
        <f t="shared" ref="E32:G34" si="0">$D32</f>
        <v>62.931034482758619</v>
      </c>
      <c r="F32" s="978">
        <f t="shared" si="0"/>
        <v>62.931034482758619</v>
      </c>
      <c r="G32" s="978">
        <f t="shared" si="0"/>
        <v>62.931034482758619</v>
      </c>
      <c r="H32" s="978"/>
      <c r="I32" s="555"/>
      <c r="J32" s="965"/>
    </row>
    <row r="33" spans="2:10">
      <c r="B33" s="964" t="s">
        <v>149</v>
      </c>
      <c r="C33" s="976" t="s">
        <v>1336</v>
      </c>
      <c r="D33" s="1396">
        <f>D158</f>
        <v>58000</v>
      </c>
      <c r="E33" s="1396">
        <f t="shared" si="0"/>
        <v>58000</v>
      </c>
      <c r="F33" s="1396">
        <f t="shared" si="0"/>
        <v>58000</v>
      </c>
      <c r="G33" s="1396">
        <f t="shared" si="0"/>
        <v>58000</v>
      </c>
      <c r="H33" s="1397"/>
      <c r="I33" s="555"/>
      <c r="J33" s="965"/>
    </row>
    <row r="34" spans="2:10">
      <c r="B34" s="964" t="s">
        <v>150</v>
      </c>
      <c r="C34" s="976" t="s">
        <v>34</v>
      </c>
      <c r="D34" s="1332">
        <f>20</f>
        <v>20</v>
      </c>
      <c r="E34" s="1332">
        <f t="shared" si="0"/>
        <v>20</v>
      </c>
      <c r="F34" s="1332">
        <f t="shared" si="0"/>
        <v>20</v>
      </c>
      <c r="G34" s="1332">
        <f t="shared" si="0"/>
        <v>20</v>
      </c>
      <c r="H34" s="1332"/>
      <c r="I34" s="555"/>
      <c r="J34" s="965" t="s">
        <v>1087</v>
      </c>
    </row>
    <row r="35" spans="2:10">
      <c r="B35" s="964"/>
      <c r="C35" s="981"/>
      <c r="D35" s="982"/>
      <c r="E35" s="983"/>
      <c r="F35" s="983"/>
      <c r="G35" s="983"/>
      <c r="H35" s="983"/>
      <c r="I35" s="555"/>
      <c r="J35" s="965"/>
    </row>
    <row r="36" spans="2:10">
      <c r="B36" s="975" t="s">
        <v>151</v>
      </c>
      <c r="C36" s="981"/>
      <c r="D36" s="982"/>
      <c r="E36" s="983"/>
      <c r="F36" s="983"/>
      <c r="G36" s="983"/>
      <c r="H36" s="983"/>
      <c r="I36" s="555"/>
      <c r="J36" s="965"/>
    </row>
    <row r="37" spans="2:10">
      <c r="B37" s="964" t="str">
        <f>ProcessEnergy!B35</f>
        <v xml:space="preserve">Green diesel </v>
      </c>
      <c r="C37" s="976" t="s">
        <v>463</v>
      </c>
      <c r="D37" s="987"/>
      <c r="E37" s="984"/>
      <c r="F37" s="984"/>
      <c r="G37" s="984"/>
      <c r="H37" s="984"/>
      <c r="I37" s="555"/>
      <c r="J37" s="965"/>
    </row>
    <row r="38" spans="2:10">
      <c r="B38" s="985" t="str">
        <f>ProcessEnergy!B36</f>
        <v>Green gasoline</v>
      </c>
      <c r="C38" s="976"/>
      <c r="D38" s="987"/>
      <c r="E38" s="984"/>
      <c r="F38" s="984"/>
      <c r="G38" s="984"/>
      <c r="H38" s="984"/>
      <c r="I38" s="555"/>
      <c r="J38" s="965"/>
    </row>
    <row r="39" spans="2:10">
      <c r="B39" s="985" t="str">
        <f>ProcessEnergy!B37</f>
        <v>Electricity - balancing</v>
      </c>
      <c r="C39" s="976"/>
      <c r="D39" s="987"/>
      <c r="E39" s="984"/>
      <c r="F39" s="984"/>
      <c r="G39" s="984"/>
      <c r="H39" s="984"/>
      <c r="I39" s="555"/>
      <c r="J39" s="965"/>
    </row>
    <row r="40" spans="2:10">
      <c r="B40" s="985" t="str">
        <f>ProcessEnergy!B38</f>
        <v>Electricity  - continous</v>
      </c>
      <c r="C40" s="976"/>
      <c r="D40" s="987"/>
      <c r="E40" s="984"/>
      <c r="F40" s="984"/>
      <c r="G40" s="984"/>
      <c r="H40" s="984"/>
      <c r="I40" s="555"/>
      <c r="J40" s="965"/>
    </row>
    <row r="41" spans="2:10">
      <c r="B41" s="985" t="str">
        <f>ProcessEnergy!B39</f>
        <v>Elec/heat fuel</v>
      </c>
      <c r="C41" s="976"/>
      <c r="D41" s="987">
        <f>D188%</f>
        <v>0.23417721518987342</v>
      </c>
      <c r="E41" s="2309">
        <f>D41</f>
        <v>0.23417721518987342</v>
      </c>
      <c r="F41" s="2309">
        <f>E41</f>
        <v>0.23417721518987342</v>
      </c>
      <c r="G41" s="2309">
        <f>F41</f>
        <v>0.23417721518987342</v>
      </c>
      <c r="H41" s="984"/>
      <c r="I41" s="555"/>
      <c r="J41" s="965" t="s">
        <v>2456</v>
      </c>
    </row>
    <row r="42" spans="2:10">
      <c r="B42" s="985" t="str">
        <f>ProcessEnergy!B40</f>
        <v>Biogas (100% CH4)</v>
      </c>
      <c r="C42" s="976"/>
      <c r="D42" s="987"/>
      <c r="E42" s="984"/>
      <c r="F42" s="984"/>
      <c r="G42" s="984"/>
      <c r="H42" s="984"/>
      <c r="I42" s="555"/>
      <c r="J42" s="965"/>
    </row>
    <row r="43" spans="2:10">
      <c r="B43" s="985" t="str">
        <f>ProcessEnergy!B41</f>
        <v>District heating</v>
      </c>
      <c r="C43" s="976" t="s">
        <v>1226</v>
      </c>
      <c r="D43" s="987">
        <f>C151*C152</f>
        <v>0.41755443037974682</v>
      </c>
      <c r="E43" s="978">
        <f>$D43</f>
        <v>0.41755443037974682</v>
      </c>
      <c r="F43" s="978">
        <f>$D43</f>
        <v>0.41755443037974682</v>
      </c>
      <c r="G43" s="978">
        <f>$D43</f>
        <v>0.41755443037974682</v>
      </c>
      <c r="H43" s="978"/>
      <c r="I43" s="555"/>
      <c r="J43" s="965"/>
    </row>
    <row r="44" spans="2:10">
      <c r="B44" s="985" t="str">
        <f>ProcessEnergy!B42</f>
        <v>&lt;empty&gt;</v>
      </c>
      <c r="C44" s="976"/>
      <c r="D44" s="987"/>
      <c r="E44" s="978"/>
      <c r="F44" s="978"/>
      <c r="G44" s="978"/>
      <c r="H44" s="978"/>
      <c r="I44" s="555"/>
      <c r="J44" s="965"/>
    </row>
    <row r="45" spans="2:10">
      <c r="B45" s="985" t="str">
        <f>ProcessEnergy!B43</f>
        <v>&lt;empty&gt;</v>
      </c>
      <c r="C45" s="976"/>
      <c r="D45" s="987"/>
      <c r="E45" s="978"/>
      <c r="F45" s="978"/>
      <c r="G45" s="978"/>
      <c r="H45" s="978"/>
      <c r="I45" s="555"/>
      <c r="J45" s="965"/>
    </row>
    <row r="46" spans="2:10">
      <c r="B46" s="985" t="str">
        <f>ProcessEnergy!B44</f>
        <v>&lt;empty&gt;</v>
      </c>
      <c r="C46" s="976"/>
      <c r="D46" s="987"/>
      <c r="E46" s="978"/>
      <c r="F46" s="978"/>
      <c r="G46" s="978"/>
      <c r="H46" s="978"/>
      <c r="I46" s="555"/>
      <c r="J46" s="965"/>
    </row>
    <row r="47" spans="2:10">
      <c r="B47" s="985" t="str">
        <f>ProcessEnergy!B45</f>
        <v>&lt;empty&gt;</v>
      </c>
      <c r="C47" s="976"/>
      <c r="D47" s="987"/>
      <c r="E47" s="978"/>
      <c r="F47" s="978"/>
      <c r="G47" s="978"/>
      <c r="H47" s="978"/>
      <c r="I47" s="555"/>
      <c r="J47" s="965"/>
    </row>
    <row r="48" spans="2:10">
      <c r="B48" s="985" t="str">
        <f>ProcessEnergy!B46</f>
        <v>&lt;empty&gt;</v>
      </c>
      <c r="C48" s="976"/>
      <c r="D48" s="987"/>
      <c r="E48" s="978"/>
      <c r="F48" s="978"/>
      <c r="G48" s="978"/>
      <c r="H48" s="978"/>
      <c r="I48" s="555"/>
      <c r="J48" s="965"/>
    </row>
    <row r="49" spans="2:10">
      <c r="B49" s="985" t="str">
        <f>ProcessEnergy!B47</f>
        <v>&lt;empty&gt;</v>
      </c>
      <c r="C49" s="976"/>
      <c r="D49" s="987"/>
      <c r="E49" s="978"/>
      <c r="F49" s="978"/>
      <c r="G49" s="978"/>
      <c r="H49" s="978"/>
      <c r="I49" s="555"/>
      <c r="J49" s="965"/>
    </row>
    <row r="50" spans="2:10">
      <c r="B50" s="985" t="str">
        <f>ProcessEnergy!B48</f>
        <v>Glycerol</v>
      </c>
      <c r="C50" s="976"/>
      <c r="D50" s="987"/>
      <c r="E50" s="978"/>
      <c r="F50" s="978"/>
      <c r="G50" s="978"/>
      <c r="H50" s="978"/>
      <c r="I50" s="555"/>
      <c r="J50" s="965"/>
    </row>
    <row r="51" spans="2:10">
      <c r="B51" s="985" t="str">
        <f>ProcessEnergy!B49</f>
        <v>&lt;empty&gt;</v>
      </c>
      <c r="C51" s="976"/>
      <c r="D51" s="987"/>
      <c r="E51" s="978"/>
      <c r="F51" s="978"/>
      <c r="G51" s="978"/>
      <c r="H51" s="978"/>
      <c r="I51" s="555"/>
      <c r="J51" s="965"/>
    </row>
    <row r="52" spans="2:10">
      <c r="B52" s="985" t="str">
        <f>ProcessEnergy!B51</f>
        <v>Fodder (wheat like)</v>
      </c>
      <c r="C52" s="976"/>
      <c r="D52" s="987"/>
      <c r="E52" s="984"/>
      <c r="F52" s="984"/>
      <c r="G52" s="984"/>
      <c r="H52" s="984"/>
      <c r="I52" s="555"/>
      <c r="J52" s="965"/>
    </row>
    <row r="53" spans="2:10">
      <c r="B53" s="985" t="str">
        <f>ProcessEnergy!B52</f>
        <v>Rape seed cake</v>
      </c>
      <c r="C53" s="976"/>
      <c r="D53" s="987"/>
      <c r="E53" s="984"/>
      <c r="F53" s="984"/>
      <c r="G53" s="984"/>
      <c r="H53" s="984"/>
      <c r="I53" s="555"/>
      <c r="J53" s="965"/>
    </row>
    <row r="54" spans="2:10">
      <c r="B54" s="985" t="str">
        <f>ProcessEnergy!B53</f>
        <v>&lt;empty&gt;</v>
      </c>
      <c r="C54" s="976"/>
      <c r="D54" s="987"/>
      <c r="E54" s="984"/>
      <c r="F54" s="984"/>
      <c r="G54" s="984"/>
      <c r="H54" s="984"/>
      <c r="I54" s="555"/>
      <c r="J54" s="965"/>
    </row>
    <row r="55" spans="2:10">
      <c r="B55" s="985" t="str">
        <f>ProcessEnergy!B54</f>
        <v>DDGS</v>
      </c>
      <c r="C55" s="976"/>
      <c r="D55" s="987"/>
      <c r="E55" s="984"/>
      <c r="F55" s="984"/>
      <c r="G55" s="984"/>
      <c r="H55" s="984"/>
      <c r="I55" s="555"/>
      <c r="J55" s="965"/>
    </row>
    <row r="56" spans="2:10">
      <c r="B56" s="964"/>
      <c r="C56" s="976"/>
      <c r="D56" s="984"/>
      <c r="E56" s="984"/>
      <c r="F56" s="984"/>
      <c r="G56" s="984"/>
      <c r="H56" s="984"/>
      <c r="I56" s="555"/>
      <c r="J56" s="965"/>
    </row>
    <row r="57" spans="2:10">
      <c r="B57" s="975" t="s">
        <v>873</v>
      </c>
      <c r="C57" s="976"/>
      <c r="D57" s="984"/>
      <c r="E57" s="984"/>
      <c r="F57" s="984"/>
      <c r="G57" s="984"/>
      <c r="H57" s="984"/>
      <c r="I57" s="555"/>
      <c r="J57" s="965"/>
    </row>
    <row r="58" spans="2:10">
      <c r="B58" s="964" t="str">
        <f>ProcessEnergy!B5</f>
        <v>EL - peakload</v>
      </c>
      <c r="C58" s="976" t="s">
        <v>877</v>
      </c>
      <c r="D58" s="987">
        <f>C186%</f>
        <v>5.3164556962025315E-2</v>
      </c>
      <c r="E58" s="984"/>
      <c r="F58" s="984"/>
      <c r="G58" s="984"/>
      <c r="H58" s="984"/>
      <c r="I58" s="555"/>
      <c r="J58" s="965"/>
    </row>
    <row r="59" spans="2:10">
      <c r="B59" s="964" t="str">
        <f>ProcessEnergy!B6</f>
        <v>El - baseload</v>
      </c>
      <c r="C59" s="976" t="s">
        <v>877</v>
      </c>
      <c r="D59" s="987"/>
      <c r="E59" s="984"/>
      <c r="F59" s="984"/>
      <c r="G59" s="984"/>
      <c r="H59" s="984"/>
      <c r="I59" s="555"/>
      <c r="J59" s="965"/>
    </row>
    <row r="60" spans="2:10">
      <c r="B60" s="964" t="str">
        <f>ProcessEnergy!B7</f>
        <v xml:space="preserve">Varme </v>
      </c>
      <c r="C60" s="976" t="s">
        <v>877</v>
      </c>
      <c r="D60" s="987"/>
      <c r="E60" s="984"/>
      <c r="F60" s="984"/>
      <c r="G60" s="984"/>
      <c r="H60" s="984"/>
      <c r="I60" s="555"/>
      <c r="J60" s="965"/>
    </row>
    <row r="61" spans="2:10">
      <c r="B61" s="964" t="str">
        <f>ProcessEnergy!B8</f>
        <v>Damp</v>
      </c>
      <c r="C61" s="976" t="s">
        <v>877</v>
      </c>
      <c r="D61" s="987"/>
      <c r="E61" s="984"/>
      <c r="F61" s="984"/>
      <c r="G61" s="984"/>
      <c r="H61" s="984"/>
      <c r="I61" s="555"/>
      <c r="J61" s="965"/>
    </row>
    <row r="62" spans="2:10">
      <c r="B62" s="964" t="str">
        <f>ProcessEnergy!B9</f>
        <v xml:space="preserve">Olie </v>
      </c>
      <c r="C62" s="976" t="s">
        <v>877</v>
      </c>
      <c r="D62" s="987"/>
      <c r="E62" s="984"/>
      <c r="F62" s="984"/>
      <c r="G62" s="984"/>
      <c r="H62" s="984"/>
      <c r="I62" s="555"/>
      <c r="J62" s="965"/>
    </row>
    <row r="63" spans="2:10">
      <c r="B63" s="964" t="str">
        <f>ProcessEnergy!B10</f>
        <v>Kul</v>
      </c>
      <c r="C63" s="976" t="s">
        <v>877</v>
      </c>
      <c r="D63" s="987"/>
      <c r="E63" s="984"/>
      <c r="F63" s="984"/>
      <c r="G63" s="984"/>
      <c r="H63" s="984"/>
      <c r="I63" s="555"/>
      <c r="J63" s="965"/>
    </row>
    <row r="64" spans="2:10">
      <c r="B64" s="964" t="str">
        <f>ProcessEnergy!B11</f>
        <v>Naturgas kedel</v>
      </c>
      <c r="C64" s="976" t="s">
        <v>877</v>
      </c>
      <c r="D64" s="987"/>
      <c r="E64" s="984"/>
      <c r="F64" s="984"/>
      <c r="G64" s="984"/>
      <c r="H64" s="984"/>
      <c r="I64" s="555"/>
      <c r="J64" s="965"/>
    </row>
    <row r="65" spans="2:10">
      <c r="B65" s="964" t="str">
        <f>ProcessEnergy!B12</f>
        <v>Gylle</v>
      </c>
      <c r="C65" s="976" t="s">
        <v>877</v>
      </c>
      <c r="D65" s="987">
        <f>C185%</f>
        <v>5.4430379746835428E-2</v>
      </c>
      <c r="E65" s="984"/>
      <c r="F65" s="984"/>
      <c r="G65" s="984"/>
      <c r="H65" s="984"/>
      <c r="I65" s="555"/>
      <c r="J65" s="965"/>
    </row>
    <row r="66" spans="2:10">
      <c r="B66" s="964" t="str">
        <f>ProcessEnergy!B13</f>
        <v>Affald</v>
      </c>
      <c r="C66" s="976" t="s">
        <v>1226</v>
      </c>
      <c r="D66" s="987">
        <f>C184%</f>
        <v>0.18354430379746833</v>
      </c>
      <c r="E66" s="984"/>
      <c r="F66" s="984"/>
      <c r="G66" s="984"/>
      <c r="H66" s="984"/>
      <c r="I66" s="555"/>
      <c r="J66" s="965"/>
    </row>
    <row r="67" spans="2:10">
      <c r="B67" s="964" t="str">
        <f>ProcessEnergy!B14</f>
        <v>Hydrogen</v>
      </c>
      <c r="C67" s="976" t="s">
        <v>877</v>
      </c>
      <c r="D67" s="987"/>
      <c r="E67" s="984"/>
      <c r="F67" s="984"/>
      <c r="G67" s="984"/>
      <c r="H67" s="984"/>
      <c r="I67" s="555"/>
      <c r="J67" s="965"/>
    </row>
    <row r="68" spans="2:10">
      <c r="B68" s="964" t="str">
        <f>ProcessEnergy!B15</f>
        <v>Biomasse</v>
      </c>
      <c r="C68" s="976" t="s">
        <v>877</v>
      </c>
      <c r="D68" s="987"/>
      <c r="E68" s="984"/>
      <c r="F68" s="984"/>
      <c r="G68" s="984"/>
      <c r="H68" s="984"/>
      <c r="I68" s="555"/>
      <c r="J68" s="965"/>
    </row>
    <row r="69" spans="2:10">
      <c r="B69" s="964" t="str">
        <f>ProcessEnergy!B16</f>
        <v>Methanol</v>
      </c>
      <c r="C69" s="976"/>
      <c r="D69" s="987"/>
      <c r="E69" s="984"/>
      <c r="F69" s="984"/>
      <c r="G69" s="984"/>
      <c r="H69" s="984"/>
      <c r="I69" s="555"/>
      <c r="J69" s="965"/>
    </row>
    <row r="70" spans="2:10">
      <c r="B70" s="964" t="str">
        <f>ProcessEnergy!B17</f>
        <v>&lt;empty&gt;</v>
      </c>
      <c r="C70" s="976"/>
      <c r="D70" s="987"/>
      <c r="E70" s="984"/>
      <c r="F70" s="984"/>
      <c r="G70" s="984"/>
      <c r="H70" s="984"/>
      <c r="I70" s="555"/>
      <c r="J70" s="965"/>
    </row>
    <row r="71" spans="2:10">
      <c r="B71" s="964" t="str">
        <f>ProcessEnergy!B18</f>
        <v>&lt;empty&gt;</v>
      </c>
      <c r="C71" s="976"/>
      <c r="D71" s="987"/>
      <c r="E71" s="984"/>
      <c r="F71" s="984"/>
      <c r="G71" s="984"/>
      <c r="H71" s="984"/>
      <c r="I71" s="555"/>
      <c r="J71" s="965"/>
    </row>
    <row r="72" spans="2:10">
      <c r="B72" s="964" t="str">
        <f>ProcessEnergy!B19</f>
        <v>&lt;empty&gt;</v>
      </c>
      <c r="C72" s="976"/>
      <c r="D72" s="987"/>
      <c r="E72" s="984"/>
      <c r="F72" s="984"/>
      <c r="G72" s="984"/>
      <c r="H72" s="984"/>
      <c r="I72" s="555"/>
      <c r="J72" s="965"/>
    </row>
    <row r="73" spans="2:10">
      <c r="B73" s="964" t="str">
        <f>ProcessEnergy!B20</f>
        <v>&lt;empty&gt;</v>
      </c>
      <c r="C73" s="976"/>
      <c r="D73" s="987"/>
      <c r="E73" s="984"/>
      <c r="F73" s="984"/>
      <c r="G73" s="984"/>
      <c r="H73" s="984"/>
      <c r="I73" s="555"/>
      <c r="J73" s="965"/>
    </row>
    <row r="74" spans="2:10">
      <c r="B74" s="964" t="str">
        <f>ProcessEnergy!B21</f>
        <v>&lt;empty&gt;</v>
      </c>
      <c r="C74" s="976"/>
      <c r="D74" s="987"/>
      <c r="E74" s="984"/>
      <c r="F74" s="984"/>
      <c r="G74" s="984"/>
      <c r="H74" s="984"/>
      <c r="I74" s="555"/>
      <c r="J74" s="965"/>
    </row>
    <row r="75" spans="2:10">
      <c r="B75" s="964" t="str">
        <f>ProcessEnergy!B22</f>
        <v>&lt;empty&gt;</v>
      </c>
      <c r="C75" s="976"/>
      <c r="D75" s="987"/>
      <c r="E75" s="984"/>
      <c r="F75" s="984"/>
      <c r="G75" s="984"/>
      <c r="H75" s="984"/>
      <c r="I75" s="555"/>
      <c r="J75" s="965"/>
    </row>
    <row r="76" spans="2:10">
      <c r="B76" s="964" t="str">
        <f>ProcessEnergy!B23</f>
        <v>&lt;empty&gt;</v>
      </c>
      <c r="C76" s="976"/>
      <c r="D76" s="987"/>
      <c r="E76" s="984"/>
      <c r="F76" s="984"/>
      <c r="G76" s="984"/>
      <c r="H76" s="984"/>
      <c r="I76" s="555"/>
      <c r="J76" s="965"/>
    </row>
    <row r="77" spans="2:10">
      <c r="B77" s="964" t="str">
        <f>ProcessEnergy!B24</f>
        <v>&lt;empty&gt;</v>
      </c>
      <c r="C77" s="976" t="s">
        <v>877</v>
      </c>
      <c r="D77" s="987"/>
      <c r="E77" s="984"/>
      <c r="F77" s="984"/>
      <c r="G77" s="984"/>
      <c r="H77" s="984"/>
      <c r="I77" s="555"/>
      <c r="J77" s="965"/>
    </row>
    <row r="78" spans="2:10">
      <c r="B78" s="964"/>
      <c r="C78" s="976"/>
      <c r="D78" s="987"/>
      <c r="E78" s="984"/>
      <c r="F78" s="984"/>
      <c r="G78" s="984"/>
      <c r="H78" s="984"/>
      <c r="I78" s="555"/>
      <c r="J78" s="965"/>
    </row>
    <row r="79" spans="2:10">
      <c r="B79" s="964"/>
      <c r="C79" s="976"/>
      <c r="D79" s="987"/>
      <c r="E79" s="984"/>
      <c r="F79" s="984"/>
      <c r="G79" s="984"/>
      <c r="H79" s="984"/>
      <c r="I79" s="555"/>
      <c r="J79" s="965"/>
    </row>
    <row r="80" spans="2:10">
      <c r="B80" s="964"/>
      <c r="C80" s="976"/>
      <c r="D80" s="987"/>
      <c r="E80" s="986"/>
      <c r="F80" s="986"/>
      <c r="G80" s="986"/>
      <c r="H80" s="986"/>
      <c r="I80" s="555"/>
      <c r="J80" s="965"/>
    </row>
    <row r="81" spans="1:17">
      <c r="B81" s="975" t="s">
        <v>152</v>
      </c>
      <c r="C81" s="976"/>
      <c r="D81" s="986"/>
      <c r="E81" s="986"/>
      <c r="F81" s="986"/>
      <c r="G81" s="986"/>
      <c r="H81" s="986"/>
      <c r="I81" s="555"/>
      <c r="J81" s="965"/>
    </row>
    <row r="82" spans="1:17">
      <c r="A82" s="530">
        <v>4</v>
      </c>
      <c r="B82" s="964" t="s">
        <v>462</v>
      </c>
      <c r="C82" s="976" t="s">
        <v>725</v>
      </c>
      <c r="D82" s="1633">
        <v>1</v>
      </c>
      <c r="E82" s="978">
        <f t="shared" ref="E82:G88" si="1">$D82</f>
        <v>1</v>
      </c>
      <c r="F82" s="978">
        <f t="shared" si="1"/>
        <v>1</v>
      </c>
      <c r="G82" s="978">
        <f t="shared" si="1"/>
        <v>1</v>
      </c>
      <c r="H82" s="978"/>
      <c r="I82" s="555"/>
      <c r="J82" s="965"/>
    </row>
    <row r="83" spans="1:17">
      <c r="B83" s="964" t="s">
        <v>153</v>
      </c>
      <c r="C83" s="976" t="s">
        <v>725</v>
      </c>
      <c r="D83" s="987">
        <f>D82*SUM(D58:D77)</f>
        <v>0.29113924050632911</v>
      </c>
      <c r="E83" s="978">
        <f t="shared" si="1"/>
        <v>0.29113924050632911</v>
      </c>
      <c r="F83" s="978">
        <f t="shared" si="1"/>
        <v>0.29113924050632911</v>
      </c>
      <c r="G83" s="978">
        <f t="shared" si="1"/>
        <v>0.29113924050632911</v>
      </c>
      <c r="H83" s="1334"/>
      <c r="I83" s="555"/>
      <c r="J83" s="965"/>
    </row>
    <row r="84" spans="1:17">
      <c r="B84" s="964" t="s">
        <v>1092</v>
      </c>
      <c r="C84" s="976" t="s">
        <v>725</v>
      </c>
      <c r="D84" s="987">
        <f>D82*SUM(D37:D54)</f>
        <v>0.65173164556962027</v>
      </c>
      <c r="E84" s="978">
        <f t="shared" si="1"/>
        <v>0.65173164556962027</v>
      </c>
      <c r="F84" s="978">
        <f t="shared" si="1"/>
        <v>0.65173164556962027</v>
      </c>
      <c r="G84" s="978">
        <f t="shared" si="1"/>
        <v>0.65173164556962027</v>
      </c>
      <c r="H84" s="978"/>
      <c r="I84" s="555"/>
      <c r="J84" s="965"/>
    </row>
    <row r="85" spans="1:17">
      <c r="B85" s="964" t="s">
        <v>1240</v>
      </c>
      <c r="C85" s="976" t="s">
        <v>725</v>
      </c>
      <c r="D85" s="987">
        <f>(1/D161)*D82</f>
        <v>0.63291139240506322</v>
      </c>
      <c r="E85" s="978">
        <f t="shared" si="1"/>
        <v>0.63291139240506322</v>
      </c>
      <c r="F85" s="978">
        <f t="shared" si="1"/>
        <v>0.63291139240506322</v>
      </c>
      <c r="G85" s="978">
        <f t="shared" si="1"/>
        <v>0.63291139240506322</v>
      </c>
      <c r="H85" s="978"/>
      <c r="I85" s="555"/>
      <c r="J85" s="965"/>
    </row>
    <row r="86" spans="1:17">
      <c r="B86" s="985" t="s">
        <v>155</v>
      </c>
      <c r="C86" s="976" t="s">
        <v>725</v>
      </c>
      <c r="D86" s="987">
        <f>SUM(D82:D83)-SUM(D84:D85)</f>
        <v>6.4962025316457339E-3</v>
      </c>
      <c r="E86" s="978">
        <f t="shared" si="1"/>
        <v>6.4962025316457339E-3</v>
      </c>
      <c r="F86" s="978">
        <f t="shared" si="1"/>
        <v>6.4962025316457339E-3</v>
      </c>
      <c r="G86" s="978">
        <f t="shared" si="1"/>
        <v>6.4962025316457339E-3</v>
      </c>
      <c r="H86" s="978"/>
      <c r="I86" s="555"/>
      <c r="J86" s="965"/>
    </row>
    <row r="87" spans="1:17">
      <c r="B87" s="985" t="s">
        <v>156</v>
      </c>
      <c r="C87" s="988" t="s">
        <v>726</v>
      </c>
      <c r="D87" s="989">
        <f>SUM(D84:D85)/SUM(D82:D83)</f>
        <v>0.99496862745098025</v>
      </c>
      <c r="E87" s="990">
        <f t="shared" si="1"/>
        <v>0.99496862745098025</v>
      </c>
      <c r="F87" s="990">
        <f t="shared" si="1"/>
        <v>0.99496862745098025</v>
      </c>
      <c r="G87" s="990">
        <f t="shared" si="1"/>
        <v>0.99496862745098025</v>
      </c>
      <c r="H87" s="990"/>
      <c r="I87" s="555"/>
      <c r="J87" s="965"/>
    </row>
    <row r="88" spans="1:17">
      <c r="B88" s="964"/>
      <c r="C88" s="976"/>
      <c r="D88" s="989">
        <f>D174/100</f>
        <v>0.99</v>
      </c>
      <c r="E88" s="990">
        <f t="shared" si="1"/>
        <v>0.99</v>
      </c>
      <c r="F88" s="990">
        <f t="shared" si="1"/>
        <v>0.99</v>
      </c>
      <c r="G88" s="990">
        <f t="shared" si="1"/>
        <v>0.99</v>
      </c>
      <c r="H88" s="990"/>
      <c r="I88" s="555"/>
      <c r="J88" s="965"/>
      <c r="N88" s="557"/>
    </row>
    <row r="89" spans="1:17">
      <c r="B89" s="975" t="s">
        <v>2116</v>
      </c>
      <c r="C89" s="976"/>
      <c r="D89" s="983"/>
      <c r="E89" s="983"/>
      <c r="F89" s="983"/>
      <c r="G89" s="983"/>
      <c r="H89" s="983"/>
      <c r="I89" s="555"/>
      <c r="J89" s="965"/>
      <c r="N89" s="991"/>
      <c r="O89" s="991"/>
      <c r="P89" s="991"/>
      <c r="Q89" s="991"/>
    </row>
    <row r="90" spans="1:17">
      <c r="B90" s="964" t="s">
        <v>157</v>
      </c>
      <c r="C90" s="976" t="s">
        <v>61</v>
      </c>
      <c r="D90" s="992">
        <f ca="1">HLOOKUP($H99,Supplementary!$C$44:$AF$46,3,FALSE)*D99*D$110</f>
        <v>3456078491.6468492</v>
      </c>
      <c r="E90" s="992">
        <f ca="1">HLOOKUP($H99,Supplementary!$C$44:$AF$46,3,FALSE)*E99*E$110</f>
        <v>3283274567.0645065</v>
      </c>
      <c r="F90" s="992">
        <f ca="1">HLOOKUP($H99,Supplementary!$C$44:$AF$46,3,FALSE)*F99*F$110</f>
        <v>2674247655.340085</v>
      </c>
      <c r="G90" s="992">
        <f ca="1">HLOOKUP($H99,Supplementary!$C$44:$AF$46,3,FALSE)*G99*G$110</f>
        <v>1965817764.9634161</v>
      </c>
      <c r="H90" s="555">
        <f t="shared" ref="H90:H96" si="2">priceYear</f>
        <v>2015</v>
      </c>
      <c r="I90" s="555"/>
      <c r="J90" s="965"/>
      <c r="N90" s="991"/>
      <c r="O90" s="991"/>
      <c r="P90" s="991"/>
      <c r="Q90" s="991"/>
    </row>
    <row r="91" spans="1:17">
      <c r="B91" s="964" t="s">
        <v>160</v>
      </c>
      <c r="C91" s="976" t="s">
        <v>464</v>
      </c>
      <c r="D91" s="555">
        <f ca="1">SUM(D92:D96)</f>
        <v>129.46297666473589</v>
      </c>
      <c r="E91" s="555">
        <f ca="1">SUM(E92:E96)</f>
        <v>122.81695482193068</v>
      </c>
      <c r="F91" s="555">
        <f ca="1">SUM(F92:F96)</f>
        <v>87.947962050604986</v>
      </c>
      <c r="G91" s="555">
        <f ca="1">SUM(G92:G96)</f>
        <v>52.704522031205535</v>
      </c>
      <c r="H91" s="555">
        <f t="shared" si="2"/>
        <v>2015</v>
      </c>
      <c r="I91" s="555"/>
      <c r="J91" s="965"/>
      <c r="N91" s="991"/>
      <c r="O91" s="991"/>
      <c r="P91" s="991"/>
      <c r="Q91" s="991"/>
    </row>
    <row r="92" spans="1:17">
      <c r="B92" s="995" t="s">
        <v>162</v>
      </c>
      <c r="C92" s="976" t="s">
        <v>464</v>
      </c>
      <c r="D92" s="992">
        <f ca="1">HLOOKUP($H101,Supplementary!$C$44:$AF$46,3,FALSE)*D101*D$110</f>
        <v>75.979364302423349</v>
      </c>
      <c r="E92" s="555">
        <f ca="1">HLOOKUP($H101,Supplementary!$C$44:$AF$46,3,FALSE)*E101*E$110</f>
        <v>72.180396087302185</v>
      </c>
      <c r="F92" s="555">
        <f ca="1">HLOOKUP($H101,Supplementary!$C$44:$AF$46,3,FALSE)*F101*F$110</f>
        <v>58.791383740583171</v>
      </c>
      <c r="G92" s="555">
        <f ca="1">HLOOKUP($H101,Supplementary!$C$44:$AF$46,3,FALSE)*G101*G$110</f>
        <v>43.21706942632516</v>
      </c>
      <c r="H92" s="555">
        <f t="shared" si="2"/>
        <v>2015</v>
      </c>
      <c r="I92" s="555"/>
      <c r="J92" s="965"/>
      <c r="N92" s="991"/>
      <c r="O92" s="991"/>
      <c r="P92" s="991"/>
      <c r="Q92" s="991"/>
    </row>
    <row r="93" spans="1:17">
      <c r="B93" s="995" t="s">
        <v>163</v>
      </c>
      <c r="C93" s="976" t="s">
        <v>464</v>
      </c>
      <c r="D93" s="992">
        <f ca="1">HLOOKUP($H102,Supplementary!$C$44:$AF$46,3,FALSE)*D102*D$110</f>
        <v>95.955920582196072</v>
      </c>
      <c r="E93" s="555">
        <f ca="1">HLOOKUP($H102,Supplementary!$C$44:$AF$46,3,FALSE)*E102*E$110</f>
        <v>91.158124553086267</v>
      </c>
      <c r="F93" s="555">
        <f ca="1">HLOOKUP($H102,Supplementary!$C$44:$AF$46,3,FALSE)*F102*F$110</f>
        <v>74.248862186767226</v>
      </c>
      <c r="G93" s="555">
        <f ca="1">HLOOKUP($H102,Supplementary!$C$44:$AF$46,3,FALSE)*G102*G$110</f>
        <v>54.57973648162578</v>
      </c>
      <c r="H93" s="555">
        <f t="shared" si="2"/>
        <v>2015</v>
      </c>
      <c r="I93" s="555"/>
      <c r="J93" s="965"/>
      <c r="N93" s="991"/>
      <c r="O93" s="991"/>
      <c r="P93" s="991"/>
      <c r="Q93" s="991"/>
    </row>
    <row r="94" spans="1:17">
      <c r="B94" s="995" t="s">
        <v>164</v>
      </c>
      <c r="C94" s="976" t="s">
        <v>464</v>
      </c>
      <c r="D94" s="992">
        <f>HLOOKUP($H103,Supplementary!$C$44:$AF$46,3,FALSE)*D103</f>
        <v>0</v>
      </c>
      <c r="E94" s="555">
        <f>HLOOKUP($H103,Supplementary!$C$44:$AF$46,3,FALSE)*E103</f>
        <v>0</v>
      </c>
      <c r="F94" s="555">
        <f>HLOOKUP($H103,Supplementary!$C$44:$AF$46,3,FALSE)*F103</f>
        <v>0</v>
      </c>
      <c r="G94" s="555">
        <f>HLOOKUP($H103,Supplementary!$C$44:$AF$46,3,FALSE)*G103</f>
        <v>0</v>
      </c>
      <c r="H94" s="555">
        <f t="shared" si="2"/>
        <v>2015</v>
      </c>
      <c r="I94" s="555"/>
      <c r="J94" s="965"/>
      <c r="N94" s="991"/>
      <c r="O94" s="991"/>
      <c r="P94" s="991"/>
      <c r="Q94" s="991"/>
    </row>
    <row r="95" spans="1:17">
      <c r="B95" s="995" t="s">
        <v>264</v>
      </c>
      <c r="C95" s="976" t="s">
        <v>464</v>
      </c>
      <c r="D95" s="992">
        <f ca="1">HLOOKUP($H104,Supplementary!$C$44:$AF$46,3,FALSE)*D104*D$110</f>
        <v>0</v>
      </c>
      <c r="E95" s="555">
        <f ca="1">HLOOKUP($H104,Supplementary!$C$44:$AF$46,3,FALSE)*E104*E$110</f>
        <v>0</v>
      </c>
      <c r="F95" s="555">
        <f ca="1">HLOOKUP($H104,Supplementary!$C$44:$AF$46,3,FALSE)*F104*F$110</f>
        <v>0</v>
      </c>
      <c r="G95" s="555">
        <f ca="1">HLOOKUP($H104,Supplementary!$C$44:$AF$46,3,FALSE)*G104*G$110</f>
        <v>0</v>
      </c>
      <c r="H95" s="555">
        <f t="shared" si="2"/>
        <v>2015</v>
      </c>
      <c r="I95" s="555"/>
      <c r="J95" s="965"/>
      <c r="N95" s="991"/>
      <c r="O95" s="991"/>
      <c r="P95" s="991"/>
      <c r="Q95" s="991"/>
    </row>
    <row r="96" spans="1:17">
      <c r="B96" s="995" t="s">
        <v>165</v>
      </c>
      <c r="C96" s="976" t="s">
        <v>464</v>
      </c>
      <c r="D96" s="992">
        <f ca="1">HLOOKUP($H105,Supplementary!$C$44:$AF$46,3,FALSE)*D105</f>
        <v>-42.472308219883523</v>
      </c>
      <c r="E96" s="555">
        <f ca="1">HLOOKUP($H105,Supplementary!$C$44:$AF$46,3,FALSE)*E105</f>
        <v>-40.521565818457773</v>
      </c>
      <c r="F96" s="555">
        <f ca="1">HLOOKUP($H105,Supplementary!$C$44:$AF$46,3,FALSE)*F105</f>
        <v>-45.092283876745405</v>
      </c>
      <c r="G96" s="555">
        <f ca="1">HLOOKUP($H105,Supplementary!$C$44:$AF$46,3,FALSE)*G105</f>
        <v>-45.092283876745405</v>
      </c>
      <c r="H96" s="555">
        <f t="shared" si="2"/>
        <v>2015</v>
      </c>
      <c r="I96" s="555"/>
      <c r="J96" s="965"/>
      <c r="N96" s="991"/>
      <c r="O96" s="991"/>
      <c r="P96" s="991"/>
      <c r="Q96" s="991"/>
    </row>
    <row r="97" spans="1:17">
      <c r="B97" s="975"/>
      <c r="C97" s="976"/>
      <c r="D97" s="992"/>
      <c r="E97" s="983"/>
      <c r="F97" s="983"/>
      <c r="G97" s="983"/>
      <c r="H97" s="983"/>
      <c r="I97" s="555"/>
      <c r="J97" s="965"/>
      <c r="N97" s="991"/>
      <c r="O97" s="991"/>
      <c r="P97" s="991"/>
      <c r="Q97" s="991"/>
    </row>
    <row r="98" spans="1:17">
      <c r="B98" s="975" t="s">
        <v>2117</v>
      </c>
      <c r="C98" s="976"/>
      <c r="D98" s="992"/>
      <c r="E98" s="983"/>
      <c r="F98" s="983"/>
      <c r="G98" s="983"/>
      <c r="H98" s="983"/>
      <c r="I98" s="555"/>
      <c r="J98" s="965"/>
      <c r="N98" s="991"/>
      <c r="O98" s="991"/>
      <c r="P98" s="991"/>
      <c r="Q98" s="991"/>
    </row>
    <row r="99" spans="1:17">
      <c r="B99" s="964" t="s">
        <v>157</v>
      </c>
      <c r="C99" s="976" t="s">
        <v>61</v>
      </c>
      <c r="D99" s="992">
        <f>D177*dkkPerEUR*D160</f>
        <v>3246784500.0000005</v>
      </c>
      <c r="E99" s="992">
        <f t="shared" ref="E99:G102" si="3">$D99</f>
        <v>3246784500.0000005</v>
      </c>
      <c r="F99" s="992">
        <f t="shared" si="3"/>
        <v>3246784500.0000005</v>
      </c>
      <c r="G99" s="992">
        <f t="shared" si="3"/>
        <v>3246784500.0000005</v>
      </c>
      <c r="H99" s="1668">
        <v>2011</v>
      </c>
      <c r="I99" s="555"/>
      <c r="J99" s="965"/>
      <c r="N99" s="991"/>
      <c r="O99" s="991"/>
      <c r="P99" s="991"/>
      <c r="Q99" s="991"/>
    </row>
    <row r="100" spans="1:17">
      <c r="B100" s="964" t="s">
        <v>160</v>
      </c>
      <c r="C100" s="976" t="s">
        <v>464</v>
      </c>
      <c r="D100" s="993">
        <f ca="1">SUM(D101:D105)</f>
        <v>121.62292811776726</v>
      </c>
      <c r="E100" s="978">
        <f t="shared" ca="1" si="3"/>
        <v>121.62292811776726</v>
      </c>
      <c r="F100" s="978">
        <f t="shared" ca="1" si="3"/>
        <v>121.62292811776726</v>
      </c>
      <c r="G100" s="978">
        <f t="shared" ca="1" si="3"/>
        <v>121.62292811776726</v>
      </c>
      <c r="H100" s="1668">
        <v>2011</v>
      </c>
      <c r="I100" s="994"/>
      <c r="J100" s="965"/>
      <c r="N100" s="991"/>
      <c r="O100" s="991"/>
      <c r="P100" s="991"/>
      <c r="Q100" s="991"/>
    </row>
    <row r="101" spans="1:17">
      <c r="B101" s="995" t="s">
        <v>162</v>
      </c>
      <c r="C101" s="976" t="s">
        <v>464</v>
      </c>
      <c r="D101" s="993">
        <f ca="1">PMT(rSØK,D34,-D99)/(D32*D33)</f>
        <v>71.37818858373565</v>
      </c>
      <c r="E101" s="978">
        <f t="shared" ca="1" si="3"/>
        <v>71.37818858373565</v>
      </c>
      <c r="F101" s="978">
        <f t="shared" ca="1" si="3"/>
        <v>71.37818858373565</v>
      </c>
      <c r="G101" s="978">
        <f t="shared" ca="1" si="3"/>
        <v>71.37818858373565</v>
      </c>
      <c r="H101" s="1668">
        <v>2011</v>
      </c>
      <c r="I101" s="994"/>
      <c r="J101" s="965"/>
      <c r="N101" s="991"/>
      <c r="O101" s="991"/>
      <c r="P101" s="991"/>
      <c r="Q101" s="991"/>
    </row>
    <row r="102" spans="1:17">
      <c r="B102" s="995" t="s">
        <v>163</v>
      </c>
      <c r="C102" s="976" t="s">
        <v>464</v>
      </c>
      <c r="D102" s="480">
        <f>IF(D141&gt;0,D177*D141*dkkPerEUR,D178*dkkPerEUR)</f>
        <v>90.144999999999996</v>
      </c>
      <c r="E102" s="480">
        <f t="shared" si="3"/>
        <v>90.144999999999996</v>
      </c>
      <c r="F102" s="480">
        <f t="shared" si="3"/>
        <v>90.144999999999996</v>
      </c>
      <c r="G102" s="480">
        <f t="shared" si="3"/>
        <v>90.144999999999996</v>
      </c>
      <c r="H102" s="1668">
        <v>2011</v>
      </c>
      <c r="I102" s="555"/>
      <c r="J102" s="965"/>
      <c r="N102" s="991"/>
      <c r="O102" s="991"/>
      <c r="P102" s="991"/>
      <c r="Q102" s="991"/>
    </row>
    <row r="103" spans="1:17">
      <c r="A103" s="530">
        <v>6</v>
      </c>
      <c r="B103" s="995" t="s">
        <v>164</v>
      </c>
      <c r="C103" s="976" t="s">
        <v>464</v>
      </c>
      <c r="D103" s="997"/>
      <c r="E103" s="997"/>
      <c r="F103" s="997"/>
      <c r="G103" s="997"/>
      <c r="H103" s="1668">
        <v>2011</v>
      </c>
      <c r="I103" s="555"/>
      <c r="J103" s="965"/>
      <c r="N103" s="991"/>
      <c r="O103" s="991"/>
      <c r="P103" s="991"/>
      <c r="Q103" s="991"/>
    </row>
    <row r="104" spans="1:17">
      <c r="B104" s="995" t="s">
        <v>264</v>
      </c>
      <c r="C104" s="976" t="s">
        <v>464</v>
      </c>
      <c r="D104" s="997"/>
      <c r="E104" s="997"/>
      <c r="F104" s="997"/>
      <c r="G104" s="997"/>
      <c r="H104" s="1668">
        <v>2011</v>
      </c>
      <c r="I104" s="555"/>
      <c r="J104" s="965"/>
      <c r="N104" s="991"/>
      <c r="O104" s="991"/>
      <c r="P104" s="991"/>
      <c r="Q104" s="991"/>
    </row>
    <row r="105" spans="1:17">
      <c r="B105" s="995" t="s">
        <v>165</v>
      </c>
      <c r="C105" s="976" t="s">
        <v>464</v>
      </c>
      <c r="D105" s="996">
        <f ca="1">-SUMPRODUCT(D36:D55,ProcessEnergy!M34:M53)/D85</f>
        <v>-39.900260465968387</v>
      </c>
      <c r="E105" s="996">
        <f ca="1">-SUMPRODUCT(E36:E55,ProcessEnergy!N34:N53)/E85</f>
        <v>-38.067651568991664</v>
      </c>
      <c r="F105" s="996">
        <f ca="1">-SUMPRODUCT(F36:F55,ProcessEnergy!O34:O53)/F85</f>
        <v>-42.36157503785563</v>
      </c>
      <c r="G105" s="996">
        <f ca="1">-SUMPRODUCT(G36:G55,ProcessEnergy!P34:P53)/G85</f>
        <v>-42.36157503785563</v>
      </c>
      <c r="H105" s="1668">
        <v>2011</v>
      </c>
      <c r="I105" s="555"/>
      <c r="J105" s="965"/>
      <c r="N105" s="991"/>
      <c r="O105" s="991"/>
      <c r="P105" s="991"/>
      <c r="Q105" s="991"/>
    </row>
    <row r="106" spans="1:17">
      <c r="B106" s="995"/>
      <c r="C106" s="976"/>
      <c r="D106" s="2311"/>
      <c r="E106" s="2311"/>
      <c r="F106" s="2311"/>
      <c r="G106" s="2311"/>
      <c r="H106" s="983"/>
      <c r="I106" s="994"/>
      <c r="J106" s="965"/>
      <c r="N106" s="991"/>
      <c r="O106" s="991"/>
      <c r="P106" s="991"/>
      <c r="Q106" s="991"/>
    </row>
    <row r="107" spans="1:17">
      <c r="B107" s="975" t="s">
        <v>2113</v>
      </c>
      <c r="C107" s="976"/>
      <c r="D107" s="983"/>
      <c r="E107" s="983"/>
      <c r="F107" s="983"/>
      <c r="G107" s="983"/>
      <c r="H107" s="983"/>
      <c r="I107" s="994"/>
      <c r="J107" s="965"/>
      <c r="N107" s="991"/>
      <c r="O107" s="991"/>
      <c r="P107" s="991"/>
      <c r="Q107" s="991"/>
    </row>
    <row r="108" spans="1:17">
      <c r="B108" s="995" t="s">
        <v>2114</v>
      </c>
      <c r="C108" s="976"/>
      <c r="D108" s="1696">
        <v>0.95</v>
      </c>
      <c r="E108" s="1696">
        <v>0.95</v>
      </c>
      <c r="F108" s="1696">
        <v>0.95</v>
      </c>
      <c r="G108" s="1696">
        <v>0.95</v>
      </c>
      <c r="H108" s="983"/>
      <c r="I108" s="994"/>
      <c r="J108" s="965"/>
      <c r="N108" s="991"/>
      <c r="O108" s="991"/>
      <c r="P108" s="991"/>
      <c r="Q108" s="991"/>
    </row>
    <row r="109" spans="1:17">
      <c r="B109" s="995" t="s">
        <v>2666</v>
      </c>
      <c r="C109" s="976"/>
      <c r="D109" s="478">
        <f ca="1">OFFSET(Supplementary!C$237,MATCH($C$19,Supplementary!$B$238:$B$241,0),0)</f>
        <v>1</v>
      </c>
      <c r="E109" s="478">
        <f ca="1">OFFSET(Supplementary!D$237,MATCH($C$19,Supplementary!$B$238:$B$241,0),0)</f>
        <v>2</v>
      </c>
      <c r="F109" s="478">
        <f ca="1">OFFSET(Supplementary!E$237,MATCH($C$19,Supplementary!$B$238:$B$241,0),0)</f>
        <v>6</v>
      </c>
      <c r="G109" s="478">
        <f ca="1">OFFSET(Supplementary!F$237,MATCH($C$19,Supplementary!$B$238:$B$241,0),0)</f>
        <v>12</v>
      </c>
      <c r="H109" s="983"/>
      <c r="I109" s="994"/>
      <c r="J109" s="965"/>
      <c r="N109" s="991"/>
      <c r="O109" s="991"/>
      <c r="P109" s="991"/>
      <c r="Q109" s="991"/>
    </row>
    <row r="110" spans="1:17">
      <c r="B110" s="995" t="s">
        <v>2115</v>
      </c>
      <c r="C110" s="976"/>
      <c r="D110" s="1698">
        <f ca="1">1*D108^(D109-1)</f>
        <v>1</v>
      </c>
      <c r="E110" s="1698">
        <f ca="1">1*E108^(E109-1)</f>
        <v>0.95</v>
      </c>
      <c r="F110" s="1698">
        <f ca="1">1*F108^(F109-1)</f>
        <v>0.77378093749999999</v>
      </c>
      <c r="G110" s="1698">
        <f ca="1">1*G108^(G109-1)</f>
        <v>0.56880009227645989</v>
      </c>
      <c r="H110" s="983"/>
      <c r="I110" s="994"/>
      <c r="J110" s="965"/>
      <c r="N110" s="991"/>
      <c r="O110" s="991"/>
      <c r="P110" s="991"/>
      <c r="Q110" s="991"/>
    </row>
    <row r="111" spans="1:17">
      <c r="B111" s="995"/>
      <c r="C111" s="976"/>
      <c r="D111" s="983"/>
      <c r="E111" s="983"/>
      <c r="F111" s="983"/>
      <c r="G111" s="983"/>
      <c r="H111" s="983"/>
      <c r="I111" s="994"/>
      <c r="J111" s="965"/>
      <c r="N111" s="991"/>
      <c r="O111" s="991"/>
      <c r="P111" s="991"/>
      <c r="Q111" s="991"/>
    </row>
    <row r="112" spans="1:17">
      <c r="B112" s="975" t="s">
        <v>166</v>
      </c>
      <c r="C112" s="976"/>
      <c r="D112" s="983"/>
      <c r="E112" s="983"/>
      <c r="F112" s="983"/>
      <c r="G112" s="983"/>
      <c r="H112" s="983"/>
      <c r="I112" s="994"/>
      <c r="J112" s="965"/>
      <c r="N112" s="998"/>
      <c r="O112" s="998"/>
      <c r="P112" s="998"/>
      <c r="Q112" s="991"/>
    </row>
    <row r="113" spans="2:17">
      <c r="B113" s="964" t="s">
        <v>24</v>
      </c>
      <c r="C113" s="976" t="s">
        <v>465</v>
      </c>
      <c r="D113" s="999">
        <v>0</v>
      </c>
      <c r="E113" s="999">
        <v>0</v>
      </c>
      <c r="F113" s="999">
        <v>0</v>
      </c>
      <c r="G113" s="999"/>
      <c r="H113" s="999"/>
      <c r="I113" s="1335" t="s">
        <v>1747</v>
      </c>
      <c r="J113" s="965"/>
      <c r="N113" s="991"/>
      <c r="O113" s="991"/>
      <c r="P113" s="991"/>
      <c r="Q113" s="991"/>
    </row>
    <row r="114" spans="2:17">
      <c r="B114" s="964" t="s">
        <v>27</v>
      </c>
      <c r="C114" s="976" t="s">
        <v>465</v>
      </c>
      <c r="D114" s="999">
        <v>0</v>
      </c>
      <c r="E114" s="999">
        <v>0</v>
      </c>
      <c r="F114" s="999">
        <v>0</v>
      </c>
      <c r="G114" s="999"/>
      <c r="H114" s="999"/>
      <c r="I114" s="1335" t="s">
        <v>1747</v>
      </c>
      <c r="J114" s="965"/>
      <c r="N114" s="991"/>
      <c r="O114" s="991"/>
      <c r="P114" s="991"/>
      <c r="Q114" s="991"/>
    </row>
    <row r="115" spans="2:17">
      <c r="B115" s="964" t="s">
        <v>28</v>
      </c>
      <c r="C115" s="976" t="s">
        <v>465</v>
      </c>
      <c r="D115" s="999">
        <v>0</v>
      </c>
      <c r="E115" s="999">
        <v>0</v>
      </c>
      <c r="F115" s="999">
        <v>0</v>
      </c>
      <c r="G115" s="999"/>
      <c r="H115" s="999"/>
      <c r="I115" s="1335" t="s">
        <v>1747</v>
      </c>
      <c r="J115" s="965"/>
      <c r="N115" s="991"/>
      <c r="O115" s="991"/>
      <c r="P115" s="991"/>
      <c r="Q115" s="991"/>
    </row>
    <row r="116" spans="2:17">
      <c r="B116" s="964" t="s">
        <v>26</v>
      </c>
      <c r="C116" s="976" t="s">
        <v>465</v>
      </c>
      <c r="D116" s="999">
        <v>0</v>
      </c>
      <c r="E116" s="999">
        <v>0</v>
      </c>
      <c r="F116" s="999">
        <v>0</v>
      </c>
      <c r="G116" s="999"/>
      <c r="H116" s="999"/>
      <c r="I116" s="1335" t="s">
        <v>1747</v>
      </c>
      <c r="J116" s="965"/>
      <c r="N116" s="991"/>
      <c r="O116" s="991"/>
      <c r="P116" s="991"/>
      <c r="Q116" s="991"/>
    </row>
    <row r="117" spans="2:17">
      <c r="B117" s="964" t="s">
        <v>167</v>
      </c>
      <c r="C117" s="976" t="s">
        <v>465</v>
      </c>
      <c r="D117" s="999">
        <v>0</v>
      </c>
      <c r="E117" s="999">
        <v>0</v>
      </c>
      <c r="F117" s="999">
        <v>0</v>
      </c>
      <c r="G117" s="999"/>
      <c r="H117" s="999"/>
      <c r="I117" s="1335" t="s">
        <v>1747</v>
      </c>
      <c r="J117" s="965"/>
      <c r="N117" s="998"/>
      <c r="O117" s="998"/>
      <c r="P117" s="998"/>
      <c r="Q117" s="998"/>
    </row>
    <row r="118" spans="2:17">
      <c r="B118" s="964" t="s">
        <v>45</v>
      </c>
      <c r="C118" s="976" t="s">
        <v>465</v>
      </c>
      <c r="D118" s="1000"/>
      <c r="E118" s="1000"/>
      <c r="F118" s="1000"/>
      <c r="G118" s="1000"/>
      <c r="H118" s="1000"/>
      <c r="I118" s="555"/>
      <c r="J118" s="965"/>
    </row>
    <row r="119" spans="2:17" ht="13.5" thickBot="1">
      <c r="B119" s="1001"/>
      <c r="C119" s="1002"/>
      <c r="D119" s="1003"/>
      <c r="E119" s="968"/>
      <c r="F119" s="968"/>
      <c r="G119" s="968"/>
      <c r="H119" s="968"/>
      <c r="I119" s="1004"/>
      <c r="J119" s="969"/>
    </row>
    <row r="122" spans="2:17" ht="18.75">
      <c r="B122" s="1005" t="s">
        <v>172</v>
      </c>
    </row>
    <row r="123" spans="2:17" ht="15.75">
      <c r="B123" s="1006"/>
      <c r="D123" s="1007"/>
    </row>
    <row r="124" spans="2:17">
      <c r="B124" s="555"/>
      <c r="C124" s="555"/>
      <c r="D124" s="555"/>
      <c r="E124" s="555"/>
      <c r="F124" s="555"/>
      <c r="G124" s="555"/>
      <c r="H124" s="555"/>
      <c r="I124" s="555"/>
      <c r="J124" s="555"/>
      <c r="K124" s="555"/>
      <c r="L124" s="555"/>
    </row>
    <row r="125" spans="2:17">
      <c r="B125" s="555"/>
      <c r="C125" s="977"/>
      <c r="D125" s="977"/>
      <c r="E125" s="977"/>
      <c r="F125" s="977"/>
      <c r="G125" s="977"/>
      <c r="H125" s="977"/>
      <c r="I125" s="555"/>
      <c r="J125" s="977"/>
      <c r="K125" s="977"/>
      <c r="L125" s="977"/>
    </row>
    <row r="126" spans="2:17">
      <c r="B126" s="555"/>
      <c r="C126" s="555"/>
      <c r="D126" s="993"/>
      <c r="E126" s="993"/>
      <c r="F126" s="993"/>
      <c r="G126" s="993"/>
      <c r="H126" s="993"/>
      <c r="I126" s="555"/>
      <c r="J126" s="993"/>
      <c r="K126" s="993"/>
      <c r="L126" s="993"/>
    </row>
    <row r="127" spans="2:17">
      <c r="B127" s="555"/>
      <c r="C127" s="555"/>
      <c r="D127" s="993"/>
      <c r="E127" s="993"/>
      <c r="F127" s="993"/>
      <c r="G127" s="993"/>
      <c r="H127" s="993"/>
      <c r="I127" s="555"/>
      <c r="J127" s="993"/>
      <c r="K127" s="993"/>
      <c r="L127" s="993"/>
    </row>
    <row r="128" spans="2:17">
      <c r="B128" s="555"/>
      <c r="C128" s="555"/>
      <c r="D128" s="993"/>
      <c r="E128" s="993"/>
      <c r="F128" s="993"/>
      <c r="G128" s="993"/>
      <c r="H128" s="993"/>
      <c r="I128" s="555"/>
      <c r="J128" s="993"/>
      <c r="K128" s="993"/>
      <c r="L128" s="993"/>
    </row>
    <row r="129" spans="2:12">
      <c r="D129" s="993"/>
      <c r="E129" s="993"/>
      <c r="F129" s="993"/>
      <c r="G129" s="993"/>
      <c r="H129" s="993"/>
      <c r="I129" s="555"/>
      <c r="J129" s="993"/>
      <c r="K129" s="993"/>
      <c r="L129" s="993"/>
    </row>
    <row r="130" spans="2:12">
      <c r="D130" s="993"/>
      <c r="E130" s="993"/>
      <c r="F130" s="993"/>
      <c r="G130" s="993"/>
      <c r="H130" s="993"/>
      <c r="I130" s="555"/>
      <c r="J130" s="993"/>
      <c r="K130" s="993"/>
      <c r="L130" s="993"/>
    </row>
    <row r="131" spans="2:12">
      <c r="B131" s="555"/>
      <c r="C131" s="555"/>
      <c r="D131" s="993"/>
      <c r="E131" s="993"/>
      <c r="F131" s="993"/>
      <c r="G131" s="993"/>
      <c r="H131" s="993"/>
      <c r="I131" s="555"/>
      <c r="J131" s="993"/>
      <c r="K131" s="993"/>
      <c r="L131" s="993"/>
    </row>
    <row r="132" spans="2:12">
      <c r="B132" s="555"/>
      <c r="C132" s="555"/>
      <c r="D132" s="993"/>
      <c r="E132" s="993"/>
      <c r="F132" s="993"/>
      <c r="G132" s="993"/>
      <c r="H132" s="993"/>
      <c r="I132" s="555"/>
      <c r="J132" s="993"/>
      <c r="K132" s="993"/>
      <c r="L132" s="993"/>
    </row>
    <row r="133" spans="2:12">
      <c r="D133" s="993"/>
    </row>
    <row r="135" spans="2:12" ht="18.75">
      <c r="B135" s="1005" t="s">
        <v>168</v>
      </c>
    </row>
    <row r="136" spans="2:12" ht="15.75">
      <c r="B136" s="1006"/>
    </row>
    <row r="137" spans="2:12" ht="13.5" thickBot="1">
      <c r="B137" s="555"/>
      <c r="C137" s="555"/>
      <c r="D137" s="555"/>
      <c r="E137" s="555"/>
      <c r="F137" s="555"/>
      <c r="G137" s="555"/>
      <c r="H137" s="555"/>
      <c r="I137" s="555"/>
    </row>
    <row r="138" spans="2:12">
      <c r="B138" s="1008"/>
      <c r="C138" s="1009" t="s">
        <v>70</v>
      </c>
      <c r="D138" s="1010">
        <v>2015</v>
      </c>
      <c r="E138" s="1009">
        <v>2020</v>
      </c>
      <c r="F138" s="1009">
        <v>2035</v>
      </c>
      <c r="G138" s="1009"/>
      <c r="H138" s="1009"/>
      <c r="I138" s="1011" t="s">
        <v>145</v>
      </c>
      <c r="J138" s="1012" t="s">
        <v>146</v>
      </c>
    </row>
    <row r="139" spans="2:12">
      <c r="B139" s="964"/>
      <c r="C139" s="977"/>
      <c r="D139" s="1013"/>
      <c r="E139" s="1014"/>
      <c r="F139" s="1014"/>
      <c r="G139" s="1014"/>
      <c r="H139" s="1014"/>
      <c r="I139" s="555"/>
      <c r="J139" s="965"/>
    </row>
    <row r="140" spans="2:12">
      <c r="B140" s="964"/>
      <c r="C140" s="977"/>
      <c r="D140" s="1015"/>
      <c r="E140" s="1016"/>
      <c r="F140" s="1016"/>
      <c r="G140" s="1016"/>
      <c r="H140" s="1016"/>
      <c r="I140" s="555"/>
      <c r="J140" s="965"/>
    </row>
    <row r="141" spans="2:12">
      <c r="B141" s="1336" t="s">
        <v>1747</v>
      </c>
      <c r="C141" s="1353" t="s">
        <v>1747</v>
      </c>
      <c r="D141" s="1058"/>
      <c r="E141" s="1018"/>
      <c r="F141" s="1018"/>
      <c r="G141" s="1018"/>
      <c r="H141" s="1018"/>
      <c r="I141" s="1335" t="s">
        <v>1747</v>
      </c>
      <c r="J141" s="965"/>
    </row>
    <row r="142" spans="2:12">
      <c r="B142" s="964"/>
      <c r="C142" s="977"/>
      <c r="D142" s="1015"/>
      <c r="E142" s="1016"/>
      <c r="F142" s="1016"/>
      <c r="G142" s="1016"/>
      <c r="H142" s="1016"/>
      <c r="I142" s="555"/>
      <c r="J142" s="965"/>
    </row>
    <row r="143" spans="2:12">
      <c r="B143" s="964"/>
      <c r="C143" s="977"/>
      <c r="D143" s="1015"/>
      <c r="E143" s="1016"/>
      <c r="F143" s="1016"/>
      <c r="G143" s="1016"/>
      <c r="H143" s="1016"/>
      <c r="I143" s="555"/>
      <c r="J143" s="965"/>
    </row>
    <row r="144" spans="2:12">
      <c r="B144" s="964" t="s">
        <v>22</v>
      </c>
      <c r="C144" s="977" t="s">
        <v>249</v>
      </c>
      <c r="D144" s="1019"/>
      <c r="E144" s="979"/>
      <c r="F144" s="979"/>
      <c r="G144" s="979"/>
      <c r="H144" s="979"/>
      <c r="I144" s="555"/>
      <c r="J144" s="965"/>
    </row>
    <row r="145" spans="2:10">
      <c r="B145" s="964"/>
      <c r="C145" s="976"/>
      <c r="D145" s="1016"/>
      <c r="E145" s="1016"/>
      <c r="F145" s="1016"/>
      <c r="G145" s="1016"/>
      <c r="H145" s="1016"/>
      <c r="I145" s="555"/>
      <c r="J145" s="965"/>
    </row>
    <row r="146" spans="2:10" ht="13.5" thickBot="1">
      <c r="B146" s="967"/>
      <c r="C146" s="1020"/>
      <c r="D146" s="1021"/>
      <c r="E146" s="1021"/>
      <c r="F146" s="1021"/>
      <c r="G146" s="1021"/>
      <c r="H146" s="1021"/>
      <c r="I146" s="968"/>
      <c r="J146" s="969"/>
    </row>
    <row r="149" spans="2:10" ht="13.5" thickBot="1"/>
    <row r="150" spans="2:10">
      <c r="B150" s="1040"/>
      <c r="C150" s="1340"/>
      <c r="D150" s="1064" t="s">
        <v>1098</v>
      </c>
    </row>
    <row r="151" spans="2:10">
      <c r="B151" s="1065" t="s">
        <v>1095</v>
      </c>
      <c r="C151" s="1367">
        <v>0.98</v>
      </c>
      <c r="D151" s="1067" t="s">
        <v>1770</v>
      </c>
    </row>
    <row r="152" spans="2:10" ht="13.5" thickBot="1">
      <c r="B152" s="1022" t="s">
        <v>1338</v>
      </c>
      <c r="C152" s="1341">
        <f>D189%</f>
        <v>0.42607594936708859</v>
      </c>
      <c r="D152" s="1342" t="s">
        <v>1770</v>
      </c>
    </row>
    <row r="153" spans="2:10">
      <c r="B153" s="530" t="str">
        <f>CONCATENATE("Source: ",Referencer!$B$48)</f>
        <v>Source: 42, FORCE, Danish Energy Agency, 2013, Technology data for advanced bioenergy fuels.</v>
      </c>
    </row>
    <row r="154" spans="2:10" ht="13.5" thickBot="1">
      <c r="B154" s="965"/>
    </row>
    <row r="155" spans="2:10" ht="18.75">
      <c r="B155" s="1023" t="s">
        <v>1362</v>
      </c>
      <c r="C155" s="1024"/>
      <c r="D155" s="1025"/>
      <c r="E155" s="1025"/>
      <c r="F155" s="1025"/>
      <c r="G155" s="1025"/>
      <c r="H155" s="1025"/>
      <c r="I155" s="1025"/>
      <c r="J155" s="1026"/>
    </row>
    <row r="156" spans="2:10" ht="15">
      <c r="B156" s="1026"/>
      <c r="C156" s="1027"/>
      <c r="D156" s="1028">
        <v>2015</v>
      </c>
      <c r="E156" s="1028">
        <v>2020</v>
      </c>
      <c r="F156" s="1028">
        <v>2035</v>
      </c>
      <c r="G156" s="1028">
        <v>2050</v>
      </c>
      <c r="H156" s="1028"/>
      <c r="I156" s="1028" t="s">
        <v>1098</v>
      </c>
      <c r="J156" s="1338"/>
    </row>
    <row r="157" spans="2:10" ht="15">
      <c r="B157" s="1029" t="s">
        <v>1099</v>
      </c>
      <c r="C157" s="1030"/>
      <c r="D157" s="1027"/>
      <c r="E157" s="1027"/>
      <c r="F157" s="1027"/>
      <c r="G157" s="1027"/>
      <c r="H157" s="1027"/>
      <c r="I157" s="1027"/>
      <c r="J157" s="1026"/>
    </row>
    <row r="158" spans="2:10" ht="15">
      <c r="B158" s="1026" t="s">
        <v>1363</v>
      </c>
      <c r="C158" s="1027"/>
      <c r="D158" s="1368">
        <v>58000</v>
      </c>
      <c r="E158" s="1284" t="s">
        <v>1101</v>
      </c>
      <c r="F158" s="1031"/>
      <c r="G158" s="1031"/>
      <c r="H158" s="1031"/>
      <c r="I158" s="1032" t="s">
        <v>1769</v>
      </c>
      <c r="J158" s="1339"/>
    </row>
    <row r="159" spans="2:10" ht="15">
      <c r="B159" s="1026" t="s">
        <v>1364</v>
      </c>
      <c r="C159" s="1027"/>
      <c r="D159" s="1368">
        <v>91000</v>
      </c>
      <c r="E159" s="1284" t="s">
        <v>1101</v>
      </c>
      <c r="F159" s="1031"/>
      <c r="G159" s="1031"/>
      <c r="H159" s="1031"/>
      <c r="I159" s="1032"/>
      <c r="J159" s="1339"/>
    </row>
    <row r="160" spans="2:10" ht="15">
      <c r="B160" s="1026" t="s">
        <v>1365</v>
      </c>
      <c r="C160" s="1027"/>
      <c r="D160" s="1368">
        <v>3650000</v>
      </c>
      <c r="E160" s="1284" t="s">
        <v>1101</v>
      </c>
      <c r="F160" s="1031"/>
      <c r="G160" s="1031"/>
      <c r="H160" s="1031"/>
      <c r="I160" s="1032"/>
      <c r="J160" s="1339"/>
    </row>
    <row r="161" spans="2:10" ht="15">
      <c r="B161" s="1026" t="s">
        <v>1366</v>
      </c>
      <c r="C161" s="1027"/>
      <c r="D161" s="1375">
        <v>1.58</v>
      </c>
      <c r="E161" s="1284" t="s">
        <v>1101</v>
      </c>
      <c r="F161" s="1031"/>
      <c r="G161" s="1031"/>
      <c r="H161" s="1031"/>
      <c r="I161" s="1032"/>
      <c r="J161" s="1339"/>
    </row>
    <row r="162" spans="2:10" ht="15">
      <c r="B162" s="1026" t="s">
        <v>1367</v>
      </c>
      <c r="C162" s="1027"/>
      <c r="D162" s="1375">
        <v>0.11</v>
      </c>
      <c r="E162" s="1284" t="s">
        <v>1101</v>
      </c>
      <c r="F162" s="1031"/>
      <c r="G162" s="1031"/>
      <c r="H162" s="1031"/>
      <c r="I162" s="1032"/>
      <c r="J162" s="1339"/>
    </row>
    <row r="163" spans="2:10" ht="15">
      <c r="B163" s="1026" t="s">
        <v>1368</v>
      </c>
      <c r="C163" s="1027"/>
      <c r="D163" s="1375">
        <v>0.28999999999999998</v>
      </c>
      <c r="E163" s="1284" t="s">
        <v>1101</v>
      </c>
      <c r="F163" s="1031"/>
      <c r="G163" s="1031"/>
      <c r="H163" s="1031"/>
      <c r="I163" s="1032"/>
      <c r="J163" s="1339"/>
    </row>
    <row r="164" spans="2:10" ht="15">
      <c r="B164" s="1026" t="s">
        <v>1369</v>
      </c>
      <c r="C164" s="1027"/>
      <c r="D164" s="1375">
        <v>2.5999999999999999E-2</v>
      </c>
      <c r="E164" s="1284" t="s">
        <v>1101</v>
      </c>
      <c r="F164" s="1031"/>
      <c r="G164" s="1031"/>
      <c r="H164" s="1031"/>
      <c r="I164" s="1032"/>
      <c r="J164" s="1339"/>
    </row>
    <row r="165" spans="2:10" ht="15">
      <c r="B165" s="1026" t="s">
        <v>1370</v>
      </c>
      <c r="C165" s="1027"/>
      <c r="D165" s="1375">
        <v>8.5999999999999993E-2</v>
      </c>
      <c r="E165" s="1284" t="s">
        <v>1101</v>
      </c>
      <c r="F165" s="1031"/>
      <c r="G165" s="1031"/>
      <c r="H165" s="1031"/>
      <c r="I165" s="1032"/>
      <c r="J165" s="1339"/>
    </row>
    <row r="166" spans="2:10" ht="15">
      <c r="B166" s="1026" t="s">
        <v>1371</v>
      </c>
      <c r="C166" s="1027"/>
      <c r="D166" s="1375">
        <v>0.12</v>
      </c>
      <c r="E166" s="1284" t="s">
        <v>1101</v>
      </c>
      <c r="F166" s="1031"/>
      <c r="G166" s="1031"/>
      <c r="H166" s="1031"/>
      <c r="I166" s="1032"/>
      <c r="J166" s="1339"/>
    </row>
    <row r="167" spans="2:10" ht="15">
      <c r="B167" s="1026" t="s">
        <v>1372</v>
      </c>
      <c r="C167" s="1027"/>
      <c r="D167" s="1375">
        <v>1.96</v>
      </c>
      <c r="E167" s="1284" t="s">
        <v>1101</v>
      </c>
      <c r="F167" s="1031"/>
      <c r="G167" s="1031"/>
      <c r="H167" s="1031"/>
      <c r="I167" s="1032"/>
      <c r="J167" s="1339"/>
    </row>
    <row r="168" spans="2:10" ht="15">
      <c r="B168" s="1026" t="s">
        <v>1373</v>
      </c>
      <c r="C168" s="1027"/>
      <c r="D168" s="1375">
        <v>8.4000000000000005E-2</v>
      </c>
      <c r="E168" s="1284" t="s">
        <v>1101</v>
      </c>
      <c r="F168" s="1031"/>
      <c r="G168" s="1031"/>
      <c r="H168" s="1031"/>
      <c r="I168" s="1032"/>
      <c r="J168" s="1339"/>
    </row>
    <row r="169" spans="2:10" ht="15">
      <c r="B169" s="1026" t="s">
        <v>1374</v>
      </c>
      <c r="C169" s="1027"/>
      <c r="D169" s="1375">
        <v>0.37</v>
      </c>
      <c r="E169" s="1284" t="s">
        <v>1101</v>
      </c>
      <c r="F169" s="1031"/>
      <c r="G169" s="1031"/>
      <c r="H169" s="1031"/>
      <c r="I169" s="1032"/>
      <c r="J169" s="1339"/>
    </row>
    <row r="170" spans="2:10" ht="15">
      <c r="B170" s="1026" t="s">
        <v>1375</v>
      </c>
      <c r="C170" s="1027"/>
      <c r="D170" s="1375">
        <v>1.7000000000000001E-2</v>
      </c>
      <c r="E170" s="1284" t="s">
        <v>1101</v>
      </c>
      <c r="F170" s="1031"/>
      <c r="G170" s="1031"/>
      <c r="H170" s="1031"/>
      <c r="I170" s="1032"/>
      <c r="J170" s="1339"/>
    </row>
    <row r="171" spans="2:10" ht="15">
      <c r="B171" s="1026" t="s">
        <v>1376</v>
      </c>
      <c r="C171" s="1027"/>
      <c r="D171" s="1375">
        <v>0.65</v>
      </c>
      <c r="E171" s="1284" t="s">
        <v>1101</v>
      </c>
      <c r="F171" s="1031"/>
      <c r="G171" s="1031"/>
      <c r="H171" s="1031"/>
      <c r="I171" s="1032"/>
      <c r="J171" s="1339"/>
    </row>
    <row r="172" spans="2:10" ht="15">
      <c r="B172" s="1026" t="s">
        <v>1377</v>
      </c>
      <c r="C172" s="1027"/>
      <c r="D172" s="1370">
        <v>49</v>
      </c>
      <c r="E172" s="1284" t="s">
        <v>1101</v>
      </c>
      <c r="F172" s="1031"/>
      <c r="G172" s="1031"/>
      <c r="H172" s="1031"/>
      <c r="I172" s="1032"/>
      <c r="J172" s="1339"/>
    </row>
    <row r="173" spans="2:10" ht="15">
      <c r="B173" s="1026" t="s">
        <v>1378</v>
      </c>
      <c r="C173" s="1027"/>
      <c r="D173" s="1370">
        <v>67</v>
      </c>
      <c r="E173" s="1284" t="s">
        <v>1101</v>
      </c>
      <c r="F173" s="1031"/>
      <c r="G173" s="1031"/>
      <c r="H173" s="1031"/>
      <c r="I173" s="1032"/>
      <c r="J173" s="1339"/>
    </row>
    <row r="174" spans="2:10" ht="15">
      <c r="B174" s="1026" t="s">
        <v>1379</v>
      </c>
      <c r="C174" s="1027"/>
      <c r="D174" s="1370">
        <v>99</v>
      </c>
      <c r="E174" s="1284" t="s">
        <v>1101</v>
      </c>
      <c r="F174" s="1031"/>
      <c r="G174" s="1031"/>
      <c r="H174" s="1031"/>
      <c r="I174" s="1032"/>
      <c r="J174" s="1339"/>
    </row>
    <row r="175" spans="2:10" ht="15">
      <c r="B175" s="1026"/>
      <c r="C175" s="1027"/>
      <c r="D175" s="1370"/>
      <c r="E175" s="1284"/>
      <c r="F175" s="1027"/>
      <c r="G175" s="1027"/>
      <c r="H175" s="1027"/>
      <c r="I175" s="1032"/>
      <c r="J175" s="1339"/>
    </row>
    <row r="176" spans="2:10" ht="15">
      <c r="B176" s="1029" t="s">
        <v>1109</v>
      </c>
      <c r="C176" s="1030"/>
      <c r="D176" s="1370"/>
      <c r="E176" s="1284"/>
      <c r="F176" s="1027"/>
      <c r="G176" s="1027"/>
      <c r="H176" s="1027"/>
      <c r="I176" s="1032"/>
      <c r="J176" s="1339"/>
    </row>
    <row r="177" spans="2:10" ht="15">
      <c r="B177" s="1026" t="s">
        <v>1380</v>
      </c>
      <c r="C177" s="1027"/>
      <c r="D177" s="1370">
        <v>119.4</v>
      </c>
      <c r="E177" s="1284" t="s">
        <v>1101</v>
      </c>
      <c r="F177" s="1031"/>
      <c r="G177" s="1031"/>
      <c r="H177" s="1031"/>
      <c r="I177" s="1032"/>
      <c r="J177" s="1339"/>
    </row>
    <row r="178" spans="2:10" ht="15.75" thickBot="1">
      <c r="B178" s="1033" t="s">
        <v>1381</v>
      </c>
      <c r="C178" s="1034"/>
      <c r="D178" s="1374">
        <v>12.1</v>
      </c>
      <c r="E178" s="1286" t="s">
        <v>1101</v>
      </c>
      <c r="F178" s="1035"/>
      <c r="G178" s="1035"/>
      <c r="H178" s="1035"/>
      <c r="I178" s="1036"/>
      <c r="J178" s="1339"/>
    </row>
    <row r="179" spans="2:10">
      <c r="B179" s="530" t="str">
        <f>CONCATENATE("Source: ",Referencer!$B$48)</f>
        <v>Source: 42, FORCE, Danish Energy Agency, 2013, Technology data for advanced bioenergy fuels.</v>
      </c>
    </row>
    <row r="180" spans="2:10" ht="13.5" thickBot="1"/>
    <row r="181" spans="2:10" ht="13.5" thickBot="1">
      <c r="B181" s="961" t="s">
        <v>1382</v>
      </c>
      <c r="C181" s="962"/>
      <c r="D181" s="963"/>
    </row>
    <row r="182" spans="2:10" ht="13.5" thickBot="1">
      <c r="B182" s="1045" t="s">
        <v>1353</v>
      </c>
      <c r="C182" s="1046" t="s">
        <v>1152</v>
      </c>
      <c r="D182" s="1047" t="s">
        <v>1153</v>
      </c>
    </row>
    <row r="183" spans="2:10">
      <c r="B183" s="1048" t="s">
        <v>1333</v>
      </c>
      <c r="C183" s="1376">
        <v>100</v>
      </c>
      <c r="D183" s="1049"/>
    </row>
    <row r="184" spans="2:10">
      <c r="B184" s="1050" t="s">
        <v>1383</v>
      </c>
      <c r="C184" s="1051">
        <f>D163/D161*100</f>
        <v>18.354430379746834</v>
      </c>
      <c r="D184" s="1052"/>
    </row>
    <row r="185" spans="2:10">
      <c r="B185" s="1050" t="s">
        <v>1384</v>
      </c>
      <c r="C185" s="1051">
        <f>D165/D161*100</f>
        <v>5.4430379746835431</v>
      </c>
      <c r="D185" s="1052"/>
    </row>
    <row r="186" spans="2:10">
      <c r="B186" s="1050" t="s">
        <v>951</v>
      </c>
      <c r="C186" s="1051">
        <f>D168/D161*100</f>
        <v>5.3164556962025316</v>
      </c>
      <c r="D186" s="1052"/>
    </row>
    <row r="187" spans="2:10">
      <c r="B187" s="1050" t="s">
        <v>1385</v>
      </c>
      <c r="C187" s="1051"/>
      <c r="D187" s="1052">
        <f>1/D161*100</f>
        <v>63.291139240506325</v>
      </c>
    </row>
    <row r="188" spans="2:10">
      <c r="B188" s="1050" t="s">
        <v>1355</v>
      </c>
      <c r="C188" s="1051"/>
      <c r="D188" s="1052">
        <f>D169/D161*100</f>
        <v>23.417721518987342</v>
      </c>
    </row>
    <row r="189" spans="2:10" ht="13.5" thickBot="1">
      <c r="B189" s="1053" t="s">
        <v>1155</v>
      </c>
      <c r="C189" s="1054"/>
      <c r="D189" s="1055">
        <f>(100-D173)*SUM(C183:C186)/100</f>
        <v>42.607594936708857</v>
      </c>
    </row>
    <row r="190" spans="2:10">
      <c r="B190" s="530" t="str">
        <f>CONCATENATE("Source: ",Referencer!$B$48)</f>
        <v>Source: 42, FORCE, Danish Energy Agency, 2013, Technology data for advanced bioenergy fuels.</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Supplementary!$B$238:$B$241</xm:f>
          </x14:formula1>
          <xm:sqref>C19</xm:sqref>
        </x14:dataValidation>
      </x14:dataValidation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tabColor rgb="FF00B0F0"/>
  </sheetPr>
  <dimension ref="A1:S189"/>
  <sheetViews>
    <sheetView topLeftCell="A56" zoomScale="80" zoomScaleNormal="80" workbookViewId="0">
      <selection activeCell="D105" sqref="D105:G105"/>
    </sheetView>
  </sheetViews>
  <sheetFormatPr defaultRowHeight="12.75"/>
  <cols>
    <col min="1" max="1" width="3.28515625" style="530" customWidth="1"/>
    <col min="2" max="2" width="36" style="530" customWidth="1"/>
    <col min="3" max="3" width="16.5703125" style="530" customWidth="1"/>
    <col min="4" max="8" width="15.7109375" style="530" customWidth="1"/>
    <col min="9" max="9" width="7.28515625" style="530" customWidth="1"/>
    <col min="10" max="10" width="12.7109375" style="530" customWidth="1"/>
    <col min="11" max="14" width="9.140625" style="530"/>
    <col min="15" max="17" width="9.28515625" style="530" bestFit="1" customWidth="1"/>
    <col min="18" max="19" width="9.42578125" style="530" bestFit="1" customWidth="1"/>
    <col min="20" max="16384" width="9.140625" style="530"/>
  </cols>
  <sheetData>
    <row r="1" spans="1:19" s="465" customFormat="1" ht="21">
      <c r="B1" s="465" t="str">
        <f>B155</f>
        <v>Diesel by BTL technology with H2 addition</v>
      </c>
      <c r="Q1" s="467">
        <f ca="1">'Log2015'!M1</f>
        <v>-8.0112614142160741</v>
      </c>
      <c r="R1" s="468">
        <f ca="1">'Log2015'!N1</f>
        <v>-160807.124977848</v>
      </c>
    </row>
    <row r="2" spans="1:19">
      <c r="B2" s="530" t="s">
        <v>1386</v>
      </c>
      <c r="Q2" s="958">
        <f ca="1">Q1</f>
        <v>-8.0112614142160741</v>
      </c>
      <c r="R2" s="958">
        <f ca="1">R1</f>
        <v>-160807.124977848</v>
      </c>
      <c r="S2" s="959">
        <f>S1</f>
        <v>0</v>
      </c>
    </row>
    <row r="3" spans="1:19">
      <c r="A3" s="530" t="s">
        <v>1078</v>
      </c>
    </row>
    <row r="4" spans="1:19">
      <c r="B4" s="960" t="s">
        <v>81</v>
      </c>
    </row>
    <row r="5" spans="1:19" ht="13.5" thickBot="1"/>
    <row r="6" spans="1:19">
      <c r="B6" s="961" t="s">
        <v>137</v>
      </c>
      <c r="C6" s="962"/>
      <c r="D6" s="962"/>
      <c r="E6" s="962"/>
      <c r="F6" s="962"/>
      <c r="G6" s="962"/>
      <c r="H6" s="962"/>
      <c r="I6" s="962"/>
      <c r="J6" s="962"/>
      <c r="K6" s="962"/>
      <c r="L6" s="962"/>
      <c r="M6" s="962"/>
      <c r="N6" s="963"/>
    </row>
    <row r="7" spans="1:19">
      <c r="B7" s="964"/>
      <c r="C7" s="555"/>
      <c r="D7" s="555"/>
      <c r="E7" s="555"/>
      <c r="F7" s="555"/>
      <c r="G7" s="555"/>
      <c r="H7" s="555"/>
      <c r="I7" s="555"/>
      <c r="J7" s="555"/>
      <c r="K7" s="555"/>
      <c r="L7" s="555"/>
      <c r="M7" s="555"/>
      <c r="N7" s="965"/>
    </row>
    <row r="8" spans="1:19">
      <c r="B8" s="964"/>
      <c r="C8" s="555"/>
      <c r="D8" s="555"/>
      <c r="E8" s="555"/>
      <c r="F8" s="555"/>
      <c r="G8" s="555"/>
      <c r="H8" s="555"/>
      <c r="I8" s="555"/>
      <c r="J8" s="555"/>
      <c r="K8" s="555"/>
      <c r="L8" s="555"/>
      <c r="M8" s="555"/>
      <c r="N8" s="965"/>
    </row>
    <row r="9" spans="1:19">
      <c r="B9" s="964"/>
      <c r="C9" s="555"/>
      <c r="D9" s="555"/>
      <c r="E9" s="555"/>
      <c r="F9" s="555"/>
      <c r="G9" s="555"/>
      <c r="H9" s="555"/>
      <c r="I9" s="555"/>
      <c r="J9" s="555"/>
      <c r="K9" s="555"/>
      <c r="L9" s="555"/>
      <c r="M9" s="555"/>
      <c r="N9" s="965"/>
    </row>
    <row r="10" spans="1:19">
      <c r="B10" s="964"/>
      <c r="C10" s="555"/>
      <c r="D10" s="555"/>
      <c r="E10" s="555"/>
      <c r="F10" s="555"/>
      <c r="G10" s="555"/>
      <c r="H10" s="555"/>
      <c r="I10" s="555"/>
      <c r="J10" s="555"/>
      <c r="K10" s="555"/>
      <c r="L10" s="555"/>
      <c r="M10" s="555"/>
      <c r="N10" s="965"/>
    </row>
    <row r="11" spans="1:19">
      <c r="B11" s="964" t="s">
        <v>138</v>
      </c>
      <c r="C11" s="1056" t="s">
        <v>1333</v>
      </c>
      <c r="D11" s="555"/>
      <c r="E11" s="555"/>
      <c r="F11" s="555"/>
      <c r="G11" s="555"/>
      <c r="H11" s="555"/>
      <c r="I11" s="555"/>
      <c r="J11" s="555"/>
      <c r="K11" s="555"/>
      <c r="L11" s="555"/>
      <c r="M11" s="555"/>
      <c r="N11" s="965"/>
    </row>
    <row r="12" spans="1:19">
      <c r="B12" s="964"/>
      <c r="C12" s="555"/>
      <c r="D12" s="555"/>
      <c r="E12" s="555"/>
      <c r="F12" s="555"/>
      <c r="G12" s="555"/>
      <c r="H12" s="555"/>
      <c r="I12" s="555"/>
      <c r="J12" s="555"/>
      <c r="K12" s="555"/>
      <c r="L12" s="555"/>
      <c r="M12" s="555"/>
      <c r="N12" s="965"/>
    </row>
    <row r="13" spans="1:19">
      <c r="B13" s="964" t="s">
        <v>140</v>
      </c>
      <c r="C13" s="1057" t="s">
        <v>2</v>
      </c>
      <c r="D13" s="555"/>
      <c r="E13" s="555"/>
      <c r="F13" s="555"/>
      <c r="G13" s="555"/>
      <c r="H13" s="555"/>
      <c r="I13" s="555"/>
      <c r="J13" s="555"/>
      <c r="K13" s="555"/>
      <c r="L13" s="555"/>
      <c r="M13" s="555"/>
      <c r="N13" s="965"/>
    </row>
    <row r="14" spans="1:19">
      <c r="B14" s="964"/>
      <c r="C14" s="555"/>
      <c r="D14" s="555"/>
      <c r="E14" s="555"/>
      <c r="F14" s="555"/>
      <c r="G14" s="555"/>
      <c r="H14" s="555"/>
      <c r="I14" s="555"/>
      <c r="J14" s="555"/>
      <c r="K14" s="555"/>
      <c r="L14" s="555"/>
      <c r="M14" s="555"/>
      <c r="N14" s="965"/>
    </row>
    <row r="15" spans="1:19">
      <c r="B15" s="964" t="s">
        <v>141</v>
      </c>
      <c r="C15" s="555"/>
      <c r="D15" s="555"/>
      <c r="E15" s="555"/>
      <c r="F15" s="555"/>
      <c r="G15" s="555"/>
      <c r="H15" s="555"/>
      <c r="I15" s="555"/>
      <c r="J15" s="555"/>
      <c r="K15" s="555"/>
      <c r="L15" s="555"/>
      <c r="M15" s="555"/>
      <c r="N15" s="965"/>
    </row>
    <row r="16" spans="1:19">
      <c r="B16" s="964"/>
      <c r="C16" s="555"/>
      <c r="D16" s="555"/>
      <c r="E16" s="555"/>
      <c r="F16" s="555"/>
      <c r="G16" s="555"/>
      <c r="H16" s="555"/>
      <c r="I16" s="555"/>
      <c r="J16" s="555"/>
      <c r="K16" s="555"/>
      <c r="L16" s="555"/>
      <c r="M16" s="555"/>
      <c r="N16" s="965"/>
    </row>
    <row r="17" spans="2:14">
      <c r="B17" s="964" t="s">
        <v>142</v>
      </c>
      <c r="C17" s="555"/>
      <c r="D17" s="555"/>
      <c r="E17" s="555"/>
      <c r="F17" s="555"/>
      <c r="G17" s="555"/>
      <c r="H17" s="555"/>
      <c r="I17" s="555"/>
      <c r="J17" s="555"/>
      <c r="K17" s="555"/>
      <c r="L17" s="555"/>
      <c r="M17" s="555"/>
      <c r="N17" s="965"/>
    </row>
    <row r="18" spans="2:14">
      <c r="B18" s="964"/>
      <c r="C18" s="555"/>
      <c r="D18" s="555"/>
      <c r="E18" s="555"/>
      <c r="F18" s="555"/>
      <c r="G18" s="555"/>
      <c r="H18" s="555"/>
      <c r="I18" s="555"/>
      <c r="J18" s="555"/>
      <c r="K18" s="555"/>
      <c r="L18" s="555"/>
      <c r="M18" s="555"/>
      <c r="N18" s="965"/>
    </row>
    <row r="19" spans="2:14">
      <c r="B19" s="964" t="s">
        <v>2131</v>
      </c>
      <c r="C19" s="1693" t="s">
        <v>2121</v>
      </c>
      <c r="D19" s="555"/>
      <c r="E19" s="555"/>
      <c r="F19" s="555"/>
      <c r="G19" s="555"/>
      <c r="H19" s="555"/>
      <c r="I19" s="555"/>
      <c r="J19" s="555"/>
      <c r="K19" s="555"/>
      <c r="L19" s="555"/>
      <c r="M19" s="555"/>
      <c r="N19" s="965"/>
    </row>
    <row r="20" spans="2:14">
      <c r="B20" s="964"/>
      <c r="C20" s="555"/>
      <c r="D20" s="555"/>
      <c r="E20" s="555"/>
      <c r="F20" s="555"/>
      <c r="G20" s="555"/>
      <c r="H20" s="555"/>
      <c r="I20" s="555"/>
      <c r="J20" s="555"/>
      <c r="K20" s="555"/>
      <c r="L20" s="555"/>
      <c r="M20" s="555"/>
      <c r="N20" s="965"/>
    </row>
    <row r="21" spans="2:14">
      <c r="B21" s="964"/>
      <c r="C21" s="555"/>
      <c r="D21" s="555"/>
      <c r="E21" s="555"/>
      <c r="F21" s="555"/>
      <c r="G21" s="555"/>
      <c r="H21" s="555"/>
      <c r="I21" s="555"/>
      <c r="J21" s="555"/>
      <c r="K21" s="555"/>
      <c r="L21" s="555"/>
      <c r="M21" s="555"/>
      <c r="N21" s="965"/>
    </row>
    <row r="22" spans="2:14">
      <c r="B22" s="964" t="s">
        <v>143</v>
      </c>
      <c r="C22" s="555"/>
      <c r="D22" s="555"/>
      <c r="E22" s="555"/>
      <c r="F22" s="555"/>
      <c r="G22" s="555"/>
      <c r="H22" s="555"/>
      <c r="I22" s="555"/>
      <c r="J22" s="555"/>
      <c r="K22" s="555"/>
      <c r="L22" s="555"/>
      <c r="M22" s="555"/>
      <c r="N22" s="965"/>
    </row>
    <row r="23" spans="2:14">
      <c r="B23" s="964"/>
      <c r="C23" s="555"/>
      <c r="D23" s="555"/>
      <c r="E23" s="555"/>
      <c r="F23" s="555"/>
      <c r="G23" s="555"/>
      <c r="H23" s="555"/>
      <c r="I23" s="555"/>
      <c r="J23" s="555"/>
      <c r="K23" s="555"/>
      <c r="L23" s="555"/>
      <c r="M23" s="555"/>
      <c r="N23" s="965"/>
    </row>
    <row r="24" spans="2:14" ht="13.5" thickBot="1">
      <c r="B24" s="967"/>
      <c r="C24" s="968"/>
      <c r="D24" s="968"/>
      <c r="E24" s="968"/>
      <c r="F24" s="968"/>
      <c r="G24" s="968"/>
      <c r="H24" s="968"/>
      <c r="I24" s="968"/>
      <c r="J24" s="968"/>
      <c r="K24" s="968"/>
      <c r="L24" s="968"/>
      <c r="M24" s="968"/>
      <c r="N24" s="969"/>
    </row>
    <row r="25" spans="2:14">
      <c r="F25" s="529"/>
      <c r="G25" s="529"/>
      <c r="H25" s="529"/>
    </row>
    <row r="26" spans="2:14">
      <c r="B26" s="960" t="s">
        <v>144</v>
      </c>
    </row>
    <row r="27" spans="2:14" ht="13.5" thickBot="1"/>
    <row r="28" spans="2:14">
      <c r="B28" s="961"/>
      <c r="C28" s="970"/>
      <c r="D28" s="962"/>
      <c r="E28" s="962"/>
      <c r="F28" s="962"/>
      <c r="G28" s="962"/>
      <c r="H28" s="962"/>
      <c r="I28" s="962"/>
      <c r="J28" s="963"/>
    </row>
    <row r="29" spans="2:14">
      <c r="B29" s="971"/>
      <c r="C29" s="972" t="s">
        <v>70</v>
      </c>
      <c r="D29" s="973">
        <v>2015</v>
      </c>
      <c r="E29" s="973">
        <v>2020</v>
      </c>
      <c r="F29" s="973">
        <v>2035</v>
      </c>
      <c r="G29" s="973">
        <v>2050</v>
      </c>
      <c r="H29" s="973" t="s">
        <v>978</v>
      </c>
      <c r="I29" s="556" t="s">
        <v>145</v>
      </c>
      <c r="J29" s="974" t="s">
        <v>146</v>
      </c>
    </row>
    <row r="30" spans="2:14">
      <c r="B30" s="975" t="s">
        <v>147</v>
      </c>
      <c r="C30" s="976"/>
      <c r="D30" s="977"/>
      <c r="E30" s="977"/>
      <c r="F30" s="977"/>
      <c r="G30" s="977"/>
      <c r="H30" s="977"/>
      <c r="I30" s="555"/>
      <c r="J30" s="965"/>
    </row>
    <row r="31" spans="2:14">
      <c r="B31" s="964" t="s">
        <v>148</v>
      </c>
      <c r="C31" s="976" t="s">
        <v>1387</v>
      </c>
      <c r="D31" s="1381">
        <f>1/D161</f>
        <v>0.18181818181818182</v>
      </c>
      <c r="E31" s="1381">
        <f>$D31</f>
        <v>0.18181818181818182</v>
      </c>
      <c r="F31" s="1381">
        <f>$D31</f>
        <v>0.18181818181818182</v>
      </c>
      <c r="G31" s="1381">
        <f>$D31</f>
        <v>0.18181818181818182</v>
      </c>
      <c r="H31" s="1333"/>
      <c r="I31" s="555"/>
      <c r="J31" s="965"/>
    </row>
    <row r="32" spans="2:14">
      <c r="B32" s="964" t="s">
        <v>67</v>
      </c>
      <c r="C32" s="976" t="s">
        <v>1223</v>
      </c>
      <c r="D32" s="979">
        <f>D159/D158</f>
        <v>44.001336005344022</v>
      </c>
      <c r="E32" s="978">
        <f t="shared" ref="E32:G34" si="0">$D32</f>
        <v>44.001336005344022</v>
      </c>
      <c r="F32" s="978">
        <f t="shared" si="0"/>
        <v>44.001336005344022</v>
      </c>
      <c r="G32" s="978">
        <f t="shared" si="0"/>
        <v>44.001336005344022</v>
      </c>
      <c r="H32" s="978"/>
      <c r="I32" s="555"/>
      <c r="J32" s="965"/>
    </row>
    <row r="33" spans="2:10">
      <c r="B33" s="964" t="s">
        <v>149</v>
      </c>
      <c r="C33" s="976" t="s">
        <v>1224</v>
      </c>
      <c r="D33" s="1396">
        <f>D158</f>
        <v>149700</v>
      </c>
      <c r="E33" s="1396">
        <f t="shared" si="0"/>
        <v>149700</v>
      </c>
      <c r="F33" s="1396">
        <f t="shared" si="0"/>
        <v>149700</v>
      </c>
      <c r="G33" s="1396">
        <f t="shared" si="0"/>
        <v>149700</v>
      </c>
      <c r="H33" s="1397"/>
      <c r="I33" s="555"/>
      <c r="J33" s="965"/>
    </row>
    <row r="34" spans="2:10">
      <c r="B34" s="964" t="s">
        <v>150</v>
      </c>
      <c r="C34" s="976" t="s">
        <v>34</v>
      </c>
      <c r="D34" s="1360">
        <f>20</f>
        <v>20</v>
      </c>
      <c r="E34" s="1360">
        <f t="shared" si="0"/>
        <v>20</v>
      </c>
      <c r="F34" s="1360">
        <f t="shared" si="0"/>
        <v>20</v>
      </c>
      <c r="G34" s="1360">
        <f t="shared" si="0"/>
        <v>20</v>
      </c>
      <c r="H34" s="1332"/>
      <c r="I34" s="555"/>
      <c r="J34" s="965" t="s">
        <v>1087</v>
      </c>
    </row>
    <row r="35" spans="2:10">
      <c r="B35" s="964"/>
      <c r="C35" s="981"/>
      <c r="D35" s="982"/>
      <c r="E35" s="983"/>
      <c r="F35" s="983"/>
      <c r="G35" s="983"/>
      <c r="H35" s="983"/>
      <c r="I35" s="555"/>
      <c r="J35" s="965"/>
    </row>
    <row r="36" spans="2:10">
      <c r="B36" s="975" t="s">
        <v>151</v>
      </c>
      <c r="C36" s="981"/>
      <c r="D36" s="982"/>
      <c r="E36" s="983"/>
      <c r="F36" s="983"/>
      <c r="G36" s="983"/>
      <c r="H36" s="983"/>
      <c r="I36" s="555"/>
      <c r="J36" s="965"/>
    </row>
    <row r="37" spans="2:10">
      <c r="B37" s="964" t="str">
        <f>ProcessEnergy!B35</f>
        <v xml:space="preserve">Green diesel </v>
      </c>
      <c r="C37" s="976" t="s">
        <v>1226</v>
      </c>
      <c r="D37" s="987"/>
      <c r="E37" s="984"/>
      <c r="F37" s="984"/>
      <c r="G37" s="984"/>
      <c r="H37" s="984"/>
      <c r="I37" s="555"/>
      <c r="J37" s="965"/>
    </row>
    <row r="38" spans="2:10">
      <c r="B38" s="985" t="str">
        <f>ProcessEnergy!B36</f>
        <v>Green gasoline</v>
      </c>
      <c r="C38" s="976"/>
      <c r="D38" s="987">
        <f>D186%</f>
        <v>0.23333333333333331</v>
      </c>
      <c r="E38" s="2309">
        <f t="shared" ref="E38:G39" si="1">D38</f>
        <v>0.23333333333333331</v>
      </c>
      <c r="F38" s="2309">
        <f t="shared" si="1"/>
        <v>0.23333333333333331</v>
      </c>
      <c r="G38" s="2309">
        <f t="shared" si="1"/>
        <v>0.23333333333333331</v>
      </c>
      <c r="H38" s="984"/>
      <c r="I38" s="555"/>
      <c r="J38" s="965" t="s">
        <v>945</v>
      </c>
    </row>
    <row r="39" spans="2:10">
      <c r="B39" s="985" t="str">
        <f>ProcessEnergy!B37</f>
        <v>Electricity - balancing</v>
      </c>
      <c r="C39" s="976" t="s">
        <v>1226</v>
      </c>
      <c r="D39" s="987">
        <f>D187%</f>
        <v>3.3333333333333333E-2</v>
      </c>
      <c r="E39" s="2309">
        <f t="shared" si="1"/>
        <v>3.3333333333333333E-2</v>
      </c>
      <c r="F39" s="2309">
        <f t="shared" si="1"/>
        <v>3.3333333333333333E-2</v>
      </c>
      <c r="G39" s="2309">
        <f t="shared" si="1"/>
        <v>3.3333333333333333E-2</v>
      </c>
      <c r="H39" s="984"/>
      <c r="I39" s="555"/>
      <c r="J39" s="965"/>
    </row>
    <row r="40" spans="2:10">
      <c r="B40" s="985" t="str">
        <f>ProcessEnergy!B38</f>
        <v>Electricity  - continous</v>
      </c>
      <c r="C40" s="976"/>
      <c r="D40" s="987"/>
      <c r="E40" s="984"/>
      <c r="F40" s="984"/>
      <c r="G40" s="984"/>
      <c r="H40" s="984"/>
      <c r="I40" s="555"/>
      <c r="J40" s="965"/>
    </row>
    <row r="41" spans="2:10">
      <c r="B41" s="985" t="str">
        <f>ProcessEnergy!B39</f>
        <v>Elec/heat fuel</v>
      </c>
      <c r="C41" s="976"/>
      <c r="D41" s="987"/>
      <c r="E41" s="984"/>
      <c r="F41" s="984"/>
      <c r="G41" s="984"/>
      <c r="H41" s="984"/>
      <c r="I41" s="555"/>
      <c r="J41" s="965"/>
    </row>
    <row r="42" spans="2:10">
      <c r="B42" s="985" t="str">
        <f>ProcessEnergy!B40</f>
        <v>Biogas (100% CH4)</v>
      </c>
      <c r="C42" s="976"/>
      <c r="D42" s="987"/>
      <c r="E42" s="984"/>
      <c r="F42" s="984"/>
      <c r="G42" s="984"/>
      <c r="H42" s="984"/>
      <c r="I42" s="555"/>
      <c r="J42" s="965"/>
    </row>
    <row r="43" spans="2:10">
      <c r="B43" s="985" t="str">
        <f>ProcessEnergy!B41</f>
        <v>District heating</v>
      </c>
      <c r="C43" s="976" t="s">
        <v>1226</v>
      </c>
      <c r="D43" s="987">
        <f>C151*C152</f>
        <v>0.24895999999999996</v>
      </c>
      <c r="E43" s="2309">
        <f>$D43</f>
        <v>0.24895999999999996</v>
      </c>
      <c r="F43" s="2309">
        <f>$D43</f>
        <v>0.24895999999999996</v>
      </c>
      <c r="G43" s="2309">
        <f>$D43</f>
        <v>0.24895999999999996</v>
      </c>
      <c r="H43" s="978"/>
      <c r="I43" s="555"/>
      <c r="J43" s="965"/>
    </row>
    <row r="44" spans="2:10">
      <c r="B44" s="985" t="str">
        <f>ProcessEnergy!B42</f>
        <v>&lt;empty&gt;</v>
      </c>
      <c r="C44" s="976"/>
      <c r="D44" s="987"/>
      <c r="E44" s="2309"/>
      <c r="F44" s="2309"/>
      <c r="G44" s="2309"/>
      <c r="H44" s="978"/>
      <c r="I44" s="555"/>
      <c r="J44" s="965"/>
    </row>
    <row r="45" spans="2:10">
      <c r="B45" s="985" t="str">
        <f>ProcessEnergy!B43</f>
        <v>&lt;empty&gt;</v>
      </c>
      <c r="C45" s="976"/>
      <c r="D45" s="987"/>
      <c r="E45" s="2309"/>
      <c r="F45" s="2309"/>
      <c r="G45" s="2309"/>
      <c r="H45" s="978"/>
      <c r="I45" s="555"/>
      <c r="J45" s="965"/>
    </row>
    <row r="46" spans="2:10">
      <c r="B46" s="985" t="str">
        <f>ProcessEnergy!B44</f>
        <v>&lt;empty&gt;</v>
      </c>
      <c r="C46" s="976"/>
      <c r="D46" s="987"/>
      <c r="E46" s="2309"/>
      <c r="F46" s="2309"/>
      <c r="G46" s="2309"/>
      <c r="H46" s="978"/>
      <c r="I46" s="555"/>
      <c r="J46" s="965"/>
    </row>
    <row r="47" spans="2:10">
      <c r="B47" s="985" t="str">
        <f>ProcessEnergy!B45</f>
        <v>&lt;empty&gt;</v>
      </c>
      <c r="C47" s="976"/>
      <c r="D47" s="987"/>
      <c r="E47" s="2309"/>
      <c r="F47" s="2309"/>
      <c r="G47" s="2309"/>
      <c r="H47" s="978"/>
      <c r="I47" s="555"/>
      <c r="J47" s="965"/>
    </row>
    <row r="48" spans="2:10">
      <c r="B48" s="985" t="str">
        <f>ProcessEnergy!B46</f>
        <v>&lt;empty&gt;</v>
      </c>
      <c r="C48" s="976"/>
      <c r="D48" s="987"/>
      <c r="E48" s="2309"/>
      <c r="F48" s="2309"/>
      <c r="G48" s="2309"/>
      <c r="H48" s="978"/>
      <c r="I48" s="555"/>
      <c r="J48" s="965"/>
    </row>
    <row r="49" spans="2:10">
      <c r="B49" s="985" t="str">
        <f>ProcessEnergy!B47</f>
        <v>&lt;empty&gt;</v>
      </c>
      <c r="C49" s="976"/>
      <c r="D49" s="987"/>
      <c r="E49" s="2309"/>
      <c r="F49" s="2309"/>
      <c r="G49" s="2309"/>
      <c r="H49" s="978"/>
      <c r="I49" s="555"/>
      <c r="J49" s="965"/>
    </row>
    <row r="50" spans="2:10">
      <c r="B50" s="985" t="str">
        <f>ProcessEnergy!B48</f>
        <v>Glycerol</v>
      </c>
      <c r="C50" s="976"/>
      <c r="D50" s="987"/>
      <c r="E50" s="2309"/>
      <c r="F50" s="2309"/>
      <c r="G50" s="2309"/>
      <c r="H50" s="978"/>
      <c r="I50" s="555"/>
      <c r="J50" s="965"/>
    </row>
    <row r="51" spans="2:10">
      <c r="B51" s="985" t="str">
        <f>ProcessEnergy!B49</f>
        <v>&lt;empty&gt;</v>
      </c>
      <c r="C51" s="976"/>
      <c r="D51" s="987"/>
      <c r="E51" s="2309"/>
      <c r="F51" s="2309"/>
      <c r="G51" s="2309"/>
      <c r="H51" s="978"/>
      <c r="I51" s="555"/>
      <c r="J51" s="965"/>
    </row>
    <row r="52" spans="2:10">
      <c r="B52" s="985" t="str">
        <f>ProcessEnergy!B51</f>
        <v>Fodder (wheat like)</v>
      </c>
      <c r="C52" s="976"/>
      <c r="D52" s="987"/>
      <c r="E52" s="984"/>
      <c r="F52" s="984"/>
      <c r="G52" s="984"/>
      <c r="H52" s="984"/>
      <c r="I52" s="555"/>
      <c r="J52" s="965"/>
    </row>
    <row r="53" spans="2:10">
      <c r="B53" s="985" t="str">
        <f>ProcessEnergy!B52</f>
        <v>Rape seed cake</v>
      </c>
      <c r="C53" s="976"/>
      <c r="D53" s="987"/>
      <c r="E53" s="984"/>
      <c r="F53" s="984"/>
      <c r="G53" s="984"/>
      <c r="H53" s="984"/>
      <c r="I53" s="555"/>
      <c r="J53" s="965"/>
    </row>
    <row r="54" spans="2:10">
      <c r="B54" s="985" t="str">
        <f>ProcessEnergy!B53</f>
        <v>&lt;empty&gt;</v>
      </c>
      <c r="C54" s="976"/>
      <c r="D54" s="987"/>
      <c r="E54" s="984"/>
      <c r="F54" s="984"/>
      <c r="G54" s="984"/>
      <c r="H54" s="984"/>
      <c r="I54" s="555"/>
      <c r="J54" s="965"/>
    </row>
    <row r="55" spans="2:10">
      <c r="B55" s="985" t="str">
        <f>ProcessEnergy!B54</f>
        <v>DDGS</v>
      </c>
      <c r="C55" s="976"/>
      <c r="D55" s="987"/>
      <c r="E55" s="984"/>
      <c r="F55" s="984"/>
      <c r="G55" s="984"/>
      <c r="H55" s="984"/>
      <c r="I55" s="555"/>
      <c r="J55" s="965"/>
    </row>
    <row r="56" spans="2:10">
      <c r="B56" s="964"/>
      <c r="C56" s="976"/>
      <c r="D56" s="984"/>
      <c r="E56" s="984"/>
      <c r="F56" s="984"/>
      <c r="G56" s="984"/>
      <c r="H56" s="984"/>
      <c r="I56" s="555"/>
      <c r="J56" s="965"/>
    </row>
    <row r="57" spans="2:10">
      <c r="B57" s="975" t="s">
        <v>873</v>
      </c>
      <c r="C57" s="976"/>
      <c r="D57" s="984"/>
      <c r="E57" s="984"/>
      <c r="F57" s="984"/>
      <c r="G57" s="984"/>
      <c r="H57" s="984"/>
      <c r="I57" s="555"/>
      <c r="J57" s="965"/>
    </row>
    <row r="58" spans="2:10">
      <c r="B58" s="964" t="str">
        <f>ProcessEnergy!B5</f>
        <v>EL - peakload</v>
      </c>
      <c r="C58" s="976" t="s">
        <v>877</v>
      </c>
      <c r="D58" s="987"/>
      <c r="E58" s="984"/>
      <c r="F58" s="984"/>
      <c r="G58" s="984"/>
      <c r="H58" s="984"/>
      <c r="I58" s="555"/>
      <c r="J58" s="965"/>
    </row>
    <row r="59" spans="2:10">
      <c r="B59" s="964" t="str">
        <f>ProcessEnergy!B6</f>
        <v>El - baseload</v>
      </c>
      <c r="C59" s="976" t="s">
        <v>877</v>
      </c>
      <c r="D59" s="987"/>
      <c r="E59" s="984"/>
      <c r="F59" s="984"/>
      <c r="G59" s="984"/>
      <c r="H59" s="984"/>
      <c r="I59" s="555"/>
      <c r="J59" s="965"/>
    </row>
    <row r="60" spans="2:10">
      <c r="B60" s="964" t="str">
        <f>ProcessEnergy!B7</f>
        <v xml:space="preserve">Varme </v>
      </c>
      <c r="C60" s="976" t="s">
        <v>877</v>
      </c>
      <c r="D60" s="987"/>
      <c r="E60" s="984"/>
      <c r="F60" s="984"/>
      <c r="G60" s="984"/>
      <c r="H60" s="984"/>
      <c r="I60" s="555"/>
      <c r="J60" s="965"/>
    </row>
    <row r="61" spans="2:10">
      <c r="B61" s="964" t="str">
        <f>ProcessEnergy!B8</f>
        <v>Damp</v>
      </c>
      <c r="C61" s="976" t="s">
        <v>877</v>
      </c>
      <c r="D61" s="987"/>
      <c r="E61" s="984"/>
      <c r="F61" s="984"/>
      <c r="G61" s="984"/>
      <c r="H61" s="984"/>
      <c r="I61" s="555"/>
      <c r="J61" s="965"/>
    </row>
    <row r="62" spans="2:10">
      <c r="B62" s="964" t="str">
        <f>ProcessEnergy!B9</f>
        <v xml:space="preserve">Olie </v>
      </c>
      <c r="C62" s="976" t="s">
        <v>877</v>
      </c>
      <c r="D62" s="987"/>
      <c r="E62" s="984"/>
      <c r="F62" s="984"/>
      <c r="G62" s="984"/>
      <c r="H62" s="984"/>
      <c r="I62" s="555"/>
      <c r="J62" s="965"/>
    </row>
    <row r="63" spans="2:10">
      <c r="B63" s="964" t="str">
        <f>ProcessEnergy!B10</f>
        <v>Kul</v>
      </c>
      <c r="C63" s="976" t="s">
        <v>877</v>
      </c>
      <c r="D63" s="987"/>
      <c r="E63" s="984"/>
      <c r="F63" s="984"/>
      <c r="G63" s="984"/>
      <c r="H63" s="984"/>
      <c r="I63" s="555"/>
      <c r="J63" s="965"/>
    </row>
    <row r="64" spans="2:10">
      <c r="B64" s="964" t="str">
        <f>ProcessEnergy!B11</f>
        <v>Naturgas kedel</v>
      </c>
      <c r="C64" s="976" t="s">
        <v>877</v>
      </c>
      <c r="D64" s="987"/>
      <c r="E64" s="984"/>
      <c r="F64" s="984"/>
      <c r="G64" s="984"/>
      <c r="H64" s="984"/>
      <c r="I64" s="555"/>
      <c r="J64" s="965"/>
    </row>
    <row r="65" spans="2:10">
      <c r="B65" s="964" t="str">
        <f>ProcessEnergy!B12</f>
        <v>Gylle</v>
      </c>
      <c r="C65" s="976" t="s">
        <v>877</v>
      </c>
      <c r="D65" s="987"/>
      <c r="E65" s="984"/>
      <c r="F65" s="984"/>
      <c r="G65" s="984"/>
      <c r="H65" s="984"/>
      <c r="I65" s="555"/>
      <c r="J65" s="965"/>
    </row>
    <row r="66" spans="2:10">
      <c r="B66" s="964" t="str">
        <f>ProcessEnergy!B13</f>
        <v>Affald</v>
      </c>
      <c r="C66" s="976" t="s">
        <v>877</v>
      </c>
      <c r="D66" s="987"/>
      <c r="E66" s="984"/>
      <c r="F66" s="984"/>
      <c r="G66" s="984"/>
      <c r="H66" s="984"/>
      <c r="I66" s="555"/>
      <c r="J66" s="965"/>
    </row>
    <row r="67" spans="2:10">
      <c r="B67" s="964" t="str">
        <f>ProcessEnergy!B14</f>
        <v>Hydrogen</v>
      </c>
      <c r="C67" s="976" t="s">
        <v>1226</v>
      </c>
      <c r="D67" s="987">
        <f>C184%</f>
        <v>0.33333333333333326</v>
      </c>
      <c r="E67" s="984"/>
      <c r="F67" s="984"/>
      <c r="G67" s="984"/>
      <c r="H67" s="984"/>
      <c r="I67" s="555"/>
      <c r="J67" s="965"/>
    </row>
    <row r="68" spans="2:10">
      <c r="B68" s="964" t="str">
        <f>ProcessEnergy!B15</f>
        <v>Biomasse</v>
      </c>
      <c r="C68" s="976" t="s">
        <v>877</v>
      </c>
      <c r="D68" s="987"/>
      <c r="E68" s="984"/>
      <c r="F68" s="984"/>
      <c r="G68" s="984"/>
      <c r="H68" s="984"/>
      <c r="I68" s="555"/>
      <c r="J68" s="965"/>
    </row>
    <row r="69" spans="2:10">
      <c r="B69" s="964" t="str">
        <f>ProcessEnergy!B16</f>
        <v>Methanol</v>
      </c>
      <c r="C69" s="976"/>
      <c r="D69" s="987"/>
      <c r="E69" s="984"/>
      <c r="F69" s="984"/>
      <c r="G69" s="984"/>
      <c r="H69" s="984"/>
      <c r="I69" s="555"/>
      <c r="J69" s="965"/>
    </row>
    <row r="70" spans="2:10">
      <c r="B70" s="964" t="str">
        <f>ProcessEnergy!B17</f>
        <v>&lt;empty&gt;</v>
      </c>
      <c r="C70" s="976"/>
      <c r="D70" s="987"/>
      <c r="E70" s="984"/>
      <c r="F70" s="984"/>
      <c r="G70" s="984"/>
      <c r="H70" s="984"/>
      <c r="I70" s="555"/>
      <c r="J70" s="965"/>
    </row>
    <row r="71" spans="2:10">
      <c r="B71" s="964" t="str">
        <f>ProcessEnergy!B18</f>
        <v>&lt;empty&gt;</v>
      </c>
      <c r="C71" s="976"/>
      <c r="D71" s="987"/>
      <c r="E71" s="984"/>
      <c r="F71" s="984"/>
      <c r="G71" s="984"/>
      <c r="H71" s="984"/>
      <c r="I71" s="555"/>
      <c r="J71" s="965"/>
    </row>
    <row r="72" spans="2:10">
      <c r="B72" s="964" t="str">
        <f>ProcessEnergy!B19</f>
        <v>&lt;empty&gt;</v>
      </c>
      <c r="C72" s="976"/>
      <c r="D72" s="987"/>
      <c r="E72" s="984"/>
      <c r="F72" s="984"/>
      <c r="G72" s="984"/>
      <c r="H72" s="984"/>
      <c r="I72" s="555"/>
      <c r="J72" s="965"/>
    </row>
    <row r="73" spans="2:10">
      <c r="B73" s="964" t="str">
        <f>ProcessEnergy!B20</f>
        <v>&lt;empty&gt;</v>
      </c>
      <c r="C73" s="976"/>
      <c r="D73" s="987"/>
      <c r="E73" s="984"/>
      <c r="F73" s="984"/>
      <c r="G73" s="984"/>
      <c r="H73" s="984"/>
      <c r="I73" s="555"/>
      <c r="J73" s="965"/>
    </row>
    <row r="74" spans="2:10">
      <c r="B74" s="964" t="str">
        <f>ProcessEnergy!B21</f>
        <v>&lt;empty&gt;</v>
      </c>
      <c r="C74" s="976"/>
      <c r="D74" s="987"/>
      <c r="E74" s="984"/>
      <c r="F74" s="984"/>
      <c r="G74" s="984"/>
      <c r="H74" s="984"/>
      <c r="I74" s="555"/>
      <c r="J74" s="965"/>
    </row>
    <row r="75" spans="2:10">
      <c r="B75" s="964" t="str">
        <f>ProcessEnergy!B22</f>
        <v>&lt;empty&gt;</v>
      </c>
      <c r="C75" s="976"/>
      <c r="D75" s="987"/>
      <c r="E75" s="984"/>
      <c r="F75" s="984"/>
      <c r="G75" s="984"/>
      <c r="H75" s="984"/>
      <c r="I75" s="555"/>
      <c r="J75" s="965"/>
    </row>
    <row r="76" spans="2:10">
      <c r="B76" s="964" t="str">
        <f>ProcessEnergy!B23</f>
        <v>&lt;empty&gt;</v>
      </c>
      <c r="C76" s="976"/>
      <c r="D76" s="987"/>
      <c r="E76" s="984"/>
      <c r="F76" s="984"/>
      <c r="G76" s="984"/>
      <c r="H76" s="984"/>
      <c r="I76" s="555"/>
      <c r="J76" s="965"/>
    </row>
    <row r="77" spans="2:10">
      <c r="B77" s="964" t="str">
        <f>ProcessEnergy!B24</f>
        <v>&lt;empty&gt;</v>
      </c>
      <c r="C77" s="976" t="s">
        <v>877</v>
      </c>
      <c r="D77" s="987"/>
      <c r="E77" s="984"/>
      <c r="F77" s="984"/>
      <c r="G77" s="984"/>
      <c r="H77" s="984"/>
      <c r="I77" s="555"/>
      <c r="J77" s="965"/>
    </row>
    <row r="78" spans="2:10">
      <c r="B78" s="964"/>
      <c r="C78" s="976"/>
      <c r="D78" s="987"/>
      <c r="E78" s="984"/>
      <c r="F78" s="984"/>
      <c r="G78" s="984"/>
      <c r="H78" s="984"/>
      <c r="I78" s="555"/>
      <c r="J78" s="965"/>
    </row>
    <row r="79" spans="2:10">
      <c r="B79" s="964"/>
      <c r="C79" s="976"/>
      <c r="D79" s="987"/>
      <c r="E79" s="984"/>
      <c r="F79" s="984"/>
      <c r="G79" s="984"/>
      <c r="H79" s="984"/>
      <c r="I79" s="555"/>
      <c r="J79" s="965"/>
    </row>
    <row r="80" spans="2:10">
      <c r="B80" s="964"/>
      <c r="C80" s="976"/>
      <c r="D80" s="987"/>
      <c r="E80" s="986"/>
      <c r="F80" s="986"/>
      <c r="G80" s="986"/>
      <c r="H80" s="986"/>
      <c r="I80" s="555"/>
      <c r="J80" s="965"/>
    </row>
    <row r="81" spans="1:17">
      <c r="B81" s="975" t="s">
        <v>152</v>
      </c>
      <c r="C81" s="976"/>
      <c r="D81" s="986"/>
      <c r="E81" s="986"/>
      <c r="F81" s="986"/>
      <c r="G81" s="986"/>
      <c r="H81" s="986"/>
      <c r="I81" s="555"/>
      <c r="J81" s="965"/>
    </row>
    <row r="82" spans="1:17">
      <c r="A82" s="530">
        <v>4</v>
      </c>
      <c r="B82" s="964" t="s">
        <v>462</v>
      </c>
      <c r="C82" s="976" t="s">
        <v>725</v>
      </c>
      <c r="D82" s="1633">
        <v>1</v>
      </c>
      <c r="E82" s="978">
        <f t="shared" ref="E82:G88" si="2">$D82</f>
        <v>1</v>
      </c>
      <c r="F82" s="978">
        <f t="shared" si="2"/>
        <v>1</v>
      </c>
      <c r="G82" s="978">
        <f t="shared" si="2"/>
        <v>1</v>
      </c>
      <c r="H82" s="978"/>
      <c r="I82" s="555"/>
      <c r="J82" s="965"/>
    </row>
    <row r="83" spans="1:17">
      <c r="B83" s="964" t="s">
        <v>153</v>
      </c>
      <c r="C83" s="976" t="s">
        <v>725</v>
      </c>
      <c r="D83" s="987">
        <f>D82*SUM(D58:D77)</f>
        <v>0.33333333333333326</v>
      </c>
      <c r="E83" s="978">
        <f t="shared" si="2"/>
        <v>0.33333333333333326</v>
      </c>
      <c r="F83" s="978">
        <f t="shared" si="2"/>
        <v>0.33333333333333326</v>
      </c>
      <c r="G83" s="978">
        <f t="shared" si="2"/>
        <v>0.33333333333333326</v>
      </c>
      <c r="H83" s="1334"/>
      <c r="I83" s="555"/>
      <c r="J83" s="965"/>
    </row>
    <row r="84" spans="1:17">
      <c r="B84" s="964" t="s">
        <v>1092</v>
      </c>
      <c r="C84" s="976" t="s">
        <v>725</v>
      </c>
      <c r="D84" s="987">
        <f>D82*SUM(D37:D54)</f>
        <v>0.51562666666666668</v>
      </c>
      <c r="E84" s="978">
        <f t="shared" si="2"/>
        <v>0.51562666666666668</v>
      </c>
      <c r="F84" s="978">
        <f t="shared" si="2"/>
        <v>0.51562666666666668</v>
      </c>
      <c r="G84" s="978">
        <f t="shared" si="2"/>
        <v>0.51562666666666668</v>
      </c>
      <c r="H84" s="978"/>
      <c r="I84" s="555"/>
      <c r="J84" s="965"/>
    </row>
    <row r="85" spans="1:17">
      <c r="B85" s="964" t="s">
        <v>1240</v>
      </c>
      <c r="C85" s="976" t="s">
        <v>725</v>
      </c>
      <c r="D85" s="987">
        <f>(1/D160)*D82</f>
        <v>0.55555555555555558</v>
      </c>
      <c r="E85" s="978">
        <f t="shared" si="2"/>
        <v>0.55555555555555558</v>
      </c>
      <c r="F85" s="978">
        <f t="shared" si="2"/>
        <v>0.55555555555555558</v>
      </c>
      <c r="G85" s="978">
        <f t="shared" si="2"/>
        <v>0.55555555555555558</v>
      </c>
      <c r="H85" s="978"/>
      <c r="I85" s="555"/>
      <c r="J85" s="965"/>
    </row>
    <row r="86" spans="1:17">
      <c r="B86" s="985" t="s">
        <v>155</v>
      </c>
      <c r="C86" s="976" t="s">
        <v>725</v>
      </c>
      <c r="D86" s="987">
        <f>SUM(D82:D83)-SUM(D84:D85)</f>
        <v>0.262151111111111</v>
      </c>
      <c r="E86" s="978">
        <f t="shared" si="2"/>
        <v>0.262151111111111</v>
      </c>
      <c r="F86" s="978">
        <f t="shared" si="2"/>
        <v>0.262151111111111</v>
      </c>
      <c r="G86" s="978">
        <f t="shared" si="2"/>
        <v>0.262151111111111</v>
      </c>
      <c r="H86" s="978"/>
      <c r="I86" s="555"/>
      <c r="J86" s="965"/>
    </row>
    <row r="87" spans="1:17">
      <c r="B87" s="985" t="s">
        <v>156</v>
      </c>
      <c r="C87" s="988" t="s">
        <v>726</v>
      </c>
      <c r="D87" s="989">
        <f>SUM(D84:D85)/SUM(D82:D83)</f>
        <v>0.80338666666666669</v>
      </c>
      <c r="E87" s="990">
        <f t="shared" si="2"/>
        <v>0.80338666666666669</v>
      </c>
      <c r="F87" s="990">
        <f t="shared" si="2"/>
        <v>0.80338666666666669</v>
      </c>
      <c r="G87" s="990">
        <f t="shared" si="2"/>
        <v>0.80338666666666669</v>
      </c>
      <c r="H87" s="990"/>
      <c r="I87" s="555"/>
      <c r="J87" s="965"/>
    </row>
    <row r="88" spans="1:17">
      <c r="B88" s="964"/>
      <c r="C88" s="976"/>
      <c r="D88" s="989">
        <f>D169/100</f>
        <v>0.8</v>
      </c>
      <c r="E88" s="990">
        <f t="shared" si="2"/>
        <v>0.8</v>
      </c>
      <c r="F88" s="990">
        <f t="shared" si="2"/>
        <v>0.8</v>
      </c>
      <c r="G88" s="990">
        <f t="shared" si="2"/>
        <v>0.8</v>
      </c>
      <c r="H88" s="990"/>
      <c r="I88" s="555"/>
      <c r="J88" s="965"/>
      <c r="N88" s="557"/>
    </row>
    <row r="89" spans="1:17">
      <c r="B89" s="975" t="s">
        <v>2116</v>
      </c>
      <c r="C89" s="976"/>
      <c r="D89" s="983"/>
      <c r="E89" s="983"/>
      <c r="F89" s="983"/>
      <c r="G89" s="983"/>
      <c r="H89" s="983"/>
      <c r="I89" s="555"/>
      <c r="J89" s="965"/>
      <c r="N89" s="991"/>
      <c r="O89" s="991"/>
      <c r="P89" s="991"/>
      <c r="Q89" s="991"/>
    </row>
    <row r="90" spans="1:17">
      <c r="B90" s="964" t="s">
        <v>157</v>
      </c>
      <c r="C90" s="976" t="s">
        <v>61</v>
      </c>
      <c r="D90" s="992">
        <f ca="1">HLOOKUP($H99,Supplementary!$C$44:$AF$46,3,FALSE)*D99*D$110</f>
        <v>4387865992.1895657</v>
      </c>
      <c r="E90" s="992">
        <f ca="1">HLOOKUP($H99,Supplementary!$C$44:$AF$46,3,FALSE)*E99*E$110</f>
        <v>4168472692.5800872</v>
      </c>
      <c r="F90" s="992">
        <f ca="1">HLOOKUP($H99,Supplementary!$C$44:$AF$46,3,FALSE)*F99*F$110</f>
        <v>3762046605.0535283</v>
      </c>
      <c r="G90" s="992">
        <f ca="1">HLOOKUP($H99,Supplementary!$C$44:$AF$46,3,FALSE)*G99*G$110</f>
        <v>3064210472.6073804</v>
      </c>
      <c r="H90" s="555">
        <f t="shared" ref="H90:H96" si="3">priceYear</f>
        <v>2015</v>
      </c>
      <c r="I90" s="555"/>
      <c r="J90" s="965"/>
      <c r="N90" s="991"/>
      <c r="O90" s="991"/>
      <c r="P90" s="991"/>
      <c r="Q90" s="991"/>
    </row>
    <row r="91" spans="1:17">
      <c r="B91" s="964" t="s">
        <v>160</v>
      </c>
      <c r="C91" s="976" t="s">
        <v>464</v>
      </c>
      <c r="D91" s="555">
        <f ca="1">SUM(D92:D96)</f>
        <v>-9.2858920615414462</v>
      </c>
      <c r="E91" s="555">
        <f ca="1">SUM(E92:E96)</f>
        <v>-16.369972813739395</v>
      </c>
      <c r="F91" s="555">
        <f ca="1">SUM(F92:F96)</f>
        <v>-33.557951121572628</v>
      </c>
      <c r="G91" s="555">
        <f ca="1">SUM(G92:G96)</f>
        <v>-45.211983187141641</v>
      </c>
      <c r="H91" s="555">
        <f t="shared" si="3"/>
        <v>2015</v>
      </c>
      <c r="I91" s="555"/>
      <c r="J91" s="965"/>
      <c r="N91" s="991"/>
      <c r="O91" s="991"/>
      <c r="P91" s="991"/>
      <c r="Q91" s="991"/>
    </row>
    <row r="92" spans="1:17">
      <c r="B92" s="995" t="s">
        <v>162</v>
      </c>
      <c r="C92" s="976" t="s">
        <v>464</v>
      </c>
      <c r="D92" s="992">
        <f ca="1">HLOOKUP($H101,Supplementary!$C$44:$AF$46,3,FALSE)*D101*D$110</f>
        <v>53.452819107232507</v>
      </c>
      <c r="E92" s="555">
        <f ca="1">HLOOKUP($H101,Supplementary!$C$44:$AF$46,3,FALSE)*E101*E$110</f>
        <v>50.780178151870878</v>
      </c>
      <c r="F92" s="555">
        <f ca="1">HLOOKUP($H101,Supplementary!$C$44:$AF$46,3,FALSE)*F101*F$110</f>
        <v>45.829110782063466</v>
      </c>
      <c r="G92" s="555">
        <f ca="1">HLOOKUP($H101,Supplementary!$C$44:$AF$46,3,FALSE)*G101*G$110</f>
        <v>37.32809716393308</v>
      </c>
      <c r="H92" s="555">
        <f t="shared" si="3"/>
        <v>2015</v>
      </c>
      <c r="I92" s="555"/>
      <c r="J92" s="965"/>
      <c r="N92" s="991"/>
      <c r="O92" s="991"/>
      <c r="P92" s="991"/>
      <c r="Q92" s="991"/>
    </row>
    <row r="93" spans="1:17">
      <c r="B93" s="995" t="s">
        <v>163</v>
      </c>
      <c r="C93" s="976" t="s">
        <v>464</v>
      </c>
      <c r="D93" s="992">
        <f ca="1">HLOOKUP($H102,Supplementary!$C$44:$AF$46,3,FALSE)*D102*D$110</f>
        <v>19.825603426073567</v>
      </c>
      <c r="E93" s="555">
        <f ca="1">HLOOKUP($H102,Supplementary!$C$44:$AF$46,3,FALSE)*E102*E$110</f>
        <v>18.834323254769888</v>
      </c>
      <c r="F93" s="555">
        <f ca="1">HLOOKUP($H102,Supplementary!$C$44:$AF$46,3,FALSE)*F102*F$110</f>
        <v>16.997976737429823</v>
      </c>
      <c r="G93" s="555">
        <f ca="1">HLOOKUP($H102,Supplementary!$C$44:$AF$46,3,FALSE)*G102*G$110</f>
        <v>13.844958289991199</v>
      </c>
      <c r="H93" s="555">
        <f t="shared" si="3"/>
        <v>2015</v>
      </c>
      <c r="I93" s="555"/>
      <c r="J93" s="965"/>
      <c r="N93" s="991"/>
      <c r="O93" s="991"/>
      <c r="P93" s="991"/>
      <c r="Q93" s="991"/>
    </row>
    <row r="94" spans="1:17">
      <c r="B94" s="995" t="s">
        <v>164</v>
      </c>
      <c r="C94" s="976" t="s">
        <v>464</v>
      </c>
      <c r="D94" s="992">
        <f>HLOOKUP($H103,Supplementary!$C$44:$AF$46,3,FALSE)*D103</f>
        <v>0</v>
      </c>
      <c r="E94" s="555">
        <f>HLOOKUP($H103,Supplementary!$C$44:$AF$46,3,FALSE)*E103</f>
        <v>0</v>
      </c>
      <c r="F94" s="555">
        <f>HLOOKUP($H103,Supplementary!$C$44:$AF$46,3,FALSE)*F103</f>
        <v>0</v>
      </c>
      <c r="G94" s="555">
        <f>HLOOKUP($H103,Supplementary!$C$44:$AF$46,3,FALSE)*G103</f>
        <v>0</v>
      </c>
      <c r="H94" s="555">
        <f t="shared" si="3"/>
        <v>2015</v>
      </c>
      <c r="I94" s="555"/>
      <c r="J94" s="965"/>
      <c r="N94" s="991"/>
      <c r="O94" s="991"/>
      <c r="P94" s="991"/>
      <c r="Q94" s="991"/>
    </row>
    <row r="95" spans="1:17">
      <c r="B95" s="995" t="s">
        <v>264</v>
      </c>
      <c r="C95" s="976" t="s">
        <v>464</v>
      </c>
      <c r="D95" s="992">
        <f ca="1">HLOOKUP($H104,Supplementary!$C$44:$AF$46,3,FALSE)*D104*D$110</f>
        <v>0</v>
      </c>
      <c r="E95" s="555">
        <f ca="1">HLOOKUP($H104,Supplementary!$C$44:$AF$46,3,FALSE)*E104*E$110</f>
        <v>0</v>
      </c>
      <c r="F95" s="555">
        <f ca="1">HLOOKUP($H104,Supplementary!$C$44:$AF$46,3,FALSE)*F104*F$110</f>
        <v>0</v>
      </c>
      <c r="G95" s="555">
        <f ca="1">HLOOKUP($H104,Supplementary!$C$44:$AF$46,3,FALSE)*G104*G$110</f>
        <v>0</v>
      </c>
      <c r="H95" s="555">
        <f t="shared" si="3"/>
        <v>2015</v>
      </c>
      <c r="I95" s="555"/>
      <c r="J95" s="965"/>
      <c r="N95" s="991"/>
      <c r="O95" s="991"/>
      <c r="P95" s="991"/>
      <c r="Q95" s="991"/>
    </row>
    <row r="96" spans="1:17">
      <c r="B96" s="995" t="s">
        <v>165</v>
      </c>
      <c r="C96" s="976" t="s">
        <v>464</v>
      </c>
      <c r="D96" s="992">
        <f ca="1">HLOOKUP($H105,Supplementary!$C$44:$AF$46,3,FALSE)*D105</f>
        <v>-82.564314594847517</v>
      </c>
      <c r="E96" s="555">
        <f ca="1">HLOOKUP($H105,Supplementary!$C$44:$AF$46,3,FALSE)*E105</f>
        <v>-85.984474220380164</v>
      </c>
      <c r="F96" s="555">
        <f ca="1">HLOOKUP($H105,Supplementary!$C$44:$AF$46,3,FALSE)*F105</f>
        <v>-96.385038641065918</v>
      </c>
      <c r="G96" s="555">
        <f ca="1">HLOOKUP($H105,Supplementary!$C$44:$AF$46,3,FALSE)*G105</f>
        <v>-96.385038641065918</v>
      </c>
      <c r="H96" s="555">
        <f t="shared" si="3"/>
        <v>2015</v>
      </c>
      <c r="I96" s="555"/>
      <c r="J96" s="965"/>
      <c r="N96" s="991"/>
      <c r="O96" s="991"/>
      <c r="P96" s="991"/>
      <c r="Q96" s="991"/>
    </row>
    <row r="97" spans="1:17">
      <c r="B97" s="975"/>
      <c r="C97" s="976"/>
      <c r="D97" s="992"/>
      <c r="E97" s="983"/>
      <c r="F97" s="983"/>
      <c r="G97" s="983"/>
      <c r="H97" s="983"/>
      <c r="I97" s="555"/>
      <c r="J97" s="965"/>
      <c r="N97" s="991"/>
      <c r="O97" s="991"/>
      <c r="P97" s="991"/>
      <c r="Q97" s="991"/>
    </row>
    <row r="98" spans="1:17">
      <c r="B98" s="975" t="s">
        <v>2117</v>
      </c>
      <c r="C98" s="976"/>
      <c r="D98" s="992"/>
      <c r="E98" s="983"/>
      <c r="F98" s="983"/>
      <c r="G98" s="983"/>
      <c r="H98" s="983"/>
      <c r="I98" s="555"/>
      <c r="J98" s="965"/>
      <c r="N98" s="991"/>
      <c r="O98" s="991"/>
      <c r="P98" s="991"/>
      <c r="Q98" s="991"/>
    </row>
    <row r="99" spans="1:17">
      <c r="B99" s="964" t="s">
        <v>157</v>
      </c>
      <c r="C99" s="976" t="s">
        <v>61</v>
      </c>
      <c r="D99" s="992">
        <f>D177*dkkPerEUR*D159</f>
        <v>4122144600.0000005</v>
      </c>
      <c r="E99" s="992">
        <f t="shared" ref="E99:G102" si="4">$D99</f>
        <v>4122144600.0000005</v>
      </c>
      <c r="F99" s="992">
        <f t="shared" si="4"/>
        <v>4122144600.0000005</v>
      </c>
      <c r="G99" s="992">
        <f t="shared" si="4"/>
        <v>4122144600.0000005</v>
      </c>
      <c r="H99" s="1668">
        <v>2011</v>
      </c>
      <c r="I99" s="555"/>
      <c r="J99" s="965"/>
      <c r="N99" s="991"/>
      <c r="O99" s="991"/>
      <c r="P99" s="991"/>
      <c r="Q99" s="991"/>
    </row>
    <row r="100" spans="1:17">
      <c r="B100" s="964" t="s">
        <v>160</v>
      </c>
      <c r="C100" s="976" t="s">
        <v>464</v>
      </c>
      <c r="D100" s="993">
        <f ca="1">SUM(D101:D105)</f>
        <v>-8.7235548865440791</v>
      </c>
      <c r="E100" s="978">
        <f t="shared" ca="1" si="4"/>
        <v>-8.7235548865440791</v>
      </c>
      <c r="F100" s="978">
        <f t="shared" ca="1" si="4"/>
        <v>-8.7235548865440791</v>
      </c>
      <c r="G100" s="978">
        <f t="shared" ca="1" si="4"/>
        <v>-8.7235548865440791</v>
      </c>
      <c r="H100" s="1668">
        <v>2011</v>
      </c>
      <c r="I100" s="994"/>
      <c r="J100" s="965"/>
      <c r="N100" s="991"/>
      <c r="O100" s="991"/>
      <c r="P100" s="991"/>
      <c r="Q100" s="991"/>
    </row>
    <row r="101" spans="1:17">
      <c r="B101" s="995" t="s">
        <v>162</v>
      </c>
      <c r="C101" s="976" t="s">
        <v>464</v>
      </c>
      <c r="D101" s="993">
        <f ca="1">PMT(rSØK,D34,-D99)/(D32*D33)</f>
        <v>50.21581106393463</v>
      </c>
      <c r="E101" s="978">
        <f t="shared" ca="1" si="4"/>
        <v>50.21581106393463</v>
      </c>
      <c r="F101" s="978">
        <f t="shared" ca="1" si="4"/>
        <v>50.21581106393463</v>
      </c>
      <c r="G101" s="978">
        <f t="shared" ca="1" si="4"/>
        <v>50.21581106393463</v>
      </c>
      <c r="H101" s="1668">
        <v>2011</v>
      </c>
      <c r="I101" s="994"/>
      <c r="J101" s="965"/>
      <c r="N101" s="991"/>
      <c r="O101" s="991"/>
      <c r="P101" s="991"/>
      <c r="Q101" s="991"/>
    </row>
    <row r="102" spans="1:17">
      <c r="B102" s="995" t="s">
        <v>163</v>
      </c>
      <c r="C102" s="976" t="s">
        <v>464</v>
      </c>
      <c r="D102" s="480">
        <f>IF(D141&gt;0,D177*D141*dkkPerEUR,D178*dkkPerEUR)</f>
        <v>18.625</v>
      </c>
      <c r="E102" s="480">
        <f t="shared" si="4"/>
        <v>18.625</v>
      </c>
      <c r="F102" s="480">
        <f t="shared" si="4"/>
        <v>18.625</v>
      </c>
      <c r="G102" s="480">
        <f t="shared" si="4"/>
        <v>18.625</v>
      </c>
      <c r="H102" s="1668">
        <v>2011</v>
      </c>
      <c r="I102" s="555"/>
      <c r="J102" s="965"/>
      <c r="N102" s="991"/>
      <c r="O102" s="991"/>
      <c r="P102" s="991"/>
      <c r="Q102" s="991"/>
    </row>
    <row r="103" spans="1:17">
      <c r="A103" s="530">
        <v>6</v>
      </c>
      <c r="B103" s="995" t="s">
        <v>164</v>
      </c>
      <c r="C103" s="976" t="s">
        <v>464</v>
      </c>
      <c r="D103" s="997"/>
      <c r="E103" s="997"/>
      <c r="F103" s="997"/>
      <c r="G103" s="997"/>
      <c r="H103" s="1668">
        <v>2011</v>
      </c>
      <c r="I103" s="555"/>
      <c r="J103" s="965"/>
      <c r="N103" s="991"/>
      <c r="O103" s="991"/>
      <c r="P103" s="991"/>
      <c r="Q103" s="991"/>
    </row>
    <row r="104" spans="1:17">
      <c r="B104" s="995" t="s">
        <v>264</v>
      </c>
      <c r="C104" s="976" t="s">
        <v>464</v>
      </c>
      <c r="D104" s="997"/>
      <c r="E104" s="997"/>
      <c r="F104" s="997"/>
      <c r="G104" s="997"/>
      <c r="H104" s="1668">
        <v>2011</v>
      </c>
      <c r="I104" s="555"/>
      <c r="J104" s="965"/>
      <c r="N104" s="991"/>
      <c r="O104" s="991"/>
      <c r="P104" s="991"/>
      <c r="Q104" s="991"/>
    </row>
    <row r="105" spans="1:17">
      <c r="B105" s="995" t="s">
        <v>165</v>
      </c>
      <c r="C105" s="976" t="s">
        <v>464</v>
      </c>
      <c r="D105" s="996">
        <f ca="1">-SUMPRODUCT(D36:D55,ProcessEnergy!M34:M53)/D85</f>
        <v>-77.564365950478717</v>
      </c>
      <c r="E105" s="996">
        <f ca="1">-SUMPRODUCT(E36:E55,ProcessEnergy!N34:N53)/E85</f>
        <v>-80.777406767272737</v>
      </c>
      <c r="F105" s="996">
        <f ca="1">-SUMPRODUCT(F36:F55,ProcessEnergy!O34:O53)/F85</f>
        <v>-90.548131429328393</v>
      </c>
      <c r="G105" s="996">
        <f ca="1">-SUMPRODUCT(G36:G55,ProcessEnergy!P34:P53)/G85</f>
        <v>-90.548131429328393</v>
      </c>
      <c r="H105" s="1668">
        <v>2011</v>
      </c>
      <c r="I105" s="555"/>
      <c r="J105" s="965"/>
      <c r="N105" s="991"/>
      <c r="O105" s="991"/>
      <c r="P105" s="991"/>
      <c r="Q105" s="991"/>
    </row>
    <row r="106" spans="1:17">
      <c r="B106" s="995"/>
      <c r="C106" s="976"/>
      <c r="D106" s="2311"/>
      <c r="E106" s="2311"/>
      <c r="F106" s="2311"/>
      <c r="G106" s="2311"/>
      <c r="H106" s="983"/>
      <c r="I106" s="994"/>
      <c r="J106" s="965"/>
      <c r="N106" s="991"/>
      <c r="O106" s="991"/>
      <c r="P106" s="991"/>
      <c r="Q106" s="991"/>
    </row>
    <row r="107" spans="1:17">
      <c r="B107" s="975" t="s">
        <v>2113</v>
      </c>
      <c r="C107" s="976"/>
      <c r="D107" s="983"/>
      <c r="E107" s="983"/>
      <c r="F107" s="983"/>
      <c r="G107" s="983"/>
      <c r="H107" s="983"/>
      <c r="I107" s="994"/>
      <c r="J107" s="965"/>
      <c r="N107" s="991"/>
      <c r="O107" s="991"/>
      <c r="P107" s="991"/>
      <c r="Q107" s="991"/>
    </row>
    <row r="108" spans="1:17">
      <c r="B108" s="995" t="s">
        <v>2114</v>
      </c>
      <c r="C108" s="976"/>
      <c r="D108" s="1696">
        <v>0.95</v>
      </c>
      <c r="E108" s="1696">
        <v>0.95</v>
      </c>
      <c r="F108" s="1696">
        <v>0.95</v>
      </c>
      <c r="G108" s="1696">
        <v>0.95</v>
      </c>
      <c r="H108" s="983"/>
      <c r="I108" s="994"/>
      <c r="J108" s="965"/>
      <c r="N108" s="991"/>
      <c r="O108" s="991"/>
      <c r="P108" s="991"/>
      <c r="Q108" s="991"/>
    </row>
    <row r="109" spans="1:17">
      <c r="B109" s="995" t="s">
        <v>2666</v>
      </c>
      <c r="C109" s="976"/>
      <c r="D109" s="478">
        <f ca="1">OFFSET(Supplementary!C$237,MATCH($C$19,Supplementary!$B$238:$B$241,0),0)</f>
        <v>1</v>
      </c>
      <c r="E109" s="478">
        <f ca="1">OFFSET(Supplementary!D$237,MATCH($C$19,Supplementary!$B$238:$B$241,0),0)</f>
        <v>2</v>
      </c>
      <c r="F109" s="478">
        <f ca="1">OFFSET(Supplementary!E$237,MATCH($C$19,Supplementary!$B$238:$B$241,0),0)</f>
        <v>4</v>
      </c>
      <c r="G109" s="478">
        <f ca="1">OFFSET(Supplementary!F$237,MATCH($C$19,Supplementary!$B$238:$B$241,0),0)</f>
        <v>8</v>
      </c>
      <c r="H109" s="983"/>
      <c r="I109" s="994"/>
      <c r="J109" s="965"/>
      <c r="N109" s="991"/>
      <c r="O109" s="991"/>
      <c r="P109" s="991"/>
      <c r="Q109" s="991"/>
    </row>
    <row r="110" spans="1:17">
      <c r="B110" s="995" t="s">
        <v>2115</v>
      </c>
      <c r="C110" s="976"/>
      <c r="D110" s="1698">
        <f ca="1">1*D108^(D109-1)</f>
        <v>1</v>
      </c>
      <c r="E110" s="1698">
        <f ca="1">1*E108^(E109-1)</f>
        <v>0.95</v>
      </c>
      <c r="F110" s="1698">
        <f ca="1">1*F108^(F109-1)</f>
        <v>0.85737499999999989</v>
      </c>
      <c r="G110" s="1698">
        <f ca="1">1*G108^(G109-1)</f>
        <v>0.69833729609374995</v>
      </c>
      <c r="H110" s="983"/>
      <c r="I110" s="994"/>
      <c r="J110" s="965"/>
      <c r="N110" s="991"/>
      <c r="O110" s="991"/>
      <c r="P110" s="991"/>
      <c r="Q110" s="991"/>
    </row>
    <row r="111" spans="1:17">
      <c r="B111" s="995"/>
      <c r="C111" s="976"/>
      <c r="D111" s="983"/>
      <c r="E111" s="983"/>
      <c r="F111" s="983"/>
      <c r="G111" s="983"/>
      <c r="H111" s="983"/>
      <c r="I111" s="994"/>
      <c r="J111" s="965"/>
      <c r="N111" s="991"/>
      <c r="O111" s="991"/>
      <c r="P111" s="991"/>
      <c r="Q111" s="991"/>
    </row>
    <row r="112" spans="1:17">
      <c r="B112" s="975" t="s">
        <v>166</v>
      </c>
      <c r="C112" s="976"/>
      <c r="D112" s="983"/>
      <c r="E112" s="983"/>
      <c r="F112" s="983"/>
      <c r="G112" s="983"/>
      <c r="H112" s="983"/>
      <c r="I112" s="994"/>
      <c r="J112" s="965"/>
      <c r="N112" s="998"/>
      <c r="O112" s="998"/>
      <c r="P112" s="998"/>
      <c r="Q112" s="991"/>
    </row>
    <row r="113" spans="2:17">
      <c r="B113" s="964" t="s">
        <v>24</v>
      </c>
      <c r="C113" s="976" t="s">
        <v>465</v>
      </c>
      <c r="D113" s="999">
        <v>0</v>
      </c>
      <c r="E113" s="999">
        <v>0</v>
      </c>
      <c r="F113" s="999">
        <v>0</v>
      </c>
      <c r="G113" s="999"/>
      <c r="H113" s="999"/>
      <c r="I113" s="1335" t="s">
        <v>1747</v>
      </c>
      <c r="J113" s="965"/>
      <c r="N113" s="991"/>
      <c r="O113" s="991"/>
      <c r="P113" s="991"/>
      <c r="Q113" s="991"/>
    </row>
    <row r="114" spans="2:17">
      <c r="B114" s="964" t="s">
        <v>27</v>
      </c>
      <c r="C114" s="976" t="s">
        <v>465</v>
      </c>
      <c r="D114" s="999">
        <v>0</v>
      </c>
      <c r="E114" s="999">
        <v>0</v>
      </c>
      <c r="F114" s="999">
        <v>0</v>
      </c>
      <c r="G114" s="999"/>
      <c r="H114" s="999"/>
      <c r="I114" s="1335" t="s">
        <v>1747</v>
      </c>
      <c r="J114" s="965"/>
      <c r="N114" s="991"/>
      <c r="O114" s="991"/>
      <c r="P114" s="991"/>
      <c r="Q114" s="991"/>
    </row>
    <row r="115" spans="2:17">
      <c r="B115" s="964" t="s">
        <v>28</v>
      </c>
      <c r="C115" s="976" t="s">
        <v>465</v>
      </c>
      <c r="D115" s="999">
        <v>0</v>
      </c>
      <c r="E115" s="999">
        <v>0</v>
      </c>
      <c r="F115" s="999">
        <v>0</v>
      </c>
      <c r="G115" s="999"/>
      <c r="H115" s="999"/>
      <c r="I115" s="1335" t="s">
        <v>1747</v>
      </c>
      <c r="J115" s="965"/>
      <c r="N115" s="991"/>
      <c r="O115" s="991"/>
      <c r="P115" s="991"/>
      <c r="Q115" s="991"/>
    </row>
    <row r="116" spans="2:17">
      <c r="B116" s="964" t="s">
        <v>26</v>
      </c>
      <c r="C116" s="976" t="s">
        <v>465</v>
      </c>
      <c r="D116" s="999">
        <v>0</v>
      </c>
      <c r="E116" s="999">
        <v>0</v>
      </c>
      <c r="F116" s="999">
        <v>0</v>
      </c>
      <c r="G116" s="999"/>
      <c r="H116" s="999"/>
      <c r="I116" s="1335" t="s">
        <v>1747</v>
      </c>
      <c r="J116" s="965"/>
      <c r="N116" s="991"/>
      <c r="O116" s="991"/>
      <c r="P116" s="991"/>
      <c r="Q116" s="991"/>
    </row>
    <row r="117" spans="2:17">
      <c r="B117" s="964" t="s">
        <v>167</v>
      </c>
      <c r="C117" s="976" t="s">
        <v>465</v>
      </c>
      <c r="D117" s="999">
        <v>0</v>
      </c>
      <c r="E117" s="999">
        <v>0</v>
      </c>
      <c r="F117" s="999">
        <v>0</v>
      </c>
      <c r="G117" s="999"/>
      <c r="H117" s="999"/>
      <c r="I117" s="1335" t="s">
        <v>1747</v>
      </c>
      <c r="J117" s="965"/>
      <c r="N117" s="998"/>
      <c r="O117" s="998"/>
      <c r="P117" s="998"/>
      <c r="Q117" s="998"/>
    </row>
    <row r="118" spans="2:17">
      <c r="B118" s="964" t="s">
        <v>45</v>
      </c>
      <c r="C118" s="976" t="s">
        <v>465</v>
      </c>
      <c r="D118" s="1000"/>
      <c r="E118" s="1000"/>
      <c r="F118" s="1000"/>
      <c r="G118" s="1000"/>
      <c r="H118" s="1000"/>
      <c r="I118" s="555"/>
      <c r="J118" s="965"/>
    </row>
    <row r="119" spans="2:17" ht="13.5" thickBot="1">
      <c r="B119" s="1001"/>
      <c r="C119" s="1002"/>
      <c r="D119" s="1003"/>
      <c r="E119" s="968"/>
      <c r="F119" s="968"/>
      <c r="G119" s="968"/>
      <c r="H119" s="968"/>
      <c r="I119" s="1004"/>
      <c r="J119" s="969"/>
    </row>
    <row r="122" spans="2:17" ht="18.75">
      <c r="B122" s="1005" t="s">
        <v>172</v>
      </c>
    </row>
    <row r="123" spans="2:17" ht="15.75">
      <c r="B123" s="1006"/>
      <c r="D123" s="1007"/>
    </row>
    <row r="124" spans="2:17">
      <c r="B124" s="555"/>
      <c r="C124" s="555"/>
      <c r="D124" s="555"/>
      <c r="E124" s="555"/>
      <c r="F124" s="555"/>
      <c r="G124" s="555"/>
      <c r="H124" s="555"/>
      <c r="I124" s="555"/>
      <c r="J124" s="555"/>
      <c r="K124" s="555"/>
      <c r="L124" s="555"/>
    </row>
    <row r="125" spans="2:17">
      <c r="B125" s="555"/>
      <c r="C125" s="977"/>
      <c r="D125" s="977"/>
      <c r="E125" s="977"/>
      <c r="F125" s="977"/>
      <c r="G125" s="977"/>
      <c r="H125" s="977"/>
      <c r="I125" s="555"/>
      <c r="J125" s="977"/>
      <c r="K125" s="977"/>
      <c r="L125" s="977"/>
    </row>
    <row r="126" spans="2:17">
      <c r="B126" s="555"/>
      <c r="C126" s="555"/>
      <c r="D126" s="993"/>
      <c r="E126" s="993"/>
      <c r="F126" s="993"/>
      <c r="G126" s="993"/>
      <c r="H126" s="993"/>
      <c r="I126" s="555"/>
      <c r="J126" s="993"/>
      <c r="K126" s="993"/>
      <c r="L126" s="993"/>
    </row>
    <row r="127" spans="2:17">
      <c r="B127" s="555"/>
      <c r="C127" s="555"/>
      <c r="D127" s="993"/>
      <c r="E127" s="993"/>
      <c r="F127" s="993"/>
      <c r="G127" s="993"/>
      <c r="H127" s="993"/>
      <c r="I127" s="555"/>
      <c r="J127" s="993"/>
      <c r="K127" s="993"/>
      <c r="L127" s="993"/>
    </row>
    <row r="128" spans="2:17">
      <c r="B128" s="555"/>
      <c r="C128" s="555"/>
      <c r="D128" s="993"/>
      <c r="E128" s="993"/>
      <c r="F128" s="993"/>
      <c r="G128" s="993"/>
      <c r="H128" s="993"/>
      <c r="I128" s="555"/>
      <c r="J128" s="993"/>
      <c r="K128" s="993"/>
      <c r="L128" s="993"/>
    </row>
    <row r="129" spans="2:12">
      <c r="D129" s="993"/>
      <c r="E129" s="993"/>
      <c r="F129" s="993"/>
      <c r="G129" s="993"/>
      <c r="H129" s="993"/>
      <c r="I129" s="555"/>
      <c r="J129" s="993"/>
      <c r="K129" s="993"/>
      <c r="L129" s="993"/>
    </row>
    <row r="130" spans="2:12">
      <c r="D130" s="993"/>
      <c r="E130" s="993"/>
      <c r="F130" s="993"/>
      <c r="G130" s="993"/>
      <c r="H130" s="993"/>
      <c r="I130" s="555"/>
      <c r="J130" s="993"/>
      <c r="K130" s="993"/>
      <c r="L130" s="993"/>
    </row>
    <row r="131" spans="2:12">
      <c r="B131" s="555"/>
      <c r="C131" s="555"/>
      <c r="D131" s="993"/>
      <c r="E131" s="993"/>
      <c r="F131" s="993"/>
      <c r="G131" s="993"/>
      <c r="H131" s="993"/>
      <c r="I131" s="555"/>
      <c r="J131" s="993"/>
      <c r="K131" s="993"/>
      <c r="L131" s="993"/>
    </row>
    <row r="132" spans="2:12">
      <c r="B132" s="555"/>
      <c r="C132" s="555"/>
      <c r="D132" s="993"/>
      <c r="E132" s="993"/>
      <c r="F132" s="993"/>
      <c r="G132" s="993"/>
      <c r="H132" s="993"/>
      <c r="I132" s="555"/>
      <c r="J132" s="993"/>
      <c r="K132" s="993"/>
      <c r="L132" s="993"/>
    </row>
    <row r="133" spans="2:12">
      <c r="D133" s="993"/>
    </row>
    <row r="135" spans="2:12" ht="18.75">
      <c r="B135" s="1005" t="s">
        <v>168</v>
      </c>
    </row>
    <row r="136" spans="2:12" ht="15.75">
      <c r="B136" s="1006"/>
    </row>
    <row r="137" spans="2:12" ht="13.5" thickBot="1">
      <c r="B137" s="555"/>
      <c r="C137" s="555"/>
      <c r="D137" s="555"/>
      <c r="E137" s="555"/>
      <c r="F137" s="555"/>
      <c r="G137" s="555"/>
      <c r="H137" s="555"/>
      <c r="I137" s="555"/>
    </row>
    <row r="138" spans="2:12">
      <c r="B138" s="1008"/>
      <c r="C138" s="1009" t="s">
        <v>70</v>
      </c>
      <c r="D138" s="1010">
        <v>2015</v>
      </c>
      <c r="E138" s="1009">
        <v>2020</v>
      </c>
      <c r="F138" s="1009">
        <v>2035</v>
      </c>
      <c r="G138" s="1009"/>
      <c r="H138" s="1009"/>
      <c r="I138" s="1011" t="s">
        <v>145</v>
      </c>
      <c r="J138" s="1012" t="s">
        <v>146</v>
      </c>
    </row>
    <row r="139" spans="2:12">
      <c r="B139" s="964"/>
      <c r="C139" s="977"/>
      <c r="D139" s="1013"/>
      <c r="E139" s="1014"/>
      <c r="F139" s="1014"/>
      <c r="G139" s="1014"/>
      <c r="H139" s="1014"/>
      <c r="I139" s="555"/>
      <c r="J139" s="965"/>
    </row>
    <row r="140" spans="2:12">
      <c r="B140" s="964"/>
      <c r="C140" s="977"/>
      <c r="D140" s="1015"/>
      <c r="E140" s="1016"/>
      <c r="F140" s="1016"/>
      <c r="G140" s="1016"/>
      <c r="H140" s="1016"/>
      <c r="I140" s="555"/>
      <c r="J140" s="965"/>
    </row>
    <row r="141" spans="2:12">
      <c r="B141" s="1336" t="s">
        <v>1747</v>
      </c>
      <c r="C141" s="1353" t="s">
        <v>1747</v>
      </c>
      <c r="D141" s="1058"/>
      <c r="E141" s="1018"/>
      <c r="F141" s="1018"/>
      <c r="G141" s="979"/>
      <c r="H141" s="1018"/>
      <c r="I141" s="1335" t="s">
        <v>1747</v>
      </c>
      <c r="J141" s="965"/>
    </row>
    <row r="142" spans="2:12">
      <c r="B142" s="964"/>
      <c r="C142" s="977"/>
      <c r="D142" s="1015"/>
      <c r="E142" s="1016"/>
      <c r="F142" s="1016"/>
      <c r="G142" s="1016"/>
      <c r="H142" s="1016"/>
      <c r="I142" s="555"/>
      <c r="J142" s="965"/>
    </row>
    <row r="143" spans="2:12">
      <c r="B143" s="964"/>
      <c r="C143" s="977"/>
      <c r="D143" s="1015"/>
      <c r="E143" s="1016"/>
      <c r="F143" s="1016"/>
      <c r="G143" s="1016"/>
      <c r="H143" s="1016"/>
      <c r="I143" s="555"/>
      <c r="J143" s="965"/>
    </row>
    <row r="144" spans="2:12">
      <c r="B144" s="964" t="s">
        <v>22</v>
      </c>
      <c r="C144" s="977" t="s">
        <v>249</v>
      </c>
      <c r="D144" s="1019"/>
      <c r="E144" s="979"/>
      <c r="F144" s="979"/>
      <c r="G144" s="979"/>
      <c r="H144" s="979"/>
      <c r="I144" s="555"/>
      <c r="J144" s="965"/>
    </row>
    <row r="145" spans="2:10">
      <c r="B145" s="964"/>
      <c r="C145" s="976"/>
      <c r="D145" s="1016"/>
      <c r="E145" s="1016"/>
      <c r="F145" s="1016"/>
      <c r="G145" s="1016"/>
      <c r="H145" s="1016"/>
      <c r="I145" s="555"/>
      <c r="J145" s="965"/>
    </row>
    <row r="146" spans="2:10" ht="13.5" thickBot="1">
      <c r="B146" s="967"/>
      <c r="C146" s="1020"/>
      <c r="D146" s="1021"/>
      <c r="E146" s="1021"/>
      <c r="F146" s="1021"/>
      <c r="G146" s="1021"/>
      <c r="H146" s="1021"/>
      <c r="I146" s="968"/>
      <c r="J146" s="969"/>
    </row>
    <row r="149" spans="2:10" ht="13.5" thickBot="1"/>
    <row r="150" spans="2:10">
      <c r="B150" s="1040"/>
      <c r="C150" s="1340"/>
      <c r="D150" s="1064" t="s">
        <v>1098</v>
      </c>
    </row>
    <row r="151" spans="2:10">
      <c r="B151" s="1065" t="s">
        <v>1095</v>
      </c>
      <c r="C151" s="1367">
        <v>0.48</v>
      </c>
      <c r="D151" s="1067" t="s">
        <v>1773</v>
      </c>
    </row>
    <row r="152" spans="2:10" ht="13.5" thickBot="1">
      <c r="B152" s="1022" t="s">
        <v>1338</v>
      </c>
      <c r="C152" s="1341">
        <f>D188%</f>
        <v>0.51866666666666661</v>
      </c>
      <c r="D152" s="1342" t="s">
        <v>1772</v>
      </c>
    </row>
    <row r="153" spans="2:10">
      <c r="B153" s="530" t="str">
        <f>CONCATENATE("Source: ",Referencer!$B$48)</f>
        <v>Source: 42, FORCE, Danish Energy Agency, 2013, Technology data for advanced bioenergy fuels.</v>
      </c>
    </row>
    <row r="154" spans="2:10" ht="13.5" thickBot="1">
      <c r="B154" s="555"/>
      <c r="C154" s="968"/>
    </row>
    <row r="155" spans="2:10" ht="18.75">
      <c r="B155" s="1023" t="s">
        <v>1388</v>
      </c>
      <c r="C155" s="1024"/>
      <c r="D155" s="1025"/>
      <c r="E155" s="1025"/>
      <c r="F155" s="1025"/>
      <c r="G155" s="1025"/>
      <c r="H155" s="1025"/>
      <c r="I155" s="1025"/>
      <c r="J155" s="1026"/>
    </row>
    <row r="156" spans="2:10" ht="15">
      <c r="B156" s="1026"/>
      <c r="C156" s="1027"/>
      <c r="D156" s="1028">
        <v>2015</v>
      </c>
      <c r="E156" s="1028">
        <v>2020</v>
      </c>
      <c r="F156" s="1028">
        <v>2035</v>
      </c>
      <c r="G156" s="1028">
        <v>2050</v>
      </c>
      <c r="H156" s="1028"/>
      <c r="I156" s="1028" t="s">
        <v>1098</v>
      </c>
      <c r="J156" s="1338"/>
    </row>
    <row r="157" spans="2:10" ht="15">
      <c r="B157" s="1029" t="s">
        <v>1099</v>
      </c>
      <c r="C157" s="1030"/>
      <c r="D157" s="1027"/>
      <c r="E157" s="1027"/>
      <c r="F157" s="1027"/>
      <c r="G157" s="1027"/>
      <c r="H157" s="1027"/>
      <c r="I157" s="1027"/>
      <c r="J157" s="1026"/>
    </row>
    <row r="158" spans="2:10" ht="15">
      <c r="B158" s="1026" t="s">
        <v>1229</v>
      </c>
      <c r="C158" s="1027"/>
      <c r="D158" s="1368">
        <v>149700</v>
      </c>
      <c r="E158" s="1284" t="s">
        <v>1101</v>
      </c>
      <c r="F158" s="1031"/>
      <c r="G158" s="1031"/>
      <c r="H158" s="1031"/>
      <c r="I158" s="1032" t="s">
        <v>1771</v>
      </c>
      <c r="J158" s="1339"/>
    </row>
    <row r="159" spans="2:10" ht="15">
      <c r="B159" s="1026" t="s">
        <v>1230</v>
      </c>
      <c r="C159" s="1027"/>
      <c r="D159" s="1368">
        <v>6587000</v>
      </c>
      <c r="E159" s="1284" t="s">
        <v>1101</v>
      </c>
      <c r="F159" s="1031"/>
      <c r="G159" s="1031"/>
      <c r="H159" s="1031"/>
      <c r="I159" s="1032"/>
      <c r="J159" s="1339"/>
    </row>
    <row r="160" spans="2:10" ht="15">
      <c r="B160" s="1026" t="s">
        <v>1231</v>
      </c>
      <c r="C160" s="1027"/>
      <c r="D160" s="1375">
        <v>1.8</v>
      </c>
      <c r="E160" s="1284" t="s">
        <v>1101</v>
      </c>
      <c r="F160" s="1031"/>
      <c r="G160" s="1031"/>
      <c r="H160" s="1031"/>
      <c r="I160" s="1032"/>
      <c r="J160" s="1339"/>
    </row>
    <row r="161" spans="2:10" ht="15">
      <c r="B161" s="1026" t="s">
        <v>1232</v>
      </c>
      <c r="C161" s="1027"/>
      <c r="D161" s="1375">
        <v>5.5</v>
      </c>
      <c r="E161" s="1284" t="s">
        <v>1101</v>
      </c>
      <c r="F161" s="1031"/>
      <c r="G161" s="1031"/>
      <c r="H161" s="1031"/>
      <c r="I161" s="1032"/>
      <c r="J161" s="1339"/>
    </row>
    <row r="162" spans="2:10" ht="15">
      <c r="B162" s="1026" t="s">
        <v>1208</v>
      </c>
      <c r="C162" s="1027"/>
      <c r="D162" s="1375">
        <v>0.6</v>
      </c>
      <c r="E162" s="1284" t="s">
        <v>1101</v>
      </c>
      <c r="F162" s="1031"/>
      <c r="G162" s="1031"/>
      <c r="H162" s="1031"/>
      <c r="I162" s="1032"/>
      <c r="J162" s="1339"/>
    </row>
    <row r="163" spans="2:10" ht="15">
      <c r="B163" s="1026" t="s">
        <v>1209</v>
      </c>
      <c r="C163" s="1027"/>
      <c r="D163" s="1375">
        <v>0.23</v>
      </c>
      <c r="E163" s="1284" t="s">
        <v>1101</v>
      </c>
      <c r="F163" s="1031"/>
      <c r="G163" s="1031"/>
      <c r="H163" s="1031"/>
      <c r="I163" s="1032"/>
      <c r="J163" s="1339"/>
    </row>
    <row r="164" spans="2:10" ht="15">
      <c r="B164" s="1026" t="s">
        <v>1210</v>
      </c>
      <c r="C164" s="1027"/>
      <c r="D164" s="1375">
        <v>2.4</v>
      </c>
      <c r="E164" s="1284" t="s">
        <v>1101</v>
      </c>
      <c r="F164" s="1031"/>
      <c r="G164" s="1031"/>
      <c r="H164" s="1031"/>
      <c r="I164" s="1032"/>
      <c r="J164" s="1339"/>
    </row>
    <row r="165" spans="2:10" ht="15">
      <c r="B165" s="1026" t="s">
        <v>1212</v>
      </c>
      <c r="C165" s="1027"/>
      <c r="D165" s="1375">
        <v>0.06</v>
      </c>
      <c r="E165" s="1284" t="s">
        <v>1101</v>
      </c>
      <c r="F165" s="1031"/>
      <c r="G165" s="1031"/>
      <c r="H165" s="1031"/>
      <c r="I165" s="1032"/>
      <c r="J165" s="1339"/>
    </row>
    <row r="166" spans="2:10" ht="15">
      <c r="B166" s="1026" t="s">
        <v>1233</v>
      </c>
      <c r="C166" s="1027"/>
      <c r="D166" s="1375">
        <v>0.42</v>
      </c>
      <c r="E166" s="1284" t="s">
        <v>1101</v>
      </c>
      <c r="F166" s="1031"/>
      <c r="G166" s="1031"/>
      <c r="H166" s="1031"/>
      <c r="I166" s="1032"/>
      <c r="J166" s="1339"/>
    </row>
    <row r="167" spans="2:10" ht="15">
      <c r="B167" s="1026" t="s">
        <v>1214</v>
      </c>
      <c r="C167" s="1027"/>
      <c r="D167" s="1370">
        <v>41.3</v>
      </c>
      <c r="E167" s="1284" t="s">
        <v>1101</v>
      </c>
      <c r="F167" s="1031"/>
      <c r="G167" s="1031"/>
      <c r="H167" s="1031"/>
      <c r="I167" s="1032"/>
      <c r="J167" s="1339"/>
    </row>
    <row r="168" spans="2:10" ht="15">
      <c r="B168" s="1026" t="s">
        <v>1234</v>
      </c>
      <c r="C168" s="1027"/>
      <c r="D168" s="1370">
        <v>61.1</v>
      </c>
      <c r="E168" s="1284" t="s">
        <v>1101</v>
      </c>
      <c r="F168" s="1031"/>
      <c r="G168" s="1031"/>
      <c r="H168" s="1031"/>
      <c r="I168" s="1032"/>
      <c r="J168" s="1339"/>
    </row>
    <row r="169" spans="2:10" ht="15">
      <c r="B169" s="1026" t="s">
        <v>1108</v>
      </c>
      <c r="C169" s="1027"/>
      <c r="D169" s="1370">
        <v>80</v>
      </c>
      <c r="E169" s="1284" t="s">
        <v>1101</v>
      </c>
      <c r="F169" s="1031"/>
      <c r="G169" s="1031"/>
      <c r="H169" s="1031"/>
      <c r="I169" s="1032"/>
      <c r="J169" s="1339"/>
    </row>
    <row r="170" spans="2:10" ht="15">
      <c r="B170" s="1026"/>
      <c r="C170" s="1027"/>
      <c r="D170" s="1370"/>
      <c r="E170" s="1031"/>
      <c r="F170" s="1031"/>
      <c r="G170" s="1031"/>
      <c r="H170" s="1031"/>
      <c r="I170" s="1032"/>
      <c r="J170" s="1339"/>
    </row>
    <row r="171" spans="2:10" ht="15">
      <c r="B171" s="1026"/>
      <c r="C171" s="1027"/>
      <c r="D171" s="1370"/>
      <c r="E171" s="1031"/>
      <c r="F171" s="1031"/>
      <c r="G171" s="1031"/>
      <c r="H171" s="1031"/>
      <c r="I171" s="1032"/>
      <c r="J171" s="1339"/>
    </row>
    <row r="172" spans="2:10" ht="15">
      <c r="B172" s="1026"/>
      <c r="C172" s="1027"/>
      <c r="D172" s="1370"/>
      <c r="E172" s="1031"/>
      <c r="F172" s="1031"/>
      <c r="G172" s="1031"/>
      <c r="H172" s="1031"/>
      <c r="I172" s="1032"/>
      <c r="J172" s="1339"/>
    </row>
    <row r="173" spans="2:10" ht="15">
      <c r="B173" s="1026"/>
      <c r="C173" s="1027"/>
      <c r="D173" s="1370"/>
      <c r="E173" s="1031"/>
      <c r="F173" s="1031"/>
      <c r="G173" s="1031"/>
      <c r="H173" s="1031"/>
      <c r="I173" s="1032"/>
      <c r="J173" s="1339"/>
    </row>
    <row r="174" spans="2:10" ht="15">
      <c r="B174" s="1026"/>
      <c r="C174" s="1027"/>
      <c r="D174" s="1370"/>
      <c r="E174" s="1031"/>
      <c r="F174" s="1031"/>
      <c r="G174" s="1031"/>
      <c r="H174" s="1031"/>
      <c r="I174" s="1032"/>
      <c r="J174" s="1339"/>
    </row>
    <row r="175" spans="2:10" ht="15">
      <c r="B175" s="1026"/>
      <c r="C175" s="1027"/>
      <c r="D175" s="1370"/>
      <c r="E175" s="1027"/>
      <c r="F175" s="1027"/>
      <c r="G175" s="1027"/>
      <c r="H175" s="1027"/>
      <c r="I175" s="1032"/>
      <c r="J175" s="1339"/>
    </row>
    <row r="176" spans="2:10" ht="15">
      <c r="B176" s="1029" t="s">
        <v>1109</v>
      </c>
      <c r="C176" s="1030"/>
      <c r="D176" s="1370"/>
      <c r="E176" s="1027"/>
      <c r="F176" s="1027"/>
      <c r="G176" s="1027"/>
      <c r="H176" s="1027"/>
      <c r="I176" s="1032"/>
      <c r="J176" s="1339"/>
    </row>
    <row r="177" spans="2:10" ht="15">
      <c r="B177" s="1026" t="s">
        <v>1235</v>
      </c>
      <c r="C177" s="1027"/>
      <c r="D177" s="1370">
        <v>84</v>
      </c>
      <c r="E177" s="1284" t="s">
        <v>1101</v>
      </c>
      <c r="F177" s="1031"/>
      <c r="G177" s="1031"/>
      <c r="H177" s="1031"/>
      <c r="I177" s="1032"/>
      <c r="J177" s="1339"/>
    </row>
    <row r="178" spans="2:10" ht="15.75" thickBot="1">
      <c r="B178" s="1033" t="s">
        <v>1236</v>
      </c>
      <c r="C178" s="1034"/>
      <c r="D178" s="1374">
        <v>2.5</v>
      </c>
      <c r="E178" s="1286" t="s">
        <v>1101</v>
      </c>
      <c r="F178" s="1035"/>
      <c r="G178" s="1035"/>
      <c r="H178" s="1035"/>
      <c r="I178" s="1036"/>
      <c r="J178" s="1339"/>
    </row>
    <row r="179" spans="2:10">
      <c r="B179" s="530" t="str">
        <f>CONCATENATE("Source: ",Referencer!$B$48)</f>
        <v>Source: 42, FORCE, Danish Energy Agency, 2013, Technology data for advanced bioenergy fuels.</v>
      </c>
    </row>
    <row r="180" spans="2:10" ht="13.5" thickBot="1"/>
    <row r="181" spans="2:10" ht="13.5" thickBot="1">
      <c r="B181" s="961" t="s">
        <v>1389</v>
      </c>
      <c r="C181" s="962"/>
      <c r="D181" s="963"/>
    </row>
    <row r="182" spans="2:10" ht="13.5" thickBot="1">
      <c r="B182" s="1045" t="s">
        <v>1353</v>
      </c>
      <c r="C182" s="1046" t="s">
        <v>1152</v>
      </c>
      <c r="D182" s="1047" t="s">
        <v>1153</v>
      </c>
    </row>
    <row r="183" spans="2:10">
      <c r="B183" s="1048" t="s">
        <v>1333</v>
      </c>
      <c r="C183" s="1376">
        <v>100</v>
      </c>
      <c r="D183" s="1049"/>
    </row>
    <row r="184" spans="2:10">
      <c r="B184" s="1050" t="s">
        <v>596</v>
      </c>
      <c r="C184" s="1051">
        <f>D162/D160*100</f>
        <v>33.333333333333329</v>
      </c>
      <c r="D184" s="1052"/>
    </row>
    <row r="185" spans="2:10">
      <c r="B185" s="1050" t="s">
        <v>2</v>
      </c>
      <c r="C185" s="1051"/>
      <c r="D185" s="1052">
        <f>1/D160*100</f>
        <v>55.555555555555557</v>
      </c>
    </row>
    <row r="186" spans="2:10">
      <c r="B186" s="1050" t="s">
        <v>945</v>
      </c>
      <c r="C186" s="1051"/>
      <c r="D186" s="1052">
        <f>D166/D160*100</f>
        <v>23.333333333333332</v>
      </c>
    </row>
    <row r="187" spans="2:10">
      <c r="B187" s="1050" t="s">
        <v>951</v>
      </c>
      <c r="C187" s="1051"/>
      <c r="D187" s="1052">
        <f>D165/D160*100</f>
        <v>3.3333333333333335</v>
      </c>
    </row>
    <row r="188" spans="2:10" ht="13.5" thickBot="1">
      <c r="B188" s="1053" t="s">
        <v>1155</v>
      </c>
      <c r="C188" s="1054"/>
      <c r="D188" s="1055">
        <f>(100-D168)*SUM(C183:C184)/100</f>
        <v>51.86666666666666</v>
      </c>
    </row>
    <row r="189" spans="2:10">
      <c r="B189" s="530" t="str">
        <f>CONCATENATE("Source: ",Referencer!$B$48)</f>
        <v>Source: 42, FORCE, Danish Energy Agency, 2013, Technology data for advanced bioenergy fuels.</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Supplementary!$B$238:$B$241</xm:f>
          </x14:formula1>
          <xm:sqref>C19</xm:sqref>
        </x14:dataValidation>
      </x14:dataValidation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tabColor rgb="FF00B0F0"/>
  </sheetPr>
  <dimension ref="A1:S187"/>
  <sheetViews>
    <sheetView topLeftCell="A110" zoomScale="80" zoomScaleNormal="80" workbookViewId="0">
      <selection activeCell="D105" sqref="D105:G105"/>
    </sheetView>
  </sheetViews>
  <sheetFormatPr defaultRowHeight="12.75"/>
  <cols>
    <col min="1" max="1" width="3.28515625" style="469" customWidth="1"/>
    <col min="2" max="2" width="36" style="469" customWidth="1"/>
    <col min="3" max="3" width="32.42578125" style="469" customWidth="1"/>
    <col min="4" max="7" width="15.7109375" style="469" customWidth="1"/>
    <col min="8" max="8" width="15.7109375" style="530" customWidth="1"/>
    <col min="9" max="9" width="7.28515625" style="469" customWidth="1"/>
    <col min="10" max="10" width="12.7109375" style="469" customWidth="1"/>
    <col min="11" max="17" width="9.140625" style="469"/>
    <col min="18" max="19" width="9.42578125" style="469" bestFit="1" customWidth="1"/>
    <col min="20" max="16384" width="9.140625" style="469"/>
  </cols>
  <sheetData>
    <row r="1" spans="1:19" s="465" customFormat="1" ht="21">
      <c r="B1" s="465" t="s">
        <v>1416</v>
      </c>
      <c r="Q1" s="465">
        <f ca="1">'Log2015'!M1</f>
        <v>-8.0112614142160741</v>
      </c>
      <c r="R1" s="465">
        <f ca="1">'Log2015'!N1</f>
        <v>-160807.124977848</v>
      </c>
    </row>
    <row r="2" spans="1:19">
      <c r="B2" s="469" t="s">
        <v>1417</v>
      </c>
      <c r="R2" s="1070">
        <f ca="1">R1</f>
        <v>-160807.124977848</v>
      </c>
      <c r="S2" s="1070">
        <f>S1</f>
        <v>0</v>
      </c>
    </row>
    <row r="3" spans="1:19">
      <c r="A3" s="469" t="s">
        <v>1078</v>
      </c>
    </row>
    <row r="4" spans="1:19">
      <c r="B4" s="470" t="s">
        <v>81</v>
      </c>
    </row>
    <row r="5" spans="1:19" ht="13.5" thickBot="1">
      <c r="K5" s="476"/>
      <c r="L5" s="476"/>
      <c r="M5" s="476"/>
      <c r="N5" s="476"/>
      <c r="O5" s="476"/>
      <c r="P5" s="476"/>
    </row>
    <row r="6" spans="1:19">
      <c r="B6" s="472" t="s">
        <v>137</v>
      </c>
      <c r="C6" s="473"/>
      <c r="D6" s="473"/>
      <c r="E6" s="473"/>
      <c r="F6" s="473"/>
      <c r="G6" s="473"/>
      <c r="H6" s="962"/>
      <c r="I6" s="473"/>
      <c r="J6" s="474"/>
      <c r="K6" s="476"/>
      <c r="L6" s="476"/>
      <c r="M6" s="476"/>
      <c r="N6" s="476"/>
      <c r="O6" s="476"/>
      <c r="P6" s="476"/>
    </row>
    <row r="7" spans="1:19">
      <c r="B7" s="475"/>
      <c r="C7" s="476"/>
      <c r="D7" s="476"/>
      <c r="E7" s="476"/>
      <c r="F7" s="476"/>
      <c r="G7" s="476"/>
      <c r="H7" s="555"/>
      <c r="I7" s="476"/>
      <c r="J7" s="477"/>
      <c r="K7" s="476"/>
      <c r="L7" s="476"/>
      <c r="M7" s="476"/>
      <c r="N7" s="476"/>
      <c r="O7" s="476"/>
      <c r="P7" s="476"/>
    </row>
    <row r="8" spans="1:19">
      <c r="B8" s="475"/>
      <c r="C8" s="476"/>
      <c r="D8" s="476"/>
      <c r="E8" s="476"/>
      <c r="F8" s="476"/>
      <c r="G8" s="476"/>
      <c r="H8" s="555"/>
      <c r="I8" s="476"/>
      <c r="J8" s="477"/>
      <c r="K8" s="476"/>
      <c r="L8" s="476"/>
      <c r="M8" s="476"/>
      <c r="N8" s="476"/>
      <c r="O8" s="476"/>
      <c r="P8" s="476"/>
    </row>
    <row r="9" spans="1:19">
      <c r="B9" s="475"/>
      <c r="C9" s="476"/>
      <c r="D9" s="476"/>
      <c r="E9" s="476"/>
      <c r="F9" s="476"/>
      <c r="G9" s="476"/>
      <c r="H9" s="555"/>
      <c r="I9" s="476"/>
      <c r="J9" s="477"/>
      <c r="K9" s="476"/>
      <c r="L9" s="476"/>
      <c r="M9" s="476"/>
      <c r="N9" s="476"/>
      <c r="O9" s="476"/>
      <c r="P9" s="476"/>
    </row>
    <row r="10" spans="1:19">
      <c r="B10" s="475"/>
      <c r="C10" s="476"/>
      <c r="D10" s="476"/>
      <c r="E10" s="476"/>
      <c r="F10" s="476"/>
      <c r="G10" s="476"/>
      <c r="H10" s="555"/>
      <c r="I10" s="476"/>
      <c r="J10" s="477"/>
      <c r="K10" s="476"/>
      <c r="L10" s="476"/>
      <c r="M10" s="476"/>
      <c r="N10" s="476"/>
      <c r="O10" s="476"/>
      <c r="P10" s="476"/>
    </row>
    <row r="11" spans="1:19">
      <c r="B11" s="475" t="s">
        <v>138</v>
      </c>
      <c r="C11" s="654" t="s">
        <v>1418</v>
      </c>
      <c r="D11" s="476"/>
      <c r="E11" s="476"/>
      <c r="F11" s="476"/>
      <c r="G11" s="476"/>
      <c r="H11" s="555"/>
      <c r="I11" s="476"/>
      <c r="J11" s="477"/>
      <c r="K11" s="476"/>
      <c r="L11" s="476"/>
      <c r="M11" s="476"/>
      <c r="N11" s="476"/>
      <c r="O11" s="476"/>
      <c r="P11" s="476"/>
    </row>
    <row r="12" spans="1:19">
      <c r="B12" s="475"/>
      <c r="C12" s="476"/>
      <c r="D12" s="476"/>
      <c r="E12" s="476"/>
      <c r="F12" s="476"/>
      <c r="G12" s="476"/>
      <c r="H12" s="555"/>
      <c r="I12" s="476"/>
      <c r="J12" s="477"/>
      <c r="K12" s="476"/>
      <c r="L12" s="476"/>
      <c r="M12" s="476"/>
      <c r="N12" s="476"/>
      <c r="O12" s="476"/>
      <c r="P12" s="476"/>
    </row>
    <row r="13" spans="1:19">
      <c r="B13" s="475" t="s">
        <v>140</v>
      </c>
      <c r="C13" s="476" t="s">
        <v>1419</v>
      </c>
      <c r="D13" s="476"/>
      <c r="E13" s="476"/>
      <c r="F13" s="476"/>
      <c r="G13" s="476"/>
      <c r="H13" s="555"/>
      <c r="I13" s="476"/>
      <c r="J13" s="477"/>
      <c r="K13" s="476"/>
      <c r="L13" s="476"/>
      <c r="M13" s="476"/>
      <c r="N13" s="476"/>
      <c r="O13" s="476"/>
      <c r="P13" s="476"/>
    </row>
    <row r="14" spans="1:19">
      <c r="B14" s="475"/>
      <c r="C14" s="476"/>
      <c r="D14" s="476"/>
      <c r="E14" s="476"/>
      <c r="F14" s="476"/>
      <c r="G14" s="476"/>
      <c r="H14" s="555"/>
      <c r="I14" s="476"/>
      <c r="J14" s="477"/>
      <c r="K14" s="476"/>
      <c r="L14" s="476"/>
      <c r="M14" s="476"/>
      <c r="N14" s="476"/>
      <c r="O14" s="476"/>
      <c r="P14" s="476"/>
    </row>
    <row r="15" spans="1:19">
      <c r="B15" s="475" t="s">
        <v>141</v>
      </c>
      <c r="C15" s="476"/>
      <c r="D15" s="476"/>
      <c r="E15" s="476"/>
      <c r="F15" s="476"/>
      <c r="G15" s="476"/>
      <c r="H15" s="555"/>
      <c r="I15" s="476"/>
      <c r="J15" s="477"/>
      <c r="K15" s="476"/>
      <c r="L15" s="476"/>
      <c r="M15" s="476"/>
      <c r="N15" s="476"/>
      <c r="O15" s="476"/>
      <c r="P15" s="476"/>
    </row>
    <row r="16" spans="1:19">
      <c r="B16" s="475"/>
      <c r="C16" s="476"/>
      <c r="D16" s="476"/>
      <c r="E16" s="476"/>
      <c r="F16" s="476"/>
      <c r="G16" s="476"/>
      <c r="H16" s="555"/>
      <c r="I16" s="476"/>
      <c r="J16" s="477"/>
      <c r="K16" s="476"/>
      <c r="L16" s="476"/>
      <c r="M16" s="476"/>
      <c r="N16" s="476"/>
      <c r="O16" s="476"/>
      <c r="P16" s="476"/>
    </row>
    <row r="17" spans="2:16">
      <c r="B17" s="475" t="s">
        <v>142</v>
      </c>
      <c r="C17" s="476"/>
      <c r="D17" s="476"/>
      <c r="E17" s="476"/>
      <c r="F17" s="476"/>
      <c r="G17" s="476"/>
      <c r="H17" s="555"/>
      <c r="I17" s="476"/>
      <c r="J17" s="477"/>
      <c r="K17" s="476"/>
      <c r="L17" s="476"/>
      <c r="M17" s="476"/>
      <c r="N17" s="476"/>
      <c r="O17" s="476"/>
      <c r="P17" s="476"/>
    </row>
    <row r="18" spans="2:16">
      <c r="B18" s="475"/>
      <c r="C18" s="476"/>
      <c r="D18" s="476"/>
      <c r="E18" s="476"/>
      <c r="F18" s="476"/>
      <c r="G18" s="476"/>
      <c r="H18" s="555"/>
      <c r="I18" s="476"/>
      <c r="J18" s="477"/>
      <c r="K18" s="476"/>
      <c r="L18" s="476"/>
      <c r="M18" s="476"/>
      <c r="N18" s="476"/>
      <c r="O18" s="476"/>
      <c r="P18" s="476"/>
    </row>
    <row r="19" spans="2:16">
      <c r="B19" s="475" t="s">
        <v>2131</v>
      </c>
      <c r="C19" s="1693" t="s">
        <v>2122</v>
      </c>
      <c r="D19" s="476"/>
      <c r="E19" s="476"/>
      <c r="F19" s="476"/>
      <c r="G19" s="476"/>
      <c r="H19" s="555"/>
      <c r="I19" s="476"/>
      <c r="J19" s="477"/>
      <c r="K19" s="476"/>
      <c r="L19" s="476"/>
      <c r="M19" s="476"/>
      <c r="N19" s="476"/>
      <c r="O19" s="476"/>
      <c r="P19" s="476"/>
    </row>
    <row r="20" spans="2:16">
      <c r="B20" s="475"/>
      <c r="C20" s="476"/>
      <c r="D20" s="476"/>
      <c r="E20" s="476"/>
      <c r="F20" s="476"/>
      <c r="G20" s="476"/>
      <c r="H20" s="555"/>
      <c r="I20" s="476"/>
      <c r="J20" s="477"/>
      <c r="K20" s="476"/>
      <c r="L20" s="476"/>
      <c r="M20" s="476"/>
      <c r="N20" s="476"/>
      <c r="O20" s="476"/>
      <c r="P20" s="476"/>
    </row>
    <row r="21" spans="2:16">
      <c r="B21" s="475" t="s">
        <v>143</v>
      </c>
      <c r="C21" s="476"/>
      <c r="D21" s="476"/>
      <c r="E21" s="476"/>
      <c r="F21" s="476"/>
      <c r="G21" s="476"/>
      <c r="H21" s="555"/>
      <c r="I21" s="476"/>
      <c r="J21" s="477"/>
      <c r="K21" s="476"/>
      <c r="L21" s="476"/>
      <c r="M21" s="476"/>
      <c r="N21" s="476"/>
      <c r="O21" s="476"/>
      <c r="P21" s="476"/>
    </row>
    <row r="22" spans="2:16">
      <c r="B22" s="475"/>
      <c r="C22" s="476"/>
      <c r="D22" s="476"/>
      <c r="E22" s="476"/>
      <c r="F22" s="476"/>
      <c r="G22" s="476"/>
      <c r="H22" s="555"/>
      <c r="I22" s="476"/>
      <c r="J22" s="477"/>
      <c r="K22" s="476"/>
      <c r="L22" s="476"/>
      <c r="M22" s="476"/>
      <c r="N22" s="476"/>
      <c r="O22" s="476"/>
      <c r="P22" s="476"/>
    </row>
    <row r="23" spans="2:16">
      <c r="B23" s="475"/>
      <c r="C23" s="476"/>
      <c r="D23" s="476"/>
      <c r="E23" s="476"/>
      <c r="F23" s="476"/>
      <c r="G23" s="476"/>
      <c r="H23" s="555"/>
      <c r="I23" s="476"/>
      <c r="J23" s="477"/>
      <c r="K23" s="476"/>
      <c r="L23" s="476"/>
      <c r="M23" s="476"/>
      <c r="N23" s="476"/>
      <c r="O23" s="476"/>
      <c r="P23" s="476"/>
    </row>
    <row r="24" spans="2:16" ht="13.5" thickBot="1">
      <c r="B24" s="481"/>
      <c r="C24" s="482"/>
      <c r="D24" s="482"/>
      <c r="E24" s="482"/>
      <c r="F24" s="482"/>
      <c r="G24" s="482"/>
      <c r="H24" s="968"/>
      <c r="I24" s="482"/>
      <c r="J24" s="483"/>
      <c r="K24" s="476"/>
      <c r="L24" s="476"/>
      <c r="M24" s="476"/>
      <c r="N24" s="476"/>
      <c r="O24" s="476"/>
      <c r="P24" s="476"/>
    </row>
    <row r="25" spans="2:16">
      <c r="F25" s="560"/>
      <c r="G25" s="560"/>
      <c r="H25" s="529"/>
      <c r="K25" s="476"/>
      <c r="L25" s="476"/>
      <c r="M25" s="476"/>
      <c r="N25" s="476"/>
      <c r="O25" s="476"/>
      <c r="P25" s="476"/>
    </row>
    <row r="26" spans="2:16">
      <c r="B26" s="470" t="s">
        <v>144</v>
      </c>
      <c r="K26" s="476"/>
      <c r="L26" s="476"/>
      <c r="M26" s="476"/>
      <c r="N26" s="476"/>
      <c r="O26" s="476"/>
      <c r="P26" s="476"/>
    </row>
    <row r="27" spans="2:16" ht="13.5" thickBot="1"/>
    <row r="28" spans="2:16">
      <c r="B28" s="472"/>
      <c r="C28" s="561"/>
      <c r="D28" s="473"/>
      <c r="E28" s="473"/>
      <c r="F28" s="473"/>
      <c r="G28" s="473"/>
      <c r="H28" s="962"/>
      <c r="I28" s="473"/>
      <c r="J28" s="474"/>
    </row>
    <row r="29" spans="2:16">
      <c r="B29" s="484"/>
      <c r="C29" s="563" t="s">
        <v>70</v>
      </c>
      <c r="D29" s="486">
        <v>2015</v>
      </c>
      <c r="E29" s="486">
        <v>2020</v>
      </c>
      <c r="F29" s="486">
        <v>2035</v>
      </c>
      <c r="G29" s="486">
        <v>2050</v>
      </c>
      <c r="H29" s="973" t="s">
        <v>978</v>
      </c>
      <c r="I29" s="485" t="s">
        <v>145</v>
      </c>
      <c r="J29" s="487" t="s">
        <v>146</v>
      </c>
    </row>
    <row r="30" spans="2:16">
      <c r="B30" s="656" t="s">
        <v>147</v>
      </c>
      <c r="C30" s="657"/>
      <c r="D30" s="658"/>
      <c r="E30" s="658"/>
      <c r="F30" s="658"/>
      <c r="G30" s="658"/>
      <c r="H30" s="977"/>
      <c r="I30" s="497"/>
      <c r="J30" s="659"/>
    </row>
    <row r="31" spans="2:16">
      <c r="B31" s="475" t="s">
        <v>148</v>
      </c>
      <c r="C31" s="210" t="s">
        <v>1420</v>
      </c>
      <c r="D31" s="566">
        <f>1/D161</f>
        <v>1</v>
      </c>
      <c r="E31" s="566">
        <f>$D31</f>
        <v>1</v>
      </c>
      <c r="F31" s="566">
        <f>$D31</f>
        <v>1</v>
      </c>
      <c r="G31" s="566">
        <f>$D31</f>
        <v>1</v>
      </c>
      <c r="H31" s="1333"/>
      <c r="I31" s="476"/>
      <c r="J31" s="477"/>
    </row>
    <row r="32" spans="2:16">
      <c r="B32" s="475" t="s">
        <v>67</v>
      </c>
      <c r="C32" s="210" t="s">
        <v>1421</v>
      </c>
      <c r="D32" s="567">
        <f>D159/D158</f>
        <v>35.9</v>
      </c>
      <c r="E32" s="566">
        <f t="shared" ref="E32:G34" si="0">$D32</f>
        <v>35.9</v>
      </c>
      <c r="F32" s="566">
        <f t="shared" si="0"/>
        <v>35.9</v>
      </c>
      <c r="G32" s="566">
        <f t="shared" si="0"/>
        <v>35.9</v>
      </c>
      <c r="H32" s="978"/>
      <c r="I32" s="476"/>
      <c r="J32" s="477"/>
    </row>
    <row r="33" spans="2:10">
      <c r="B33" s="475" t="s">
        <v>149</v>
      </c>
      <c r="C33" s="210" t="s">
        <v>1422</v>
      </c>
      <c r="D33" s="1395">
        <f>D158</f>
        <v>5000</v>
      </c>
      <c r="E33" s="1395">
        <f t="shared" si="0"/>
        <v>5000</v>
      </c>
      <c r="F33" s="1395">
        <f t="shared" si="0"/>
        <v>5000</v>
      </c>
      <c r="G33" s="1395">
        <f t="shared" si="0"/>
        <v>5000</v>
      </c>
      <c r="H33" s="1397"/>
      <c r="I33" s="476"/>
      <c r="J33" s="477"/>
    </row>
    <row r="34" spans="2:10">
      <c r="B34" s="475" t="s">
        <v>150</v>
      </c>
      <c r="C34" s="564" t="s">
        <v>34</v>
      </c>
      <c r="D34" s="1393">
        <f>20</f>
        <v>20</v>
      </c>
      <c r="E34" s="1393">
        <f t="shared" si="0"/>
        <v>20</v>
      </c>
      <c r="F34" s="1393">
        <f t="shared" si="0"/>
        <v>20</v>
      </c>
      <c r="G34" s="1393">
        <f t="shared" si="0"/>
        <v>20</v>
      </c>
      <c r="H34" s="1332"/>
      <c r="I34" s="476"/>
      <c r="J34" s="477" t="s">
        <v>1087</v>
      </c>
    </row>
    <row r="35" spans="2:10">
      <c r="B35" s="475"/>
      <c r="C35" s="571"/>
      <c r="D35" s="572"/>
      <c r="E35" s="573"/>
      <c r="F35" s="573"/>
      <c r="G35" s="573"/>
      <c r="H35" s="983"/>
      <c r="I35" s="476"/>
      <c r="J35" s="477"/>
    </row>
    <row r="36" spans="2:10">
      <c r="B36" s="570" t="s">
        <v>151</v>
      </c>
      <c r="C36" s="571"/>
      <c r="D36" s="572"/>
      <c r="E36" s="573"/>
      <c r="F36" s="573"/>
      <c r="G36" s="573"/>
      <c r="H36" s="983"/>
      <c r="I36" s="476"/>
      <c r="J36" s="477"/>
    </row>
    <row r="37" spans="2:10">
      <c r="B37" s="475" t="str">
        <f>ProcessEnergy!B35</f>
        <v xml:space="preserve">Green diesel </v>
      </c>
      <c r="C37" s="564" t="s">
        <v>463</v>
      </c>
      <c r="D37" s="574"/>
      <c r="E37" s="574"/>
      <c r="F37" s="574"/>
      <c r="G37" s="574"/>
      <c r="H37" s="984"/>
      <c r="I37" s="476"/>
      <c r="J37" s="477"/>
    </row>
    <row r="38" spans="2:10">
      <c r="B38" s="575" t="str">
        <f>ProcessEnergy!B36</f>
        <v>Green gasoline</v>
      </c>
      <c r="C38" s="564"/>
      <c r="D38" s="574"/>
      <c r="E38" s="574"/>
      <c r="F38" s="574"/>
      <c r="G38" s="574"/>
      <c r="H38" s="984"/>
      <c r="I38" s="476"/>
      <c r="J38" s="477"/>
    </row>
    <row r="39" spans="2:10">
      <c r="B39" s="575" t="str">
        <f>ProcessEnergy!B37</f>
        <v>Electricity - balancing</v>
      </c>
      <c r="C39" s="564"/>
      <c r="D39" s="574"/>
      <c r="E39" s="574"/>
      <c r="F39" s="574"/>
      <c r="G39" s="574"/>
      <c r="H39" s="984"/>
      <c r="I39" s="476"/>
      <c r="J39" s="477"/>
    </row>
    <row r="40" spans="2:10">
      <c r="B40" s="575" t="str">
        <f>ProcessEnergy!B38</f>
        <v>Electricity  - continous</v>
      </c>
      <c r="C40" s="564"/>
      <c r="D40" s="574"/>
      <c r="E40" s="574"/>
      <c r="F40" s="574"/>
      <c r="G40" s="574"/>
      <c r="H40" s="984"/>
      <c r="I40" s="476"/>
      <c r="J40" s="477"/>
    </row>
    <row r="41" spans="2:10">
      <c r="B41" s="575" t="str">
        <f>ProcessEnergy!B39</f>
        <v>Elec/heat fuel</v>
      </c>
      <c r="C41" s="564"/>
      <c r="D41" s="574"/>
      <c r="E41" s="574"/>
      <c r="F41" s="574"/>
      <c r="G41" s="574"/>
      <c r="H41" s="984"/>
      <c r="I41" s="476"/>
      <c r="J41" s="477"/>
    </row>
    <row r="42" spans="2:10">
      <c r="B42" s="575" t="str">
        <f>ProcessEnergy!B40</f>
        <v>Biogas (100% CH4)</v>
      </c>
      <c r="C42" s="564"/>
      <c r="D42" s="574"/>
      <c r="E42" s="574"/>
      <c r="F42" s="574"/>
      <c r="G42" s="574"/>
      <c r="H42" s="984"/>
      <c r="I42" s="476"/>
      <c r="J42" s="477"/>
    </row>
    <row r="43" spans="2:10">
      <c r="B43" s="575" t="str">
        <f>ProcessEnergy!B41</f>
        <v>District heating</v>
      </c>
      <c r="C43" s="564" t="s">
        <v>1423</v>
      </c>
      <c r="D43" s="1071">
        <f>C151*C152</f>
        <v>0.22730769230769235</v>
      </c>
      <c r="E43" s="1071">
        <f>$D43</f>
        <v>0.22730769230769235</v>
      </c>
      <c r="F43" s="1071">
        <f>$D43</f>
        <v>0.22730769230769235</v>
      </c>
      <c r="G43" s="1071">
        <f>$D43</f>
        <v>0.22730769230769235</v>
      </c>
      <c r="H43" s="978"/>
      <c r="I43" s="476"/>
      <c r="J43" s="477"/>
    </row>
    <row r="44" spans="2:10">
      <c r="B44" s="575" t="str">
        <f>ProcessEnergy!B42</f>
        <v>&lt;empty&gt;</v>
      </c>
      <c r="C44" s="564"/>
      <c r="D44" s="1071"/>
      <c r="E44" s="1071"/>
      <c r="F44" s="1071"/>
      <c r="G44" s="1071"/>
      <c r="H44" s="978"/>
      <c r="I44" s="476"/>
      <c r="J44" s="477"/>
    </row>
    <row r="45" spans="2:10">
      <c r="B45" s="575" t="str">
        <f>ProcessEnergy!B43</f>
        <v>&lt;empty&gt;</v>
      </c>
      <c r="C45" s="564"/>
      <c r="D45" s="1071"/>
      <c r="E45" s="1071"/>
      <c r="F45" s="1071"/>
      <c r="G45" s="1071"/>
      <c r="H45" s="978"/>
      <c r="I45" s="476"/>
      <c r="J45" s="477"/>
    </row>
    <row r="46" spans="2:10">
      <c r="B46" s="575" t="str">
        <f>ProcessEnergy!B44</f>
        <v>&lt;empty&gt;</v>
      </c>
      <c r="C46" s="564"/>
      <c r="D46" s="1071"/>
      <c r="E46" s="1071"/>
      <c r="F46" s="1071"/>
      <c r="G46" s="1071"/>
      <c r="H46" s="978"/>
      <c r="I46" s="476"/>
      <c r="J46" s="477"/>
    </row>
    <row r="47" spans="2:10">
      <c r="B47" s="575" t="str">
        <f>ProcessEnergy!B45</f>
        <v>&lt;empty&gt;</v>
      </c>
      <c r="C47" s="564"/>
      <c r="D47" s="1071"/>
      <c r="E47" s="1071"/>
      <c r="F47" s="1071"/>
      <c r="G47" s="1071"/>
      <c r="H47" s="978"/>
      <c r="I47" s="476"/>
      <c r="J47" s="477"/>
    </row>
    <row r="48" spans="2:10">
      <c r="B48" s="575" t="str">
        <f>ProcessEnergy!B46</f>
        <v>&lt;empty&gt;</v>
      </c>
      <c r="C48" s="564"/>
      <c r="D48" s="1071"/>
      <c r="E48" s="1071"/>
      <c r="F48" s="1071"/>
      <c r="G48" s="1071"/>
      <c r="H48" s="978"/>
      <c r="I48" s="476"/>
      <c r="J48" s="477"/>
    </row>
    <row r="49" spans="2:10">
      <c r="B49" s="575" t="str">
        <f>ProcessEnergy!B47</f>
        <v>&lt;empty&gt;</v>
      </c>
      <c r="C49" s="564"/>
      <c r="D49" s="1071"/>
      <c r="E49" s="1071"/>
      <c r="F49" s="1071"/>
      <c r="G49" s="1071"/>
      <c r="H49" s="978"/>
      <c r="I49" s="476"/>
      <c r="J49" s="477"/>
    </row>
    <row r="50" spans="2:10">
      <c r="B50" s="575" t="str">
        <f>ProcessEnergy!B48</f>
        <v>Glycerol</v>
      </c>
      <c r="C50" s="564"/>
      <c r="D50" s="1071"/>
      <c r="E50" s="1071"/>
      <c r="F50" s="1071"/>
      <c r="G50" s="1071"/>
      <c r="H50" s="978"/>
      <c r="I50" s="476"/>
      <c r="J50" s="477"/>
    </row>
    <row r="51" spans="2:10">
      <c r="B51" s="575" t="str">
        <f>ProcessEnergy!B49</f>
        <v>&lt;empty&gt;</v>
      </c>
      <c r="C51" s="564"/>
      <c r="D51" s="1071"/>
      <c r="E51" s="1071"/>
      <c r="F51" s="1071"/>
      <c r="G51" s="1071"/>
      <c r="H51" s="978"/>
      <c r="I51" s="476"/>
      <c r="J51" s="477"/>
    </row>
    <row r="52" spans="2:10">
      <c r="B52" s="575" t="str">
        <f>ProcessEnergy!B51</f>
        <v>Fodder (wheat like)</v>
      </c>
      <c r="C52" s="564"/>
      <c r="D52" s="574"/>
      <c r="E52" s="574"/>
      <c r="F52" s="574"/>
      <c r="G52" s="574"/>
      <c r="H52" s="984"/>
      <c r="I52" s="476"/>
      <c r="J52" s="477"/>
    </row>
    <row r="53" spans="2:10">
      <c r="B53" s="575" t="str">
        <f>ProcessEnergy!B52</f>
        <v>Rape seed cake</v>
      </c>
      <c r="C53" s="564"/>
      <c r="D53" s="574"/>
      <c r="E53" s="574"/>
      <c r="F53" s="574"/>
      <c r="G53" s="574"/>
      <c r="H53" s="984"/>
      <c r="I53" s="476"/>
      <c r="J53" s="477"/>
    </row>
    <row r="54" spans="2:10">
      <c r="B54" s="575" t="str">
        <f>ProcessEnergy!B53</f>
        <v>&lt;empty&gt;</v>
      </c>
      <c r="C54" s="564"/>
      <c r="D54" s="574"/>
      <c r="E54" s="574"/>
      <c r="F54" s="574"/>
      <c r="G54" s="574"/>
      <c r="H54" s="984"/>
      <c r="I54" s="476"/>
      <c r="J54" s="477"/>
    </row>
    <row r="55" spans="2:10">
      <c r="B55" s="575" t="str">
        <f>ProcessEnergy!B54</f>
        <v>DDGS</v>
      </c>
      <c r="C55" s="564"/>
      <c r="D55" s="574"/>
      <c r="E55" s="574"/>
      <c r="F55" s="574"/>
      <c r="G55" s="574"/>
      <c r="H55" s="984"/>
      <c r="I55" s="476"/>
      <c r="J55" s="477"/>
    </row>
    <row r="56" spans="2:10">
      <c r="B56" s="475"/>
      <c r="C56" s="564"/>
      <c r="D56" s="574"/>
      <c r="E56" s="574"/>
      <c r="F56" s="574"/>
      <c r="G56" s="574"/>
      <c r="H56" s="984"/>
      <c r="I56" s="476"/>
      <c r="J56" s="477"/>
    </row>
    <row r="57" spans="2:10">
      <c r="B57" s="570" t="s">
        <v>873</v>
      </c>
      <c r="C57" s="564"/>
      <c r="D57" s="574"/>
      <c r="E57" s="574"/>
      <c r="F57" s="574"/>
      <c r="G57" s="574"/>
      <c r="H57" s="984"/>
      <c r="I57" s="476"/>
      <c r="J57" s="477"/>
    </row>
    <row r="58" spans="2:10">
      <c r="B58" s="475" t="str">
        <f>ProcessEnergy!B5</f>
        <v>EL - peakload</v>
      </c>
      <c r="C58" s="564" t="s">
        <v>1423</v>
      </c>
      <c r="D58" s="993">
        <f>D163/D160</f>
        <v>0.92307692307692302</v>
      </c>
      <c r="E58" s="508">
        <f>D58</f>
        <v>0.92307692307692302</v>
      </c>
      <c r="F58" s="508">
        <f>E58</f>
        <v>0.92307692307692302</v>
      </c>
      <c r="G58" s="508">
        <f>F58</f>
        <v>0.92307692307692302</v>
      </c>
      <c r="H58" s="984"/>
      <c r="I58" s="476"/>
      <c r="J58" s="477"/>
    </row>
    <row r="59" spans="2:10">
      <c r="B59" s="475" t="str">
        <f>ProcessEnergy!B6</f>
        <v>El - baseload</v>
      </c>
      <c r="C59" s="564" t="s">
        <v>1423</v>
      </c>
      <c r="D59" s="508"/>
      <c r="E59" s="508"/>
      <c r="F59" s="508"/>
      <c r="G59" s="508"/>
      <c r="H59" s="984"/>
      <c r="I59" s="476"/>
      <c r="J59" s="477"/>
    </row>
    <row r="60" spans="2:10">
      <c r="B60" s="475" t="str">
        <f>ProcessEnergy!B7</f>
        <v xml:space="preserve">Varme </v>
      </c>
      <c r="C60" s="564" t="s">
        <v>1423</v>
      </c>
      <c r="D60" s="574"/>
      <c r="E60" s="574"/>
      <c r="F60" s="574"/>
      <c r="G60" s="574"/>
      <c r="H60" s="984"/>
      <c r="I60" s="476"/>
      <c r="J60" s="477"/>
    </row>
    <row r="61" spans="2:10">
      <c r="B61" s="475" t="str">
        <f>ProcessEnergy!B8</f>
        <v>Damp</v>
      </c>
      <c r="C61" s="564" t="s">
        <v>1423</v>
      </c>
      <c r="D61" s="574"/>
      <c r="E61" s="574"/>
      <c r="F61" s="574"/>
      <c r="G61" s="574"/>
      <c r="H61" s="984"/>
      <c r="I61" s="476"/>
      <c r="J61" s="477"/>
    </row>
    <row r="62" spans="2:10">
      <c r="B62" s="475" t="str">
        <f>ProcessEnergy!B9</f>
        <v xml:space="preserve">Olie </v>
      </c>
      <c r="C62" s="564" t="s">
        <v>1423</v>
      </c>
      <c r="D62" s="574"/>
      <c r="E62" s="574"/>
      <c r="F62" s="574"/>
      <c r="G62" s="574"/>
      <c r="H62" s="984"/>
      <c r="I62" s="476"/>
      <c r="J62" s="477"/>
    </row>
    <row r="63" spans="2:10">
      <c r="B63" s="475" t="str">
        <f>ProcessEnergy!B10</f>
        <v>Kul</v>
      </c>
      <c r="C63" s="564" t="s">
        <v>1423</v>
      </c>
      <c r="D63" s="574"/>
      <c r="E63" s="574"/>
      <c r="F63" s="574"/>
      <c r="G63" s="574"/>
      <c r="H63" s="984"/>
      <c r="I63" s="476"/>
      <c r="J63" s="477"/>
    </row>
    <row r="64" spans="2:10">
      <c r="B64" s="475" t="str">
        <f>ProcessEnergy!B11</f>
        <v>Naturgas kedel</v>
      </c>
      <c r="C64" s="564" t="s">
        <v>1423</v>
      </c>
      <c r="D64" s="574"/>
      <c r="E64" s="574"/>
      <c r="F64" s="574"/>
      <c r="G64" s="574"/>
      <c r="H64" s="984"/>
      <c r="I64" s="476"/>
      <c r="J64" s="477"/>
    </row>
    <row r="65" spans="2:10">
      <c r="B65" s="475" t="str">
        <f>ProcessEnergy!B12</f>
        <v>Gylle</v>
      </c>
      <c r="C65" s="564" t="s">
        <v>1423</v>
      </c>
      <c r="D65" s="574"/>
      <c r="E65" s="574"/>
      <c r="F65" s="574"/>
      <c r="G65" s="574"/>
      <c r="H65" s="984"/>
      <c r="I65" s="476"/>
      <c r="J65" s="477"/>
    </row>
    <row r="66" spans="2:10">
      <c r="B66" s="475" t="str">
        <f>ProcessEnergy!B13</f>
        <v>Affald</v>
      </c>
      <c r="C66" s="564" t="s">
        <v>1423</v>
      </c>
      <c r="D66" s="574"/>
      <c r="E66" s="574"/>
      <c r="F66" s="574"/>
      <c r="G66" s="574"/>
      <c r="H66" s="984"/>
      <c r="I66" s="476"/>
      <c r="J66" s="477"/>
    </row>
    <row r="67" spans="2:10">
      <c r="B67" s="475" t="str">
        <f>ProcessEnergy!B14</f>
        <v>Hydrogen</v>
      </c>
      <c r="C67" s="564" t="s">
        <v>1423</v>
      </c>
      <c r="D67" s="574"/>
      <c r="E67" s="574"/>
      <c r="F67" s="574"/>
      <c r="G67" s="574"/>
      <c r="H67" s="984"/>
      <c r="I67" s="476"/>
      <c r="J67" s="477"/>
    </row>
    <row r="68" spans="2:10">
      <c r="B68" s="475" t="str">
        <f>ProcessEnergy!B15</f>
        <v>Biomasse</v>
      </c>
      <c r="C68" s="564" t="s">
        <v>1423</v>
      </c>
      <c r="D68" s="574"/>
      <c r="E68" s="574"/>
      <c r="F68" s="574"/>
      <c r="G68" s="574"/>
      <c r="H68" s="984"/>
      <c r="I68" s="476"/>
      <c r="J68" s="477"/>
    </row>
    <row r="69" spans="2:10">
      <c r="B69" s="475" t="str">
        <f>ProcessEnergy!B16</f>
        <v>Methanol</v>
      </c>
      <c r="C69" s="564"/>
      <c r="D69" s="574"/>
      <c r="E69" s="574"/>
      <c r="F69" s="574"/>
      <c r="G69" s="574"/>
      <c r="H69" s="984"/>
      <c r="I69" s="476"/>
      <c r="J69" s="477"/>
    </row>
    <row r="70" spans="2:10">
      <c r="B70" s="475" t="str">
        <f>ProcessEnergy!B17</f>
        <v>&lt;empty&gt;</v>
      </c>
      <c r="C70" s="564"/>
      <c r="D70" s="574"/>
      <c r="E70" s="574"/>
      <c r="F70" s="574"/>
      <c r="G70" s="574"/>
      <c r="H70" s="984"/>
      <c r="I70" s="476"/>
      <c r="J70" s="477"/>
    </row>
    <row r="71" spans="2:10">
      <c r="B71" s="475" t="str">
        <f>ProcessEnergy!B18</f>
        <v>&lt;empty&gt;</v>
      </c>
      <c r="C71" s="564"/>
      <c r="D71" s="574"/>
      <c r="E71" s="574"/>
      <c r="F71" s="574"/>
      <c r="G71" s="574"/>
      <c r="H71" s="984"/>
      <c r="I71" s="476"/>
      <c r="J71" s="477"/>
    </row>
    <row r="72" spans="2:10">
      <c r="B72" s="475" t="str">
        <f>ProcessEnergy!B19</f>
        <v>&lt;empty&gt;</v>
      </c>
      <c r="C72" s="564"/>
      <c r="D72" s="574"/>
      <c r="E72" s="574"/>
      <c r="F72" s="574"/>
      <c r="G72" s="574"/>
      <c r="H72" s="984"/>
      <c r="I72" s="476"/>
      <c r="J72" s="477"/>
    </row>
    <row r="73" spans="2:10">
      <c r="B73" s="475" t="str">
        <f>ProcessEnergy!B20</f>
        <v>&lt;empty&gt;</v>
      </c>
      <c r="C73" s="564"/>
      <c r="D73" s="574"/>
      <c r="E73" s="574"/>
      <c r="F73" s="574"/>
      <c r="G73" s="574"/>
      <c r="H73" s="984"/>
      <c r="I73" s="476"/>
      <c r="J73" s="477"/>
    </row>
    <row r="74" spans="2:10">
      <c r="B74" s="475" t="str">
        <f>ProcessEnergy!B21</f>
        <v>&lt;empty&gt;</v>
      </c>
      <c r="C74" s="564"/>
      <c r="D74" s="574"/>
      <c r="E74" s="574"/>
      <c r="F74" s="574"/>
      <c r="G74" s="574"/>
      <c r="H74" s="984"/>
      <c r="I74" s="476"/>
      <c r="J74" s="477"/>
    </row>
    <row r="75" spans="2:10">
      <c r="B75" s="475" t="str">
        <f>ProcessEnergy!B22</f>
        <v>&lt;empty&gt;</v>
      </c>
      <c r="C75" s="564"/>
      <c r="D75" s="574"/>
      <c r="E75" s="574"/>
      <c r="F75" s="574"/>
      <c r="G75" s="574"/>
      <c r="H75" s="984"/>
      <c r="I75" s="476"/>
      <c r="J75" s="477"/>
    </row>
    <row r="76" spans="2:10">
      <c r="B76" s="475" t="str">
        <f>ProcessEnergy!B23</f>
        <v>&lt;empty&gt;</v>
      </c>
      <c r="C76" s="564"/>
      <c r="D76" s="574"/>
      <c r="E76" s="574"/>
      <c r="F76" s="574"/>
      <c r="G76" s="574"/>
      <c r="H76" s="984"/>
      <c r="I76" s="476"/>
      <c r="J76" s="477"/>
    </row>
    <row r="77" spans="2:10">
      <c r="B77" s="475" t="str">
        <f>ProcessEnergy!B24</f>
        <v>&lt;empty&gt;</v>
      </c>
      <c r="C77" s="564" t="s">
        <v>1423</v>
      </c>
      <c r="D77" s="574"/>
      <c r="E77" s="574"/>
      <c r="F77" s="574"/>
      <c r="G77" s="574"/>
      <c r="H77" s="984"/>
      <c r="I77" s="476"/>
      <c r="J77" s="477"/>
    </row>
    <row r="78" spans="2:10">
      <c r="B78" s="475"/>
      <c r="C78" s="564"/>
      <c r="D78" s="574"/>
      <c r="E78" s="574"/>
      <c r="F78" s="574"/>
      <c r="G78" s="574"/>
      <c r="H78" s="984"/>
      <c r="I78" s="476"/>
      <c r="J78" s="477"/>
    </row>
    <row r="79" spans="2:10">
      <c r="B79" s="475"/>
      <c r="C79" s="564"/>
      <c r="D79" s="574"/>
      <c r="E79" s="574"/>
      <c r="F79" s="574"/>
      <c r="G79" s="574"/>
      <c r="H79" s="984"/>
      <c r="I79" s="476"/>
      <c r="J79" s="477"/>
    </row>
    <row r="80" spans="2:10">
      <c r="B80" s="475"/>
      <c r="C80" s="564"/>
      <c r="D80" s="565"/>
      <c r="E80" s="565"/>
      <c r="F80" s="565"/>
      <c r="G80" s="565"/>
      <c r="H80" s="986"/>
      <c r="I80" s="476"/>
      <c r="J80" s="477"/>
    </row>
    <row r="81" spans="1:17">
      <c r="B81" s="570" t="s">
        <v>152</v>
      </c>
      <c r="C81" s="564"/>
      <c r="D81" s="565"/>
      <c r="E81" s="565"/>
      <c r="F81" s="565"/>
      <c r="G81" s="565"/>
      <c r="H81" s="986"/>
      <c r="I81" s="476"/>
      <c r="J81" s="477"/>
    </row>
    <row r="82" spans="1:17">
      <c r="A82" s="469">
        <v>4</v>
      </c>
      <c r="B82" s="475" t="s">
        <v>462</v>
      </c>
      <c r="C82" s="976" t="s">
        <v>725</v>
      </c>
      <c r="D82" s="1636">
        <v>1</v>
      </c>
      <c r="E82" s="566">
        <f>$D82</f>
        <v>1</v>
      </c>
      <c r="F82" s="566">
        <f>$D82</f>
        <v>1</v>
      </c>
      <c r="G82" s="566">
        <f>$D82</f>
        <v>1</v>
      </c>
      <c r="H82" s="978"/>
      <c r="I82" s="476"/>
      <c r="J82" s="477"/>
    </row>
    <row r="83" spans="1:17">
      <c r="B83" s="475" t="s">
        <v>153</v>
      </c>
      <c r="C83" s="976" t="s">
        <v>725</v>
      </c>
      <c r="D83" s="566">
        <f>D58*D82</f>
        <v>0.92307692307692302</v>
      </c>
      <c r="E83" s="566">
        <f t="shared" ref="E83:G87" si="1">$D83</f>
        <v>0.92307692307692302</v>
      </c>
      <c r="F83" s="566">
        <f t="shared" si="1"/>
        <v>0.92307692307692302</v>
      </c>
      <c r="G83" s="566">
        <f t="shared" si="1"/>
        <v>0.92307692307692302</v>
      </c>
      <c r="H83" s="1334"/>
      <c r="I83" s="476"/>
      <c r="J83" s="477"/>
    </row>
    <row r="84" spans="1:17">
      <c r="B84" s="475" t="s">
        <v>154</v>
      </c>
      <c r="C84" s="976" t="s">
        <v>725</v>
      </c>
      <c r="D84" s="480">
        <f>D43*D82</f>
        <v>0.22730769230769235</v>
      </c>
      <c r="E84" s="480">
        <f>E43*E82</f>
        <v>0.22730769230769235</v>
      </c>
      <c r="F84" s="480">
        <f>F43*F82</f>
        <v>0.22730769230769235</v>
      </c>
      <c r="G84" s="480">
        <f>G43*G82</f>
        <v>0.22730769230769235</v>
      </c>
      <c r="H84" s="978"/>
      <c r="I84" s="476"/>
      <c r="J84" s="477"/>
    </row>
    <row r="85" spans="1:17">
      <c r="B85" s="475" t="s">
        <v>1424</v>
      </c>
      <c r="C85" s="976" t="s">
        <v>725</v>
      </c>
      <c r="D85" s="307">
        <f>D82/D160</f>
        <v>1.5384615384615383</v>
      </c>
      <c r="E85" s="566">
        <f t="shared" si="1"/>
        <v>1.5384615384615383</v>
      </c>
      <c r="F85" s="566">
        <f t="shared" si="1"/>
        <v>1.5384615384615383</v>
      </c>
      <c r="G85" s="566">
        <f t="shared" si="1"/>
        <v>1.5384615384615383</v>
      </c>
      <c r="H85" s="978"/>
      <c r="I85" s="476"/>
      <c r="J85" s="477"/>
    </row>
    <row r="86" spans="1:17">
      <c r="B86" s="575" t="s">
        <v>155</v>
      </c>
      <c r="C86" s="976" t="s">
        <v>725</v>
      </c>
      <c r="D86" s="577">
        <f>SUM(D82:D83)-D84-D85</f>
        <v>0.15730769230769215</v>
      </c>
      <c r="E86" s="566">
        <f t="shared" si="1"/>
        <v>0.15730769230769215</v>
      </c>
      <c r="F86" s="566">
        <f t="shared" si="1"/>
        <v>0.15730769230769215</v>
      </c>
      <c r="G86" s="566">
        <f t="shared" si="1"/>
        <v>0.15730769230769215</v>
      </c>
      <c r="H86" s="978"/>
      <c r="I86" s="476"/>
      <c r="J86" s="477"/>
    </row>
    <row r="87" spans="1:17">
      <c r="B87" s="575" t="s">
        <v>156</v>
      </c>
      <c r="C87" s="988" t="s">
        <v>726</v>
      </c>
      <c r="D87" s="480">
        <f>SUM(D84:D85)/SUM(D82:D83)</f>
        <v>0.91820000000000013</v>
      </c>
      <c r="E87" s="566">
        <f t="shared" si="1"/>
        <v>0.91820000000000013</v>
      </c>
      <c r="F87" s="566">
        <f t="shared" si="1"/>
        <v>0.91820000000000013</v>
      </c>
      <c r="G87" s="566">
        <f t="shared" si="1"/>
        <v>0.91820000000000013</v>
      </c>
      <c r="H87" s="990"/>
      <c r="I87" s="476"/>
      <c r="J87" s="477"/>
    </row>
    <row r="88" spans="1:17">
      <c r="B88" s="475"/>
      <c r="C88" s="564"/>
      <c r="D88" s="1072">
        <f>D167/100</f>
        <v>0.92299999999999993</v>
      </c>
      <c r="E88" s="573"/>
      <c r="F88" s="573"/>
      <c r="G88" s="573"/>
      <c r="H88" s="990"/>
      <c r="I88" s="476"/>
      <c r="J88" s="477"/>
      <c r="N88" s="471"/>
    </row>
    <row r="89" spans="1:17">
      <c r="B89" s="570" t="s">
        <v>2116</v>
      </c>
      <c r="C89" s="564"/>
      <c r="D89" s="573"/>
      <c r="E89" s="573"/>
      <c r="F89" s="573"/>
      <c r="G89" s="573"/>
      <c r="H89" s="983"/>
      <c r="I89" s="476"/>
      <c r="J89" s="477"/>
      <c r="N89" s="582"/>
      <c r="O89" s="582"/>
      <c r="P89" s="582"/>
      <c r="Q89" s="582"/>
    </row>
    <row r="90" spans="1:17" s="530" customFormat="1">
      <c r="B90" s="964" t="s">
        <v>157</v>
      </c>
      <c r="C90" s="976" t="s">
        <v>61</v>
      </c>
      <c r="D90" s="992">
        <f ca="1">HLOOKUP($H99,Supplementary!$C$44:$AF$46,3,FALSE)*D99*D$110</f>
        <v>34732871.154206805</v>
      </c>
      <c r="E90" s="992">
        <f ca="1">HLOOKUP($H99,Supplementary!$C$44:$AF$46,3,FALSE)*E99*E$110</f>
        <v>32996227.596496463</v>
      </c>
      <c r="F90" s="992">
        <f ca="1">HLOOKUP($H99,Supplementary!$C$44:$AF$46,3,FALSE)*F99*F$110</f>
        <v>26875633.603768848</v>
      </c>
      <c r="G90" s="992">
        <f ca="1">HLOOKUP($H99,Supplementary!$C$44:$AF$46,3,FALSE)*G99*G$110</f>
        <v>19756060.317539223</v>
      </c>
      <c r="H90" s="555">
        <f t="shared" ref="H90:H96" si="2">priceYear</f>
        <v>2015</v>
      </c>
      <c r="I90" s="555"/>
      <c r="J90" s="965"/>
      <c r="N90" s="991"/>
      <c r="O90" s="991"/>
      <c r="P90" s="991"/>
      <c r="Q90" s="991"/>
    </row>
    <row r="91" spans="1:17" s="530" customFormat="1">
      <c r="B91" s="964" t="s">
        <v>160</v>
      </c>
      <c r="C91" s="976" t="s">
        <v>464</v>
      </c>
      <c r="D91" s="555">
        <f ca="1">SUM(D92:D96)</f>
        <v>12.409434231685355</v>
      </c>
      <c r="E91" s="555">
        <f ca="1">SUM(E92:E96)</f>
        <v>11.544233485691681</v>
      </c>
      <c r="F91" s="555">
        <f ca="1">SUM(F92:F96)</f>
        <v>7.1748910881584242</v>
      </c>
      <c r="G91" s="555">
        <f ca="1">SUM(G92:G96)</f>
        <v>3.1956820770930845</v>
      </c>
      <c r="H91" s="555">
        <f t="shared" si="2"/>
        <v>2015</v>
      </c>
      <c r="I91" s="555"/>
      <c r="J91" s="965"/>
      <c r="N91" s="991"/>
      <c r="O91" s="991"/>
      <c r="P91" s="991"/>
      <c r="Q91" s="991"/>
    </row>
    <row r="92" spans="1:17" s="530" customFormat="1">
      <c r="B92" s="995" t="s">
        <v>162</v>
      </c>
      <c r="C92" s="976" t="s">
        <v>464</v>
      </c>
      <c r="D92" s="992">
        <f ca="1">HLOOKUP($H101,Supplementary!$C$44:$AF$46,3,FALSE)*D101*D$110</f>
        <v>15.52677126448182</v>
      </c>
      <c r="E92" s="555">
        <f ca="1">HLOOKUP($H101,Supplementary!$C$44:$AF$46,3,FALSE)*E101*E$110</f>
        <v>14.750432701257727</v>
      </c>
      <c r="F92" s="555">
        <f ca="1">HLOOKUP($H101,Supplementary!$C$44:$AF$46,3,FALSE)*F101*F$110</f>
        <v>12.014319625378803</v>
      </c>
      <c r="G92" s="555">
        <f ca="1">HLOOKUP($H101,Supplementary!$C$44:$AF$46,3,FALSE)*G101*G$110</f>
        <v>8.8316289279927442</v>
      </c>
      <c r="H92" s="555">
        <f t="shared" si="2"/>
        <v>2015</v>
      </c>
      <c r="I92" s="555"/>
      <c r="J92" s="965"/>
      <c r="N92" s="991"/>
      <c r="O92" s="991"/>
      <c r="P92" s="991"/>
      <c r="Q92" s="991"/>
    </row>
    <row r="93" spans="1:17" s="530" customFormat="1">
      <c r="B93" s="995" t="s">
        <v>163</v>
      </c>
      <c r="C93" s="976" t="s">
        <v>464</v>
      </c>
      <c r="D93" s="992">
        <f ca="1">HLOOKUP($H102,Supplementary!$C$44:$AF$46,3,FALSE)*D102*D$110</f>
        <v>3.8858182715104195</v>
      </c>
      <c r="E93" s="555">
        <f ca="1">HLOOKUP($H102,Supplementary!$C$44:$AF$46,3,FALSE)*E102*E$110</f>
        <v>3.6915273579348984</v>
      </c>
      <c r="F93" s="555">
        <f ca="1">HLOOKUP($H102,Supplementary!$C$44:$AF$46,3,FALSE)*F102*F$110</f>
        <v>3.0067721050839618</v>
      </c>
      <c r="G93" s="555">
        <f ca="1">HLOOKUP($H102,Supplementary!$C$44:$AF$46,3,FALSE)*G102*G$110</f>
        <v>2.2102537914046803</v>
      </c>
      <c r="H93" s="555">
        <f t="shared" si="2"/>
        <v>2015</v>
      </c>
      <c r="I93" s="555"/>
      <c r="J93" s="965"/>
      <c r="N93" s="991"/>
      <c r="O93" s="991"/>
      <c r="P93" s="991"/>
      <c r="Q93" s="991"/>
    </row>
    <row r="94" spans="1:17" s="530" customFormat="1">
      <c r="B94" s="995" t="s">
        <v>164</v>
      </c>
      <c r="C94" s="976" t="s">
        <v>464</v>
      </c>
      <c r="D94" s="992">
        <f>HLOOKUP($H103,Supplementary!$C$44:$AF$46,3,FALSE)*D103</f>
        <v>0</v>
      </c>
      <c r="E94" s="555">
        <f>HLOOKUP($H103,Supplementary!$C$44:$AF$46,3,FALSE)*E103</f>
        <v>0</v>
      </c>
      <c r="F94" s="555">
        <f>HLOOKUP($H103,Supplementary!$C$44:$AF$46,3,FALSE)*F103</f>
        <v>0</v>
      </c>
      <c r="G94" s="555">
        <f>HLOOKUP($H103,Supplementary!$C$44:$AF$46,3,FALSE)*G103</f>
        <v>0</v>
      </c>
      <c r="H94" s="555">
        <f t="shared" si="2"/>
        <v>2015</v>
      </c>
      <c r="I94" s="555"/>
      <c r="J94" s="965"/>
      <c r="N94" s="991"/>
      <c r="O94" s="991"/>
      <c r="P94" s="991"/>
      <c r="Q94" s="991"/>
    </row>
    <row r="95" spans="1:17" s="530" customFormat="1">
      <c r="B95" s="995" t="s">
        <v>264</v>
      </c>
      <c r="C95" s="976" t="s">
        <v>464</v>
      </c>
      <c r="D95" s="992">
        <f ca="1">HLOOKUP($H104,Supplementary!$C$44:$AF$46,3,FALSE)*D104*D$110</f>
        <v>0</v>
      </c>
      <c r="E95" s="555">
        <f ca="1">HLOOKUP($H104,Supplementary!$C$44:$AF$46,3,FALSE)*E104*E$110</f>
        <v>0</v>
      </c>
      <c r="F95" s="555">
        <f ca="1">HLOOKUP($H104,Supplementary!$C$44:$AF$46,3,FALSE)*F104*F$110</f>
        <v>0</v>
      </c>
      <c r="G95" s="555">
        <f ca="1">HLOOKUP($H104,Supplementary!$C$44:$AF$46,3,FALSE)*G104*G$110</f>
        <v>0</v>
      </c>
      <c r="H95" s="555">
        <f t="shared" si="2"/>
        <v>2015</v>
      </c>
      <c r="I95" s="555"/>
      <c r="J95" s="965"/>
      <c r="N95" s="991"/>
      <c r="O95" s="991"/>
      <c r="P95" s="991"/>
      <c r="Q95" s="991"/>
    </row>
    <row r="96" spans="1:17" s="530" customFormat="1">
      <c r="B96" s="995" t="s">
        <v>165</v>
      </c>
      <c r="C96" s="976" t="s">
        <v>464</v>
      </c>
      <c r="D96" s="992">
        <f ca="1">HLOOKUP($H105,Supplementary!$C$44:$AF$46,3,FALSE)*D105</f>
        <v>-7.003155304306885</v>
      </c>
      <c r="E96" s="555">
        <f ca="1">HLOOKUP($H105,Supplementary!$C$44:$AF$46,3,FALSE)*E105</f>
        <v>-6.8977265735009423</v>
      </c>
      <c r="F96" s="555">
        <f ca="1">HLOOKUP($H105,Supplementary!$C$44:$AF$46,3,FALSE)*F105</f>
        <v>-7.84620064230434</v>
      </c>
      <c r="G96" s="555">
        <f ca="1">HLOOKUP($H105,Supplementary!$C$44:$AF$46,3,FALSE)*G105</f>
        <v>-7.84620064230434</v>
      </c>
      <c r="H96" s="555">
        <f t="shared" si="2"/>
        <v>2015</v>
      </c>
      <c r="I96" s="555"/>
      <c r="J96" s="965"/>
      <c r="N96" s="991"/>
      <c r="O96" s="991"/>
      <c r="P96" s="991"/>
      <c r="Q96" s="991"/>
    </row>
    <row r="97" spans="1:17" s="530" customFormat="1">
      <c r="B97" s="975"/>
      <c r="C97" s="976"/>
      <c r="D97" s="992"/>
      <c r="E97" s="983"/>
      <c r="F97" s="983"/>
      <c r="G97" s="983"/>
      <c r="H97" s="983"/>
      <c r="I97" s="555"/>
      <c r="J97" s="965"/>
      <c r="N97" s="991"/>
      <c r="O97" s="991"/>
      <c r="P97" s="991"/>
      <c r="Q97" s="991"/>
    </row>
    <row r="98" spans="1:17" s="530" customFormat="1">
      <c r="B98" s="975" t="s">
        <v>2117</v>
      </c>
      <c r="C98" s="976"/>
      <c r="D98" s="992"/>
      <c r="E98" s="983"/>
      <c r="F98" s="983"/>
      <c r="G98" s="983"/>
      <c r="H98" s="983"/>
      <c r="I98" s="555"/>
      <c r="J98" s="965"/>
      <c r="N98" s="991"/>
      <c r="O98" s="991"/>
      <c r="P98" s="991"/>
      <c r="Q98" s="991"/>
    </row>
    <row r="99" spans="1:17">
      <c r="B99" s="475" t="s">
        <v>157</v>
      </c>
      <c r="C99" s="976" t="s">
        <v>61</v>
      </c>
      <c r="D99" s="992">
        <f>D177*dkkPerEUR*D159</f>
        <v>32629510</v>
      </c>
      <c r="E99" s="612">
        <f t="shared" ref="E99:G102" si="3">$D99</f>
        <v>32629510</v>
      </c>
      <c r="F99" s="612">
        <f t="shared" si="3"/>
        <v>32629510</v>
      </c>
      <c r="G99" s="612">
        <f t="shared" si="3"/>
        <v>32629510</v>
      </c>
      <c r="H99" s="1668">
        <v>2011</v>
      </c>
      <c r="I99" s="476"/>
      <c r="J99" s="477"/>
      <c r="N99" s="582"/>
      <c r="O99" s="582"/>
      <c r="P99" s="582"/>
      <c r="Q99" s="582"/>
    </row>
    <row r="100" spans="1:17">
      <c r="B100" s="475" t="s">
        <v>160</v>
      </c>
      <c r="C100" s="976" t="s">
        <v>464</v>
      </c>
      <c r="D100" s="583">
        <f ca="1">SUM(D101:D105)</f>
        <v>11.657940875644451</v>
      </c>
      <c r="E100" s="566">
        <f t="shared" ca="1" si="3"/>
        <v>11.657940875644451</v>
      </c>
      <c r="F100" s="566">
        <f t="shared" ca="1" si="3"/>
        <v>11.657940875644451</v>
      </c>
      <c r="G100" s="566">
        <f t="shared" ca="1" si="3"/>
        <v>11.657940875644451</v>
      </c>
      <c r="H100" s="1668">
        <v>2011</v>
      </c>
      <c r="I100" s="584"/>
      <c r="J100" s="477"/>
      <c r="N100" s="582"/>
      <c r="O100" s="582"/>
      <c r="P100" s="582"/>
      <c r="Q100" s="582"/>
    </row>
    <row r="101" spans="1:17">
      <c r="B101" s="585" t="s">
        <v>162</v>
      </c>
      <c r="C101" s="976" t="s">
        <v>464</v>
      </c>
      <c r="D101" s="993">
        <f ca="1">PMT(rSØK,D34,-D99)/(D32*D33)</f>
        <v>14.586497499523865</v>
      </c>
      <c r="E101" s="566">
        <f t="shared" ca="1" si="3"/>
        <v>14.586497499523865</v>
      </c>
      <c r="F101" s="566">
        <f t="shared" ca="1" si="3"/>
        <v>14.586497499523865</v>
      </c>
      <c r="G101" s="566">
        <f t="shared" ca="1" si="3"/>
        <v>14.586497499523865</v>
      </c>
      <c r="H101" s="1668">
        <v>2011</v>
      </c>
      <c r="I101" s="584"/>
      <c r="J101" s="477"/>
      <c r="N101" s="582"/>
      <c r="O101" s="582"/>
      <c r="P101" s="582"/>
      <c r="Q101" s="582"/>
    </row>
    <row r="102" spans="1:17">
      <c r="B102" s="585" t="s">
        <v>163</v>
      </c>
      <c r="C102" s="976" t="s">
        <v>464</v>
      </c>
      <c r="D102" s="480">
        <f>IF(D141&gt;0,D177*D141*dkkPerEUR,D178*dkkPerEUR)</f>
        <v>3.6505000000000001</v>
      </c>
      <c r="E102" s="480">
        <f t="shared" si="3"/>
        <v>3.6505000000000001</v>
      </c>
      <c r="F102" s="480">
        <f t="shared" si="3"/>
        <v>3.6505000000000001</v>
      </c>
      <c r="G102" s="480">
        <f t="shared" si="3"/>
        <v>3.6505000000000001</v>
      </c>
      <c r="H102" s="1668">
        <v>2011</v>
      </c>
      <c r="I102" s="476"/>
      <c r="J102" s="477"/>
      <c r="N102" s="582"/>
      <c r="O102" s="582"/>
      <c r="P102" s="582"/>
      <c r="Q102" s="582"/>
    </row>
    <row r="103" spans="1:17">
      <c r="A103" s="469">
        <v>6</v>
      </c>
      <c r="B103" s="585" t="s">
        <v>164</v>
      </c>
      <c r="C103" s="976" t="s">
        <v>464</v>
      </c>
      <c r="D103" s="1073"/>
      <c r="E103" s="1073"/>
      <c r="F103" s="1073"/>
      <c r="G103" s="1073"/>
      <c r="H103" s="1668">
        <v>2011</v>
      </c>
      <c r="I103" s="476"/>
      <c r="J103" s="477"/>
      <c r="N103" s="582"/>
      <c r="O103" s="582"/>
      <c r="P103" s="582"/>
      <c r="Q103" s="582"/>
    </row>
    <row r="104" spans="1:17">
      <c r="B104" s="585" t="s">
        <v>264</v>
      </c>
      <c r="C104" s="976" t="s">
        <v>464</v>
      </c>
      <c r="D104" s="508">
        <f ca="1">D59*Prices!M$7/3.6</f>
        <v>0</v>
      </c>
      <c r="E104" s="508">
        <f ca="1">E59*Prices!N$7/3.6</f>
        <v>0</v>
      </c>
      <c r="F104" s="508">
        <f ca="1">F59*Prices!O$7/3.6</f>
        <v>0</v>
      </c>
      <c r="G104" s="508">
        <f ca="1">G59*Prices!P$7/3.6</f>
        <v>0</v>
      </c>
      <c r="H104" s="1668">
        <v>2011</v>
      </c>
      <c r="I104" s="476"/>
      <c r="J104" s="477"/>
      <c r="N104" s="582"/>
      <c r="O104" s="582"/>
      <c r="P104" s="582"/>
      <c r="Q104" s="582"/>
    </row>
    <row r="105" spans="1:17">
      <c r="B105" s="585" t="s">
        <v>165</v>
      </c>
      <c r="C105" s="976" t="s">
        <v>464</v>
      </c>
      <c r="D105" s="996">
        <f ca="1">-SUMPRODUCT(D36:D55,ProcessEnergy!M34:M53)/D85</f>
        <v>-6.5790566238794153</v>
      </c>
      <c r="E105" s="996">
        <f ca="1">-SUMPRODUCT(E36:E55,ProcessEnergy!N34:N53)/E85</f>
        <v>-6.4800124702634774</v>
      </c>
      <c r="F105" s="996">
        <f ca="1">-SUMPRODUCT(F36:F55,ProcessEnergy!O34:O53)/F85</f>
        <v>-7.3710486295074782</v>
      </c>
      <c r="G105" s="996">
        <f ca="1">-SUMPRODUCT(G36:G55,ProcessEnergy!P34:P53)/G85</f>
        <v>-7.3710486295074782</v>
      </c>
      <c r="H105" s="1668">
        <v>2011</v>
      </c>
      <c r="I105" s="476"/>
      <c r="J105" s="477"/>
      <c r="N105" s="582"/>
      <c r="O105" s="582"/>
      <c r="P105" s="582"/>
      <c r="Q105" s="582"/>
    </row>
    <row r="106" spans="1:17">
      <c r="B106" s="585"/>
      <c r="C106" s="564"/>
      <c r="D106" s="2311"/>
      <c r="E106" s="2311"/>
      <c r="F106" s="2311"/>
      <c r="G106" s="2311"/>
      <c r="H106" s="983"/>
      <c r="I106" s="584"/>
      <c r="J106" s="477"/>
      <c r="N106" s="582"/>
      <c r="O106" s="582"/>
      <c r="P106" s="582"/>
      <c r="Q106" s="582"/>
    </row>
    <row r="107" spans="1:17">
      <c r="B107" s="570" t="s">
        <v>2113</v>
      </c>
      <c r="C107" s="564"/>
      <c r="D107" s="573"/>
      <c r="E107" s="573"/>
      <c r="F107" s="573"/>
      <c r="G107" s="573"/>
      <c r="H107" s="983"/>
      <c r="I107" s="584"/>
      <c r="J107" s="477"/>
      <c r="N107" s="582"/>
      <c r="O107" s="582"/>
      <c r="P107" s="582"/>
      <c r="Q107" s="582"/>
    </row>
    <row r="108" spans="1:17">
      <c r="B108" s="585" t="s">
        <v>2114</v>
      </c>
      <c r="C108" s="564"/>
      <c r="D108" s="1696">
        <v>0.95</v>
      </c>
      <c r="E108" s="1696">
        <v>0.95</v>
      </c>
      <c r="F108" s="1696">
        <v>0.95</v>
      </c>
      <c r="G108" s="1696">
        <v>0.95</v>
      </c>
      <c r="H108" s="983"/>
      <c r="I108" s="584"/>
      <c r="J108" s="477"/>
      <c r="N108" s="582"/>
      <c r="O108" s="582"/>
      <c r="P108" s="582"/>
      <c r="Q108" s="582"/>
    </row>
    <row r="109" spans="1:17">
      <c r="B109" s="585" t="s">
        <v>2666</v>
      </c>
      <c r="C109" s="564"/>
      <c r="D109" s="478">
        <f ca="1">OFFSET(Supplementary!C$237,MATCH($C$19,Supplementary!$B$238:$B$241,0),0)</f>
        <v>1</v>
      </c>
      <c r="E109" s="478">
        <f ca="1">OFFSET(Supplementary!D$237,MATCH($C$19,Supplementary!$B$238:$B$241,0),0)</f>
        <v>2</v>
      </c>
      <c r="F109" s="478">
        <f ca="1">OFFSET(Supplementary!E$237,MATCH($C$19,Supplementary!$B$238:$B$241,0),0)</f>
        <v>6</v>
      </c>
      <c r="G109" s="478">
        <f ca="1">OFFSET(Supplementary!F$237,MATCH($C$19,Supplementary!$B$238:$B$241,0),0)</f>
        <v>12</v>
      </c>
      <c r="H109" s="983"/>
      <c r="I109" s="584"/>
      <c r="J109" s="477"/>
      <c r="N109" s="582"/>
      <c r="O109" s="582"/>
      <c r="P109" s="582"/>
      <c r="Q109" s="582"/>
    </row>
    <row r="110" spans="1:17">
      <c r="B110" s="585" t="s">
        <v>2115</v>
      </c>
      <c r="C110" s="564"/>
      <c r="D110" s="1698">
        <f ca="1">1*D108^(D109-1)</f>
        <v>1</v>
      </c>
      <c r="E110" s="1698">
        <f ca="1">1*E108^(E109-1)</f>
        <v>0.95</v>
      </c>
      <c r="F110" s="1698">
        <f ca="1">1*F108^(F109-1)</f>
        <v>0.77378093749999999</v>
      </c>
      <c r="G110" s="1698">
        <f ca="1">1*G108^(G109-1)</f>
        <v>0.56880009227645989</v>
      </c>
      <c r="H110" s="983"/>
      <c r="I110" s="584"/>
      <c r="J110" s="477"/>
      <c r="N110" s="582"/>
      <c r="O110" s="582"/>
      <c r="P110" s="582"/>
      <c r="Q110" s="582"/>
    </row>
    <row r="111" spans="1:17">
      <c r="B111" s="585"/>
      <c r="C111" s="564"/>
      <c r="D111" s="573"/>
      <c r="E111" s="573"/>
      <c r="F111" s="573"/>
      <c r="G111" s="573"/>
      <c r="H111" s="983"/>
      <c r="I111" s="584"/>
      <c r="J111" s="477"/>
      <c r="N111" s="582"/>
      <c r="O111" s="582"/>
      <c r="P111" s="582"/>
      <c r="Q111" s="582"/>
    </row>
    <row r="112" spans="1:17">
      <c r="B112" s="570" t="s">
        <v>166</v>
      </c>
      <c r="C112" s="564"/>
      <c r="D112" s="573"/>
      <c r="E112" s="573"/>
      <c r="F112" s="573"/>
      <c r="G112" s="573"/>
      <c r="H112" s="983"/>
      <c r="I112" s="584"/>
      <c r="J112" s="477"/>
      <c r="N112" s="589"/>
      <c r="O112" s="589"/>
      <c r="P112" s="589"/>
      <c r="Q112" s="582"/>
    </row>
    <row r="113" spans="2:17">
      <c r="B113" s="475" t="s">
        <v>24</v>
      </c>
      <c r="C113" s="564" t="s">
        <v>465</v>
      </c>
      <c r="D113" s="1075">
        <v>0</v>
      </c>
      <c r="E113" s="1075">
        <v>0</v>
      </c>
      <c r="F113" s="1075">
        <v>0</v>
      </c>
      <c r="G113" s="1075">
        <v>0</v>
      </c>
      <c r="H113" s="999"/>
      <c r="I113" s="1392" t="s">
        <v>1747</v>
      </c>
      <c r="J113" s="477"/>
      <c r="N113" s="582"/>
      <c r="O113" s="582"/>
      <c r="P113" s="582"/>
      <c r="Q113" s="582"/>
    </row>
    <row r="114" spans="2:17">
      <c r="B114" s="475" t="s">
        <v>27</v>
      </c>
      <c r="C114" s="564" t="s">
        <v>465</v>
      </c>
      <c r="D114" s="1075">
        <v>0</v>
      </c>
      <c r="E114" s="1075">
        <v>0</v>
      </c>
      <c r="F114" s="1075">
        <v>0</v>
      </c>
      <c r="G114" s="1075">
        <v>0</v>
      </c>
      <c r="H114" s="999"/>
      <c r="I114" s="1392" t="s">
        <v>1747</v>
      </c>
      <c r="J114" s="477"/>
      <c r="N114" s="582"/>
      <c r="O114" s="582"/>
      <c r="P114" s="582"/>
      <c r="Q114" s="582"/>
    </row>
    <row r="115" spans="2:17">
      <c r="B115" s="475" t="s">
        <v>28</v>
      </c>
      <c r="C115" s="564" t="s">
        <v>465</v>
      </c>
      <c r="D115" s="1075">
        <v>0</v>
      </c>
      <c r="E115" s="1075">
        <v>0</v>
      </c>
      <c r="F115" s="1075">
        <v>0</v>
      </c>
      <c r="G115" s="1075">
        <v>0</v>
      </c>
      <c r="H115" s="999"/>
      <c r="I115" s="1392" t="s">
        <v>1747</v>
      </c>
      <c r="J115" s="477"/>
      <c r="N115" s="582"/>
      <c r="O115" s="582"/>
      <c r="P115" s="582"/>
      <c r="Q115" s="582"/>
    </row>
    <row r="116" spans="2:17">
      <c r="B116" s="475" t="s">
        <v>26</v>
      </c>
      <c r="C116" s="564" t="s">
        <v>465</v>
      </c>
      <c r="D116" s="1075">
        <v>0</v>
      </c>
      <c r="E116" s="1075">
        <v>0</v>
      </c>
      <c r="F116" s="1075">
        <v>0</v>
      </c>
      <c r="G116" s="1075">
        <v>0</v>
      </c>
      <c r="H116" s="999"/>
      <c r="I116" s="1392" t="s">
        <v>1747</v>
      </c>
      <c r="J116" s="477"/>
      <c r="N116" s="582"/>
      <c r="O116" s="582"/>
      <c r="P116" s="582"/>
      <c r="Q116" s="582"/>
    </row>
    <row r="117" spans="2:17">
      <c r="B117" s="475" t="s">
        <v>167</v>
      </c>
      <c r="C117" s="564" t="s">
        <v>465</v>
      </c>
      <c r="D117" s="1075">
        <v>0</v>
      </c>
      <c r="E117" s="1075">
        <v>0</v>
      </c>
      <c r="F117" s="1075">
        <v>0</v>
      </c>
      <c r="G117" s="1075">
        <v>0</v>
      </c>
      <c r="H117" s="999"/>
      <c r="I117" s="1392" t="s">
        <v>1747</v>
      </c>
      <c r="J117" s="477"/>
      <c r="N117" s="589"/>
      <c r="O117" s="589"/>
      <c r="P117" s="589"/>
      <c r="Q117" s="589"/>
    </row>
    <row r="118" spans="2:17">
      <c r="B118" s="475" t="s">
        <v>45</v>
      </c>
      <c r="C118" s="564" t="s">
        <v>465</v>
      </c>
      <c r="D118" s="590"/>
      <c r="E118" s="590"/>
      <c r="F118" s="590"/>
      <c r="G118" s="590"/>
      <c r="H118" s="1000"/>
      <c r="I118" s="476"/>
      <c r="J118" s="477"/>
    </row>
    <row r="119" spans="2:17" ht="13.5" thickBot="1">
      <c r="B119" s="591"/>
      <c r="C119" s="592"/>
      <c r="D119" s="593"/>
      <c r="E119" s="482"/>
      <c r="F119" s="482"/>
      <c r="G119" s="482"/>
      <c r="H119" s="968"/>
      <c r="I119" s="594"/>
      <c r="J119" s="483"/>
    </row>
    <row r="122" spans="2:17" ht="18.75">
      <c r="B122" s="558" t="s">
        <v>172</v>
      </c>
    </row>
    <row r="123" spans="2:17" ht="15.75">
      <c r="B123" s="617"/>
      <c r="D123" s="1076"/>
    </row>
    <row r="124" spans="2:17">
      <c r="B124" s="476"/>
      <c r="C124" s="476"/>
      <c r="D124" s="476"/>
      <c r="E124" s="476"/>
      <c r="F124" s="476"/>
      <c r="G124" s="476"/>
      <c r="H124" s="555"/>
      <c r="I124" s="476"/>
      <c r="J124" s="476"/>
      <c r="K124" s="476"/>
      <c r="L124" s="476"/>
    </row>
    <row r="125" spans="2:17">
      <c r="B125" s="476"/>
      <c r="C125" s="598"/>
      <c r="D125" s="598"/>
      <c r="E125" s="598"/>
      <c r="F125" s="598"/>
      <c r="G125" s="598"/>
      <c r="H125" s="977"/>
      <c r="I125" s="476"/>
      <c r="J125" s="598"/>
      <c r="K125" s="598"/>
      <c r="L125" s="598"/>
    </row>
    <row r="126" spans="2:17">
      <c r="B126" s="476"/>
      <c r="C126" s="476"/>
      <c r="D126" s="583"/>
      <c r="E126" s="583"/>
      <c r="F126" s="583"/>
      <c r="G126" s="583"/>
      <c r="H126" s="993"/>
      <c r="I126" s="476"/>
      <c r="J126" s="583"/>
      <c r="K126" s="583"/>
      <c r="L126" s="583"/>
    </row>
    <row r="127" spans="2:17">
      <c r="B127" s="476"/>
      <c r="C127" s="476"/>
      <c r="D127" s="583"/>
      <c r="E127" s="583"/>
      <c r="F127" s="583"/>
      <c r="G127" s="583"/>
      <c r="H127" s="993"/>
      <c r="I127" s="476"/>
      <c r="J127" s="583"/>
      <c r="K127" s="583"/>
      <c r="L127" s="583"/>
    </row>
    <row r="128" spans="2:17">
      <c r="B128" s="476"/>
      <c r="C128" s="476"/>
      <c r="D128" s="583"/>
      <c r="E128" s="583"/>
      <c r="F128" s="583"/>
      <c r="G128" s="583"/>
      <c r="H128" s="993"/>
      <c r="I128" s="476"/>
      <c r="J128" s="583"/>
      <c r="K128" s="583"/>
      <c r="L128" s="583"/>
    </row>
    <row r="129" spans="2:12">
      <c r="B129" s="476"/>
      <c r="C129" s="476"/>
      <c r="D129" s="583"/>
      <c r="E129" s="583"/>
      <c r="F129" s="583"/>
      <c r="G129" s="583"/>
      <c r="H129" s="993"/>
      <c r="I129" s="476"/>
      <c r="J129" s="583"/>
      <c r="K129" s="583"/>
      <c r="L129" s="583"/>
    </row>
    <row r="130" spans="2:12">
      <c r="B130" s="476"/>
      <c r="C130" s="476"/>
      <c r="D130" s="583"/>
      <c r="E130" s="583"/>
      <c r="F130" s="583"/>
      <c r="G130" s="583"/>
      <c r="H130" s="993"/>
      <c r="I130" s="476"/>
      <c r="J130" s="583"/>
      <c r="K130" s="583"/>
      <c r="L130" s="583"/>
    </row>
    <row r="131" spans="2:12">
      <c r="B131" s="476"/>
      <c r="C131" s="476"/>
      <c r="D131" s="583"/>
      <c r="E131" s="583"/>
      <c r="F131" s="583"/>
      <c r="G131" s="583"/>
      <c r="H131" s="993"/>
      <c r="I131" s="476"/>
      <c r="J131" s="583"/>
      <c r="K131" s="583"/>
      <c r="L131" s="583"/>
    </row>
    <row r="132" spans="2:12">
      <c r="B132" s="476"/>
      <c r="C132" s="476"/>
      <c r="D132" s="583"/>
      <c r="E132" s="583"/>
      <c r="F132" s="583"/>
      <c r="G132" s="583"/>
      <c r="H132" s="993"/>
      <c r="I132" s="476"/>
      <c r="J132" s="583"/>
      <c r="K132" s="583"/>
      <c r="L132" s="583"/>
    </row>
    <row r="135" spans="2:12" ht="18.75">
      <c r="B135" s="558" t="s">
        <v>168</v>
      </c>
    </row>
    <row r="136" spans="2:12" ht="15.75">
      <c r="B136" s="617"/>
    </row>
    <row r="137" spans="2:12" ht="13.5" thickBot="1">
      <c r="B137" s="476"/>
      <c r="C137" s="476"/>
      <c r="D137" s="476"/>
      <c r="E137" s="476"/>
      <c r="F137" s="476"/>
      <c r="G137" s="476"/>
      <c r="H137" s="555"/>
      <c r="I137" s="476"/>
    </row>
    <row r="138" spans="2:12">
      <c r="B138" s="1077"/>
      <c r="C138" s="1078" t="s">
        <v>70</v>
      </c>
      <c r="D138" s="1079">
        <v>2015</v>
      </c>
      <c r="E138" s="1078">
        <v>2020</v>
      </c>
      <c r="F138" s="1078">
        <v>2035</v>
      </c>
      <c r="G138" s="1078"/>
      <c r="H138" s="1009"/>
      <c r="I138" s="1080" t="s">
        <v>145</v>
      </c>
      <c r="J138" s="1081" t="s">
        <v>146</v>
      </c>
    </row>
    <row r="139" spans="2:12">
      <c r="B139" s="475"/>
      <c r="C139" s="598"/>
      <c r="D139" s="1082"/>
      <c r="E139" s="651"/>
      <c r="F139" s="651"/>
      <c r="G139" s="651"/>
      <c r="H139" s="1014"/>
      <c r="I139" s="476"/>
      <c r="J139" s="477"/>
    </row>
    <row r="140" spans="2:12">
      <c r="B140" s="475"/>
      <c r="C140" s="598"/>
      <c r="D140" s="1083"/>
      <c r="E140" s="581"/>
      <c r="F140" s="581"/>
      <c r="G140" s="581"/>
      <c r="H140" s="1016"/>
      <c r="I140" s="476"/>
      <c r="J140" s="477"/>
    </row>
    <row r="141" spans="2:12">
      <c r="B141" s="475"/>
      <c r="C141" s="598"/>
      <c r="D141" s="1084"/>
      <c r="E141" s="630"/>
      <c r="F141" s="630"/>
      <c r="G141" s="630"/>
      <c r="H141" s="1018"/>
      <c r="I141" s="476"/>
      <c r="J141" s="477"/>
    </row>
    <row r="142" spans="2:12">
      <c r="B142" s="475"/>
      <c r="C142" s="598"/>
      <c r="D142" s="1083"/>
      <c r="E142" s="581"/>
      <c r="F142" s="581"/>
      <c r="G142" s="581"/>
      <c r="H142" s="1016"/>
      <c r="I142" s="476"/>
      <c r="J142" s="477"/>
    </row>
    <row r="143" spans="2:12">
      <c r="B143" s="475"/>
      <c r="C143" s="598"/>
      <c r="D143" s="1083"/>
      <c r="E143" s="581"/>
      <c r="F143" s="581"/>
      <c r="G143" s="581"/>
      <c r="H143" s="1016"/>
      <c r="I143" s="476"/>
      <c r="J143" s="477"/>
    </row>
    <row r="144" spans="2:12">
      <c r="B144" s="475" t="s">
        <v>22</v>
      </c>
      <c r="C144" s="598" t="s">
        <v>249</v>
      </c>
      <c r="D144" s="1085"/>
      <c r="E144" s="567"/>
      <c r="F144" s="567"/>
      <c r="G144" s="567"/>
      <c r="H144" s="979"/>
      <c r="I144" s="476"/>
      <c r="J144" s="477"/>
    </row>
    <row r="145" spans="2:10">
      <c r="B145" s="475"/>
      <c r="C145" s="564"/>
      <c r="D145" s="581"/>
      <c r="E145" s="581"/>
      <c r="F145" s="581"/>
      <c r="G145" s="581"/>
      <c r="H145" s="1016"/>
      <c r="I145" s="476"/>
      <c r="J145" s="477"/>
    </row>
    <row r="146" spans="2:10" ht="13.5" thickBot="1">
      <c r="B146" s="481"/>
      <c r="C146" s="502"/>
      <c r="D146" s="1086"/>
      <c r="E146" s="1086"/>
      <c r="F146" s="1086"/>
      <c r="G146" s="1086"/>
      <c r="H146" s="1021"/>
      <c r="I146" s="482"/>
      <c r="J146" s="483"/>
    </row>
    <row r="149" spans="2:10" ht="13.5" thickBot="1"/>
    <row r="150" spans="2:10">
      <c r="B150" s="1040"/>
      <c r="C150" s="1340"/>
      <c r="D150" s="1383" t="s">
        <v>1098</v>
      </c>
    </row>
    <row r="151" spans="2:10">
      <c r="B151" s="1065" t="s">
        <v>1095</v>
      </c>
      <c r="C151" s="1367">
        <v>0.6</v>
      </c>
      <c r="D151" s="1384" t="s">
        <v>1774</v>
      </c>
    </row>
    <row r="152" spans="2:10" ht="13.5" thickBot="1">
      <c r="B152" s="1022" t="s">
        <v>1398</v>
      </c>
      <c r="C152" s="1341">
        <f>D186%</f>
        <v>0.37884615384615394</v>
      </c>
      <c r="D152" s="1385" t="s">
        <v>1774</v>
      </c>
    </row>
    <row r="153" spans="2:10">
      <c r="B153" s="530" t="str">
        <f>CONCATENATE("Source: ",Referencer!$B$48)</f>
        <v>Source: 42, FORCE, Danish Energy Agency, 2013, Technology data for advanced bioenergy fuels.</v>
      </c>
    </row>
    <row r="154" spans="2:10" ht="13.5" thickBot="1">
      <c r="B154" s="476"/>
    </row>
    <row r="155" spans="2:10" ht="18.75">
      <c r="B155" s="1087" t="s">
        <v>1425</v>
      </c>
      <c r="C155" s="1088"/>
      <c r="D155" s="1089"/>
      <c r="E155" s="1089"/>
      <c r="F155" s="1089"/>
      <c r="G155" s="1089"/>
      <c r="H155" s="1025"/>
      <c r="I155" s="1089"/>
      <c r="J155" s="1090"/>
    </row>
    <row r="156" spans="2:10" ht="15">
      <c r="B156" s="1090"/>
      <c r="C156" s="1091"/>
      <c r="D156" s="1092">
        <v>2015</v>
      </c>
      <c r="E156" s="1092">
        <v>2020</v>
      </c>
      <c r="F156" s="1092">
        <v>2035</v>
      </c>
      <c r="G156" s="1092">
        <v>2050</v>
      </c>
      <c r="H156" s="1028"/>
      <c r="I156" s="1092" t="s">
        <v>1098</v>
      </c>
      <c r="J156" s="1387"/>
    </row>
    <row r="157" spans="2:10" ht="15">
      <c r="B157" s="1093" t="s">
        <v>1099</v>
      </c>
      <c r="C157" s="1094"/>
      <c r="D157" s="1091"/>
      <c r="E157" s="1091"/>
      <c r="F157" s="1091"/>
      <c r="G157" s="1091"/>
      <c r="H157" s="1027"/>
      <c r="I157" s="1091"/>
      <c r="J157" s="1090"/>
    </row>
    <row r="158" spans="2:10" ht="15">
      <c r="B158" s="1090" t="s">
        <v>1426</v>
      </c>
      <c r="C158" s="1091"/>
      <c r="D158" s="1287">
        <v>5000</v>
      </c>
      <c r="E158" s="1095" t="s">
        <v>1101</v>
      </c>
      <c r="F158" s="1096"/>
      <c r="G158" s="1096"/>
      <c r="H158" s="1031"/>
      <c r="I158" s="1386" t="s">
        <v>1775</v>
      </c>
      <c r="J158" s="1388"/>
    </row>
    <row r="159" spans="2:10" ht="15">
      <c r="B159" s="1090" t="s">
        <v>1427</v>
      </c>
      <c r="C159" s="1091"/>
      <c r="D159" s="1287">
        <v>179500</v>
      </c>
      <c r="E159" s="1095" t="s">
        <v>1101</v>
      </c>
      <c r="F159" s="1096"/>
      <c r="G159" s="1096"/>
      <c r="H159" s="1031"/>
      <c r="I159" s="1097"/>
      <c r="J159" s="1388"/>
    </row>
    <row r="160" spans="2:10" ht="15">
      <c r="B160" s="1090" t="s">
        <v>1428</v>
      </c>
      <c r="C160" s="1091"/>
      <c r="D160" s="637">
        <v>0.65</v>
      </c>
      <c r="E160" s="1095" t="s">
        <v>1101</v>
      </c>
      <c r="F160" s="1096"/>
      <c r="G160" s="1096"/>
      <c r="H160" s="1031"/>
      <c r="I160" s="1097"/>
      <c r="J160" s="1388"/>
    </row>
    <row r="161" spans="2:10" ht="15">
      <c r="B161" s="1090" t="s">
        <v>1429</v>
      </c>
      <c r="C161" s="1091"/>
      <c r="D161" s="637">
        <v>1</v>
      </c>
      <c r="E161" s="1095" t="s">
        <v>1101</v>
      </c>
      <c r="F161" s="1096"/>
      <c r="G161" s="1096"/>
      <c r="H161" s="1031"/>
      <c r="I161" s="1097"/>
      <c r="J161" s="1388"/>
    </row>
    <row r="162" spans="2:10" ht="15">
      <c r="B162" s="1090" t="s">
        <v>1405</v>
      </c>
      <c r="C162" s="1091"/>
      <c r="D162" s="637">
        <v>0.65</v>
      </c>
      <c r="E162" s="1095" t="s">
        <v>1101</v>
      </c>
      <c r="F162" s="1096"/>
      <c r="G162" s="1096"/>
      <c r="H162" s="1031"/>
      <c r="I162" s="1097"/>
      <c r="J162" s="1388"/>
    </row>
    <row r="163" spans="2:10" ht="15">
      <c r="B163" s="1090" t="s">
        <v>1406</v>
      </c>
      <c r="C163" s="1091"/>
      <c r="D163" s="637">
        <v>0.6</v>
      </c>
      <c r="E163" s="1095" t="s">
        <v>1101</v>
      </c>
      <c r="F163" s="1096"/>
      <c r="G163" s="1096"/>
      <c r="H163" s="1031"/>
      <c r="I163" s="1097"/>
      <c r="J163" s="1388"/>
    </row>
    <row r="164" spans="2:10" ht="15">
      <c r="B164" s="1090" t="s">
        <v>1430</v>
      </c>
      <c r="C164" s="1091"/>
      <c r="D164" s="637">
        <v>0.15</v>
      </c>
      <c r="E164" s="1095" t="s">
        <v>1101</v>
      </c>
      <c r="F164" s="1096"/>
      <c r="G164" s="1096"/>
      <c r="H164" s="1031"/>
      <c r="I164" s="1097"/>
      <c r="J164" s="1388"/>
    </row>
    <row r="165" spans="2:10" ht="15">
      <c r="B165" s="1090" t="s">
        <v>1431</v>
      </c>
      <c r="C165" s="1091"/>
      <c r="D165" s="1098">
        <v>80.3</v>
      </c>
      <c r="E165" s="1095" t="s">
        <v>1101</v>
      </c>
      <c r="F165" s="1096"/>
      <c r="G165" s="1096"/>
      <c r="H165" s="1031"/>
      <c r="I165" s="1097"/>
      <c r="J165" s="1388"/>
    </row>
    <row r="166" spans="2:10" ht="15">
      <c r="B166" s="1090" t="s">
        <v>1107</v>
      </c>
      <c r="C166" s="1091"/>
      <c r="D166" s="1098">
        <v>80.3</v>
      </c>
      <c r="E166" s="1095" t="s">
        <v>1101</v>
      </c>
      <c r="F166" s="1096"/>
      <c r="G166" s="1096"/>
      <c r="H166" s="1031"/>
      <c r="I166" s="1097"/>
      <c r="J166" s="1388"/>
    </row>
    <row r="167" spans="2:10" ht="15">
      <c r="B167" s="1090" t="s">
        <v>1432</v>
      </c>
      <c r="C167" s="1091"/>
      <c r="D167" s="1098">
        <v>92.3</v>
      </c>
      <c r="E167" s="1095" t="s">
        <v>1101</v>
      </c>
      <c r="F167" s="1096"/>
      <c r="G167" s="1096"/>
      <c r="H167" s="1031"/>
      <c r="I167" s="1097"/>
      <c r="J167" s="1388"/>
    </row>
    <row r="168" spans="2:10" ht="15">
      <c r="B168" s="1090"/>
      <c r="C168" s="1091"/>
      <c r="D168" s="1091"/>
      <c r="E168" s="1096"/>
      <c r="F168" s="1096"/>
      <c r="G168" s="1096"/>
      <c r="H168" s="1031"/>
      <c r="I168" s="1097"/>
      <c r="J168" s="1388"/>
    </row>
    <row r="169" spans="2:10" ht="15">
      <c r="B169" s="1090"/>
      <c r="C169" s="1091"/>
      <c r="D169" s="1091"/>
      <c r="E169" s="1096"/>
      <c r="F169" s="1096"/>
      <c r="G169" s="1096"/>
      <c r="H169" s="1031"/>
      <c r="I169" s="1097"/>
      <c r="J169" s="1388"/>
    </row>
    <row r="170" spans="2:10" ht="15">
      <c r="B170" s="1090"/>
      <c r="C170" s="1091"/>
      <c r="D170" s="1091"/>
      <c r="E170" s="1096"/>
      <c r="F170" s="1096"/>
      <c r="G170" s="1096"/>
      <c r="H170" s="1031"/>
      <c r="I170" s="1097"/>
      <c r="J170" s="1388"/>
    </row>
    <row r="171" spans="2:10" ht="15">
      <c r="B171" s="1090"/>
      <c r="C171" s="1091"/>
      <c r="D171" s="1091"/>
      <c r="E171" s="1096"/>
      <c r="F171" s="1096"/>
      <c r="G171" s="1096"/>
      <c r="H171" s="1031"/>
      <c r="I171" s="1097"/>
      <c r="J171" s="1388"/>
    </row>
    <row r="172" spans="2:10" ht="15">
      <c r="B172" s="1090"/>
      <c r="C172" s="1091"/>
      <c r="D172" s="1091"/>
      <c r="E172" s="1096"/>
      <c r="F172" s="1096"/>
      <c r="G172" s="1096"/>
      <c r="H172" s="1031"/>
      <c r="I172" s="1097"/>
      <c r="J172" s="1388"/>
    </row>
    <row r="173" spans="2:10" ht="15">
      <c r="B173" s="1090"/>
      <c r="C173" s="1091"/>
      <c r="D173" s="1091"/>
      <c r="E173" s="1096"/>
      <c r="F173" s="1096"/>
      <c r="G173" s="1096"/>
      <c r="H173" s="1031"/>
      <c r="I173" s="1097"/>
      <c r="J173" s="1388"/>
    </row>
    <row r="174" spans="2:10" ht="15">
      <c r="B174" s="1090"/>
      <c r="C174" s="1091"/>
      <c r="D174" s="1091"/>
      <c r="E174" s="1096"/>
      <c r="F174" s="1096"/>
      <c r="G174" s="1096"/>
      <c r="H174" s="1031"/>
      <c r="I174" s="1097"/>
      <c r="J174" s="1388"/>
    </row>
    <row r="175" spans="2:10" ht="15">
      <c r="B175" s="1090"/>
      <c r="C175" s="1091"/>
      <c r="D175" s="1091"/>
      <c r="E175" s="1096"/>
      <c r="F175" s="1096"/>
      <c r="G175" s="1096"/>
      <c r="H175" s="1027"/>
      <c r="I175" s="1097"/>
      <c r="J175" s="1388"/>
    </row>
    <row r="176" spans="2:10" ht="15">
      <c r="B176" s="1099" t="s">
        <v>1109</v>
      </c>
      <c r="C176" s="1100"/>
      <c r="D176" s="1091"/>
      <c r="E176" s="1096"/>
      <c r="F176" s="1096"/>
      <c r="G176" s="1096"/>
      <c r="H176" s="1027"/>
      <c r="I176" s="1097"/>
      <c r="J176" s="1388"/>
    </row>
    <row r="177" spans="2:10" ht="15">
      <c r="B177" s="1090" t="s">
        <v>1410</v>
      </c>
      <c r="C177" s="1091"/>
      <c r="D177" s="1389">
        <v>24.4</v>
      </c>
      <c r="E177" s="1095" t="s">
        <v>1101</v>
      </c>
      <c r="F177" s="1096"/>
      <c r="G177" s="1096"/>
      <c r="H177" s="1031"/>
      <c r="I177" s="1097"/>
      <c r="J177" s="1388"/>
    </row>
    <row r="178" spans="2:10" ht="15.75" thickBot="1">
      <c r="B178" s="1101" t="s">
        <v>1433</v>
      </c>
      <c r="C178" s="1102"/>
      <c r="D178" s="1390">
        <v>0.49</v>
      </c>
      <c r="E178" s="1288" t="s">
        <v>1101</v>
      </c>
      <c r="F178" s="1103"/>
      <c r="G178" s="1103"/>
      <c r="H178" s="1035"/>
      <c r="I178" s="1104"/>
      <c r="J178" s="1388"/>
    </row>
    <row r="179" spans="2:10">
      <c r="B179" s="530" t="str">
        <f>CONCATENATE("Source: ",Referencer!$B$48)</f>
        <v>Source: 42, FORCE, Danish Energy Agency, 2013, Technology data for advanced bioenergy fuels.</v>
      </c>
    </row>
    <row r="180" spans="2:10" ht="13.5" thickBot="1"/>
    <row r="181" spans="2:10" ht="13.5" thickBot="1">
      <c r="B181" s="961" t="s">
        <v>1412</v>
      </c>
      <c r="C181" s="962"/>
      <c r="D181" s="963"/>
    </row>
    <row r="182" spans="2:10">
      <c r="B182" s="1040" t="s">
        <v>1434</v>
      </c>
      <c r="C182" s="1063" t="s">
        <v>1152</v>
      </c>
      <c r="D182" s="1064" t="s">
        <v>1153</v>
      </c>
    </row>
    <row r="183" spans="2:10">
      <c r="B183" s="1065" t="s">
        <v>1435</v>
      </c>
      <c r="C183" s="1391">
        <v>100</v>
      </c>
      <c r="D183" s="1067"/>
    </row>
    <row r="184" spans="2:10">
      <c r="B184" s="1065" t="s">
        <v>951</v>
      </c>
      <c r="C184" s="1068">
        <f>D163/D162*100</f>
        <v>92.307692307692307</v>
      </c>
      <c r="D184" s="1052"/>
    </row>
    <row r="185" spans="2:10">
      <c r="B185" s="1065" t="s">
        <v>1392</v>
      </c>
      <c r="C185" s="1068"/>
      <c r="D185" s="1052">
        <f>1/D162*100</f>
        <v>153.84615384615384</v>
      </c>
    </row>
    <row r="186" spans="2:10" ht="13.5" thickBot="1">
      <c r="B186" s="1022" t="s">
        <v>1155</v>
      </c>
      <c r="C186" s="1069"/>
      <c r="D186" s="1055">
        <f>(100-D166)/100*SUM(C183:C184)</f>
        <v>37.884615384615394</v>
      </c>
    </row>
    <row r="187" spans="2:10">
      <c r="B187" s="530" t="str">
        <f>CONCATENATE("Source: ",Referencer!$B$48)</f>
        <v>Source: 42, FORCE, Danish Energy Agency, 2013, Technology data for advanced bioenergy fuels.</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Supplementary!$B$238:$B$241</xm:f>
          </x14:formula1>
          <xm:sqref>C19</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4B5EC5F424DF0438C02C794499518FB" ma:contentTypeVersion="55" ma:contentTypeDescription="Create a new document." ma:contentTypeScope="" ma:versionID="b7ed8e8adb53527cdf08c14587816146">
  <xsd:schema xmlns:xsd="http://www.w3.org/2001/XMLSchema" xmlns:xs="http://www.w3.org/2001/XMLSchema" xmlns:p="http://schemas.microsoft.com/office/2006/metadata/properties" targetNamespace="http://schemas.microsoft.com/office/2006/metadata/properties" ma:root="true" ma:fieldsID="366600da192357708df3bcce2558abbb">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093EDD93-00A8-491F-92AE-58AB5D73AEE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4582C850-201B-4984-9C89-4D1645BE1814}">
  <ds:schemaRefs>
    <ds:schemaRef ds:uri="http://schemas.microsoft.com/sharepoint/v3/contenttype/forms"/>
  </ds:schemaRefs>
</ds:datastoreItem>
</file>

<file path=customXml/itemProps3.xml><?xml version="1.0" encoding="utf-8"?>
<ds:datastoreItem xmlns:ds="http://schemas.openxmlformats.org/officeDocument/2006/customXml" ds:itemID="{B9D123F1-CDBF-43D2-82EF-2906C34F4D2E}">
  <ds:schemaRefs>
    <ds:schemaRef ds:uri="http://schemas.microsoft.com/office/infopath/2007/PartnerControls"/>
    <ds:schemaRef ds:uri="http://purl.org/dc/dcmitype/"/>
    <ds:schemaRef ds:uri="http://purl.org/dc/terms/"/>
    <ds:schemaRef ds:uri="http://purl.org/dc/elements/1.1/"/>
    <ds:schemaRef ds:uri="http://www.w3.org/XML/1998/namespace"/>
    <ds:schemaRef ds:uri="http://schemas.microsoft.com/office/2006/documentManagement/types"/>
    <ds:schemaRef ds:uri="http://schemas.microsoft.com/office/2006/metadata/propertie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80</vt:i4>
      </vt:variant>
      <vt:variant>
        <vt:lpstr>Navngivne områder</vt:lpstr>
      </vt:variant>
      <vt:variant>
        <vt:i4>111</vt:i4>
      </vt:variant>
    </vt:vector>
  </HeadingPairs>
  <TitlesOfParts>
    <vt:vector size="191" baseType="lpstr">
      <vt:lpstr>Introduktion</vt:lpstr>
      <vt:lpstr>Oversigt</vt:lpstr>
      <vt:lpstr>Referencer</vt:lpstr>
      <vt:lpstr>Cockpit</vt:lpstr>
      <vt:lpstr>ResultsOneYear</vt:lpstr>
      <vt:lpstr>ResultsAllYears</vt:lpstr>
      <vt:lpstr>A4results</vt:lpstr>
      <vt:lpstr>Vehicles</vt:lpstr>
      <vt:lpstr>Fuels</vt:lpstr>
      <vt:lpstr>ProcessEnergy</vt:lpstr>
      <vt:lpstr>Prices</vt:lpstr>
      <vt:lpstr>Feedstocks</vt:lpstr>
      <vt:lpstr>Distribution</vt:lpstr>
      <vt:lpstr>Supplementary</vt:lpstr>
      <vt:lpstr>(FORCE 1) Bio-Methanol</vt:lpstr>
      <vt:lpstr>(FORCE 2) ETL-Methanol</vt:lpstr>
      <vt:lpstr>(FORCE 3) 1G ethanol</vt:lpstr>
      <vt:lpstr>(FORCE 4) 2G ethanol</vt:lpstr>
      <vt:lpstr>(FORCE 7) 2G diesel</vt:lpstr>
      <vt:lpstr>(FORCE 9) Bio-DME </vt:lpstr>
      <vt:lpstr>(FORCE 18) Bio Jetfuel</vt:lpstr>
      <vt:lpstr>(FORCE 19) RME Rapeseed</vt:lpstr>
      <vt:lpstr>(FORCE 20) Ethanol SugarBeet</vt:lpstr>
      <vt:lpstr>Biogas ENS</vt:lpstr>
      <vt:lpstr>Diesel</vt:lpstr>
      <vt:lpstr>Benzin</vt:lpstr>
      <vt:lpstr>HFO</vt:lpstr>
      <vt:lpstr>Jet Fuel</vt:lpstr>
      <vt:lpstr>Naturgas raffinering</vt:lpstr>
      <vt:lpstr>brint-elektricitet</vt:lpstr>
      <vt:lpstr>oplade-elektricitet</vt:lpstr>
      <vt:lpstr>Importspor</vt:lpstr>
      <vt:lpstr>LNG</vt:lpstr>
      <vt:lpstr>tog-elektricitet</vt:lpstr>
      <vt:lpstr>Elektrolyse og komprimering</vt:lpstr>
      <vt:lpstr>Ladestation</vt:lpstr>
      <vt:lpstr>Ladestation Hybrid</vt:lpstr>
      <vt:lpstr>Naturgas komprimering</vt:lpstr>
      <vt:lpstr>Ingen mellem</vt:lpstr>
      <vt:lpstr>Std benzin motor</vt:lpstr>
      <vt:lpstr>Std diesel motor</vt:lpstr>
      <vt:lpstr>Diesel motor DME</vt:lpstr>
      <vt:lpstr>Tilpasset Otto motor</vt:lpstr>
      <vt:lpstr>Brændselscelle, brint</vt:lpstr>
      <vt:lpstr>Brændselscelle, brinthybrid</vt:lpstr>
      <vt:lpstr>Brændselscelle, methanolhybrid</vt:lpstr>
      <vt:lpstr>Plugin Hybrid</vt:lpstr>
      <vt:lpstr>Elmotor</vt:lpstr>
      <vt:lpstr>Lastbil</vt:lpstr>
      <vt:lpstr>Lastbil DME</vt:lpstr>
      <vt:lpstr>Lastbil RME</vt:lpstr>
      <vt:lpstr>Lastbil Gas</vt:lpstr>
      <vt:lpstr>Bus</vt:lpstr>
      <vt:lpstr>Bus Gas</vt:lpstr>
      <vt:lpstr>Bus Hybrid</vt:lpstr>
      <vt:lpstr>9000 TEU HFO</vt:lpstr>
      <vt:lpstr>9000 TEU Diesel</vt:lpstr>
      <vt:lpstr>9000 TEU Dual fuel</vt:lpstr>
      <vt:lpstr>Katamaran ferry</vt:lpstr>
      <vt:lpstr>SAS avg. airplane</vt:lpstr>
      <vt:lpstr>Diesel Lokaltog</vt:lpstr>
      <vt:lpstr>Gas Lokaltog</vt:lpstr>
      <vt:lpstr>Diesel IC-reg.tog</vt:lpstr>
      <vt:lpstr>El IC-reg.tog</vt:lpstr>
      <vt:lpstr>Sensitivity</vt:lpstr>
      <vt:lpstr>Log2015</vt:lpstr>
      <vt:lpstr>Log2020</vt:lpstr>
      <vt:lpstr>Log2035</vt:lpstr>
      <vt:lpstr>Log2050</vt:lpstr>
      <vt:lpstr>(FORCE 5) 1G diesel</vt:lpstr>
      <vt:lpstr>(FORCE 6) 1G HVO DIESEL</vt:lpstr>
      <vt:lpstr>(FORCE 8)  Diesel - MOGD</vt:lpstr>
      <vt:lpstr>(FORCE 10) SNG-gasification</vt:lpstr>
      <vt:lpstr>(FORCE 11) 2G Kerosene</vt:lpstr>
      <vt:lpstr>(FORCE 12) Torrefied wood</vt:lpstr>
      <vt:lpstr>(FORCE 13) Bio-Liquid</vt:lpstr>
      <vt:lpstr>(FORCE 14) 2G bio-ethanol</vt:lpstr>
      <vt:lpstr>(FORCE 15) Ethanol+Biogas</vt:lpstr>
      <vt:lpstr>(FORCE 16) 2G Diesel</vt:lpstr>
      <vt:lpstr>(FORCE 17) SNG-biogas</vt:lpstr>
      <vt:lpstr>A4chosenYear</vt:lpstr>
      <vt:lpstr>A4colActive</vt:lpstr>
      <vt:lpstr>A4colCount</vt:lpstr>
      <vt:lpstr>A4filePath</vt:lpstr>
      <vt:lpstr>A4firstRow</vt:lpstr>
      <vt:lpstr>A4resultCol</vt:lpstr>
      <vt:lpstr>'9000 TEU Diesel'!A4rowActive</vt:lpstr>
      <vt:lpstr>'9000 TEU Dual fuel'!A4rowActive</vt:lpstr>
      <vt:lpstr>'9000 TEU HFO'!A4rowActive</vt:lpstr>
      <vt:lpstr>'Katamaran ferry'!A4rowActive</vt:lpstr>
      <vt:lpstr>A4rowActive</vt:lpstr>
      <vt:lpstr>A4rowCount</vt:lpstr>
      <vt:lpstr>A4sensitivity</vt:lpstr>
      <vt:lpstr>A4yearTable</vt:lpstr>
      <vt:lpstr>BG_alt1</vt:lpstr>
      <vt:lpstr>BG_alt2</vt:lpstr>
      <vt:lpstr>BG_alt3</vt:lpstr>
      <vt:lpstr>BG_input</vt:lpstr>
      <vt:lpstr>BG_valg</vt:lpstr>
      <vt:lpstr>BG_vlag</vt:lpstr>
      <vt:lpstr>chosenCO2quotas</vt:lpstr>
      <vt:lpstr>ChosenLearning</vt:lpstr>
      <vt:lpstr>chosenLRME</vt:lpstr>
      <vt:lpstr>'9000 TEU Diesel'!chosenLUC</vt:lpstr>
      <vt:lpstr>'9000 TEU Dual fuel'!chosenLUC</vt:lpstr>
      <vt:lpstr>'9000 TEU HFO'!chosenLUC</vt:lpstr>
      <vt:lpstr>'Katamaran ferry'!chosenLUC</vt:lpstr>
      <vt:lpstr>chosenLUC</vt:lpstr>
      <vt:lpstr>'9000 TEU Diesel'!chosenYear</vt:lpstr>
      <vt:lpstr>'9000 TEU Dual fuel'!chosenYear</vt:lpstr>
      <vt:lpstr>'9000 TEU HFO'!chosenYear</vt:lpstr>
      <vt:lpstr>'Katamaran ferry'!chosenYear</vt:lpstr>
      <vt:lpstr>chosenYear</vt:lpstr>
      <vt:lpstr>'9000 TEU Diesel'!dkkPerEUR</vt:lpstr>
      <vt:lpstr>'9000 TEU Dual fuel'!dkkPerEUR</vt:lpstr>
      <vt:lpstr>'9000 TEU HFO'!dkkPerEUR</vt:lpstr>
      <vt:lpstr>'Katamaran ferry'!dkkPerEUR</vt:lpstr>
      <vt:lpstr>dkkPerEUR</vt:lpstr>
      <vt:lpstr>'9000 TEU Diesel'!dkkPerUSD</vt:lpstr>
      <vt:lpstr>'9000 TEU Dual fuel'!dkkPerUSD</vt:lpstr>
      <vt:lpstr>'9000 TEU HFO'!dkkPerUSD</vt:lpstr>
      <vt:lpstr>'Katamaran ferry'!dkkPerUSD</vt:lpstr>
      <vt:lpstr>dkkPerUSD</vt:lpstr>
      <vt:lpstr>følsomhedsantal</vt:lpstr>
      <vt:lpstr>følsomhedsresultater</vt:lpstr>
      <vt:lpstr>følsomhedsscenarie</vt:lpstr>
      <vt:lpstr>følsomhedstabel</vt:lpstr>
      <vt:lpstr>LogResultRow2015</vt:lpstr>
      <vt:lpstr>logResultRow2020</vt:lpstr>
      <vt:lpstr>logResultRow2030</vt:lpstr>
      <vt:lpstr>logResultRow2050</vt:lpstr>
      <vt:lpstr>LogRowZero2015</vt:lpstr>
      <vt:lpstr>logRowZero2020</vt:lpstr>
      <vt:lpstr>logRowZero2030</vt:lpstr>
      <vt:lpstr>logRowZero2050</vt:lpstr>
      <vt:lpstr>naf</vt:lpstr>
      <vt:lpstr>'9000 TEU Diesel'!priceYear</vt:lpstr>
      <vt:lpstr>'9000 TEU Dual fuel'!priceYear</vt:lpstr>
      <vt:lpstr>'9000 TEU HFO'!priceYear</vt:lpstr>
      <vt:lpstr>'Katamaran ferry'!priceYear</vt:lpstr>
      <vt:lpstr>priceYear</vt:lpstr>
      <vt:lpstr>Referencer!referencer</vt:lpstr>
      <vt:lpstr>'9000 TEU Diesel'!rSØK</vt:lpstr>
      <vt:lpstr>'9000 TEU Dual fuel'!rSØK</vt:lpstr>
      <vt:lpstr>'9000 TEU HFO'!rSØK</vt:lpstr>
      <vt:lpstr>'Katamaran ferry'!rSØK</vt:lpstr>
      <vt:lpstr>rSØK</vt:lpstr>
      <vt:lpstr>ResultsAllYears!TrEcPathwayNo</vt:lpstr>
      <vt:lpstr>ResultsAllYears!TrEcResultRow</vt:lpstr>
      <vt:lpstr>ResultsAllYears!TrEcRowCtrl</vt:lpstr>
      <vt:lpstr>ResultsAllYears!TrEcTableA</vt:lpstr>
      <vt:lpstr>ResultsAllYears!TrEcTableActrl</vt:lpstr>
      <vt:lpstr>'9000 TEU Diesel'!Udskriftsområde</vt:lpstr>
      <vt:lpstr>'9000 TEU Dual fuel'!Udskriftsområde</vt:lpstr>
      <vt:lpstr>'9000 TEU HFO'!Udskriftsområde</vt:lpstr>
      <vt:lpstr>A4results!Udskriftsområde</vt:lpstr>
      <vt:lpstr>Benzin!Udskriftsområde</vt:lpstr>
      <vt:lpstr>'Biogas ENS'!Udskriftsområde</vt:lpstr>
      <vt:lpstr>'brint-elektricitet'!Udskriftsområde</vt:lpstr>
      <vt:lpstr>'Brændselscelle, brinthybrid'!Udskriftsområde</vt:lpstr>
      <vt:lpstr>'Brændselscelle, methanolhybrid'!Udskriftsområde</vt:lpstr>
      <vt:lpstr>Diesel!Udskriftsområde</vt:lpstr>
      <vt:lpstr>'Diesel IC-reg.tog'!Udskriftsområde</vt:lpstr>
      <vt:lpstr>'Diesel Lokaltog'!Udskriftsområde</vt:lpstr>
      <vt:lpstr>'Diesel motor DME'!Udskriftsområde</vt:lpstr>
      <vt:lpstr>'El IC-reg.tog'!Udskriftsområde</vt:lpstr>
      <vt:lpstr>'Elektrolyse og komprimering'!Udskriftsområde</vt:lpstr>
      <vt:lpstr>Elmotor!Udskriftsområde</vt:lpstr>
      <vt:lpstr>'Gas Lokaltog'!Udskriftsområde</vt:lpstr>
      <vt:lpstr>HFO!Udskriftsområde</vt:lpstr>
      <vt:lpstr>Importspor!Udskriftsområde</vt:lpstr>
      <vt:lpstr>Introduktion!Udskriftsområde</vt:lpstr>
      <vt:lpstr>'Jet Fuel'!Udskriftsområde</vt:lpstr>
      <vt:lpstr>'Katamaran ferry'!Udskriftsområde</vt:lpstr>
      <vt:lpstr>Ladestation!Udskriftsområde</vt:lpstr>
      <vt:lpstr>'Ladestation Hybrid'!Udskriftsområde</vt:lpstr>
      <vt:lpstr>Lastbil!Udskriftsområde</vt:lpstr>
      <vt:lpstr>'Lastbil DME'!Udskriftsområde</vt:lpstr>
      <vt:lpstr>'Lastbil Gas'!Udskriftsområde</vt:lpstr>
      <vt:lpstr>LNG!Udskriftsområde</vt:lpstr>
      <vt:lpstr>'Naturgas komprimering'!Udskriftsområde</vt:lpstr>
      <vt:lpstr>'Naturgas raffinering'!Udskriftsområde</vt:lpstr>
      <vt:lpstr>'oplade-elektricitet'!Udskriftsområde</vt:lpstr>
      <vt:lpstr>Oversigt!Udskriftsområde</vt:lpstr>
      <vt:lpstr>'Plugin Hybrid'!Udskriftsområde</vt:lpstr>
      <vt:lpstr>'SAS avg. airplane'!Udskriftsområde</vt:lpstr>
      <vt:lpstr>Sensitivity!Udskriftsområde</vt:lpstr>
      <vt:lpstr>'Std benzin motor'!Udskriftsområde</vt:lpstr>
      <vt:lpstr>'Std diesel motor'!Udskriftsområde</vt:lpstr>
      <vt:lpstr>'Tilpasset Otto motor'!Udskriftsområde</vt:lpstr>
      <vt:lpstr>'tog-elektricitet'!Udskriftsområde</vt:lpstr>
    </vt:vector>
  </TitlesOfParts>
  <Company>COWI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AD Model</dc:title>
  <dc:creator>Mette Dalsgaard</dc:creator>
  <cp:lastModifiedBy>Andreas Jørgensen</cp:lastModifiedBy>
  <cp:lastPrinted>2014-06-16T08:47:31Z</cp:lastPrinted>
  <dcterms:created xsi:type="dcterms:W3CDTF">2008-04-15T09:12:09Z</dcterms:created>
  <dcterms:modified xsi:type="dcterms:W3CDTF">2014-09-15T07:32:16Z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Fil</vt:lpwstr>
  </property>
  <property fmtid="{D5CDD505-2E9C-101B-9397-08002B2CF9AE}" pid="3" name="PortalLanguage">
    <vt:lpwstr/>
  </property>
  <property fmtid="{D5CDD505-2E9C-101B-9397-08002B2CF9AE}" pid="4" name="COWIKeywords">
    <vt:lpwstr/>
  </property>
  <property fmtid="{D5CDD505-2E9C-101B-9397-08002B2CF9AE}" pid="5" name="Projecttitle">
    <vt:lpwstr/>
  </property>
  <property fmtid="{D5CDD505-2E9C-101B-9397-08002B2CF9AE}" pid="6" name="WBS">
    <vt:lpwstr/>
  </property>
  <property fmtid="{D5CDD505-2E9C-101B-9397-08002B2CF9AE}" pid="7" name="Address">
    <vt:lpwstr/>
  </property>
  <property fmtid="{D5CDD505-2E9C-101B-9397-08002B2CF9AE}" pid="8" name="WorkFax">
    <vt:lpwstr/>
  </property>
  <property fmtid="{D5CDD505-2E9C-101B-9397-08002B2CF9AE}" pid="9" name="Attention">
    <vt:lpwstr/>
  </property>
  <property fmtid="{D5CDD505-2E9C-101B-9397-08002B2CF9AE}" pid="10" name="NoOfPages">
    <vt:lpwstr/>
  </property>
  <property fmtid="{D5CDD505-2E9C-101B-9397-08002B2CF9AE}" pid="11" name="YoursFaithfully">
    <vt:lpwstr/>
  </property>
  <property fmtid="{D5CDD505-2E9C-101B-9397-08002B2CF9AE}" pid="12" name="Date Completed">
    <vt:lpwstr/>
  </property>
  <property fmtid="{D5CDD505-2E9C-101B-9397-08002B2CF9AE}" pid="13" name="Locality">
    <vt:lpwstr/>
  </property>
  <property fmtid="{D5CDD505-2E9C-101B-9397-08002B2CF9AE}" pid="14" name="Client">
    <vt:lpwstr/>
  </property>
  <property fmtid="{D5CDD505-2E9C-101B-9397-08002B2CF9AE}" pid="15" name="CC">
    <vt:lpwstr/>
  </property>
  <property fmtid="{D5CDD505-2E9C-101B-9397-08002B2CF9AE}" pid="16" name="Type">
    <vt:lpwstr/>
  </property>
  <property fmtid="{D5CDD505-2E9C-101B-9397-08002B2CF9AE}" pid="17" name="Document no">
    <vt:lpwstr/>
  </property>
  <property fmtid="{D5CDD505-2E9C-101B-9397-08002B2CF9AE}" pid="18" name="MonthYear">
    <vt:lpwstr/>
  </property>
  <property fmtid="{D5CDD505-2E9C-101B-9397-08002B2CF9AE}" pid="19" name="PageNo">
    <vt:lpwstr/>
  </property>
  <property fmtid="{D5CDD505-2E9C-101B-9397-08002B2CF9AE}" pid="20" name="ProjectManager">
    <vt:lpwstr/>
  </property>
  <property fmtid="{D5CDD505-2E9C-101B-9397-08002B2CF9AE}" pid="21" name="ContentTypeId">
    <vt:lpwstr>0x010100C4B5EC5F424DF0438C02C794499518FB</vt:lpwstr>
  </property>
  <property fmtid="{D5CDD505-2E9C-101B-9397-08002B2CF9AE}" pid="22" name="_NewReviewCycle">
    <vt:lpwstr/>
  </property>
  <property fmtid="{D5CDD505-2E9C-101B-9397-08002B2CF9AE}" pid="23" name="Order">
    <vt:r8>19100</vt:r8>
  </property>
  <property fmtid="{D5CDD505-2E9C-101B-9397-08002B2CF9AE}" pid="24" name="xd_ProgID">
    <vt:lpwstr/>
  </property>
  <property fmtid="{D5CDD505-2E9C-101B-9397-08002B2CF9AE}" pid="25" name="PortalAuthor">
    <vt:lpwstr>MHO</vt:lpwstr>
  </property>
  <property fmtid="{D5CDD505-2E9C-101B-9397-08002B2CF9AE}" pid="26" name="Company">
    <vt:lpwstr>COWI A/S (DK)</vt:lpwstr>
  </property>
  <property fmtid="{D5CDD505-2E9C-101B-9397-08002B2CF9AE}" pid="27" name="TemplateUrl">
    <vt:lpwstr/>
  </property>
  <property fmtid="{D5CDD505-2E9C-101B-9397-08002B2CF9AE}" pid="28" name="Department">
    <vt:lpwstr>1114 Economics</vt:lpwstr>
  </property>
  <property fmtid="{D5CDD505-2E9C-101B-9397-08002B2CF9AE}" pid="29" name="Phase">
    <vt:lpwstr>;#Contracted;#</vt:lpwstr>
  </property>
</Properties>
</file>